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drawings/drawing22.xml" ContentType="application/vnd.openxmlformats-officedocument.drawingml.chartshapes+xml"/>
  <Override PartName="/xl/drawings/drawing2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25.xml" ContentType="application/vnd.openxmlformats-officedocument.drawingml.chartshapes+xml"/>
  <Override PartName="/xl/drawings/drawing26.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drawings/drawing19.xml" ContentType="application/vnd.openxmlformats-officedocument.drawingml.chartshapes+xml"/>
  <Override PartName="/xl/drawings/drawing18.xml" ContentType="application/vnd.openxmlformats-officedocument.drawingml.chartshapes+xml"/>
  <Override PartName="/xl/drawings/drawing10.xml" ContentType="application/vnd.openxmlformats-officedocument.drawingml.chartshapes+xml"/>
  <Override PartName="/xl/drawings/drawing11.xml" ContentType="application/vnd.openxmlformats-officedocument.drawingml.chartshapes+xml"/>
  <Override PartName="/xl/drawings/drawing12.xml" ContentType="application/vnd.openxmlformats-officedocument.drawingml.chartshapes+xml"/>
  <Override PartName="/xl/drawings/drawing13.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17.xml" ContentType="application/vnd.openxmlformats-officedocument.drawingml.chartshapes+xml"/>
  <Override PartName="/xl/drawings/drawing28.xml" ContentType="application/vnd.openxmlformats-officedocument.drawingml.chartshapes+xml"/>
  <Override PartName="/xl/drawings/drawing30.xml" ContentType="application/vnd.openxmlformats-officedocument.drawingml.chartshapes+xml"/>
  <Override PartName="/xl/drawings/drawing9.xml" ContentType="application/vnd.openxmlformats-officedocument.drawingml.chartshapes+xml"/>
  <Override PartName="/xl/drawings/drawing43.xml" ContentType="application/vnd.openxmlformats-officedocument.drawingml.chartshapes+xml"/>
  <Override PartName="/xl/drawings/drawing44.xml" ContentType="application/vnd.openxmlformats-officedocument.drawingml.chartshapes+xml"/>
  <Override PartName="/xl/drawings/drawing45.xml" ContentType="application/vnd.openxmlformats-officedocument.drawingml.chartshapes+xml"/>
  <Override PartName="/xl/drawings/drawing46.xml" ContentType="application/vnd.openxmlformats-officedocument.drawingml.chartshapes+xml"/>
  <Override PartName="/xl/drawings/drawing48.xml" ContentType="application/vnd.openxmlformats-officedocument.drawingml.chartshapes+xml"/>
  <Override PartName="/xl/drawings/drawing49.xml" ContentType="application/vnd.openxmlformats-officedocument.drawingml.chartshapes+xml"/>
  <Override PartName="/xl/drawings/drawing42.xml" ContentType="application/vnd.openxmlformats-officedocument.drawingml.chartshapes+xml"/>
  <Override PartName="/xl/drawings/drawing41.xml" ContentType="application/vnd.openxmlformats-officedocument.drawingml.chartshapes+xml"/>
  <Override PartName="/xl/drawings/drawing40.xml" ContentType="application/vnd.openxmlformats-officedocument.drawingml.chartshapes+xml"/>
  <Override PartName="/xl/drawings/drawing31.xml" ContentType="application/vnd.openxmlformats-officedocument.drawingml.chartshapes+xml"/>
  <Override PartName="/xl/drawings/drawing34.xml" ContentType="application/vnd.openxmlformats-officedocument.drawingml.chartshapes+xml"/>
  <Override PartName="/xl/drawings/drawing36.xml" ContentType="application/vnd.openxmlformats-officedocument.drawingml.chartshapes+xml"/>
  <Override PartName="/xl/drawings/drawing37.xml" ContentType="application/vnd.openxmlformats-officedocument.drawingml.chartshapes+xml"/>
  <Override PartName="/xl/drawings/drawing38.xml" ContentType="application/vnd.openxmlformats-officedocument.drawingml.chartshapes+xml"/>
  <Override PartName="/xl/drawings/drawing39.xml" ContentType="application/vnd.openxmlformats-officedocument.drawingml.chartshapes+xml"/>
  <Override PartName="/xl/drawings/drawing29.xml" ContentType="application/vnd.openxmlformats-officedocument.drawingml.chartshapes+xml"/>
  <Override PartName="/xl/drawings/drawing35.xml" ContentType="application/vnd.openxmlformats-officedocument.drawingml.chartshapes+xml"/>
  <Override PartName="/xl/drawings/drawing6.xml" ContentType="application/vnd.openxmlformats-officedocument.drawingml.chartshapes+xml"/>
  <Override PartName="/xl/drawings/drawing5.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drawings/drawing4.xml" ContentType="application/vnd.openxmlformats-officedocument.drawingml.chartshapes+xml"/>
  <Override PartName="/xl/drawings/drawing3.xml" ContentType="application/vnd.openxmlformats-officedocument.drawingml.chartshapes+xml"/>
  <Override PartName="/xl/drawings/drawing51.xml" ContentType="application/vnd.openxmlformats-officedocument.drawing+xml"/>
  <Override PartName="/xl/drawings/drawing52.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xl/worksheets/sheet4.xml" ContentType="application/vnd.openxmlformats-officedocument.spreadsheetml.worksheet+xml"/>
  <Override PartName="/xl/charts/chart53.xml" ContentType="application/vnd.openxmlformats-officedocument.drawingml.chart+xml"/>
  <Override PartName="/xl/worksheets/sheet3.xml" ContentType="application/vnd.openxmlformats-officedocument.spreadsheetml.worksheet+xml"/>
  <Override PartName="/xl/drawings/drawing50.xml" ContentType="application/vnd.openxmlformats-officedocument.drawing+xml"/>
  <Override PartName="/xl/charts/chart52.xml" ContentType="application/vnd.openxmlformats-officedocument.drawingml.chart+xml"/>
  <Override PartName="/xl/drawings/drawing47.xml" ContentType="application/vnd.openxmlformats-officedocument.drawing+xml"/>
  <Override PartName="/xl/worksheets/sheet5.xml" ContentType="application/vnd.openxmlformats-officedocument.spreadsheetml.worksheet+xml"/>
  <Override PartName="/xl/charts/chart51.xml" ContentType="application/vnd.openxmlformats-officedocument.drawingml.chart+xml"/>
  <Override PartName="/xl/charts/chart50.xml" ContentType="application/vnd.openxmlformats-officedocument.drawingml.chart+xml"/>
  <Override PartName="/xl/worksheets/sheet6.xml" ContentType="application/vnd.openxmlformats-officedocument.spreadsheetml.worksheet+xml"/>
  <Override PartName="/xl/charts/chart49.xml" ContentType="application/vnd.openxmlformats-officedocument.drawingml.chart+xml"/>
  <Override PartName="/xl/charts/chart24.xml" ContentType="application/vnd.openxmlformats-officedocument.drawingml.chart+xml"/>
  <Override PartName="/xl/drawings/drawing2.xml" ContentType="application/vnd.openxmlformats-officedocument.drawing+xml"/>
  <Override PartName="/xl/charts/chart25.xml" ContentType="application/vnd.openxmlformats-officedocument.drawingml.chart+xml"/>
  <Override PartName="/xl/charts/chart23.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xml" ContentType="application/vnd.openxmlformats-officedocument.drawing+xml"/>
  <Override PartName="/xl/drawings/drawing32.xml" ContentType="application/vnd.openxmlformats-officedocument.drawing+xml"/>
  <Override PartName="/xl/worksheets/sheet7.xml" ContentType="application/vnd.openxmlformats-officedocument.spreadsheetml.worksheet+xml"/>
  <Override PartName="/xl/charts/chart31.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1.xml" ContentType="application/vnd.openxmlformats-officedocument.drawingml.chart+xml"/>
  <Override PartName="/xl/charts/chart20.xml" ContentType="application/vnd.openxmlformats-officedocument.drawingml.chart+xml"/>
  <Override PartName="/xl/charts/chart1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5.xml" ContentType="application/vnd.openxmlformats-officedocument.drawingml.chart+xml"/>
  <Override PartName="/xl/charts/chart12.xml" ContentType="application/vnd.openxmlformats-officedocument.drawingml.chart+xml"/>
  <Override PartName="/xl/charts/chart9.xml" ContentType="application/vnd.openxmlformats-officedocument.drawingml.chart+xml"/>
  <Override PartName="/xl/charts/chart6.xml" ContentType="application/vnd.openxmlformats-officedocument.drawingml.chart+xml"/>
  <Override PartName="/xl/charts/chart8.xml" ContentType="application/vnd.openxmlformats-officedocument.drawingml.chart+xml"/>
  <Override PartName="/xl/charts/chart7.xml" ContentType="application/vnd.openxmlformats-officedocument.drawingml.chart+xml"/>
  <Override PartName="/xl/charts/chart13.xml" ContentType="application/vnd.openxmlformats-officedocument.drawingml.chart+xml"/>
  <Override PartName="/xl/charts/chart3.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2.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drawings/drawing15.xml" ContentType="application/vnd.openxmlformats-officedocument.drawing+xml"/>
  <Override PartName="/xl/charts/chart4.xml" ContentType="application/vnd.openxmlformats-officedocument.drawingml.chart+xml"/>
  <Override PartName="/xl/charts/chart14.xml" ContentType="application/vnd.openxmlformats-officedocument.drawingml.chart+xml"/>
  <Override PartName="/xl/sharedStrings.xml" ContentType="application/vnd.openxmlformats-officedocument.spreadsheetml.sharedStrings+xml"/>
  <Override PartName="/xl/charts/chart41.xml" ContentType="application/vnd.openxmlformats-officedocument.drawingml.chart+xml"/>
  <Override PartName="/xl/styles.xml" ContentType="application/vnd.openxmlformats-officedocument.spreadsheetml.styles+xml"/>
  <Override PartName="/xl/charts/chart42.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33.xml" ContentType="application/vnd.openxmlformats-officedocument.drawing+xml"/>
  <Override PartName="/xl/charts/chart37.xml" ContentType="application/vnd.openxmlformats-officedocument.drawingml.chart+xml"/>
  <Override PartName="/xl/theme/theme1.xml" ContentType="application/vnd.openxmlformats-officedocument.theme+xml"/>
  <Override PartName="/xl/charts/chart43.xml" ContentType="application/vnd.openxmlformats-officedocument.drawingml.chart+xml"/>
  <Override PartName="/xl/worksheets/sheet13.xml" ContentType="application/vnd.openxmlformats-officedocument.spreadsheetml.worksheet+xml"/>
  <Override PartName="/xl/charts/chart47.xml" ContentType="application/vnd.openxmlformats-officedocument.drawingml.chart+xml"/>
  <Override PartName="/xl/worksheets/sheet9.xml" ContentType="application/vnd.openxmlformats-officedocument.spreadsheetml.worksheet+xml"/>
  <Override PartName="/xl/charts/chart48.xml" ContentType="application/vnd.openxmlformats-officedocument.drawingml.chart+xml"/>
  <Override PartName="/xl/worksheets/sheet8.xml" ContentType="application/vnd.openxmlformats-officedocument.spreadsheetml.worksheet+xml"/>
  <Override PartName="/xl/worksheets/sheet10.xml" ContentType="application/vnd.openxmlformats-officedocument.spreadsheetml.worksheet+xml"/>
  <Override PartName="/xl/charts/chart46.xml" ContentType="application/vnd.openxmlformats-officedocument.drawingml.chart+xml"/>
  <Override PartName="/xl/worksheets/sheet11.xml" ContentType="application/vnd.openxmlformats-officedocument.spreadsheetml.worksheet+xml"/>
  <Override PartName="/xl/charts/chart45.xml" ContentType="application/vnd.openxmlformats-officedocument.drawingml.chart+xml"/>
  <Override PartName="/xl/worksheets/sheet12.xml" ContentType="application/vnd.openxmlformats-officedocument.spreadsheetml.worksheet+xml"/>
  <Override PartName="/xl/charts/chart44.xml" ContentType="application/vnd.openxmlformats-officedocument.drawingml.chart+xml"/>
  <Override PartName="/xl/charts/chart34.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omments8.xml" ContentType="application/vnd.openxmlformats-officedocument.spreadsheetml.comments+xml"/>
  <Override PartName="/xl/comments3.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xl/comments5.xml" ContentType="application/vnd.openxmlformats-officedocument.spreadsheetml.comments+xml"/>
  <Override PartName="/xl/comments6.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 yWindow="-12" windowWidth="23088" windowHeight="5496" tabRatio="719"/>
  </bookViews>
  <sheets>
    <sheet name="INDEX - SUMMARY" sheetId="26" r:id="rId1"/>
    <sheet name="NOTE 2" sheetId="54" r:id="rId2"/>
    <sheet name="PROFILES" sheetId="44" r:id="rId3"/>
    <sheet name="GEARINGS, E&amp;Enot" sheetId="52" r:id="rId4"/>
    <sheet name="RATINGS" sheetId="55" r:id="rId5"/>
    <sheet name="OUTPUTS &amp; Inputs" sheetId="48" r:id="rId6"/>
    <sheet name="Ranking" sheetId="51" r:id="rId7"/>
    <sheet name="SEGMENTS Data &amp; Estimates" sheetId="43" r:id="rId8"/>
    <sheet name="CALCULATIONS" sheetId="38" r:id="rId9"/>
    <sheet name="OPERATING LEASES" sheetId="47" r:id="rId10"/>
    <sheet name="Bloom Cleaner Data" sheetId="37" r:id="rId11"/>
    <sheet name="(Bloom Raw Data)" sheetId="36" r:id="rId12"/>
    <sheet name="(Bloom Data Not Used or NA)" sheetId="45" r:id="rId13"/>
  </sheets>
  <definedNames>
    <definedName name="_ftnref1" localSheetId="9">'OPERATING LEASES'!$AN$2</definedName>
    <definedName name="Blp_Fields" localSheetId="4">#REF!</definedName>
    <definedName name="Blp_Fields">#REF!</definedName>
    <definedName name="BLPB_Facteurs_de_dette" localSheetId="12">#REF!</definedName>
    <definedName name="BLPB_Facteurs_de_dette" localSheetId="10">#REF!</definedName>
    <definedName name="BLPB_Facteurs_de_dette" localSheetId="3">#REF!</definedName>
    <definedName name="BLPB_Facteurs_de_dette" localSheetId="6">#REF!</definedName>
    <definedName name="BLPB_Facteurs_de_dette" localSheetId="4">#REF!</definedName>
    <definedName name="BLPB_Facteurs_de_dette">#REF!</definedName>
    <definedName name="BLPB_Valeur_Entrep_VE" localSheetId="12">#REF!</definedName>
    <definedName name="BLPB_Valeur_Entrep_VE" localSheetId="10">#REF!</definedName>
    <definedName name="BLPB_Valeur_Entrep_VE" localSheetId="3">#REF!</definedName>
    <definedName name="BLPB_Valeur_Entrep_VE" localSheetId="6">#REF!</definedName>
    <definedName name="BLPB_Valeur_Entrep_VE" localSheetId="4">#REF!</definedName>
    <definedName name="BLPB_Valeur_Entrep_VE">#REF!</definedName>
    <definedName name="HTML_CodePage" hidden="1">1252</definedName>
    <definedName name="HTML_Control" hidden="1">{"'Sheet1'!$A$1:$O$40"}</definedName>
    <definedName name="HTML_Description" hidden="1">""</definedName>
    <definedName name="HTML_Email" hidden="1">""</definedName>
    <definedName name="HTML_Header" hidden="1">"Sheet1"</definedName>
    <definedName name="HTML_LastUpdate" hidden="1">"2/5/99"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HD:HomePageStuff:pc:datasets:implprem.html"</definedName>
    <definedName name="HTML_Title" hidden="1">"S&amp;P Implied Equity Premiums"</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Count" hidden="1">1</definedName>
    <definedName name="RESULTS___ANALYSES" localSheetId="3">'GEARINGS, E&amp;Enot'!$A$1</definedName>
    <definedName name="RESULTS___ANALYSES" localSheetId="6">Ranking!$A$1</definedName>
    <definedName name="RESULTS___ANALYSES" localSheetId="4">RATINGS!$A$1</definedName>
    <definedName name="RESULTS___ANALYSES">#REF!</definedName>
  </definedNames>
  <calcPr calcId="125725"/>
</workbook>
</file>

<file path=xl/calcChain.xml><?xml version="1.0" encoding="utf-8"?>
<calcChain xmlns="http://schemas.openxmlformats.org/spreadsheetml/2006/main">
  <c r="J36" i="26"/>
  <c r="J37"/>
  <c r="K37"/>
  <c r="K36"/>
  <c r="L37"/>
  <c r="L36"/>
  <c r="M36" l="1"/>
  <c r="N36"/>
  <c r="Q9" i="48" l="1"/>
  <c r="P9"/>
  <c r="O9"/>
  <c r="I510" s="1"/>
  <c r="K9"/>
  <c r="J9"/>
  <c r="I9"/>
  <c r="E510" s="1"/>
  <c r="Q749" i="55"/>
  <c r="G9" i="48" s="1"/>
  <c r="R749" i="55"/>
  <c r="H9" i="48" s="1"/>
  <c r="O749" i="55"/>
  <c r="F9" i="48" s="1"/>
  <c r="F510" s="1"/>
  <c r="L749" i="55"/>
  <c r="M9" i="48" s="1"/>
  <c r="M749" i="55"/>
  <c r="N9" i="48" s="1"/>
  <c r="J749" i="55"/>
  <c r="L9" i="48" s="1"/>
  <c r="H510" s="1"/>
  <c r="G749" i="55"/>
  <c r="D9" i="48" s="1"/>
  <c r="H749" i="55"/>
  <c r="E9" i="48" s="1"/>
  <c r="E749" i="55"/>
  <c r="C9" i="48" s="1"/>
  <c r="G510" s="1"/>
  <c r="U459" l="1"/>
  <c r="T459"/>
  <c r="S459"/>
  <c r="W492" i="52" l="1"/>
  <c r="AB158"/>
  <c r="Y157"/>
  <c r="T154"/>
  <c r="HN41" i="38" l="1"/>
  <c r="D10" i="48" l="1"/>
  <c r="E10"/>
  <c r="F10"/>
  <c r="G10"/>
  <c r="H10"/>
  <c r="I10"/>
  <c r="J10"/>
  <c r="K10"/>
  <c r="L10"/>
  <c r="M10"/>
  <c r="N10"/>
  <c r="O10"/>
  <c r="P10"/>
  <c r="Q10"/>
  <c r="C10"/>
  <c r="GF30" i="36" l="1"/>
  <c r="T563" i="55" l="1"/>
  <c r="CI48" i="37"/>
  <c r="CE48"/>
  <c r="CC48"/>
  <c r="CB48" s="1"/>
  <c r="Q48"/>
  <c r="P48"/>
  <c r="O48"/>
  <c r="M48"/>
  <c r="K48"/>
  <c r="J48"/>
  <c r="I48"/>
  <c r="H48"/>
  <c r="G48"/>
  <c r="F48"/>
  <c r="E48"/>
  <c r="D48"/>
  <c r="A48"/>
  <c r="CI47"/>
  <c r="CE47"/>
  <c r="CC47"/>
  <c r="Q47"/>
  <c r="P47"/>
  <c r="O47"/>
  <c r="M47"/>
  <c r="K47"/>
  <c r="J47"/>
  <c r="I47"/>
  <c r="H47"/>
  <c r="G47"/>
  <c r="F47"/>
  <c r="E47"/>
  <c r="D47"/>
  <c r="A47"/>
  <c r="CI46"/>
  <c r="CE46"/>
  <c r="CC46"/>
  <c r="Q46"/>
  <c r="P46"/>
  <c r="O46"/>
  <c r="M46"/>
  <c r="K46"/>
  <c r="J46"/>
  <c r="I46"/>
  <c r="H46"/>
  <c r="G46"/>
  <c r="F46"/>
  <c r="E46"/>
  <c r="D46"/>
  <c r="A46"/>
  <c r="CI45"/>
  <c r="CE45"/>
  <c r="CC45"/>
  <c r="Q45"/>
  <c r="P45"/>
  <c r="O45"/>
  <c r="M45"/>
  <c r="K45"/>
  <c r="J45"/>
  <c r="I45"/>
  <c r="H45"/>
  <c r="G45"/>
  <c r="F45"/>
  <c r="E45"/>
  <c r="D45"/>
  <c r="A45"/>
  <c r="CB45" l="1"/>
  <c r="CA45" s="1"/>
  <c r="BZ45" s="1"/>
  <c r="BY45" s="1"/>
  <c r="BX45" s="1"/>
  <c r="BW45" s="1"/>
  <c r="BV45" s="1"/>
  <c r="BU45" s="1"/>
  <c r="CB46"/>
  <c r="CA46" s="1"/>
  <c r="BZ46" s="1"/>
  <c r="BY46" s="1"/>
  <c r="BX46" s="1"/>
  <c r="BW46" s="1"/>
  <c r="BV46" s="1"/>
  <c r="BU46" s="1"/>
  <c r="CB47"/>
  <c r="CA47" s="1"/>
  <c r="BZ47" s="1"/>
  <c r="CA48"/>
  <c r="BZ48" s="1"/>
  <c r="BY48" s="1"/>
  <c r="BX48" s="1"/>
  <c r="BW48" s="1"/>
  <c r="BV48" s="1"/>
  <c r="BU48" s="1"/>
  <c r="BY47"/>
  <c r="BX47" s="1"/>
  <c r="BW47" s="1"/>
  <c r="BV47" s="1"/>
  <c r="BU47" s="1"/>
  <c r="CH45"/>
  <c r="CG45" s="1"/>
  <c r="CF45" s="1"/>
  <c r="CH46"/>
  <c r="CG46" s="1"/>
  <c r="CF46" s="1"/>
  <c r="CH47"/>
  <c r="CG47" s="1"/>
  <c r="CF47" s="1"/>
  <c r="CH48"/>
  <c r="CG48" s="1"/>
  <c r="CF48" s="1"/>
  <c r="CD45"/>
  <c r="CD46"/>
  <c r="CD47"/>
  <c r="CD48"/>
  <c r="CI44"/>
  <c r="CE44"/>
  <c r="CC44"/>
  <c r="Q44"/>
  <c r="P44"/>
  <c r="O44"/>
  <c r="M44"/>
  <c r="K44"/>
  <c r="J44"/>
  <c r="I44"/>
  <c r="H44"/>
  <c r="G44"/>
  <c r="F44"/>
  <c r="E44"/>
  <c r="D44"/>
  <c r="A44"/>
  <c r="CI43"/>
  <c r="CE43"/>
  <c r="CC43"/>
  <c r="Q43"/>
  <c r="P43"/>
  <c r="O43"/>
  <c r="M43"/>
  <c r="K43"/>
  <c r="J43"/>
  <c r="I43"/>
  <c r="H43"/>
  <c r="G43"/>
  <c r="F43"/>
  <c r="E43"/>
  <c r="D43"/>
  <c r="A43"/>
  <c r="GD41"/>
  <c r="GC41"/>
  <c r="GB41"/>
  <c r="GA41"/>
  <c r="FZ41"/>
  <c r="FY41"/>
  <c r="FX41"/>
  <c r="FW41"/>
  <c r="FV41"/>
  <c r="FU41"/>
  <c r="FT41"/>
  <c r="FS41"/>
  <c r="FR41"/>
  <c r="FQ41"/>
  <c r="FP41"/>
  <c r="FO41"/>
  <c r="EW41"/>
  <c r="EV41"/>
  <c r="EU41"/>
  <c r="ET41"/>
  <c r="ES41"/>
  <c r="ER41"/>
  <c r="EQ41"/>
  <c r="EP41"/>
  <c r="EO41"/>
  <c r="EN41"/>
  <c r="EM41"/>
  <c r="EL41"/>
  <c r="EK41"/>
  <c r="EJ41"/>
  <c r="EI41"/>
  <c r="EH41"/>
  <c r="DP41"/>
  <c r="DO41"/>
  <c r="DN41"/>
  <c r="DM41"/>
  <c r="DL41"/>
  <c r="DK41"/>
  <c r="DJ41"/>
  <c r="DI41"/>
  <c r="DH41"/>
  <c r="DG41"/>
  <c r="DF41"/>
  <c r="DE41"/>
  <c r="DD41"/>
  <c r="DC41"/>
  <c r="DB41"/>
  <c r="DA41"/>
  <c r="GD40"/>
  <c r="GA40"/>
  <c r="GB40" s="1"/>
  <c r="FV40"/>
  <c r="FU40"/>
  <c r="FT40"/>
  <c r="FS40"/>
  <c r="FR40"/>
  <c r="FQ40"/>
  <c r="FP40"/>
  <c r="FO40"/>
  <c r="EW40"/>
  <c r="ET40"/>
  <c r="ES40"/>
  <c r="ER40"/>
  <c r="EQ40"/>
  <c r="EP40"/>
  <c r="EO40"/>
  <c r="EN40"/>
  <c r="EM40"/>
  <c r="EL40"/>
  <c r="EK40"/>
  <c r="EJ40"/>
  <c r="EI40"/>
  <c r="EH40"/>
  <c r="DP40"/>
  <c r="DM40"/>
  <c r="EU40" s="1"/>
  <c r="DH40"/>
  <c r="DG40"/>
  <c r="DF40"/>
  <c r="DE40"/>
  <c r="DD40"/>
  <c r="DC40"/>
  <c r="DB40"/>
  <c r="DA40"/>
  <c r="GD39"/>
  <c r="GA39"/>
  <c r="GB39" s="1"/>
  <c r="FV39"/>
  <c r="FU39"/>
  <c r="FT39"/>
  <c r="FS39"/>
  <c r="FR39"/>
  <c r="FQ39"/>
  <c r="FP39"/>
  <c r="FO39"/>
  <c r="EW39"/>
  <c r="ET39"/>
  <c r="ES39"/>
  <c r="ER39"/>
  <c r="EQ39"/>
  <c r="EP39"/>
  <c r="EO39"/>
  <c r="EN39"/>
  <c r="EM39"/>
  <c r="EL39"/>
  <c r="EK39"/>
  <c r="EJ39"/>
  <c r="EI39"/>
  <c r="EH39"/>
  <c r="DP39"/>
  <c r="DM39"/>
  <c r="DN39" s="1"/>
  <c r="DH39"/>
  <c r="DG39"/>
  <c r="DF39"/>
  <c r="DE39"/>
  <c r="DD39"/>
  <c r="DC39"/>
  <c r="DB39"/>
  <c r="DA39"/>
  <c r="GD38"/>
  <c r="GA38"/>
  <c r="GB38" s="1"/>
  <c r="FV38"/>
  <c r="FU38"/>
  <c r="FT38"/>
  <c r="FS38"/>
  <c r="FR38"/>
  <c r="FQ38"/>
  <c r="FP38"/>
  <c r="FO38"/>
  <c r="EW38"/>
  <c r="EV38"/>
  <c r="EU38"/>
  <c r="ET38"/>
  <c r="ES38"/>
  <c r="ER38"/>
  <c r="EQ38"/>
  <c r="EP38"/>
  <c r="EO38"/>
  <c r="EN38"/>
  <c r="EM38"/>
  <c r="EL38"/>
  <c r="EK38"/>
  <c r="EJ38"/>
  <c r="EI38"/>
  <c r="EH38"/>
  <c r="DP38"/>
  <c r="DM38"/>
  <c r="DH38"/>
  <c r="DG38"/>
  <c r="DF38"/>
  <c r="DE38"/>
  <c r="DD38"/>
  <c r="DC38"/>
  <c r="DC44" s="1"/>
  <c r="DB38"/>
  <c r="DA38"/>
  <c r="GD37"/>
  <c r="GC37"/>
  <c r="GB37"/>
  <c r="GA37"/>
  <c r="FZ37"/>
  <c r="FY37"/>
  <c r="FX37"/>
  <c r="FW37"/>
  <c r="FV37"/>
  <c r="FU37"/>
  <c r="FT37"/>
  <c r="FS37"/>
  <c r="FR37"/>
  <c r="FQ37"/>
  <c r="FP37"/>
  <c r="FO37"/>
  <c r="EW37"/>
  <c r="EV37"/>
  <c r="EU37"/>
  <c r="ET37"/>
  <c r="ES37"/>
  <c r="ER37"/>
  <c r="EQ37"/>
  <c r="EP37"/>
  <c r="EO37"/>
  <c r="EN37"/>
  <c r="EM37"/>
  <c r="EL37"/>
  <c r="EK37"/>
  <c r="EJ37"/>
  <c r="EI37"/>
  <c r="EH37"/>
  <c r="DP37"/>
  <c r="DO37"/>
  <c r="DN37"/>
  <c r="DM37"/>
  <c r="DL37"/>
  <c r="DK37"/>
  <c r="DJ37"/>
  <c r="DI37"/>
  <c r="DH37"/>
  <c r="DG37"/>
  <c r="DF37"/>
  <c r="DE37"/>
  <c r="DD37"/>
  <c r="DC37"/>
  <c r="DB37"/>
  <c r="DA37"/>
  <c r="GD36"/>
  <c r="GA36"/>
  <c r="GB36" s="1"/>
  <c r="FV36"/>
  <c r="FU36"/>
  <c r="FT36"/>
  <c r="FS36"/>
  <c r="FR36"/>
  <c r="FQ36"/>
  <c r="FP36"/>
  <c r="FO36"/>
  <c r="EW36"/>
  <c r="ET36"/>
  <c r="EU36" s="1"/>
  <c r="ES36"/>
  <c r="ER36"/>
  <c r="EQ36"/>
  <c r="EP36"/>
  <c r="EO36"/>
  <c r="EN36"/>
  <c r="EM36"/>
  <c r="EL36"/>
  <c r="EK36"/>
  <c r="EJ36"/>
  <c r="EI36"/>
  <c r="EH36"/>
  <c r="DP36"/>
  <c r="DM36"/>
  <c r="DN36" s="1"/>
  <c r="DH36"/>
  <c r="DG36"/>
  <c r="DF36"/>
  <c r="DE36"/>
  <c r="DD36"/>
  <c r="DC36"/>
  <c r="DB36"/>
  <c r="DA36"/>
  <c r="GD35"/>
  <c r="GA35"/>
  <c r="GB35" s="1"/>
  <c r="FV35"/>
  <c r="FU35"/>
  <c r="FT35"/>
  <c r="FS35"/>
  <c r="FR35"/>
  <c r="FQ35"/>
  <c r="FP35"/>
  <c r="FO35"/>
  <c r="EW35"/>
  <c r="ET35"/>
  <c r="EU35" s="1"/>
  <c r="ES35"/>
  <c r="ER35"/>
  <c r="EQ35"/>
  <c r="EP35"/>
  <c r="EO35"/>
  <c r="EN35"/>
  <c r="EM35"/>
  <c r="EL35"/>
  <c r="EK35"/>
  <c r="EJ35"/>
  <c r="EI35"/>
  <c r="EH35"/>
  <c r="DP35"/>
  <c r="DM35"/>
  <c r="DN35" s="1"/>
  <c r="DH35"/>
  <c r="DG35"/>
  <c r="DF35"/>
  <c r="DE35"/>
  <c r="DD35"/>
  <c r="DC35"/>
  <c r="DB35"/>
  <c r="DA35"/>
  <c r="DE31"/>
  <c r="EU39" l="1"/>
  <c r="DA44"/>
  <c r="DH44"/>
  <c r="DN38"/>
  <c r="DN44" s="1"/>
  <c r="FZ35"/>
  <c r="FZ39"/>
  <c r="DJ35"/>
  <c r="FY35"/>
  <c r="DK36"/>
  <c r="FY36"/>
  <c r="DK38"/>
  <c r="FY38"/>
  <c r="DK39"/>
  <c r="FY39"/>
  <c r="DK40"/>
  <c r="FY40"/>
  <c r="DL35"/>
  <c r="DK35" s="1"/>
  <c r="FX35"/>
  <c r="DJ36"/>
  <c r="FX36"/>
  <c r="DJ38"/>
  <c r="FX38"/>
  <c r="DJ39"/>
  <c r="FX39"/>
  <c r="DJ40"/>
  <c r="FX40"/>
  <c r="FW35"/>
  <c r="DI36"/>
  <c r="FW36"/>
  <c r="DI38"/>
  <c r="FW38"/>
  <c r="DI39"/>
  <c r="FW39"/>
  <c r="DI40"/>
  <c r="FW40"/>
  <c r="CH43"/>
  <c r="CG43" s="1"/>
  <c r="CF43" s="1"/>
  <c r="CH44"/>
  <c r="CG44" s="1"/>
  <c r="CF44" s="1"/>
  <c r="DL38"/>
  <c r="FZ38"/>
  <c r="DL39"/>
  <c r="DL40"/>
  <c r="FZ40"/>
  <c r="DO35"/>
  <c r="EV35"/>
  <c r="GC35"/>
  <c r="DO36"/>
  <c r="EV36"/>
  <c r="GC36"/>
  <c r="DO38"/>
  <c r="GC38"/>
  <c r="DO39"/>
  <c r="EV39"/>
  <c r="GC39"/>
  <c r="DO40"/>
  <c r="EV40"/>
  <c r="GC40"/>
  <c r="CD43"/>
  <c r="CD44"/>
  <c r="DL36"/>
  <c r="FZ36"/>
  <c r="DI35"/>
  <c r="DN40"/>
  <c r="CB43"/>
  <c r="CA43" s="1"/>
  <c r="BZ43" s="1"/>
  <c r="BY43" s="1"/>
  <c r="BX43" s="1"/>
  <c r="BW43" s="1"/>
  <c r="BV43" s="1"/>
  <c r="BU43" s="1"/>
  <c r="CB44"/>
  <c r="CA44" s="1"/>
  <c r="BZ44" s="1"/>
  <c r="BY44" s="1"/>
  <c r="BX44" s="1"/>
  <c r="BW44" s="1"/>
  <c r="BV44" s="1"/>
  <c r="BU44" s="1"/>
  <c r="DD31"/>
  <c r="DC31"/>
  <c r="DB31"/>
  <c r="DA31"/>
  <c r="HY27"/>
  <c r="HX27"/>
  <c r="HW27"/>
  <c r="HV27"/>
  <c r="HU27"/>
  <c r="HT27"/>
  <c r="HS27"/>
  <c r="HR27"/>
  <c r="HQ27"/>
  <c r="HP27"/>
  <c r="HO27"/>
  <c r="HN27"/>
  <c r="HM27"/>
  <c r="HL27"/>
  <c r="GS27"/>
  <c r="GR27"/>
  <c r="GQ27"/>
  <c r="GP27"/>
  <c r="GO27"/>
  <c r="GN27"/>
  <c r="GM27"/>
  <c r="GL27"/>
  <c r="GK27"/>
  <c r="GJ27"/>
  <c r="GI27"/>
  <c r="GH27"/>
  <c r="GG27"/>
  <c r="GF27"/>
  <c r="GC27"/>
  <c r="GB27"/>
  <c r="GA27"/>
  <c r="FZ27"/>
  <c r="FY27"/>
  <c r="FX27"/>
  <c r="FW27"/>
  <c r="FV27"/>
  <c r="FU27"/>
  <c r="FT27"/>
  <c r="FS27"/>
  <c r="FR27"/>
  <c r="FQ27"/>
  <c r="FP27"/>
  <c r="FO27"/>
  <c r="FM27" s="1"/>
  <c r="FL27"/>
  <c r="FK27"/>
  <c r="FJ27"/>
  <c r="FI27"/>
  <c r="FH27"/>
  <c r="FG27"/>
  <c r="FF27"/>
  <c r="FE27"/>
  <c r="FD27"/>
  <c r="FC27"/>
  <c r="FB27"/>
  <c r="FA27"/>
  <c r="EZ27"/>
  <c r="EY27"/>
  <c r="EV27"/>
  <c r="EU27"/>
  <c r="ET27"/>
  <c r="ES27"/>
  <c r="ER27"/>
  <c r="EQ27"/>
  <c r="EP27"/>
  <c r="EO27"/>
  <c r="EN27"/>
  <c r="EM27"/>
  <c r="EL27"/>
  <c r="EK27"/>
  <c r="EJ27"/>
  <c r="EI27"/>
  <c r="EH27"/>
  <c r="EE27"/>
  <c r="ED27"/>
  <c r="EC27"/>
  <c r="EB27"/>
  <c r="EA27"/>
  <c r="DZ27"/>
  <c r="DY27"/>
  <c r="DX27"/>
  <c r="DW27"/>
  <c r="DV27"/>
  <c r="DU27"/>
  <c r="DT27"/>
  <c r="DS27"/>
  <c r="DR27"/>
  <c r="DN27"/>
  <c r="DM27"/>
  <c r="DL27"/>
  <c r="DK27"/>
  <c r="DJ27"/>
  <c r="DI27"/>
  <c r="DH27"/>
  <c r="DG27"/>
  <c r="DF27"/>
  <c r="DE27"/>
  <c r="DD27"/>
  <c r="DC27"/>
  <c r="DB27"/>
  <c r="DA27"/>
  <c r="CH27"/>
  <c r="HI27" s="1"/>
  <c r="CG27"/>
  <c r="CF27"/>
  <c r="HG27" s="1"/>
  <c r="CE27"/>
  <c r="CD27"/>
  <c r="CC27"/>
  <c r="HD27" s="1"/>
  <c r="CB27"/>
  <c r="CA27"/>
  <c r="BZ27"/>
  <c r="HA27" s="1"/>
  <c r="BY27"/>
  <c r="GZ27" s="1"/>
  <c r="BX27"/>
  <c r="GY27" s="1"/>
  <c r="BW27"/>
  <c r="BV27"/>
  <c r="BU27"/>
  <c r="GV27" s="1"/>
  <c r="GT27" s="1"/>
  <c r="BR27"/>
  <c r="BQ27"/>
  <c r="BP27"/>
  <c r="BO27"/>
  <c r="BN27"/>
  <c r="BM27"/>
  <c r="BL27"/>
  <c r="BK27"/>
  <c r="BJ27"/>
  <c r="BI27"/>
  <c r="BH27"/>
  <c r="BG27"/>
  <c r="BF27"/>
  <c r="BE27"/>
  <c r="BC27"/>
  <c r="BB27"/>
  <c r="BA27"/>
  <c r="AZ27"/>
  <c r="AY27"/>
  <c r="AX27"/>
  <c r="AW27"/>
  <c r="AV27"/>
  <c r="AU27"/>
  <c r="AT27"/>
  <c r="AS27"/>
  <c r="AR27"/>
  <c r="AQ27"/>
  <c r="AP27"/>
  <c r="AO27"/>
  <c r="AM27"/>
  <c r="AL27" s="1"/>
  <c r="AK27"/>
  <c r="AJ27"/>
  <c r="AG27"/>
  <c r="AF27"/>
  <c r="AE27"/>
  <c r="AD27"/>
  <c r="AC27"/>
  <c r="AB27"/>
  <c r="AA27"/>
  <c r="Z27"/>
  <c r="Y27"/>
  <c r="X27"/>
  <c r="W27"/>
  <c r="V27"/>
  <c r="U27"/>
  <c r="T27"/>
  <c r="Q27"/>
  <c r="P27"/>
  <c r="P73" s="1"/>
  <c r="O27"/>
  <c r="N27"/>
  <c r="M27"/>
  <c r="L27"/>
  <c r="CS27" s="1"/>
  <c r="K27"/>
  <c r="J27"/>
  <c r="I27"/>
  <c r="H27"/>
  <c r="G27" s="1"/>
  <c r="F27"/>
  <c r="E27"/>
  <c r="D27"/>
  <c r="CK27" s="1"/>
  <c r="HZ26"/>
  <c r="HY26"/>
  <c r="HX26"/>
  <c r="HW26"/>
  <c r="HV26"/>
  <c r="HU26"/>
  <c r="HT26"/>
  <c r="HS26"/>
  <c r="HR26"/>
  <c r="HQ26"/>
  <c r="HP26"/>
  <c r="HO26"/>
  <c r="HN26"/>
  <c r="HM26"/>
  <c r="HL26"/>
  <c r="GT26"/>
  <c r="GS26"/>
  <c r="GR26"/>
  <c r="GQ26"/>
  <c r="GP26"/>
  <c r="GO26"/>
  <c r="GN26"/>
  <c r="GM26"/>
  <c r="GL26"/>
  <c r="GK26"/>
  <c r="GJ26"/>
  <c r="GI26"/>
  <c r="GH26"/>
  <c r="GG26"/>
  <c r="GF26"/>
  <c r="GC26"/>
  <c r="GB26"/>
  <c r="GA26"/>
  <c r="FZ26"/>
  <c r="FY26"/>
  <c r="FX26"/>
  <c r="FW26"/>
  <c r="FV26"/>
  <c r="FU26"/>
  <c r="FT26"/>
  <c r="FS26"/>
  <c r="FR26"/>
  <c r="FQ26"/>
  <c r="FP26"/>
  <c r="FO26"/>
  <c r="FM26"/>
  <c r="FL26"/>
  <c r="FK26"/>
  <c r="FJ26"/>
  <c r="FI26"/>
  <c r="FH26"/>
  <c r="FG26"/>
  <c r="FF26"/>
  <c r="FE26"/>
  <c r="FD26"/>
  <c r="FC26"/>
  <c r="FB26"/>
  <c r="FA26"/>
  <c r="EZ26"/>
  <c r="EY26"/>
  <c r="EV26"/>
  <c r="EU26"/>
  <c r="ET26"/>
  <c r="ES26"/>
  <c r="ER26"/>
  <c r="EQ26"/>
  <c r="EP26"/>
  <c r="EO26"/>
  <c r="EN26"/>
  <c r="EM26"/>
  <c r="EL26"/>
  <c r="EK26"/>
  <c r="EJ26"/>
  <c r="EI26"/>
  <c r="EH26"/>
  <c r="EF26"/>
  <c r="EE26"/>
  <c r="ED26"/>
  <c r="EC26"/>
  <c r="EB26"/>
  <c r="EA26"/>
  <c r="DZ26"/>
  <c r="DY26"/>
  <c r="DX26"/>
  <c r="DW26"/>
  <c r="DV26"/>
  <c r="DU26"/>
  <c r="DT26"/>
  <c r="DS26"/>
  <c r="DR26"/>
  <c r="DO26"/>
  <c r="DN26"/>
  <c r="DM26"/>
  <c r="DL26"/>
  <c r="DK26"/>
  <c r="DJ26"/>
  <c r="DI26"/>
  <c r="DH26"/>
  <c r="DG26"/>
  <c r="DF26"/>
  <c r="DE26"/>
  <c r="DD26"/>
  <c r="DC26"/>
  <c r="DB26"/>
  <c r="DA26"/>
  <c r="CI26"/>
  <c r="CH26"/>
  <c r="CG26"/>
  <c r="CF26"/>
  <c r="CE26"/>
  <c r="CD26"/>
  <c r="CC26"/>
  <c r="CB26"/>
  <c r="CA26"/>
  <c r="BZ26"/>
  <c r="BY26"/>
  <c r="BX26"/>
  <c r="GY26" s="1"/>
  <c r="BW26"/>
  <c r="BV26"/>
  <c r="BU26"/>
  <c r="BS26"/>
  <c r="BR26"/>
  <c r="BQ26"/>
  <c r="BP26"/>
  <c r="BO26"/>
  <c r="BN26"/>
  <c r="BM26"/>
  <c r="BL26"/>
  <c r="BK26"/>
  <c r="BJ26"/>
  <c r="BI26"/>
  <c r="BH26"/>
  <c r="BG26"/>
  <c r="BF26"/>
  <c r="BE26"/>
  <c r="BC26"/>
  <c r="BB26"/>
  <c r="BA26"/>
  <c r="AZ26"/>
  <c r="AY26"/>
  <c r="AX26"/>
  <c r="AW26"/>
  <c r="AV26"/>
  <c r="AU26"/>
  <c r="AT26"/>
  <c r="AS26"/>
  <c r="AR26"/>
  <c r="AQ26"/>
  <c r="AP26"/>
  <c r="AO26"/>
  <c r="AM26"/>
  <c r="AL26"/>
  <c r="AK26"/>
  <c r="AJ26"/>
  <c r="AH26"/>
  <c r="AG26"/>
  <c r="AF26"/>
  <c r="CW26" s="1"/>
  <c r="AE26"/>
  <c r="AD26"/>
  <c r="AC26"/>
  <c r="AB26"/>
  <c r="AA26"/>
  <c r="Z26"/>
  <c r="Y26"/>
  <c r="X26"/>
  <c r="CO26" s="1"/>
  <c r="W26"/>
  <c r="V26"/>
  <c r="U26"/>
  <c r="T26"/>
  <c r="R26"/>
  <c r="Q26"/>
  <c r="P26"/>
  <c r="O26"/>
  <c r="O72" s="1"/>
  <c r="N26"/>
  <c r="M26"/>
  <c r="L26"/>
  <c r="K26"/>
  <c r="J26"/>
  <c r="I26"/>
  <c r="H26"/>
  <c r="G26"/>
  <c r="G72" s="1"/>
  <c r="F26"/>
  <c r="E26"/>
  <c r="D26"/>
  <c r="HZ25"/>
  <c r="HY25"/>
  <c r="HX25"/>
  <c r="HW25"/>
  <c r="HV25"/>
  <c r="HU25"/>
  <c r="HT25"/>
  <c r="HS25"/>
  <c r="HR25"/>
  <c r="HQ25"/>
  <c r="HP25"/>
  <c r="HO25"/>
  <c r="HN25"/>
  <c r="HM25"/>
  <c r="HL25"/>
  <c r="GT25"/>
  <c r="GS25"/>
  <c r="GR25"/>
  <c r="GQ25"/>
  <c r="GP25"/>
  <c r="GO25"/>
  <c r="GN25"/>
  <c r="GM25"/>
  <c r="GL25"/>
  <c r="GK25"/>
  <c r="GJ25"/>
  <c r="GI25"/>
  <c r="GH25"/>
  <c r="GG25"/>
  <c r="GF25"/>
  <c r="GC25"/>
  <c r="GB25"/>
  <c r="GA25"/>
  <c r="FZ25"/>
  <c r="FY25"/>
  <c r="FX25"/>
  <c r="FW25"/>
  <c r="FV25"/>
  <c r="FU25"/>
  <c r="FT25"/>
  <c r="FS25"/>
  <c r="FR25"/>
  <c r="FQ25"/>
  <c r="FP25"/>
  <c r="FO25"/>
  <c r="FM25"/>
  <c r="FL25"/>
  <c r="FK25"/>
  <c r="FJ25"/>
  <c r="FI25"/>
  <c r="FH25"/>
  <c r="FG25"/>
  <c r="FF25"/>
  <c r="FE25"/>
  <c r="FD25"/>
  <c r="FC25"/>
  <c r="FB25"/>
  <c r="FA25"/>
  <c r="EZ25"/>
  <c r="EY25"/>
  <c r="EV25"/>
  <c r="EU25"/>
  <c r="ET25"/>
  <c r="ES25"/>
  <c r="ER25"/>
  <c r="EQ25"/>
  <c r="EP25"/>
  <c r="EO25"/>
  <c r="EN25"/>
  <c r="EM25"/>
  <c r="EL25"/>
  <c r="EK25"/>
  <c r="EJ25"/>
  <c r="EI25"/>
  <c r="EH25"/>
  <c r="EF25"/>
  <c r="EE25"/>
  <c r="ED25"/>
  <c r="EC25"/>
  <c r="EB25"/>
  <c r="EA25"/>
  <c r="DZ25"/>
  <c r="DY25"/>
  <c r="DX25"/>
  <c r="DW25"/>
  <c r="DV25"/>
  <c r="DU25"/>
  <c r="DT25"/>
  <c r="DS25"/>
  <c r="DR25"/>
  <c r="DO25"/>
  <c r="DN25"/>
  <c r="DM25"/>
  <c r="DL25"/>
  <c r="DK25"/>
  <c r="DJ25"/>
  <c r="DI25"/>
  <c r="DH25"/>
  <c r="DG25"/>
  <c r="DF25"/>
  <c r="DE25"/>
  <c r="DD25"/>
  <c r="DC25"/>
  <c r="DB25"/>
  <c r="DA25"/>
  <c r="CI25"/>
  <c r="CH25"/>
  <c r="CG25"/>
  <c r="CF25"/>
  <c r="HG25" s="1"/>
  <c r="CE25"/>
  <c r="CD25"/>
  <c r="CC25"/>
  <c r="HD25" s="1"/>
  <c r="CB25"/>
  <c r="CA25"/>
  <c r="BZ25"/>
  <c r="BY25"/>
  <c r="BX25"/>
  <c r="GY25" s="1"/>
  <c r="BW25"/>
  <c r="GX25" s="1"/>
  <c r="BV25"/>
  <c r="BU25"/>
  <c r="GV25" s="1"/>
  <c r="BS25"/>
  <c r="BR25"/>
  <c r="BQ25"/>
  <c r="BP25"/>
  <c r="BO25"/>
  <c r="BN25"/>
  <c r="BM25"/>
  <c r="BL25"/>
  <c r="BK25"/>
  <c r="BJ25"/>
  <c r="BI25"/>
  <c r="BH25"/>
  <c r="BG25"/>
  <c r="BF25"/>
  <c r="BE25"/>
  <c r="BC25"/>
  <c r="BB25"/>
  <c r="BA25"/>
  <c r="AZ25"/>
  <c r="AY25"/>
  <c r="AX25"/>
  <c r="AW25"/>
  <c r="AV25"/>
  <c r="AU25"/>
  <c r="AT25"/>
  <c r="AS25"/>
  <c r="AR25"/>
  <c r="AQ25"/>
  <c r="AP25"/>
  <c r="AO25"/>
  <c r="AM25"/>
  <c r="AL25"/>
  <c r="AK25"/>
  <c r="AJ25"/>
  <c r="AH25"/>
  <c r="AG25"/>
  <c r="AF25"/>
  <c r="AE25"/>
  <c r="AD25"/>
  <c r="AC25"/>
  <c r="AB25"/>
  <c r="AA25"/>
  <c r="Z25"/>
  <c r="Y25"/>
  <c r="X25"/>
  <c r="W25"/>
  <c r="V25"/>
  <c r="U25"/>
  <c r="T25"/>
  <c r="R25"/>
  <c r="Q25"/>
  <c r="Q71" s="1"/>
  <c r="P25"/>
  <c r="O25"/>
  <c r="N25"/>
  <c r="M25"/>
  <c r="L25"/>
  <c r="L71" s="1"/>
  <c r="K25"/>
  <c r="J25"/>
  <c r="I25"/>
  <c r="I71" s="1"/>
  <c r="H25"/>
  <c r="F25"/>
  <c r="G25" s="1"/>
  <c r="E25"/>
  <c r="D25"/>
  <c r="HZ24"/>
  <c r="HY24"/>
  <c r="HX24"/>
  <c r="HW24"/>
  <c r="HV24"/>
  <c r="HU24"/>
  <c r="HT24"/>
  <c r="HS24"/>
  <c r="HR24"/>
  <c r="HQ24"/>
  <c r="HP24"/>
  <c r="HO24"/>
  <c r="HN24"/>
  <c r="HM24"/>
  <c r="HL24"/>
  <c r="GT24"/>
  <c r="GS24"/>
  <c r="GR24"/>
  <c r="GQ24"/>
  <c r="GP24"/>
  <c r="GO24"/>
  <c r="GN24"/>
  <c r="GM24"/>
  <c r="GL24"/>
  <c r="GK24"/>
  <c r="GJ24"/>
  <c r="GI24"/>
  <c r="GH24"/>
  <c r="GG24"/>
  <c r="GF24"/>
  <c r="GC24"/>
  <c r="GB24"/>
  <c r="GA24"/>
  <c r="FZ24"/>
  <c r="FY24"/>
  <c r="FX24"/>
  <c r="FW24"/>
  <c r="FV24"/>
  <c r="FU24"/>
  <c r="FT24"/>
  <c r="FS24"/>
  <c r="FR24"/>
  <c r="FQ24"/>
  <c r="FP24"/>
  <c r="FO24"/>
  <c r="FM24"/>
  <c r="FL24"/>
  <c r="FK24"/>
  <c r="FJ24"/>
  <c r="FI24"/>
  <c r="FH24"/>
  <c r="FG24"/>
  <c r="FF24"/>
  <c r="FE24"/>
  <c r="FD24"/>
  <c r="FC24"/>
  <c r="FB24"/>
  <c r="FA24"/>
  <c r="EZ24"/>
  <c r="EY24"/>
  <c r="EV24"/>
  <c r="EU24"/>
  <c r="ET24"/>
  <c r="ES24"/>
  <c r="ER24"/>
  <c r="EQ24"/>
  <c r="EP24"/>
  <c r="EO24"/>
  <c r="EN24"/>
  <c r="EM24"/>
  <c r="EL24"/>
  <c r="EK24"/>
  <c r="EJ24"/>
  <c r="EI24"/>
  <c r="EH24"/>
  <c r="EF24"/>
  <c r="EE24"/>
  <c r="ED24"/>
  <c r="EC24"/>
  <c r="EB24"/>
  <c r="EA24"/>
  <c r="DZ24"/>
  <c r="DY24"/>
  <c r="DX24"/>
  <c r="DW24"/>
  <c r="DV24"/>
  <c r="DU24"/>
  <c r="DT24"/>
  <c r="DS24"/>
  <c r="DR24"/>
  <c r="DO24"/>
  <c r="DN24"/>
  <c r="DM24"/>
  <c r="DL24"/>
  <c r="DK24"/>
  <c r="DJ24"/>
  <c r="DI24"/>
  <c r="DH24"/>
  <c r="DG24"/>
  <c r="DF24"/>
  <c r="DE24"/>
  <c r="DD24"/>
  <c r="DC24"/>
  <c r="DB24"/>
  <c r="DA24"/>
  <c r="CI24"/>
  <c r="CH24"/>
  <c r="CG24"/>
  <c r="CF24"/>
  <c r="CE24"/>
  <c r="CD24"/>
  <c r="HE24" s="1"/>
  <c r="CC24"/>
  <c r="CB24"/>
  <c r="HC24" s="1"/>
  <c r="CA24"/>
  <c r="BZ24"/>
  <c r="BY24"/>
  <c r="BX24"/>
  <c r="BW24"/>
  <c r="BV24"/>
  <c r="GW24" s="1"/>
  <c r="BU24"/>
  <c r="BS24"/>
  <c r="BR24"/>
  <c r="BQ24"/>
  <c r="BP24"/>
  <c r="BO24"/>
  <c r="BN24"/>
  <c r="BM24"/>
  <c r="BL24"/>
  <c r="BK24"/>
  <c r="BJ24"/>
  <c r="BI24"/>
  <c r="BH24"/>
  <c r="BG24"/>
  <c r="BF24"/>
  <c r="BE24"/>
  <c r="BC24"/>
  <c r="BB24"/>
  <c r="BA24"/>
  <c r="AZ24"/>
  <c r="AY24"/>
  <c r="AX24"/>
  <c r="AW24"/>
  <c r="AV24"/>
  <c r="AU24"/>
  <c r="AT24"/>
  <c r="AS24"/>
  <c r="AR24"/>
  <c r="AQ24"/>
  <c r="AP24"/>
  <c r="AO24"/>
  <c r="AM24"/>
  <c r="AL24"/>
  <c r="AK24"/>
  <c r="AJ24"/>
  <c r="AH24"/>
  <c r="AG24"/>
  <c r="AF24"/>
  <c r="AE24"/>
  <c r="AD24"/>
  <c r="AC24"/>
  <c r="AB24"/>
  <c r="AA24"/>
  <c r="Z24"/>
  <c r="Y24"/>
  <c r="X24"/>
  <c r="W24"/>
  <c r="V24"/>
  <c r="U24"/>
  <c r="T24"/>
  <c r="R24"/>
  <c r="Q24"/>
  <c r="Q70" s="1"/>
  <c r="P24"/>
  <c r="P70" s="1"/>
  <c r="O24"/>
  <c r="N24"/>
  <c r="M24"/>
  <c r="L24"/>
  <c r="K24"/>
  <c r="J24"/>
  <c r="I24"/>
  <c r="I70" s="1"/>
  <c r="H24"/>
  <c r="H70" s="1"/>
  <c r="G24"/>
  <c r="F24"/>
  <c r="F70" s="1"/>
  <c r="E24"/>
  <c r="D24"/>
  <c r="HZ23"/>
  <c r="HY23"/>
  <c r="HX23"/>
  <c r="HW23"/>
  <c r="HV23"/>
  <c r="HU23"/>
  <c r="HT23"/>
  <c r="HS23"/>
  <c r="HR23"/>
  <c r="HQ23"/>
  <c r="HP23"/>
  <c r="HO23"/>
  <c r="HN23"/>
  <c r="HM23"/>
  <c r="HL23"/>
  <c r="GT23"/>
  <c r="GS23"/>
  <c r="GR23"/>
  <c r="GQ23"/>
  <c r="GP23"/>
  <c r="GO23"/>
  <c r="GN23"/>
  <c r="GM23"/>
  <c r="GL23"/>
  <c r="GK23"/>
  <c r="GJ23"/>
  <c r="GI23"/>
  <c r="GH23"/>
  <c r="GG23"/>
  <c r="GF23"/>
  <c r="GC23"/>
  <c r="GB23"/>
  <c r="GA23"/>
  <c r="FZ23"/>
  <c r="FY23"/>
  <c r="FX23"/>
  <c r="FW23"/>
  <c r="FV23"/>
  <c r="FU23"/>
  <c r="FT23"/>
  <c r="FS23"/>
  <c r="FR23"/>
  <c r="FQ23"/>
  <c r="FP23"/>
  <c r="FO23"/>
  <c r="FM23"/>
  <c r="FL23"/>
  <c r="FK23"/>
  <c r="FJ23"/>
  <c r="FI23"/>
  <c r="FH23"/>
  <c r="FG23"/>
  <c r="FF23"/>
  <c r="FE23"/>
  <c r="FD23"/>
  <c r="FC23"/>
  <c r="FB23"/>
  <c r="FA23"/>
  <c r="EZ23"/>
  <c r="EY23"/>
  <c r="EV23"/>
  <c r="EU23"/>
  <c r="ET23"/>
  <c r="ES23"/>
  <c r="ER23"/>
  <c r="EQ23"/>
  <c r="EP23"/>
  <c r="EO23"/>
  <c r="EN23"/>
  <c r="EM23"/>
  <c r="EL23"/>
  <c r="EK23"/>
  <c r="EJ23"/>
  <c r="EI23"/>
  <c r="EH23"/>
  <c r="EF23"/>
  <c r="EE23"/>
  <c r="ED23"/>
  <c r="EC23"/>
  <c r="EB23"/>
  <c r="EA23"/>
  <c r="DZ23"/>
  <c r="DY23"/>
  <c r="DX23"/>
  <c r="DW23"/>
  <c r="DV23"/>
  <c r="DU23"/>
  <c r="DT23"/>
  <c r="DS23"/>
  <c r="DR23"/>
  <c r="DO23"/>
  <c r="DN23"/>
  <c r="DM23"/>
  <c r="DL23"/>
  <c r="DK23"/>
  <c r="DJ23"/>
  <c r="DI23"/>
  <c r="DH23"/>
  <c r="DG23"/>
  <c r="DF23"/>
  <c r="DE23"/>
  <c r="DD23"/>
  <c r="DC23"/>
  <c r="DB23"/>
  <c r="DA23"/>
  <c r="CI23"/>
  <c r="CH23"/>
  <c r="CG23"/>
  <c r="HH23" s="1"/>
  <c r="CF23"/>
  <c r="CE23"/>
  <c r="CD23"/>
  <c r="CC23"/>
  <c r="CB23"/>
  <c r="HC23" s="1"/>
  <c r="CA23"/>
  <c r="BZ23"/>
  <c r="BY23"/>
  <c r="GZ23" s="1"/>
  <c r="BX23"/>
  <c r="BW23"/>
  <c r="BV23"/>
  <c r="GW23" s="1"/>
  <c r="BU23"/>
  <c r="BS23"/>
  <c r="BR23"/>
  <c r="BQ23"/>
  <c r="BP23"/>
  <c r="BO23"/>
  <c r="BN23"/>
  <c r="BM23"/>
  <c r="BL23"/>
  <c r="BK23"/>
  <c r="BJ23"/>
  <c r="BI23"/>
  <c r="BH23"/>
  <c r="BG23"/>
  <c r="BF23"/>
  <c r="BE23"/>
  <c r="BC23"/>
  <c r="BB23"/>
  <c r="BA23"/>
  <c r="AZ23"/>
  <c r="AY23"/>
  <c r="AX23"/>
  <c r="AW23"/>
  <c r="AV23"/>
  <c r="AU23"/>
  <c r="AT23"/>
  <c r="AS23"/>
  <c r="AR23"/>
  <c r="AQ23"/>
  <c r="AP23"/>
  <c r="AO23"/>
  <c r="AM23"/>
  <c r="AK23"/>
  <c r="AJ23"/>
  <c r="AH23"/>
  <c r="AG23"/>
  <c r="AF23"/>
  <c r="AE23"/>
  <c r="AD23"/>
  <c r="AC23"/>
  <c r="AB23"/>
  <c r="AA23"/>
  <c r="Z23"/>
  <c r="Y23"/>
  <c r="X23"/>
  <c r="W23"/>
  <c r="V23"/>
  <c r="U23"/>
  <c r="T23"/>
  <c r="R23"/>
  <c r="Q23"/>
  <c r="P23"/>
  <c r="P69" s="1"/>
  <c r="O23"/>
  <c r="O69" s="1"/>
  <c r="N23"/>
  <c r="M23"/>
  <c r="L23"/>
  <c r="K23"/>
  <c r="J23"/>
  <c r="I23"/>
  <c r="H23"/>
  <c r="H69" s="1"/>
  <c r="G23"/>
  <c r="G69" s="1"/>
  <c r="F23"/>
  <c r="E23"/>
  <c r="D23"/>
  <c r="HY22"/>
  <c r="HW22"/>
  <c r="HU22"/>
  <c r="HS22"/>
  <c r="HR22" s="1"/>
  <c r="HQ22"/>
  <c r="AL23" l="1"/>
  <c r="GV24"/>
  <c r="HD24"/>
  <c r="M71"/>
  <c r="HH27"/>
  <c r="N70"/>
  <c r="HC27"/>
  <c r="HF25"/>
  <c r="F72"/>
  <c r="N72"/>
  <c r="GX26"/>
  <c r="HF26"/>
  <c r="F73"/>
  <c r="O73"/>
  <c r="HB27"/>
  <c r="HE23"/>
  <c r="E71"/>
  <c r="E72"/>
  <c r="M72"/>
  <c r="HB23"/>
  <c r="HJ23"/>
  <c r="J72"/>
  <c r="R72"/>
  <c r="F69"/>
  <c r="N69"/>
  <c r="CV23"/>
  <c r="CM23"/>
  <c r="CM24"/>
  <c r="CU24"/>
  <c r="CV26"/>
  <c r="HZ22"/>
  <c r="L69"/>
  <c r="CK23"/>
  <c r="CS23"/>
  <c r="CM25"/>
  <c r="CU25"/>
  <c r="CL25"/>
  <c r="CT25"/>
  <c r="CL26"/>
  <c r="CT26"/>
  <c r="N73"/>
  <c r="CN23"/>
  <c r="K70"/>
  <c r="CK24"/>
  <c r="CS24"/>
  <c r="CK26"/>
  <c r="CS26"/>
  <c r="CU23"/>
  <c r="HX22"/>
  <c r="J70"/>
  <c r="R70"/>
  <c r="HB24"/>
  <c r="HJ24"/>
  <c r="K71"/>
  <c r="CR25"/>
  <c r="CR26"/>
  <c r="HT22"/>
  <c r="I69"/>
  <c r="Q69"/>
  <c r="CQ23"/>
  <c r="CY23"/>
  <c r="HA23"/>
  <c r="HI23"/>
  <c r="CP24"/>
  <c r="CX24"/>
  <c r="CQ25"/>
  <c r="CY25"/>
  <c r="CQ26"/>
  <c r="CY26"/>
  <c r="K73"/>
  <c r="CM27"/>
  <c r="CU27"/>
  <c r="GX27"/>
  <c r="HF27"/>
  <c r="CO24"/>
  <c r="CW24"/>
  <c r="CP25"/>
  <c r="CX25"/>
  <c r="CP26"/>
  <c r="CX26"/>
  <c r="CL27"/>
  <c r="CT27"/>
  <c r="GW27"/>
  <c r="HE27"/>
  <c r="DO44"/>
  <c r="GY24"/>
  <c r="HG24"/>
  <c r="P71"/>
  <c r="CO25"/>
  <c r="CW25"/>
  <c r="GZ26"/>
  <c r="HH26"/>
  <c r="I73"/>
  <c r="Q73"/>
  <c r="G71"/>
  <c r="CN25"/>
  <c r="G73"/>
  <c r="CN27"/>
  <c r="CX23"/>
  <c r="CR27"/>
  <c r="CW23"/>
  <c r="GY23"/>
  <c r="HG23"/>
  <c r="CQ24"/>
  <c r="CY24"/>
  <c r="HA24"/>
  <c r="HI24"/>
  <c r="CK25"/>
  <c r="CS25"/>
  <c r="HC25"/>
  <c r="CM26"/>
  <c r="CU26"/>
  <c r="GW26"/>
  <c r="HE26"/>
  <c r="CQ27"/>
  <c r="GW25"/>
  <c r="CP23"/>
  <c r="CO23"/>
  <c r="GX23"/>
  <c r="HF23"/>
  <c r="GZ24"/>
  <c r="HH24"/>
  <c r="J71"/>
  <c r="R71"/>
  <c r="HB25"/>
  <c r="HJ25"/>
  <c r="L72"/>
  <c r="GV26"/>
  <c r="HD26"/>
  <c r="CP27"/>
  <c r="CX27"/>
  <c r="HE25"/>
  <c r="CR24"/>
  <c r="CN26"/>
  <c r="H73"/>
  <c r="E69"/>
  <c r="M69"/>
  <c r="G70"/>
  <c r="O70"/>
  <c r="HA25"/>
  <c r="HI25"/>
  <c r="K72"/>
  <c r="HC26"/>
  <c r="E73"/>
  <c r="M73"/>
  <c r="CO27"/>
  <c r="CW27"/>
  <c r="DO27"/>
  <c r="HV22"/>
  <c r="CL23"/>
  <c r="CT23"/>
  <c r="GV23"/>
  <c r="HD23"/>
  <c r="CN24"/>
  <c r="CV24"/>
  <c r="GX24"/>
  <c r="HF24"/>
  <c r="H71"/>
  <c r="GZ25"/>
  <c r="HH25"/>
  <c r="HB26"/>
  <c r="HJ26"/>
  <c r="L73"/>
  <c r="CV27"/>
  <c r="HG26"/>
  <c r="K69"/>
  <c r="E70"/>
  <c r="M70"/>
  <c r="O71"/>
  <c r="I72"/>
  <c r="Q72"/>
  <c r="HA26"/>
  <c r="HI26"/>
  <c r="J69"/>
  <c r="R69"/>
  <c r="CR23"/>
  <c r="L70"/>
  <c r="CL24"/>
  <c r="CT24"/>
  <c r="F71"/>
  <c r="N71"/>
  <c r="CV25"/>
  <c r="H72"/>
  <c r="P72"/>
  <c r="J73"/>
  <c r="R27"/>
  <c r="BS27"/>
  <c r="HO22"/>
  <c r="HP22" s="1"/>
  <c r="HM22"/>
  <c r="HL22" s="1"/>
  <c r="GS22"/>
  <c r="GR22" s="1"/>
  <c r="GQ22"/>
  <c r="GO22"/>
  <c r="GM22"/>
  <c r="GK22"/>
  <c r="GJ22" s="1"/>
  <c r="GI22"/>
  <c r="GH22" s="1"/>
  <c r="GG22"/>
  <c r="GF22" s="1"/>
  <c r="GC22"/>
  <c r="GB22"/>
  <c r="GA22"/>
  <c r="FZ22"/>
  <c r="FY22"/>
  <c r="FX22"/>
  <c r="FW22"/>
  <c r="FV22"/>
  <c r="FU22"/>
  <c r="FT22"/>
  <c r="FS22"/>
  <c r="FR22"/>
  <c r="FQ22"/>
  <c r="FP22"/>
  <c r="FO22"/>
  <c r="FM22" s="1"/>
  <c r="FL22"/>
  <c r="FJ22"/>
  <c r="FH22"/>
  <c r="FG22" s="1"/>
  <c r="FF22"/>
  <c r="FD22"/>
  <c r="GN22" l="1"/>
  <c r="FE22"/>
  <c r="GL22"/>
  <c r="HN22"/>
  <c r="FK22"/>
  <c r="FI22"/>
  <c r="GP22"/>
  <c r="R73"/>
  <c r="CI27"/>
  <c r="FB22"/>
  <c r="FA22" s="1"/>
  <c r="EZ22"/>
  <c r="EY22" s="1"/>
  <c r="EV22"/>
  <c r="EU22"/>
  <c r="ET22"/>
  <c r="ES22"/>
  <c r="ER22"/>
  <c r="EQ22"/>
  <c r="EP22"/>
  <c r="EO22"/>
  <c r="EN22"/>
  <c r="EM22"/>
  <c r="EL22"/>
  <c r="EK22"/>
  <c r="EJ22"/>
  <c r="EI22"/>
  <c r="EH22"/>
  <c r="EE22"/>
  <c r="EF22" s="1"/>
  <c r="EC22"/>
  <c r="ED22" s="1"/>
  <c r="EA22"/>
  <c r="DZ22" s="1"/>
  <c r="DY22"/>
  <c r="DW22"/>
  <c r="DU22"/>
  <c r="DS22"/>
  <c r="DR22" s="1"/>
  <c r="DN22"/>
  <c r="DM22" s="1"/>
  <c r="DL22"/>
  <c r="DK22"/>
  <c r="DJ22"/>
  <c r="DH22"/>
  <c r="DF22"/>
  <c r="DD22"/>
  <c r="DB22"/>
  <c r="DA22" s="1"/>
  <c r="CH22"/>
  <c r="CF22"/>
  <c r="HG22" s="1"/>
  <c r="CD22"/>
  <c r="CB22"/>
  <c r="BZ22"/>
  <c r="BX22"/>
  <c r="BV22"/>
  <c r="BR22"/>
  <c r="BP22"/>
  <c r="BN22"/>
  <c r="BL22"/>
  <c r="BJ22"/>
  <c r="BH22"/>
  <c r="BF22"/>
  <c r="BE22" s="1"/>
  <c r="BC22"/>
  <c r="BB22"/>
  <c r="AZ22"/>
  <c r="AX22"/>
  <c r="AW22" s="1"/>
  <c r="AV22"/>
  <c r="AU22"/>
  <c r="AT22"/>
  <c r="AS22"/>
  <c r="AR22"/>
  <c r="AP22"/>
  <c r="AQ22" s="1"/>
  <c r="AO22"/>
  <c r="AM22"/>
  <c r="AL22"/>
  <c r="AK22"/>
  <c r="AJ22"/>
  <c r="AG22"/>
  <c r="AH22" s="1"/>
  <c r="AE22"/>
  <c r="AC22"/>
  <c r="AA22"/>
  <c r="Y22"/>
  <c r="W22"/>
  <c r="U22"/>
  <c r="T22" s="1"/>
  <c r="Q22"/>
  <c r="P22" s="1"/>
  <c r="P68" s="1"/>
  <c r="O22"/>
  <c r="M22"/>
  <c r="N22" s="1"/>
  <c r="N68" s="1"/>
  <c r="K22"/>
  <c r="J22" s="1"/>
  <c r="J68" s="1"/>
  <c r="I22"/>
  <c r="G22"/>
  <c r="E22"/>
  <c r="HZ21"/>
  <c r="HY21"/>
  <c r="HX21"/>
  <c r="HW21"/>
  <c r="HV21"/>
  <c r="HU21"/>
  <c r="HT21"/>
  <c r="HS21"/>
  <c r="HR21"/>
  <c r="HQ21"/>
  <c r="HP21"/>
  <c r="HO21"/>
  <c r="HN21"/>
  <c r="HM21"/>
  <c r="HL21"/>
  <c r="GT21"/>
  <c r="GS21"/>
  <c r="GR21"/>
  <c r="GQ21"/>
  <c r="GP21"/>
  <c r="GO21"/>
  <c r="GN21"/>
  <c r="GM21"/>
  <c r="GL21"/>
  <c r="GK21"/>
  <c r="GJ21"/>
  <c r="GI21"/>
  <c r="GH21"/>
  <c r="GG21"/>
  <c r="GF21"/>
  <c r="GC21"/>
  <c r="GB21"/>
  <c r="GA21"/>
  <c r="FZ21"/>
  <c r="FY21"/>
  <c r="FX21"/>
  <c r="FW21"/>
  <c r="FV21"/>
  <c r="FU21"/>
  <c r="FT21"/>
  <c r="FS21"/>
  <c r="FR21"/>
  <c r="FQ21"/>
  <c r="FP21"/>
  <c r="FO21"/>
  <c r="FM21"/>
  <c r="FL21"/>
  <c r="FK21"/>
  <c r="FJ21"/>
  <c r="FI21"/>
  <c r="FH21"/>
  <c r="FG21"/>
  <c r="FF21"/>
  <c r="FE21"/>
  <c r="FD21"/>
  <c r="FC21"/>
  <c r="FB21"/>
  <c r="FA21"/>
  <c r="EZ21"/>
  <c r="EY21"/>
  <c r="EV21"/>
  <c r="EU21"/>
  <c r="ET21"/>
  <c r="ES21"/>
  <c r="ER21"/>
  <c r="EQ21"/>
  <c r="EP21"/>
  <c r="EO21"/>
  <c r="EN21"/>
  <c r="EM21"/>
  <c r="EL21"/>
  <c r="EK21"/>
  <c r="EJ21"/>
  <c r="EI21"/>
  <c r="EH21"/>
  <c r="EF21"/>
  <c r="EE21"/>
  <c r="ED21"/>
  <c r="EC21"/>
  <c r="EB21"/>
  <c r="EA21"/>
  <c r="DZ21"/>
  <c r="DY21"/>
  <c r="DX21"/>
  <c r="DW21"/>
  <c r="DV21"/>
  <c r="DU21"/>
  <c r="DT21"/>
  <c r="DS21"/>
  <c r="DR21"/>
  <c r="DO21"/>
  <c r="DN21"/>
  <c r="DM21"/>
  <c r="DL21"/>
  <c r="DK21"/>
  <c r="DJ21"/>
  <c r="DI21"/>
  <c r="DH21"/>
  <c r="DG21"/>
  <c r="DF21"/>
  <c r="DE21"/>
  <c r="DD21"/>
  <c r="DC21"/>
  <c r="DB21"/>
  <c r="DA21"/>
  <c r="CI21"/>
  <c r="CH21"/>
  <c r="CG21"/>
  <c r="CF21"/>
  <c r="HG21" s="1"/>
  <c r="CE21"/>
  <c r="CD21"/>
  <c r="HE21" s="1"/>
  <c r="CC21"/>
  <c r="CB21"/>
  <c r="CA21"/>
  <c r="BZ21"/>
  <c r="BY21"/>
  <c r="BX21"/>
  <c r="GY21" s="1"/>
  <c r="BW21"/>
  <c r="BV21"/>
  <c r="GW21" s="1"/>
  <c r="BU21"/>
  <c r="BS21"/>
  <c r="BR21"/>
  <c r="BQ21"/>
  <c r="BP21"/>
  <c r="BO21"/>
  <c r="BN21"/>
  <c r="BM21"/>
  <c r="BL21"/>
  <c r="BK21"/>
  <c r="BJ21"/>
  <c r="BI21"/>
  <c r="BH21"/>
  <c r="BG21"/>
  <c r="BF21"/>
  <c r="BE21"/>
  <c r="BC21"/>
  <c r="BB21"/>
  <c r="BA21"/>
  <c r="AZ21"/>
  <c r="AY21"/>
  <c r="AX21"/>
  <c r="AW21"/>
  <c r="AV21"/>
  <c r="AU21"/>
  <c r="AT21"/>
  <c r="AS21"/>
  <c r="AR21"/>
  <c r="AQ21"/>
  <c r="AP21"/>
  <c r="AO21"/>
  <c r="AM21"/>
  <c r="AL21"/>
  <c r="AK21"/>
  <c r="AJ21"/>
  <c r="AH21"/>
  <c r="AG21"/>
  <c r="AF21"/>
  <c r="AE21"/>
  <c r="AD21"/>
  <c r="AC21"/>
  <c r="AB21"/>
  <c r="AA21"/>
  <c r="Y21"/>
  <c r="X21"/>
  <c r="W21"/>
  <c r="V21"/>
  <c r="U21"/>
  <c r="T21"/>
  <c r="R21"/>
  <c r="Q21"/>
  <c r="P21"/>
  <c r="O21"/>
  <c r="N21"/>
  <c r="N67" s="1"/>
  <c r="M21"/>
  <c r="L21"/>
  <c r="K21"/>
  <c r="J21"/>
  <c r="I21"/>
  <c r="H21"/>
  <c r="G21"/>
  <c r="F21"/>
  <c r="F67" s="1"/>
  <c r="E21"/>
  <c r="D21"/>
  <c r="HZ20"/>
  <c r="HY20"/>
  <c r="HX20"/>
  <c r="HW20"/>
  <c r="HV20"/>
  <c r="HU20"/>
  <c r="HT20"/>
  <c r="HS20"/>
  <c r="HR20"/>
  <c r="HQ20"/>
  <c r="HP20"/>
  <c r="HO20"/>
  <c r="HN20"/>
  <c r="HM20"/>
  <c r="HL20"/>
  <c r="GT20"/>
  <c r="GS20"/>
  <c r="GR20"/>
  <c r="GQ20"/>
  <c r="GP20"/>
  <c r="GO20"/>
  <c r="GN20"/>
  <c r="GM20"/>
  <c r="GL20"/>
  <c r="GK20"/>
  <c r="GJ20"/>
  <c r="GI20"/>
  <c r="GH20"/>
  <c r="GG20"/>
  <c r="GF20"/>
  <c r="GC20"/>
  <c r="GB20"/>
  <c r="GA20"/>
  <c r="FZ20"/>
  <c r="FY20"/>
  <c r="FX20"/>
  <c r="FW20"/>
  <c r="FV20"/>
  <c r="FU20"/>
  <c r="FT20"/>
  <c r="FS20"/>
  <c r="FR20"/>
  <c r="FQ20"/>
  <c r="FP20"/>
  <c r="FO20"/>
  <c r="FM20"/>
  <c r="FL20"/>
  <c r="FK20"/>
  <c r="FJ20"/>
  <c r="FI20"/>
  <c r="FH20"/>
  <c r="FG20"/>
  <c r="FF20"/>
  <c r="FE20"/>
  <c r="FD20"/>
  <c r="FC20"/>
  <c r="FB20"/>
  <c r="FA20"/>
  <c r="EZ20"/>
  <c r="EY20"/>
  <c r="EV20"/>
  <c r="EU20"/>
  <c r="ET20"/>
  <c r="ES20"/>
  <c r="ER20"/>
  <c r="EQ20"/>
  <c r="EP20"/>
  <c r="EO20"/>
  <c r="EN20"/>
  <c r="EM20"/>
  <c r="EL20"/>
  <c r="EK20"/>
  <c r="EJ20"/>
  <c r="EI20"/>
  <c r="EH20"/>
  <c r="EF20"/>
  <c r="EE20"/>
  <c r="ED20"/>
  <c r="EC20"/>
  <c r="EB20"/>
  <c r="EA20"/>
  <c r="DZ20"/>
  <c r="DY20"/>
  <c r="DX20"/>
  <c r="DW20"/>
  <c r="DV20"/>
  <c r="DU20"/>
  <c r="DT20"/>
  <c r="DS20"/>
  <c r="DR20"/>
  <c r="DO20"/>
  <c r="DN20"/>
  <c r="DM20"/>
  <c r="DL20"/>
  <c r="DK20"/>
  <c r="DJ20"/>
  <c r="DI20"/>
  <c r="DH20"/>
  <c r="DG20"/>
  <c r="DF20"/>
  <c r="CI20"/>
  <c r="CH20"/>
  <c r="CG20"/>
  <c r="CF20"/>
  <c r="HG20" s="1"/>
  <c r="CE20"/>
  <c r="HF20" s="1"/>
  <c r="CD20"/>
  <c r="CC20"/>
  <c r="CB20"/>
  <c r="CA20"/>
  <c r="BZ20"/>
  <c r="BY20"/>
  <c r="DE20" s="1"/>
  <c r="BX20"/>
  <c r="DD20" s="1"/>
  <c r="BW20"/>
  <c r="DC20" s="1"/>
  <c r="BV20"/>
  <c r="DB20" s="1"/>
  <c r="BU20"/>
  <c r="DA20" s="1"/>
  <c r="BS20"/>
  <c r="BR20"/>
  <c r="BQ20"/>
  <c r="BP20"/>
  <c r="BO20"/>
  <c r="BN20"/>
  <c r="BM20"/>
  <c r="BL20"/>
  <c r="BK20"/>
  <c r="BJ20"/>
  <c r="BC20"/>
  <c r="BB20"/>
  <c r="BA20"/>
  <c r="AZ20"/>
  <c r="AY20"/>
  <c r="AX20"/>
  <c r="AW20"/>
  <c r="AV20"/>
  <c r="AU20"/>
  <c r="AT20"/>
  <c r="AS20"/>
  <c r="AR20"/>
  <c r="AQ20"/>
  <c r="AP20"/>
  <c r="AO20"/>
  <c r="AM20"/>
  <c r="AL20"/>
  <c r="AK20"/>
  <c r="AJ20"/>
  <c r="AH20"/>
  <c r="AG20"/>
  <c r="AF20"/>
  <c r="AE20"/>
  <c r="AD20"/>
  <c r="AC20"/>
  <c r="AB20"/>
  <c r="AA20"/>
  <c r="Z20"/>
  <c r="Y20"/>
  <c r="X20"/>
  <c r="BI20" s="1"/>
  <c r="W20"/>
  <c r="BH20" s="1"/>
  <c r="V20"/>
  <c r="BG20" s="1"/>
  <c r="U20"/>
  <c r="BF20" s="1"/>
  <c r="T20"/>
  <c r="BE20" s="1"/>
  <c r="R20"/>
  <c r="Q20"/>
  <c r="P20"/>
  <c r="O20"/>
  <c r="O66" s="1"/>
  <c r="N20"/>
  <c r="M20"/>
  <c r="L20"/>
  <c r="L66" s="1"/>
  <c r="K20"/>
  <c r="J20"/>
  <c r="I20"/>
  <c r="H20"/>
  <c r="G20"/>
  <c r="G66" s="1"/>
  <c r="F20"/>
  <c r="E20"/>
  <c r="D20"/>
  <c r="HZ19"/>
  <c r="HY19"/>
  <c r="HX19"/>
  <c r="HW19"/>
  <c r="HV19"/>
  <c r="HU19"/>
  <c r="HT19"/>
  <c r="HS19"/>
  <c r="HR19"/>
  <c r="HQ19"/>
  <c r="HP19"/>
  <c r="HO19"/>
  <c r="HN19"/>
  <c r="HM19"/>
  <c r="HL19"/>
  <c r="GT19"/>
  <c r="GS19"/>
  <c r="GR19"/>
  <c r="GQ19"/>
  <c r="GP19"/>
  <c r="GO19"/>
  <c r="GN19"/>
  <c r="GM19"/>
  <c r="GL19"/>
  <c r="GK19"/>
  <c r="GJ19"/>
  <c r="GI19"/>
  <c r="GH19"/>
  <c r="GG19"/>
  <c r="GF19"/>
  <c r="GC19"/>
  <c r="GB19"/>
  <c r="GA19"/>
  <c r="FZ19"/>
  <c r="FY19"/>
  <c r="FX19"/>
  <c r="FW19"/>
  <c r="FV19"/>
  <c r="FU19"/>
  <c r="FT19"/>
  <c r="FS19"/>
  <c r="FR19"/>
  <c r="FQ19"/>
  <c r="FP19"/>
  <c r="FO19"/>
  <c r="FM19"/>
  <c r="FL19"/>
  <c r="FK19"/>
  <c r="FJ19"/>
  <c r="FI19"/>
  <c r="FH19"/>
  <c r="FG19"/>
  <c r="FF19"/>
  <c r="FE19"/>
  <c r="FD19"/>
  <c r="FC19"/>
  <c r="FB19"/>
  <c r="FA19"/>
  <c r="EZ19"/>
  <c r="EY19"/>
  <c r="EV19"/>
  <c r="EU19"/>
  <c r="ET19"/>
  <c r="ES19"/>
  <c r="ER19"/>
  <c r="EQ19"/>
  <c r="EP19"/>
  <c r="EO19"/>
  <c r="EN19"/>
  <c r="EM19"/>
  <c r="EL19"/>
  <c r="EK19"/>
  <c r="EJ19"/>
  <c r="EI19"/>
  <c r="EH19"/>
  <c r="EF19"/>
  <c r="EE19"/>
  <c r="ED19"/>
  <c r="EC19"/>
  <c r="EB19"/>
  <c r="EA19"/>
  <c r="DZ19"/>
  <c r="DY19"/>
  <c r="DX19"/>
  <c r="DW19"/>
  <c r="DV19"/>
  <c r="DU19"/>
  <c r="DT19"/>
  <c r="DS19"/>
  <c r="DR19"/>
  <c r="DO19"/>
  <c r="DN19"/>
  <c r="DM19"/>
  <c r="DL19"/>
  <c r="DK19"/>
  <c r="DJ19"/>
  <c r="DI19"/>
  <c r="DH19"/>
  <c r="DG19"/>
  <c r="DF19"/>
  <c r="DE19"/>
  <c r="DD19"/>
  <c r="DC19"/>
  <c r="DB19"/>
  <c r="DA19"/>
  <c r="CI19"/>
  <c r="CH19"/>
  <c r="CG19"/>
  <c r="CF19"/>
  <c r="CE19"/>
  <c r="CD19"/>
  <c r="CC19"/>
  <c r="HD19" s="1"/>
  <c r="CB19"/>
  <c r="CA19"/>
  <c r="BZ19"/>
  <c r="BY19"/>
  <c r="BX19"/>
  <c r="BW19"/>
  <c r="BV19"/>
  <c r="BU19"/>
  <c r="GV19" s="1"/>
  <c r="BS19"/>
  <c r="BR19"/>
  <c r="BQ19"/>
  <c r="BP19"/>
  <c r="BO19"/>
  <c r="BN19"/>
  <c r="BM19"/>
  <c r="BL19"/>
  <c r="BK19"/>
  <c r="BJ19"/>
  <c r="BI19"/>
  <c r="BH19"/>
  <c r="BG19"/>
  <c r="BF19"/>
  <c r="BE19"/>
  <c r="BC19"/>
  <c r="BB19"/>
  <c r="BA19"/>
  <c r="AZ19"/>
  <c r="AY19"/>
  <c r="AX19"/>
  <c r="AW19"/>
  <c r="AV19"/>
  <c r="AU19"/>
  <c r="AT19"/>
  <c r="AS19"/>
  <c r="AR19"/>
  <c r="AQ19"/>
  <c r="AP19"/>
  <c r="AO19"/>
  <c r="AM19"/>
  <c r="AL19"/>
  <c r="AK19"/>
  <c r="AJ19"/>
  <c r="AH19"/>
  <c r="AG19"/>
  <c r="AF19"/>
  <c r="CW19" s="1"/>
  <c r="AE19"/>
  <c r="AD19"/>
  <c r="AC19"/>
  <c r="AB19"/>
  <c r="AA19"/>
  <c r="Z19"/>
  <c r="Y19"/>
  <c r="X19"/>
  <c r="CO19" s="1"/>
  <c r="W19"/>
  <c r="V19"/>
  <c r="U19"/>
  <c r="T19"/>
  <c r="R19"/>
  <c r="Q19"/>
  <c r="Q65" s="1"/>
  <c r="P19"/>
  <c r="O19"/>
  <c r="O65" s="1"/>
  <c r="N19"/>
  <c r="M19"/>
  <c r="L19"/>
  <c r="K19"/>
  <c r="J19"/>
  <c r="I19"/>
  <c r="I65" s="1"/>
  <c r="H19"/>
  <c r="G19"/>
  <c r="G65" s="1"/>
  <c r="F19"/>
  <c r="E19"/>
  <c r="D19"/>
  <c r="CK19" s="1"/>
  <c r="HZ18"/>
  <c r="HY18"/>
  <c r="HX18"/>
  <c r="HW18"/>
  <c r="HV18"/>
  <c r="HU18"/>
  <c r="HT18"/>
  <c r="HS18"/>
  <c r="HR18"/>
  <c r="HQ18"/>
  <c r="HP18"/>
  <c r="HO18"/>
  <c r="HN18"/>
  <c r="HM18"/>
  <c r="HL18"/>
  <c r="GT18"/>
  <c r="GS18"/>
  <c r="GR18"/>
  <c r="GQ18"/>
  <c r="GP18"/>
  <c r="GO18"/>
  <c r="GN18"/>
  <c r="GM18"/>
  <c r="GL18"/>
  <c r="GK18"/>
  <c r="GJ18"/>
  <c r="GI18"/>
  <c r="GH18"/>
  <c r="GG18"/>
  <c r="GF18"/>
  <c r="GC18"/>
  <c r="GB18"/>
  <c r="GA18"/>
  <c r="FZ18"/>
  <c r="FY18"/>
  <c r="FX18"/>
  <c r="FW18"/>
  <c r="FV18"/>
  <c r="FU18"/>
  <c r="FT18"/>
  <c r="FS18"/>
  <c r="FR18"/>
  <c r="FQ18"/>
  <c r="FP18"/>
  <c r="FO18"/>
  <c r="FM18"/>
  <c r="FL18"/>
  <c r="FK18"/>
  <c r="FJ18"/>
  <c r="FI18"/>
  <c r="FH18"/>
  <c r="FG18"/>
  <c r="FF18"/>
  <c r="FE18"/>
  <c r="FD18"/>
  <c r="FC18"/>
  <c r="FB18"/>
  <c r="FA18"/>
  <c r="EZ18"/>
  <c r="EY18"/>
  <c r="EV18"/>
  <c r="EU18"/>
  <c r="ET18"/>
  <c r="ES18"/>
  <c r="ER18"/>
  <c r="EQ18"/>
  <c r="EP18"/>
  <c r="EO18"/>
  <c r="EN18"/>
  <c r="EM18"/>
  <c r="EL18"/>
  <c r="EK18"/>
  <c r="EJ18"/>
  <c r="EI18"/>
  <c r="EH18"/>
  <c r="EF18"/>
  <c r="EE18"/>
  <c r="ED18"/>
  <c r="EC18"/>
  <c r="EB18"/>
  <c r="EA18"/>
  <c r="DZ18"/>
  <c r="DY18"/>
  <c r="DX18"/>
  <c r="DW18"/>
  <c r="DV18"/>
  <c r="DU18"/>
  <c r="DT18"/>
  <c r="DS18"/>
  <c r="DR18"/>
  <c r="DO18"/>
  <c r="DN18"/>
  <c r="DM18"/>
  <c r="DL18"/>
  <c r="DK18"/>
  <c r="DJ18"/>
  <c r="DI18"/>
  <c r="DH18"/>
  <c r="DG18"/>
  <c r="DF18"/>
  <c r="DE18"/>
  <c r="DD18"/>
  <c r="DC18"/>
  <c r="DB18"/>
  <c r="DA18"/>
  <c r="CI18"/>
  <c r="CH18"/>
  <c r="HI18" s="1"/>
  <c r="CG18"/>
  <c r="CF18"/>
  <c r="CE18"/>
  <c r="CD18"/>
  <c r="CC18"/>
  <c r="HD18" s="1"/>
  <c r="CB18"/>
  <c r="CA18"/>
  <c r="BZ18"/>
  <c r="HA18" s="1"/>
  <c r="BY18"/>
  <c r="BX18"/>
  <c r="BW18"/>
  <c r="BV18"/>
  <c r="BU18"/>
  <c r="GV18" s="1"/>
  <c r="BS18"/>
  <c r="BR18"/>
  <c r="BQ18"/>
  <c r="BP18"/>
  <c r="BO18"/>
  <c r="BN18"/>
  <c r="BM18"/>
  <c r="BL18"/>
  <c r="BK18"/>
  <c r="BJ18"/>
  <c r="BI18"/>
  <c r="BH18"/>
  <c r="BG18"/>
  <c r="BF18"/>
  <c r="BE18"/>
  <c r="BC18"/>
  <c r="BB18"/>
  <c r="BA18"/>
  <c r="AZ18"/>
  <c r="AY18"/>
  <c r="AX18"/>
  <c r="AW18"/>
  <c r="AV18"/>
  <c r="AU18"/>
  <c r="AT18"/>
  <c r="AS18"/>
  <c r="AR18"/>
  <c r="AQ18"/>
  <c r="AP18"/>
  <c r="AO18"/>
  <c r="AM18"/>
  <c r="AL18"/>
  <c r="AK18"/>
  <c r="AJ18"/>
  <c r="AH18"/>
  <c r="AG18"/>
  <c r="AF18"/>
  <c r="AE18"/>
  <c r="AD18"/>
  <c r="AC18"/>
  <c r="AB18"/>
  <c r="AA18"/>
  <c r="Y18"/>
  <c r="X18"/>
  <c r="W18"/>
  <c r="V18"/>
  <c r="U18"/>
  <c r="T18"/>
  <c r="R18"/>
  <c r="Q18"/>
  <c r="P18"/>
  <c r="P64" s="1"/>
  <c r="O18"/>
  <c r="N18"/>
  <c r="M18"/>
  <c r="L18"/>
  <c r="K18"/>
  <c r="K64" s="1"/>
  <c r="J18"/>
  <c r="I18"/>
  <c r="H18"/>
  <c r="H64" s="1"/>
  <c r="G18"/>
  <c r="F18"/>
  <c r="E18"/>
  <c r="D18"/>
  <c r="HZ17"/>
  <c r="HY17"/>
  <c r="HX17"/>
  <c r="HW17"/>
  <c r="HV17"/>
  <c r="HU17"/>
  <c r="HT17"/>
  <c r="HS17"/>
  <c r="HR17"/>
  <c r="HQ17"/>
  <c r="HP17"/>
  <c r="HO17"/>
  <c r="HN17"/>
  <c r="HM17"/>
  <c r="HL17"/>
  <c r="GT17"/>
  <c r="GS17"/>
  <c r="GR17"/>
  <c r="GQ17"/>
  <c r="GP17"/>
  <c r="GO17"/>
  <c r="GN17"/>
  <c r="GM17"/>
  <c r="GL17"/>
  <c r="GK17"/>
  <c r="GJ17"/>
  <c r="GI17"/>
  <c r="GH17"/>
  <c r="GG17"/>
  <c r="GF17"/>
  <c r="GC17"/>
  <c r="GB17"/>
  <c r="GA17"/>
  <c r="FZ17"/>
  <c r="FY17"/>
  <c r="FX17"/>
  <c r="FW17"/>
  <c r="FV17"/>
  <c r="FU17"/>
  <c r="FT17"/>
  <c r="FS17"/>
  <c r="FR17"/>
  <c r="FQ17"/>
  <c r="FP17"/>
  <c r="FO17"/>
  <c r="FM17"/>
  <c r="FL17"/>
  <c r="FK17"/>
  <c r="FJ17"/>
  <c r="FI17"/>
  <c r="FH17"/>
  <c r="FG17"/>
  <c r="FF17"/>
  <c r="FE17"/>
  <c r="FD17"/>
  <c r="FC17"/>
  <c r="FB17"/>
  <c r="FA17"/>
  <c r="EZ17"/>
  <c r="EY17"/>
  <c r="EV17"/>
  <c r="EU17"/>
  <c r="ET17"/>
  <c r="ES17"/>
  <c r="ER17"/>
  <c r="EQ17"/>
  <c r="EP17"/>
  <c r="EO17"/>
  <c r="EN17"/>
  <c r="EM17"/>
  <c r="EL17"/>
  <c r="EK17"/>
  <c r="EJ17"/>
  <c r="EI17"/>
  <c r="EH17"/>
  <c r="EF17"/>
  <c r="EE17"/>
  <c r="ED17"/>
  <c r="EC17"/>
  <c r="EB17"/>
  <c r="EA17"/>
  <c r="DZ17"/>
  <c r="DY17"/>
  <c r="DX17"/>
  <c r="DW17"/>
  <c r="DV17"/>
  <c r="DU17"/>
  <c r="DT17"/>
  <c r="DS17"/>
  <c r="DR17"/>
  <c r="DO17"/>
  <c r="DN17"/>
  <c r="DM17"/>
  <c r="DL17"/>
  <c r="DK17"/>
  <c r="DJ17"/>
  <c r="DI17"/>
  <c r="DH17"/>
  <c r="DG17"/>
  <c r="DF17"/>
  <c r="DE17"/>
  <c r="DD17"/>
  <c r="DC17"/>
  <c r="DB17"/>
  <c r="DA17"/>
  <c r="CI17"/>
  <c r="CH17"/>
  <c r="CG17"/>
  <c r="HH17" s="1"/>
  <c r="CF17"/>
  <c r="CE17"/>
  <c r="CD17"/>
  <c r="CC17"/>
  <c r="CB17"/>
  <c r="CA17"/>
  <c r="BZ17"/>
  <c r="BY17"/>
  <c r="GZ17" s="1"/>
  <c r="BX17"/>
  <c r="BW17"/>
  <c r="BV17"/>
  <c r="BU17"/>
  <c r="BS17"/>
  <c r="BR17"/>
  <c r="BQ17"/>
  <c r="BP17"/>
  <c r="BO17"/>
  <c r="BN17"/>
  <c r="BM17"/>
  <c r="BL17"/>
  <c r="BK17"/>
  <c r="BJ17"/>
  <c r="BI17"/>
  <c r="BH17"/>
  <c r="BG17"/>
  <c r="BF17"/>
  <c r="BE17"/>
  <c r="BC17"/>
  <c r="BB17"/>
  <c r="BA17"/>
  <c r="AZ17"/>
  <c r="AY17"/>
  <c r="AX17"/>
  <c r="AW17"/>
  <c r="AV17"/>
  <c r="AU17"/>
  <c r="AT17"/>
  <c r="AS17"/>
  <c r="AR17"/>
  <c r="AQ17"/>
  <c r="AP17"/>
  <c r="AO17"/>
  <c r="AM17"/>
  <c r="AL17"/>
  <c r="AK17"/>
  <c r="AJ17"/>
  <c r="AH17"/>
  <c r="AG17"/>
  <c r="AF17"/>
  <c r="AE17"/>
  <c r="AD17"/>
  <c r="AC17"/>
  <c r="AB17"/>
  <c r="AA17"/>
  <c r="Z17"/>
  <c r="Y17"/>
  <c r="X17"/>
  <c r="W17"/>
  <c r="V17"/>
  <c r="U17"/>
  <c r="T17"/>
  <c r="R17"/>
  <c r="Q17"/>
  <c r="P17"/>
  <c r="O17"/>
  <c r="N17"/>
  <c r="N63" s="1"/>
  <c r="M17"/>
  <c r="L17"/>
  <c r="K17"/>
  <c r="K63" s="1"/>
  <c r="J17"/>
  <c r="I17"/>
  <c r="H17"/>
  <c r="G17"/>
  <c r="F17"/>
  <c r="F63" s="1"/>
  <c r="E17"/>
  <c r="D17"/>
  <c r="HZ16"/>
  <c r="HY16"/>
  <c r="HX16"/>
  <c r="HW16"/>
  <c r="HV16"/>
  <c r="HU16"/>
  <c r="HT16"/>
  <c r="HS16"/>
  <c r="HR16"/>
  <c r="HQ16"/>
  <c r="HP16"/>
  <c r="HO16"/>
  <c r="HN16"/>
  <c r="HM16"/>
  <c r="HL16"/>
  <c r="GT16"/>
  <c r="GS16"/>
  <c r="GR16"/>
  <c r="GQ16"/>
  <c r="GP16"/>
  <c r="GO16"/>
  <c r="GN16"/>
  <c r="GM16"/>
  <c r="GL16"/>
  <c r="GK16"/>
  <c r="GJ16"/>
  <c r="GI16"/>
  <c r="GH16"/>
  <c r="GG16"/>
  <c r="GF16"/>
  <c r="GC16"/>
  <c r="GB16"/>
  <c r="GA16"/>
  <c r="FZ16"/>
  <c r="FY16"/>
  <c r="FX16"/>
  <c r="FW16"/>
  <c r="FV16"/>
  <c r="FU16"/>
  <c r="FT16"/>
  <c r="FS16"/>
  <c r="FR16"/>
  <c r="FQ16"/>
  <c r="FP16"/>
  <c r="FO16"/>
  <c r="FM16"/>
  <c r="FL16"/>
  <c r="FK16"/>
  <c r="FJ16"/>
  <c r="FI16"/>
  <c r="FH16"/>
  <c r="FG16"/>
  <c r="FF16"/>
  <c r="FE16"/>
  <c r="FD16"/>
  <c r="FC16"/>
  <c r="FB16"/>
  <c r="FA16"/>
  <c r="EZ16"/>
  <c r="EY16"/>
  <c r="EV16"/>
  <c r="EU16"/>
  <c r="ET16"/>
  <c r="ES16"/>
  <c r="ER16"/>
  <c r="EQ16"/>
  <c r="EP16"/>
  <c r="EO16"/>
  <c r="EN16"/>
  <c r="EM16"/>
  <c r="EL16"/>
  <c r="EK16"/>
  <c r="EJ16"/>
  <c r="EI16"/>
  <c r="EH16"/>
  <c r="EF16"/>
  <c r="EE16"/>
  <c r="ED16"/>
  <c r="EC16"/>
  <c r="EB16"/>
  <c r="EA16"/>
  <c r="DZ16"/>
  <c r="DY16"/>
  <c r="DX16"/>
  <c r="DW16"/>
  <c r="DV16"/>
  <c r="DU16"/>
  <c r="DT16"/>
  <c r="DS16"/>
  <c r="DR16"/>
  <c r="DO16"/>
  <c r="DN16"/>
  <c r="DM16"/>
  <c r="DL16"/>
  <c r="DK16"/>
  <c r="DJ16"/>
  <c r="DI16"/>
  <c r="DH16"/>
  <c r="DG16"/>
  <c r="DF16"/>
  <c r="DE16"/>
  <c r="DD16"/>
  <c r="DC16"/>
  <c r="DB16"/>
  <c r="DA16"/>
  <c r="CI16"/>
  <c r="CH16"/>
  <c r="CG16"/>
  <c r="CF16"/>
  <c r="CE16"/>
  <c r="CD16"/>
  <c r="CC16"/>
  <c r="CB16"/>
  <c r="HC16" s="1"/>
  <c r="CA16"/>
  <c r="BZ16"/>
  <c r="BY16"/>
  <c r="BX16"/>
  <c r="BW16"/>
  <c r="BV16"/>
  <c r="BU16"/>
  <c r="BS16"/>
  <c r="BR16"/>
  <c r="BQ16"/>
  <c r="BP16"/>
  <c r="BO16"/>
  <c r="BN16"/>
  <c r="BM16"/>
  <c r="BL16"/>
  <c r="BK16"/>
  <c r="BJ16"/>
  <c r="BI16"/>
  <c r="BH16"/>
  <c r="BG16"/>
  <c r="BF16"/>
  <c r="BE16"/>
  <c r="BC16"/>
  <c r="BB16"/>
  <c r="BA16"/>
  <c r="AZ16"/>
  <c r="AY16"/>
  <c r="AX16"/>
  <c r="AW16"/>
  <c r="AV16"/>
  <c r="AU16"/>
  <c r="AT16"/>
  <c r="AS16"/>
  <c r="AR16"/>
  <c r="AQ16"/>
  <c r="AP16"/>
  <c r="AO16"/>
  <c r="AM16"/>
  <c r="AL16"/>
  <c r="AK16"/>
  <c r="AJ16"/>
  <c r="AH16"/>
  <c r="CY16" s="1"/>
  <c r="AG16"/>
  <c r="AF16"/>
  <c r="AE16"/>
  <c r="AD16"/>
  <c r="AC16"/>
  <c r="AB16"/>
  <c r="AA16"/>
  <c r="Z16"/>
  <c r="CQ16" s="1"/>
  <c r="Y16"/>
  <c r="X16"/>
  <c r="W16"/>
  <c r="V16"/>
  <c r="U16"/>
  <c r="T16"/>
  <c r="R16"/>
  <c r="Q16"/>
  <c r="P16"/>
  <c r="O16"/>
  <c r="N16"/>
  <c r="M16"/>
  <c r="L16"/>
  <c r="K16"/>
  <c r="J16"/>
  <c r="I16"/>
  <c r="H16"/>
  <c r="G16"/>
  <c r="F16"/>
  <c r="E16"/>
  <c r="D16"/>
  <c r="HZ15"/>
  <c r="HY15"/>
  <c r="HX15"/>
  <c r="HW15"/>
  <c r="HV15"/>
  <c r="HU15"/>
  <c r="HT15"/>
  <c r="HS15"/>
  <c r="HR15"/>
  <c r="HQ15"/>
  <c r="HP15"/>
  <c r="HO15"/>
  <c r="HN15"/>
  <c r="HM15"/>
  <c r="HL15"/>
  <c r="GT15"/>
  <c r="GS15"/>
  <c r="GR15"/>
  <c r="GQ15"/>
  <c r="GP15"/>
  <c r="GO15"/>
  <c r="GN15"/>
  <c r="GM15"/>
  <c r="GL15"/>
  <c r="GK15"/>
  <c r="GJ15"/>
  <c r="GI15"/>
  <c r="GH15"/>
  <c r="GG15"/>
  <c r="GF15"/>
  <c r="GC15"/>
  <c r="GB15"/>
  <c r="GA15"/>
  <c r="FZ15"/>
  <c r="FY15"/>
  <c r="FX15"/>
  <c r="FW15"/>
  <c r="FV15"/>
  <c r="FU15"/>
  <c r="FT15"/>
  <c r="FS15"/>
  <c r="FR15"/>
  <c r="FQ15"/>
  <c r="FP15"/>
  <c r="FO15"/>
  <c r="FM15"/>
  <c r="FL15"/>
  <c r="FK15"/>
  <c r="FJ15"/>
  <c r="FI15"/>
  <c r="FH15"/>
  <c r="FG15"/>
  <c r="FF15"/>
  <c r="FE15"/>
  <c r="FD15"/>
  <c r="FC15"/>
  <c r="FB15"/>
  <c r="FA15"/>
  <c r="EZ15"/>
  <c r="EY15"/>
  <c r="EV15"/>
  <c r="EU15"/>
  <c r="ET15"/>
  <c r="ES15"/>
  <c r="ER15"/>
  <c r="EQ15"/>
  <c r="EP15"/>
  <c r="EO15"/>
  <c r="EN15"/>
  <c r="EM15"/>
  <c r="EL15"/>
  <c r="EK15"/>
  <c r="EJ15"/>
  <c r="EI15"/>
  <c r="EH15"/>
  <c r="EF15"/>
  <c r="EE15"/>
  <c r="ED15"/>
  <c r="EC15"/>
  <c r="EB15"/>
  <c r="EA15"/>
  <c r="DZ15"/>
  <c r="DY15"/>
  <c r="DX15"/>
  <c r="DW15"/>
  <c r="DV15"/>
  <c r="DU15"/>
  <c r="DT15"/>
  <c r="DS15"/>
  <c r="DR15"/>
  <c r="DO15"/>
  <c r="DN15"/>
  <c r="DM15"/>
  <c r="DL15"/>
  <c r="DK15"/>
  <c r="DJ15"/>
  <c r="DI15"/>
  <c r="DH15"/>
  <c r="DG15"/>
  <c r="DF15"/>
  <c r="DE15"/>
  <c r="DD15"/>
  <c r="DC15"/>
  <c r="DB15"/>
  <c r="DA15"/>
  <c r="CI15"/>
  <c r="CH15"/>
  <c r="CG15"/>
  <c r="CF15"/>
  <c r="CE15"/>
  <c r="HF15" s="1"/>
  <c r="CD15"/>
  <c r="CC15"/>
  <c r="CB15"/>
  <c r="HC15" s="1"/>
  <c r="CA15"/>
  <c r="BZ15"/>
  <c r="BY15"/>
  <c r="BX15"/>
  <c r="BW15"/>
  <c r="GX15" s="1"/>
  <c r="BV15"/>
  <c r="BU15"/>
  <c r="BS15"/>
  <c r="BR15"/>
  <c r="BQ15"/>
  <c r="BP15"/>
  <c r="BO15"/>
  <c r="BN15"/>
  <c r="BM15"/>
  <c r="BL15"/>
  <c r="BK15"/>
  <c r="BJ15"/>
  <c r="BI15"/>
  <c r="BH15"/>
  <c r="BG15"/>
  <c r="BF15"/>
  <c r="BE15"/>
  <c r="BC15"/>
  <c r="BB15"/>
  <c r="BA15"/>
  <c r="AZ15"/>
  <c r="AY15"/>
  <c r="AX15"/>
  <c r="AW15"/>
  <c r="AV15"/>
  <c r="AU15"/>
  <c r="AT15"/>
  <c r="AS15"/>
  <c r="AR15"/>
  <c r="AQ15"/>
  <c r="AP15"/>
  <c r="AO15"/>
  <c r="AM15"/>
  <c r="AL15"/>
  <c r="AK15"/>
  <c r="AJ15"/>
  <c r="AH15"/>
  <c r="AG15"/>
  <c r="AF15"/>
  <c r="AE15"/>
  <c r="AD15"/>
  <c r="AC15"/>
  <c r="AB15"/>
  <c r="AA15"/>
  <c r="Z15"/>
  <c r="Y15"/>
  <c r="X15"/>
  <c r="W15"/>
  <c r="V15"/>
  <c r="U15"/>
  <c r="T15"/>
  <c r="R15"/>
  <c r="Q15"/>
  <c r="P15"/>
  <c r="O15"/>
  <c r="N15"/>
  <c r="M15"/>
  <c r="L15"/>
  <c r="K15"/>
  <c r="J15"/>
  <c r="I15"/>
  <c r="H15"/>
  <c r="G15"/>
  <c r="F15"/>
  <c r="E15"/>
  <c r="D15"/>
  <c r="HZ14"/>
  <c r="HX14"/>
  <c r="HV14"/>
  <c r="HW14" s="1"/>
  <c r="HT14"/>
  <c r="HR14"/>
  <c r="HP14"/>
  <c r="HN14"/>
  <c r="HL14"/>
  <c r="GT14"/>
  <c r="GR14"/>
  <c r="GS14" s="1"/>
  <c r="GP14"/>
  <c r="GN14"/>
  <c r="GL14"/>
  <c r="GJ14"/>
  <c r="GH14"/>
  <c r="GI14" s="1"/>
  <c r="GF14"/>
  <c r="GC14"/>
  <c r="GB14"/>
  <c r="GA14"/>
  <c r="FZ14"/>
  <c r="FY14"/>
  <c r="FX14"/>
  <c r="FW14"/>
  <c r="FV14"/>
  <c r="FU14"/>
  <c r="FT14"/>
  <c r="FS14"/>
  <c r="FR14"/>
  <c r="FQ14"/>
  <c r="FP14"/>
  <c r="FO14"/>
  <c r="FM14"/>
  <c r="FK14"/>
  <c r="FL14" s="1"/>
  <c r="FI14"/>
  <c r="FG14"/>
  <c r="FE14"/>
  <c r="FC14"/>
  <c r="FA14"/>
  <c r="EY14"/>
  <c r="EZ14" s="1"/>
  <c r="EV14"/>
  <c r="EU14"/>
  <c r="ET14"/>
  <c r="ES14"/>
  <c r="ER14"/>
  <c r="EQ14"/>
  <c r="EP14"/>
  <c r="EO14"/>
  <c r="EN14"/>
  <c r="EM14"/>
  <c r="EL14"/>
  <c r="EK14"/>
  <c r="EJ14"/>
  <c r="EI14"/>
  <c r="EH14"/>
  <c r="EF14"/>
  <c r="ED14"/>
  <c r="EC14"/>
  <c r="EB14"/>
  <c r="DZ14"/>
  <c r="DX14"/>
  <c r="DV14"/>
  <c r="DT14"/>
  <c r="DR14"/>
  <c r="DO14"/>
  <c r="DM14"/>
  <c r="DN14" s="1"/>
  <c r="DK14"/>
  <c r="DI14"/>
  <c r="DG14"/>
  <c r="DE14"/>
  <c r="DC14"/>
  <c r="DA14"/>
  <c r="DB14" s="1"/>
  <c r="CI14"/>
  <c r="HJ14" s="1"/>
  <c r="CG14"/>
  <c r="HH14" s="1"/>
  <c r="CE14"/>
  <c r="CC14"/>
  <c r="CA14"/>
  <c r="HB14" s="1"/>
  <c r="BY14"/>
  <c r="GZ14" s="1"/>
  <c r="BW14"/>
  <c r="GX14" s="1"/>
  <c r="BU14"/>
  <c r="BS14"/>
  <c r="BQ14"/>
  <c r="BR14" s="1"/>
  <c r="BO14"/>
  <c r="BM14"/>
  <c r="BK14"/>
  <c r="BL14" s="1"/>
  <c r="BI14"/>
  <c r="BG14"/>
  <c r="BE14"/>
  <c r="BC14"/>
  <c r="BA14"/>
  <c r="AY14"/>
  <c r="AW14"/>
  <c r="AX14" s="1"/>
  <c r="AU14"/>
  <c r="AS14"/>
  <c r="AQ14"/>
  <c r="AR14" s="1"/>
  <c r="AO14"/>
  <c r="AM14"/>
  <c r="AL14"/>
  <c r="AK14"/>
  <c r="AJ14" s="1"/>
  <c r="AH14"/>
  <c r="AF14"/>
  <c r="AD14"/>
  <c r="AB14"/>
  <c r="AC14" s="1"/>
  <c r="Z14"/>
  <c r="X14"/>
  <c r="V14"/>
  <c r="T14"/>
  <c r="U14" s="1"/>
  <c r="R14"/>
  <c r="P14"/>
  <c r="N14"/>
  <c r="O14" s="1"/>
  <c r="O60" s="1"/>
  <c r="L14"/>
  <c r="J14"/>
  <c r="I14"/>
  <c r="I60" s="1"/>
  <c r="H14"/>
  <c r="F14"/>
  <c r="G14" s="1"/>
  <c r="G60" s="1"/>
  <c r="D14"/>
  <c r="HZ13"/>
  <c r="HX13"/>
  <c r="HV13"/>
  <c r="HT13"/>
  <c r="HR13"/>
  <c r="HP13"/>
  <c r="HN13"/>
  <c r="HO13" s="1"/>
  <c r="HL13"/>
  <c r="GT13"/>
  <c r="GR13"/>
  <c r="GP13"/>
  <c r="GQ13" s="1"/>
  <c r="GN13"/>
  <c r="GL13"/>
  <c r="GJ13"/>
  <c r="GH13"/>
  <c r="GF13"/>
  <c r="GC13"/>
  <c r="GB13"/>
  <c r="GA13"/>
  <c r="FZ13"/>
  <c r="FY13"/>
  <c r="FX13"/>
  <c r="FW13"/>
  <c r="FV13"/>
  <c r="FU13"/>
  <c r="FT13"/>
  <c r="FS13"/>
  <c r="FR13"/>
  <c r="FQ13"/>
  <c r="FP13"/>
  <c r="FO13"/>
  <c r="FM13"/>
  <c r="FK13"/>
  <c r="FI13"/>
  <c r="FG13"/>
  <c r="FH13" s="1"/>
  <c r="FE13"/>
  <c r="FC13"/>
  <c r="FD13" s="1"/>
  <c r="FA13"/>
  <c r="EY13"/>
  <c r="EV13"/>
  <c r="EU13"/>
  <c r="ET13"/>
  <c r="ES13"/>
  <c r="ER13"/>
  <c r="EQ13"/>
  <c r="EP13"/>
  <c r="EO13"/>
  <c r="EN13"/>
  <c r="EM13"/>
  <c r="EL13"/>
  <c r="EK13"/>
  <c r="EJ13"/>
  <c r="EI13"/>
  <c r="EH13"/>
  <c r="EF13"/>
  <c r="ED13"/>
  <c r="EB13"/>
  <c r="DZ13"/>
  <c r="EA13" s="1"/>
  <c r="DX13"/>
  <c r="DV13"/>
  <c r="DT13"/>
  <c r="DR13"/>
  <c r="DM13"/>
  <c r="DN13" s="1"/>
  <c r="DK13"/>
  <c r="DI13"/>
  <c r="DG13"/>
  <c r="DE13"/>
  <c r="DC13"/>
  <c r="DA13"/>
  <c r="CG13"/>
  <c r="CE13"/>
  <c r="HF13" s="1"/>
  <c r="CC13"/>
  <c r="CA13"/>
  <c r="BY13"/>
  <c r="BW13"/>
  <c r="BU13"/>
  <c r="BS13"/>
  <c r="BQ13"/>
  <c r="BO13"/>
  <c r="BM13"/>
  <c r="BK13"/>
  <c r="BI13"/>
  <c r="BJ13" s="1"/>
  <c r="BG13"/>
  <c r="BH13" s="1"/>
  <c r="BE13"/>
  <c r="BC13"/>
  <c r="BA13"/>
  <c r="AY13"/>
  <c r="AW13"/>
  <c r="AU13"/>
  <c r="AS13"/>
  <c r="AQ13"/>
  <c r="AO13"/>
  <c r="AM13"/>
  <c r="AL13"/>
  <c r="AK13"/>
  <c r="AJ13"/>
  <c r="AF13"/>
  <c r="AG13" s="1"/>
  <c r="AD13"/>
  <c r="AB13"/>
  <c r="AC13" s="1"/>
  <c r="Z13"/>
  <c r="X13"/>
  <c r="V13"/>
  <c r="T13"/>
  <c r="U13" s="1"/>
  <c r="P13"/>
  <c r="R13" s="1"/>
  <c r="N13"/>
  <c r="L13"/>
  <c r="J13"/>
  <c r="H13"/>
  <c r="F13"/>
  <c r="D13"/>
  <c r="HZ12"/>
  <c r="HY12"/>
  <c r="HX12"/>
  <c r="HW12"/>
  <c r="HV12"/>
  <c r="HU12"/>
  <c r="HT12"/>
  <c r="HS12"/>
  <c r="HR12"/>
  <c r="HQ12"/>
  <c r="HP12"/>
  <c r="HO12"/>
  <c r="HN12"/>
  <c r="HM12"/>
  <c r="HL12"/>
  <c r="GT12"/>
  <c r="GS12"/>
  <c r="GR12"/>
  <c r="GQ12"/>
  <c r="GP12"/>
  <c r="GO12"/>
  <c r="GN12"/>
  <c r="GM12"/>
  <c r="GL12"/>
  <c r="GK12"/>
  <c r="GJ12"/>
  <c r="GI12"/>
  <c r="GH12"/>
  <c r="GG12"/>
  <c r="GF12"/>
  <c r="GC12"/>
  <c r="GB12"/>
  <c r="GA12"/>
  <c r="FZ12"/>
  <c r="FY12"/>
  <c r="FX12"/>
  <c r="FW12"/>
  <c r="FV12"/>
  <c r="FU12"/>
  <c r="FT12"/>
  <c r="FS12"/>
  <c r="FR12"/>
  <c r="FQ12"/>
  <c r="FP12"/>
  <c r="FO12"/>
  <c r="FM12"/>
  <c r="FL12"/>
  <c r="FK12"/>
  <c r="FJ12"/>
  <c r="FI12"/>
  <c r="FH12"/>
  <c r="FG12"/>
  <c r="FF12"/>
  <c r="FE12"/>
  <c r="FD12"/>
  <c r="FC12"/>
  <c r="FB12"/>
  <c r="FA12"/>
  <c r="EZ12"/>
  <c r="EY12"/>
  <c r="EV12"/>
  <c r="EU12"/>
  <c r="ET12"/>
  <c r="ES12"/>
  <c r="ER12"/>
  <c r="EQ12"/>
  <c r="EP12"/>
  <c r="EO12"/>
  <c r="EN12"/>
  <c r="EM12"/>
  <c r="EL12"/>
  <c r="EK12"/>
  <c r="EJ12"/>
  <c r="EI12"/>
  <c r="EH12"/>
  <c r="EF12"/>
  <c r="EE12"/>
  <c r="ED12"/>
  <c r="EC12"/>
  <c r="EB12"/>
  <c r="EA12"/>
  <c r="DZ12"/>
  <c r="DY12"/>
  <c r="DX12"/>
  <c r="DW12"/>
  <c r="DV12"/>
  <c r="DU12"/>
  <c r="DT12"/>
  <c r="DS12"/>
  <c r="DR12"/>
  <c r="DO12"/>
  <c r="DN12"/>
  <c r="DM12"/>
  <c r="DL12"/>
  <c r="DK12"/>
  <c r="DJ12"/>
  <c r="DI12"/>
  <c r="DH12"/>
  <c r="DG12"/>
  <c r="DF12"/>
  <c r="DE12"/>
  <c r="DD12"/>
  <c r="DC12"/>
  <c r="DB12"/>
  <c r="DA12"/>
  <c r="CI12"/>
  <c r="CH12"/>
  <c r="CG12"/>
  <c r="CF12"/>
  <c r="CE12"/>
  <c r="CD12"/>
  <c r="CC12"/>
  <c r="CB12"/>
  <c r="CA12"/>
  <c r="BZ12"/>
  <c r="BY12"/>
  <c r="BX12"/>
  <c r="BW12"/>
  <c r="BV12"/>
  <c r="BU12"/>
  <c r="BS12"/>
  <c r="BR12"/>
  <c r="BQ12"/>
  <c r="BP12"/>
  <c r="BO12"/>
  <c r="BN12"/>
  <c r="BM12"/>
  <c r="BL12"/>
  <c r="BK12"/>
  <c r="BJ12"/>
  <c r="BI12"/>
  <c r="BH12"/>
  <c r="BG12"/>
  <c r="BF12"/>
  <c r="BE12"/>
  <c r="BC12"/>
  <c r="BB12"/>
  <c r="BA12"/>
  <c r="AZ12"/>
  <c r="AY12"/>
  <c r="AX12"/>
  <c r="AW12"/>
  <c r="AV12"/>
  <c r="AU12"/>
  <c r="AT12"/>
  <c r="AS12"/>
  <c r="AR12"/>
  <c r="AQ12"/>
  <c r="AP12"/>
  <c r="AO12"/>
  <c r="AM12"/>
  <c r="AL12"/>
  <c r="AK12"/>
  <c r="AJ12"/>
  <c r="AH12"/>
  <c r="AG12"/>
  <c r="AF12"/>
  <c r="AE12"/>
  <c r="AD12"/>
  <c r="AC12"/>
  <c r="AB12"/>
  <c r="AA12"/>
  <c r="Z12"/>
  <c r="Y12"/>
  <c r="X12"/>
  <c r="W12"/>
  <c r="V12"/>
  <c r="U12"/>
  <c r="T12"/>
  <c r="R12"/>
  <c r="Q12"/>
  <c r="P12"/>
  <c r="O12"/>
  <c r="N12"/>
  <c r="M12"/>
  <c r="L12"/>
  <c r="K12"/>
  <c r="J12"/>
  <c r="I12"/>
  <c r="H12"/>
  <c r="G12"/>
  <c r="F12"/>
  <c r="E12"/>
  <c r="D12"/>
  <c r="HZ11"/>
  <c r="HY11"/>
  <c r="HX11"/>
  <c r="HW11"/>
  <c r="HV11"/>
  <c r="HU11"/>
  <c r="HT11"/>
  <c r="HS11"/>
  <c r="HR11"/>
  <c r="HQ11"/>
  <c r="HP11"/>
  <c r="HO11"/>
  <c r="HN11"/>
  <c r="HM11"/>
  <c r="HL11"/>
  <c r="GT11"/>
  <c r="GS11"/>
  <c r="GR11"/>
  <c r="GQ11"/>
  <c r="GP11"/>
  <c r="GO11"/>
  <c r="GN11"/>
  <c r="GM11"/>
  <c r="GL11"/>
  <c r="GK11"/>
  <c r="GJ11"/>
  <c r="GI11"/>
  <c r="GH11"/>
  <c r="GG11"/>
  <c r="GF11"/>
  <c r="GC11"/>
  <c r="GB11"/>
  <c r="GA11"/>
  <c r="FZ11"/>
  <c r="FY11"/>
  <c r="FX11"/>
  <c r="FW11"/>
  <c r="FV11"/>
  <c r="FU11"/>
  <c r="FT11"/>
  <c r="FS11"/>
  <c r="FR11"/>
  <c r="FQ11"/>
  <c r="FP11"/>
  <c r="FO11"/>
  <c r="FM11"/>
  <c r="FL11"/>
  <c r="FK11"/>
  <c r="FJ11"/>
  <c r="FI11"/>
  <c r="FH11"/>
  <c r="FG11"/>
  <c r="FF11"/>
  <c r="FE11"/>
  <c r="FD11"/>
  <c r="FC11"/>
  <c r="FB11"/>
  <c r="FA11"/>
  <c r="EZ11"/>
  <c r="EY11"/>
  <c r="EV11"/>
  <c r="EU11"/>
  <c r="ET11"/>
  <c r="ES11"/>
  <c r="ER11"/>
  <c r="EQ11"/>
  <c r="EP11"/>
  <c r="EO11"/>
  <c r="EN11"/>
  <c r="EM11"/>
  <c r="EL11"/>
  <c r="EK11"/>
  <c r="EJ11"/>
  <c r="EI11"/>
  <c r="EH11"/>
  <c r="EF11"/>
  <c r="EE11"/>
  <c r="ED11"/>
  <c r="EC11"/>
  <c r="EB11"/>
  <c r="EA11"/>
  <c r="DZ11"/>
  <c r="DY11"/>
  <c r="DX11"/>
  <c r="DW11"/>
  <c r="DV11"/>
  <c r="DU11"/>
  <c r="DT11"/>
  <c r="DS11"/>
  <c r="DR11"/>
  <c r="DO11"/>
  <c r="DN11"/>
  <c r="DM11"/>
  <c r="DL11"/>
  <c r="DK11"/>
  <c r="DJ11"/>
  <c r="DI11"/>
  <c r="DH11"/>
  <c r="DG11"/>
  <c r="DF11"/>
  <c r="DE11"/>
  <c r="DD11"/>
  <c r="DC11"/>
  <c r="DB11"/>
  <c r="DA11"/>
  <c r="CI11"/>
  <c r="CH11"/>
  <c r="CG11"/>
  <c r="CF11"/>
  <c r="CE11"/>
  <c r="CD11"/>
  <c r="CC11"/>
  <c r="CB11"/>
  <c r="CA11"/>
  <c r="BZ11"/>
  <c r="BY11"/>
  <c r="BX11"/>
  <c r="BW11"/>
  <c r="BV11"/>
  <c r="BU11"/>
  <c r="BS11"/>
  <c r="BR11"/>
  <c r="BQ11"/>
  <c r="BP11"/>
  <c r="BO11"/>
  <c r="BN11"/>
  <c r="BM11"/>
  <c r="BL11"/>
  <c r="BK11"/>
  <c r="BJ11"/>
  <c r="BI11"/>
  <c r="BH11"/>
  <c r="BG11"/>
  <c r="BF11"/>
  <c r="BE11"/>
  <c r="BC11"/>
  <c r="BB11"/>
  <c r="BA11"/>
  <c r="AZ11"/>
  <c r="AY11"/>
  <c r="AX11"/>
  <c r="AW11"/>
  <c r="AV11"/>
  <c r="AU11"/>
  <c r="AT11"/>
  <c r="AS11"/>
  <c r="AR11"/>
  <c r="AQ11"/>
  <c r="AP11"/>
  <c r="AO11"/>
  <c r="AM11"/>
  <c r="AL11"/>
  <c r="AK11"/>
  <c r="AJ11"/>
  <c r="AH11"/>
  <c r="AG11"/>
  <c r="AF11"/>
  <c r="AE11"/>
  <c r="AD11"/>
  <c r="AC11"/>
  <c r="AB11"/>
  <c r="AA11"/>
  <c r="Z11"/>
  <c r="Y11"/>
  <c r="X11"/>
  <c r="W11"/>
  <c r="V11"/>
  <c r="U11"/>
  <c r="T11"/>
  <c r="R11"/>
  <c r="Q11"/>
  <c r="P11"/>
  <c r="O11"/>
  <c r="N11"/>
  <c r="M11"/>
  <c r="L11"/>
  <c r="K11"/>
  <c r="J11"/>
  <c r="I11"/>
  <c r="H11"/>
  <c r="G11"/>
  <c r="F11"/>
  <c r="E11"/>
  <c r="D11"/>
  <c r="HZ10"/>
  <c r="HY10"/>
  <c r="HX10"/>
  <c r="HW10"/>
  <c r="HV10"/>
  <c r="HU10"/>
  <c r="HT10"/>
  <c r="HS10"/>
  <c r="HR10"/>
  <c r="HQ10"/>
  <c r="HP10"/>
  <c r="HO10"/>
  <c r="HN10"/>
  <c r="HM10"/>
  <c r="HL10"/>
  <c r="GT10"/>
  <c r="GS10"/>
  <c r="GR10"/>
  <c r="GQ10"/>
  <c r="GP10"/>
  <c r="GO10"/>
  <c r="GN10"/>
  <c r="GM10"/>
  <c r="GL10"/>
  <c r="GK10"/>
  <c r="GJ10"/>
  <c r="GI10"/>
  <c r="GH10"/>
  <c r="GG10"/>
  <c r="GF10"/>
  <c r="GC10"/>
  <c r="GB10"/>
  <c r="GA10"/>
  <c r="FZ10"/>
  <c r="FY10"/>
  <c r="FX10"/>
  <c r="FW10"/>
  <c r="FV10"/>
  <c r="FU10"/>
  <c r="FT10"/>
  <c r="FS10"/>
  <c r="FR10"/>
  <c r="FQ10"/>
  <c r="FP10"/>
  <c r="FO10"/>
  <c r="FM10"/>
  <c r="FL10"/>
  <c r="FK10"/>
  <c r="FJ10"/>
  <c r="FI10"/>
  <c r="FH10"/>
  <c r="FG10"/>
  <c r="FF10"/>
  <c r="FE10"/>
  <c r="FD10"/>
  <c r="FC10"/>
  <c r="FB10"/>
  <c r="FA10"/>
  <c r="EZ10"/>
  <c r="EY10"/>
  <c r="EV10"/>
  <c r="EU10"/>
  <c r="ET10"/>
  <c r="ES10"/>
  <c r="ER10"/>
  <c r="EQ10"/>
  <c r="EP10"/>
  <c r="EO10"/>
  <c r="EN10"/>
  <c r="EM10"/>
  <c r="EL10"/>
  <c r="EK10"/>
  <c r="EJ10"/>
  <c r="EI10"/>
  <c r="EH10"/>
  <c r="EF10"/>
  <c r="EE10"/>
  <c r="ED10"/>
  <c r="EC10"/>
  <c r="EB10"/>
  <c r="EA10"/>
  <c r="DZ10"/>
  <c r="DY10"/>
  <c r="DX10"/>
  <c r="DW10"/>
  <c r="DV10"/>
  <c r="DU10"/>
  <c r="DT10"/>
  <c r="DS10"/>
  <c r="DR10"/>
  <c r="DO10"/>
  <c r="DN10"/>
  <c r="DM10"/>
  <c r="DL10"/>
  <c r="DK10"/>
  <c r="DJ10"/>
  <c r="DI10"/>
  <c r="DH10"/>
  <c r="DG10"/>
  <c r="DF10"/>
  <c r="DE10"/>
  <c r="DD10"/>
  <c r="DC10"/>
  <c r="DB10"/>
  <c r="DA10"/>
  <c r="CI10"/>
  <c r="CH10"/>
  <c r="CG10"/>
  <c r="CF10"/>
  <c r="CE10"/>
  <c r="CD10"/>
  <c r="CC10"/>
  <c r="CB10"/>
  <c r="CA10"/>
  <c r="BZ10"/>
  <c r="BY10"/>
  <c r="BX10"/>
  <c r="BW10"/>
  <c r="BV10"/>
  <c r="BU10"/>
  <c r="BS10"/>
  <c r="BR10"/>
  <c r="BQ10"/>
  <c r="BP10"/>
  <c r="BO10"/>
  <c r="BN10"/>
  <c r="BM10"/>
  <c r="BL10"/>
  <c r="BK10"/>
  <c r="BJ10"/>
  <c r="BI10"/>
  <c r="BH10"/>
  <c r="BG10"/>
  <c r="BF10"/>
  <c r="BE10"/>
  <c r="BC10"/>
  <c r="BB10"/>
  <c r="BA10"/>
  <c r="AZ10"/>
  <c r="AY10"/>
  <c r="AX10"/>
  <c r="AW10"/>
  <c r="AV10"/>
  <c r="AU10"/>
  <c r="AT10"/>
  <c r="AS10"/>
  <c r="AR10"/>
  <c r="AQ10"/>
  <c r="AP10"/>
  <c r="AO10"/>
  <c r="AM10"/>
  <c r="AL10"/>
  <c r="AK10"/>
  <c r="AJ10"/>
  <c r="AH10"/>
  <c r="AG10"/>
  <c r="AF10"/>
  <c r="AE10"/>
  <c r="AD10"/>
  <c r="AC10"/>
  <c r="AB10"/>
  <c r="AA10"/>
  <c r="Z10"/>
  <c r="Y10"/>
  <c r="X10"/>
  <c r="W10"/>
  <c r="V10"/>
  <c r="U10"/>
  <c r="T10"/>
  <c r="R10"/>
  <c r="Q10"/>
  <c r="P10"/>
  <c r="O10"/>
  <c r="N10"/>
  <c r="M10"/>
  <c r="L10"/>
  <c r="K10"/>
  <c r="J10"/>
  <c r="I10"/>
  <c r="H10"/>
  <c r="G10"/>
  <c r="F10"/>
  <c r="E10"/>
  <c r="D10"/>
  <c r="HZ9"/>
  <c r="HY9"/>
  <c r="HX9"/>
  <c r="HW9"/>
  <c r="HV9"/>
  <c r="HU9"/>
  <c r="HT9"/>
  <c r="HS9"/>
  <c r="HR9"/>
  <c r="HQ9"/>
  <c r="HP9"/>
  <c r="HO9"/>
  <c r="HN9"/>
  <c r="HM9"/>
  <c r="HL9"/>
  <c r="GT9"/>
  <c r="GS9"/>
  <c r="GR9"/>
  <c r="GQ9"/>
  <c r="GP9"/>
  <c r="GO9"/>
  <c r="GN9"/>
  <c r="GM9"/>
  <c r="GL9"/>
  <c r="GK9"/>
  <c r="GJ9"/>
  <c r="GI9"/>
  <c r="GH9"/>
  <c r="GG9"/>
  <c r="GF9"/>
  <c r="GC9"/>
  <c r="GB9"/>
  <c r="GA9"/>
  <c r="FZ9"/>
  <c r="FY9"/>
  <c r="FX9"/>
  <c r="FW9"/>
  <c r="FV9"/>
  <c r="FU9"/>
  <c r="FT9"/>
  <c r="FS9"/>
  <c r="FR9"/>
  <c r="FQ9"/>
  <c r="FP9"/>
  <c r="FO9"/>
  <c r="FM9"/>
  <c r="FL9"/>
  <c r="FK9"/>
  <c r="FJ9"/>
  <c r="FI9"/>
  <c r="FH9"/>
  <c r="FG9"/>
  <c r="FF9"/>
  <c r="FE9"/>
  <c r="FD9"/>
  <c r="FC9"/>
  <c r="FB9"/>
  <c r="FA9"/>
  <c r="EZ9"/>
  <c r="EY9"/>
  <c r="EV9"/>
  <c r="EU9"/>
  <c r="ET9"/>
  <c r="ES9"/>
  <c r="ER9"/>
  <c r="EQ9"/>
  <c r="EP9"/>
  <c r="EO9"/>
  <c r="EN9"/>
  <c r="EM9"/>
  <c r="EL9"/>
  <c r="EK9"/>
  <c r="EJ9"/>
  <c r="EI9"/>
  <c r="EH9"/>
  <c r="EF9"/>
  <c r="EE9"/>
  <c r="ED9"/>
  <c r="EC9"/>
  <c r="EB9"/>
  <c r="EA9"/>
  <c r="DZ9"/>
  <c r="DY9"/>
  <c r="DX9"/>
  <c r="DW9"/>
  <c r="DV9"/>
  <c r="DU9"/>
  <c r="DT9"/>
  <c r="DS9"/>
  <c r="DR9"/>
  <c r="DO9"/>
  <c r="DN9"/>
  <c r="DM9"/>
  <c r="DL9"/>
  <c r="DK9"/>
  <c r="DJ9"/>
  <c r="DI9"/>
  <c r="DH9"/>
  <c r="DG9"/>
  <c r="DF9"/>
  <c r="DE9"/>
  <c r="DD9"/>
  <c r="DC9"/>
  <c r="DB9"/>
  <c r="DA9"/>
  <c r="CI9"/>
  <c r="CH9"/>
  <c r="CG9"/>
  <c r="CF9"/>
  <c r="CE9"/>
  <c r="CD9"/>
  <c r="CC9"/>
  <c r="CB9"/>
  <c r="CA9"/>
  <c r="BZ9"/>
  <c r="BY9"/>
  <c r="BX9"/>
  <c r="BW9"/>
  <c r="BV9"/>
  <c r="BU9"/>
  <c r="BS9"/>
  <c r="BR9"/>
  <c r="BQ9"/>
  <c r="BP9"/>
  <c r="BO9"/>
  <c r="BN9"/>
  <c r="BM9"/>
  <c r="BL9"/>
  <c r="BK9"/>
  <c r="BJ9"/>
  <c r="BI9"/>
  <c r="BH9"/>
  <c r="BG9"/>
  <c r="BF9"/>
  <c r="BE9"/>
  <c r="BC9"/>
  <c r="BB9"/>
  <c r="BA9"/>
  <c r="AZ9"/>
  <c r="AY9"/>
  <c r="AX9"/>
  <c r="AW9"/>
  <c r="AV9"/>
  <c r="AU9"/>
  <c r="AT9"/>
  <c r="AS9"/>
  <c r="AR9"/>
  <c r="AQ9"/>
  <c r="AP9"/>
  <c r="AO9"/>
  <c r="AM9"/>
  <c r="AL9"/>
  <c r="AK9"/>
  <c r="AJ9"/>
  <c r="AH9"/>
  <c r="AG9"/>
  <c r="AF9"/>
  <c r="AE9"/>
  <c r="AD9"/>
  <c r="AC9"/>
  <c r="AB9"/>
  <c r="AA9"/>
  <c r="Z9"/>
  <c r="Y9"/>
  <c r="X9"/>
  <c r="W9"/>
  <c r="V9"/>
  <c r="U9"/>
  <c r="T9"/>
  <c r="R9"/>
  <c r="Q9"/>
  <c r="P9"/>
  <c r="O9"/>
  <c r="N9"/>
  <c r="M9"/>
  <c r="L9"/>
  <c r="K9"/>
  <c r="J9"/>
  <c r="I9"/>
  <c r="H9"/>
  <c r="G9"/>
  <c r="F9"/>
  <c r="E9"/>
  <c r="D9"/>
  <c r="HZ8"/>
  <c r="HX8"/>
  <c r="HV8"/>
  <c r="HT8"/>
  <c r="HR8"/>
  <c r="HP8"/>
  <c r="HN8"/>
  <c r="HL8"/>
  <c r="GT8"/>
  <c r="GR8"/>
  <c r="GP8"/>
  <c r="GN8"/>
  <c r="GL8"/>
  <c r="GJ8"/>
  <c r="GH8"/>
  <c r="GF8"/>
  <c r="GC8"/>
  <c r="GB8"/>
  <c r="GA8"/>
  <c r="FZ8"/>
  <c r="FY8"/>
  <c r="FX8"/>
  <c r="FW8"/>
  <c r="FV8"/>
  <c r="FU8"/>
  <c r="FT8"/>
  <c r="FS8"/>
  <c r="FR8"/>
  <c r="FQ8"/>
  <c r="FP8"/>
  <c r="FO8"/>
  <c r="FM8"/>
  <c r="FK8"/>
  <c r="FI8"/>
  <c r="FG8"/>
  <c r="FE8"/>
  <c r="FC8"/>
  <c r="FA8"/>
  <c r="EY8"/>
  <c r="EV8"/>
  <c r="EU8"/>
  <c r="ET8"/>
  <c r="ES8"/>
  <c r="ER8"/>
  <c r="EQ8"/>
  <c r="EP8"/>
  <c r="EO8"/>
  <c r="EN8"/>
  <c r="EM8"/>
  <c r="EL8"/>
  <c r="EK8"/>
  <c r="EJ8"/>
  <c r="EI8"/>
  <c r="EH8"/>
  <c r="EF8"/>
  <c r="ED8"/>
  <c r="EB8"/>
  <c r="EC8" s="1"/>
  <c r="DZ8"/>
  <c r="DX8"/>
  <c r="DV8"/>
  <c r="DT8"/>
  <c r="DU8" s="1"/>
  <c r="DR8"/>
  <c r="DO8"/>
  <c r="DM8"/>
  <c r="DN8" s="1"/>
  <c r="DK8"/>
  <c r="DI8"/>
  <c r="DG8"/>
  <c r="DH8" s="1"/>
  <c r="DE8"/>
  <c r="DF8" s="1"/>
  <c r="DC8"/>
  <c r="DA8"/>
  <c r="DB8" s="1"/>
  <c r="CI8"/>
  <c r="CG8"/>
  <c r="CE8"/>
  <c r="CC8"/>
  <c r="CA8"/>
  <c r="BY8"/>
  <c r="GZ8" s="1"/>
  <c r="BW8"/>
  <c r="BU8"/>
  <c r="BS8"/>
  <c r="BQ8"/>
  <c r="BR8" s="1"/>
  <c r="BO8"/>
  <c r="BM8"/>
  <c r="BK8"/>
  <c r="BL8" s="1"/>
  <c r="BI8"/>
  <c r="BJ8" s="1"/>
  <c r="BG8"/>
  <c r="BE8"/>
  <c r="BF8" s="1"/>
  <c r="BC8"/>
  <c r="BB8"/>
  <c r="BA8"/>
  <c r="AZ8"/>
  <c r="AY8"/>
  <c r="AX8"/>
  <c r="AW8"/>
  <c r="AV8"/>
  <c r="AU8"/>
  <c r="AT8"/>
  <c r="AS8"/>
  <c r="AR8"/>
  <c r="AQ8"/>
  <c r="AP8"/>
  <c r="AO8"/>
  <c r="AM8"/>
  <c r="AL8"/>
  <c r="AK8"/>
  <c r="AJ8"/>
  <c r="AH8"/>
  <c r="AF8"/>
  <c r="AD8"/>
  <c r="AB8"/>
  <c r="Z8"/>
  <c r="AA8" s="1"/>
  <c r="X8"/>
  <c r="V8"/>
  <c r="T8"/>
  <c r="U8" s="1"/>
  <c r="R8"/>
  <c r="P8"/>
  <c r="N8"/>
  <c r="L8"/>
  <c r="J8"/>
  <c r="H8"/>
  <c r="F8"/>
  <c r="G8" s="1"/>
  <c r="D8"/>
  <c r="HZ7"/>
  <c r="HY7"/>
  <c r="HX7"/>
  <c r="HW7"/>
  <c r="HV7"/>
  <c r="HU7"/>
  <c r="HT7"/>
  <c r="HS7"/>
  <c r="HR7"/>
  <c r="HQ7"/>
  <c r="HP7"/>
  <c r="HO7"/>
  <c r="HN7"/>
  <c r="HM7"/>
  <c r="HL7"/>
  <c r="GT7"/>
  <c r="GS7"/>
  <c r="GR7"/>
  <c r="GQ7"/>
  <c r="GP7"/>
  <c r="GO7"/>
  <c r="GN7"/>
  <c r="GM7"/>
  <c r="GL7"/>
  <c r="GK7"/>
  <c r="GJ7"/>
  <c r="GI7"/>
  <c r="GH7"/>
  <c r="GG7"/>
  <c r="GF7"/>
  <c r="GC7"/>
  <c r="GB7"/>
  <c r="GA7"/>
  <c r="FZ7"/>
  <c r="FY7"/>
  <c r="FX7"/>
  <c r="FW7"/>
  <c r="FV7"/>
  <c r="FU7"/>
  <c r="FT7"/>
  <c r="FS7"/>
  <c r="FR7"/>
  <c r="FQ7"/>
  <c r="FP7"/>
  <c r="FO7"/>
  <c r="FM7"/>
  <c r="FL7"/>
  <c r="FK7"/>
  <c r="FJ7"/>
  <c r="FI7"/>
  <c r="FH7"/>
  <c r="FG7"/>
  <c r="FF7"/>
  <c r="FE7"/>
  <c r="FD7"/>
  <c r="FC7"/>
  <c r="FB7"/>
  <c r="FA7"/>
  <c r="EZ7"/>
  <c r="EY7"/>
  <c r="EV7"/>
  <c r="EU7"/>
  <c r="ET7"/>
  <c r="ES7"/>
  <c r="ER7"/>
  <c r="EQ7"/>
  <c r="EP7"/>
  <c r="EO7"/>
  <c r="EN7"/>
  <c r="EM7"/>
  <c r="EL7"/>
  <c r="EK7"/>
  <c r="EJ7"/>
  <c r="EI7"/>
  <c r="EH7"/>
  <c r="EF7"/>
  <c r="EE7"/>
  <c r="ED7"/>
  <c r="EC7"/>
  <c r="EB7"/>
  <c r="EA7"/>
  <c r="DZ7"/>
  <c r="DY7"/>
  <c r="DX7"/>
  <c r="DW7"/>
  <c r="DV7"/>
  <c r="DU7"/>
  <c r="DT7"/>
  <c r="DS7"/>
  <c r="DR7"/>
  <c r="DO7"/>
  <c r="DN7"/>
  <c r="DM7"/>
  <c r="DL7"/>
  <c r="DK7"/>
  <c r="DJ7"/>
  <c r="DI7"/>
  <c r="DH7"/>
  <c r="DG7"/>
  <c r="DF7"/>
  <c r="DE7"/>
  <c r="DD7"/>
  <c r="DC7"/>
  <c r="DB7"/>
  <c r="DA7"/>
  <c r="CI7"/>
  <c r="CH7"/>
  <c r="CG7"/>
  <c r="CF7"/>
  <c r="HG7" s="1"/>
  <c r="CE7"/>
  <c r="CD7"/>
  <c r="CC7"/>
  <c r="CB7"/>
  <c r="CA7"/>
  <c r="BZ7"/>
  <c r="BY7"/>
  <c r="BX7"/>
  <c r="GY7" s="1"/>
  <c r="BW7"/>
  <c r="BV7"/>
  <c r="BU7"/>
  <c r="BS7"/>
  <c r="BR7"/>
  <c r="BQ7"/>
  <c r="BP7"/>
  <c r="BO7"/>
  <c r="BN7"/>
  <c r="BM7"/>
  <c r="BL7"/>
  <c r="BK7"/>
  <c r="BJ7"/>
  <c r="BI7"/>
  <c r="BH7"/>
  <c r="BG7"/>
  <c r="BF7"/>
  <c r="BE7"/>
  <c r="BC7"/>
  <c r="BB7"/>
  <c r="BA7"/>
  <c r="AZ7"/>
  <c r="AY7"/>
  <c r="AX7"/>
  <c r="AW7"/>
  <c r="AV7"/>
  <c r="AU7"/>
  <c r="AT7"/>
  <c r="AS7"/>
  <c r="AR7"/>
  <c r="AQ7"/>
  <c r="AP7"/>
  <c r="AO7"/>
  <c r="AM7"/>
  <c r="AL7"/>
  <c r="AK7"/>
  <c r="AJ7"/>
  <c r="AH7"/>
  <c r="AG7"/>
  <c r="AF7"/>
  <c r="AE7"/>
  <c r="AD7"/>
  <c r="AC7"/>
  <c r="AB7"/>
  <c r="AA7"/>
  <c r="Z7"/>
  <c r="Y7"/>
  <c r="X7"/>
  <c r="W7"/>
  <c r="V7"/>
  <c r="U7"/>
  <c r="T7"/>
  <c r="R7"/>
  <c r="Q7"/>
  <c r="P7"/>
  <c r="O7"/>
  <c r="N7"/>
  <c r="M7"/>
  <c r="L7"/>
  <c r="K7"/>
  <c r="J7"/>
  <c r="I7"/>
  <c r="H7"/>
  <c r="G7"/>
  <c r="F7"/>
  <c r="E7"/>
  <c r="D7"/>
  <c r="HZ6"/>
  <c r="HY6"/>
  <c r="HX6"/>
  <c r="HW6"/>
  <c r="HV6"/>
  <c r="HU6"/>
  <c r="HT6"/>
  <c r="HS6"/>
  <c r="HR6"/>
  <c r="HQ6"/>
  <c r="HP6"/>
  <c r="HO6"/>
  <c r="HN6"/>
  <c r="HM6"/>
  <c r="HL6"/>
  <c r="GT6"/>
  <c r="GS6"/>
  <c r="GR6"/>
  <c r="GQ6"/>
  <c r="GP6"/>
  <c r="GO6"/>
  <c r="GN6"/>
  <c r="GM6"/>
  <c r="GL6"/>
  <c r="GK6"/>
  <c r="GJ6"/>
  <c r="GI6"/>
  <c r="GH6"/>
  <c r="GG6"/>
  <c r="GF6"/>
  <c r="GC6"/>
  <c r="GB6"/>
  <c r="GA6"/>
  <c r="FZ6"/>
  <c r="FY6"/>
  <c r="FX6"/>
  <c r="FW6"/>
  <c r="FV6"/>
  <c r="FU6"/>
  <c r="FT6"/>
  <c r="FS6"/>
  <c r="FR6"/>
  <c r="FQ6"/>
  <c r="FP6"/>
  <c r="FO6"/>
  <c r="FM6"/>
  <c r="FL6"/>
  <c r="FK6"/>
  <c r="FJ6"/>
  <c r="FI6"/>
  <c r="FH6"/>
  <c r="FG6"/>
  <c r="FF6"/>
  <c r="FE6"/>
  <c r="FD6"/>
  <c r="FC6"/>
  <c r="FB6"/>
  <c r="FA6"/>
  <c r="EZ6"/>
  <c r="CD8" l="1"/>
  <c r="O13"/>
  <c r="O59" s="1"/>
  <c r="HB13"/>
  <c r="FJ13"/>
  <c r="GS13"/>
  <c r="Q14"/>
  <c r="Q60" s="1"/>
  <c r="FD14"/>
  <c r="DT22"/>
  <c r="HU8"/>
  <c r="GZ12"/>
  <c r="HH12"/>
  <c r="L61"/>
  <c r="GV17"/>
  <c r="HD17"/>
  <c r="CK18"/>
  <c r="AG8"/>
  <c r="BX8"/>
  <c r="DS8"/>
  <c r="FB8"/>
  <c r="GK8"/>
  <c r="F56"/>
  <c r="N56"/>
  <c r="GX11"/>
  <c r="HF11"/>
  <c r="G13"/>
  <c r="G59" s="1"/>
  <c r="GV13"/>
  <c r="DD13"/>
  <c r="HU13"/>
  <c r="AA14"/>
  <c r="HY14"/>
  <c r="BM22"/>
  <c r="H22"/>
  <c r="H68" s="1"/>
  <c r="S53"/>
  <c r="HA7"/>
  <c r="HI7"/>
  <c r="EE8"/>
  <c r="GG8"/>
  <c r="CL9"/>
  <c r="CT9"/>
  <c r="CK10"/>
  <c r="GV10"/>
  <c r="HD10"/>
  <c r="GV11"/>
  <c r="HD11"/>
  <c r="L58"/>
  <c r="CL12"/>
  <c r="CT12"/>
  <c r="BP13"/>
  <c r="DS13"/>
  <c r="GK13"/>
  <c r="FJ14"/>
  <c r="GZ15"/>
  <c r="HH15"/>
  <c r="GZ16"/>
  <c r="HH16"/>
  <c r="Z18"/>
  <c r="I66"/>
  <c r="Q66"/>
  <c r="K67"/>
  <c r="BK22"/>
  <c r="BI22"/>
  <c r="Y8"/>
  <c r="CF8"/>
  <c r="FJ8"/>
  <c r="HY8"/>
  <c r="CR11"/>
  <c r="CR12"/>
  <c r="BN13"/>
  <c r="GG13"/>
  <c r="DY14"/>
  <c r="GM14"/>
  <c r="HQ14"/>
  <c r="GY22"/>
  <c r="DW8"/>
  <c r="FD8"/>
  <c r="HQ8"/>
  <c r="CM13"/>
  <c r="BB13"/>
  <c r="CB13"/>
  <c r="DF14"/>
  <c r="HA22"/>
  <c r="DG22"/>
  <c r="HS13"/>
  <c r="AG14"/>
  <c r="CQ20"/>
  <c r="CY20"/>
  <c r="F22"/>
  <c r="F68" s="1"/>
  <c r="I8"/>
  <c r="I30" s="1"/>
  <c r="BN8"/>
  <c r="GI8"/>
  <c r="HM8"/>
  <c r="HC12"/>
  <c r="AX13"/>
  <c r="BZ13"/>
  <c r="DF13"/>
  <c r="HA13" s="1"/>
  <c r="DY13"/>
  <c r="GM13"/>
  <c r="AT14"/>
  <c r="BJ14"/>
  <c r="DD14"/>
  <c r="GQ14"/>
  <c r="G61"/>
  <c r="O61"/>
  <c r="GY17"/>
  <c r="HG17"/>
  <c r="GZ19"/>
  <c r="HE20"/>
  <c r="DO22"/>
  <c r="GV7"/>
  <c r="HD7"/>
  <c r="DD8"/>
  <c r="FL8"/>
  <c r="GS8"/>
  <c r="HW8"/>
  <c r="CQ10"/>
  <c r="CY10"/>
  <c r="HA10"/>
  <c r="HI10"/>
  <c r="HA11"/>
  <c r="HI11"/>
  <c r="I58"/>
  <c r="Q58"/>
  <c r="M13"/>
  <c r="M59" s="1"/>
  <c r="CU13"/>
  <c r="AT13"/>
  <c r="E14"/>
  <c r="E60" s="1"/>
  <c r="AP14"/>
  <c r="BF14"/>
  <c r="GW15"/>
  <c r="HE15"/>
  <c r="GW16"/>
  <c r="HE16"/>
  <c r="GW17"/>
  <c r="HE17"/>
  <c r="E64"/>
  <c r="GX18"/>
  <c r="HF18"/>
  <c r="GX19"/>
  <c r="HF19"/>
  <c r="H67"/>
  <c r="P67"/>
  <c r="Z21"/>
  <c r="HA21"/>
  <c r="HI21"/>
  <c r="AB22"/>
  <c r="BA22"/>
  <c r="HI22"/>
  <c r="EB22"/>
  <c r="CR7"/>
  <c r="Q8"/>
  <c r="BV8"/>
  <c r="GW8" s="1"/>
  <c r="EA8"/>
  <c r="FH8"/>
  <c r="GO8"/>
  <c r="HS8"/>
  <c r="CO9"/>
  <c r="CW9"/>
  <c r="AA13"/>
  <c r="AP13"/>
  <c r="EE13"/>
  <c r="HY13"/>
  <c r="Y14"/>
  <c r="BB14"/>
  <c r="BP14"/>
  <c r="DL14"/>
  <c r="HG14" s="1"/>
  <c r="FH14"/>
  <c r="GK14"/>
  <c r="CK17"/>
  <c r="CS17"/>
  <c r="HA20"/>
  <c r="HI20"/>
  <c r="O8"/>
  <c r="AC8"/>
  <c r="BH8"/>
  <c r="HH8"/>
  <c r="DL8"/>
  <c r="GM8"/>
  <c r="CN9"/>
  <c r="CV9"/>
  <c r="CN10"/>
  <c r="CV10"/>
  <c r="GX12"/>
  <c r="HF12"/>
  <c r="DL13"/>
  <c r="W14"/>
  <c r="AZ14"/>
  <c r="BN14"/>
  <c r="EA14"/>
  <c r="HM14"/>
  <c r="HB16"/>
  <c r="HB17"/>
  <c r="HJ17"/>
  <c r="HC19"/>
  <c r="K66"/>
  <c r="HH20"/>
  <c r="HC22"/>
  <c r="DI22"/>
  <c r="CM9"/>
  <c r="CU9"/>
  <c r="CM10"/>
  <c r="CU10"/>
  <c r="CP19"/>
  <c r="CX19"/>
  <c r="CP7"/>
  <c r="CX7"/>
  <c r="CO7"/>
  <c r="CW7"/>
  <c r="K8"/>
  <c r="K30" s="1"/>
  <c r="W8"/>
  <c r="CN8" s="1"/>
  <c r="GX8"/>
  <c r="CY8"/>
  <c r="DY8"/>
  <c r="GQ8"/>
  <c r="GW9"/>
  <c r="HE9"/>
  <c r="GW10"/>
  <c r="HE10"/>
  <c r="E57"/>
  <c r="M57"/>
  <c r="CL11"/>
  <c r="CT11"/>
  <c r="GW12"/>
  <c r="HE12"/>
  <c r="AR13"/>
  <c r="EC13"/>
  <c r="GO13"/>
  <c r="HQ13"/>
  <c r="BX14"/>
  <c r="CH14"/>
  <c r="HI14" s="1"/>
  <c r="DJ14"/>
  <c r="DW14"/>
  <c r="HU14"/>
  <c r="CO15"/>
  <c r="CW15"/>
  <c r="CN15"/>
  <c r="CV15"/>
  <c r="CN16"/>
  <c r="CV16"/>
  <c r="G64"/>
  <c r="O64"/>
  <c r="CO18"/>
  <c r="CW18"/>
  <c r="HH19"/>
  <c r="CS20"/>
  <c r="CX21"/>
  <c r="CO21"/>
  <c r="CW21"/>
  <c r="R22"/>
  <c r="R68" s="1"/>
  <c r="BQ22"/>
  <c r="DV22"/>
  <c r="CK9"/>
  <c r="CS9"/>
  <c r="CK12"/>
  <c r="CS12"/>
  <c r="CK13"/>
  <c r="Q13"/>
  <c r="Q59" s="1"/>
  <c r="DH14"/>
  <c r="DU14"/>
  <c r="FB14"/>
  <c r="HS14"/>
  <c r="F62"/>
  <c r="N62"/>
  <c r="CM16"/>
  <c r="CU16"/>
  <c r="CM17"/>
  <c r="CU17"/>
  <c r="CN18"/>
  <c r="CV18"/>
  <c r="CN19"/>
  <c r="CV19"/>
  <c r="CR20"/>
  <c r="CN7"/>
  <c r="CV7"/>
  <c r="CM7"/>
  <c r="CU7"/>
  <c r="AE8"/>
  <c r="DJ8"/>
  <c r="HE8" s="1"/>
  <c r="EZ8"/>
  <c r="HO8"/>
  <c r="CR9"/>
  <c r="K56"/>
  <c r="CR10"/>
  <c r="CK11"/>
  <c r="CS11"/>
  <c r="HC11"/>
  <c r="AZ13"/>
  <c r="BL13"/>
  <c r="GX13"/>
  <c r="FF13"/>
  <c r="HM13"/>
  <c r="AV14"/>
  <c r="BH14"/>
  <c r="BV14"/>
  <c r="CL14" s="1"/>
  <c r="CF14"/>
  <c r="CM15"/>
  <c r="CU15"/>
  <c r="M64"/>
  <c r="CM18"/>
  <c r="HB20"/>
  <c r="HJ20"/>
  <c r="CM21"/>
  <c r="CU21"/>
  <c r="AD22"/>
  <c r="AY22"/>
  <c r="CL7"/>
  <c r="CT7"/>
  <c r="HF8"/>
  <c r="HB9"/>
  <c r="HJ9"/>
  <c r="HB10"/>
  <c r="HJ10"/>
  <c r="J57"/>
  <c r="R57"/>
  <c r="CQ11"/>
  <c r="CY11"/>
  <c r="HB12"/>
  <c r="BV13"/>
  <c r="HF14"/>
  <c r="DS14"/>
  <c r="EE14"/>
  <c r="GO14"/>
  <c r="CK15"/>
  <c r="CS15"/>
  <c r="L62"/>
  <c r="CK16"/>
  <c r="CS16"/>
  <c r="CU18"/>
  <c r="CL18"/>
  <c r="CT18"/>
  <c r="E65"/>
  <c r="M65"/>
  <c r="CL19"/>
  <c r="CT19"/>
  <c r="D30"/>
  <c r="CP9"/>
  <c r="CX9"/>
  <c r="CP12"/>
  <c r="CX12"/>
  <c r="Y13"/>
  <c r="AV13"/>
  <c r="DJ13"/>
  <c r="HE13" s="1"/>
  <c r="DW13"/>
  <c r="FB13"/>
  <c r="GI13"/>
  <c r="HW13"/>
  <c r="K14"/>
  <c r="K60" s="1"/>
  <c r="CD14"/>
  <c r="HO14"/>
  <c r="CR17"/>
  <c r="CK21"/>
  <c r="CS21"/>
  <c r="DE22"/>
  <c r="CK7"/>
  <c r="CS7"/>
  <c r="HC7"/>
  <c r="BP8"/>
  <c r="CQ8"/>
  <c r="FF8"/>
  <c r="GZ9"/>
  <c r="HH9"/>
  <c r="H56"/>
  <c r="P56"/>
  <c r="CP10"/>
  <c r="CX10"/>
  <c r="CO10"/>
  <c r="CW10"/>
  <c r="CP11"/>
  <c r="CX11"/>
  <c r="GZ11"/>
  <c r="HH11"/>
  <c r="K13"/>
  <c r="K59" s="1"/>
  <c r="CD13"/>
  <c r="DH13"/>
  <c r="HC13" s="1"/>
  <c r="DU13"/>
  <c r="J61"/>
  <c r="R61"/>
  <c r="CQ15"/>
  <c r="CY15"/>
  <c r="HJ16"/>
  <c r="CR18"/>
  <c r="J67"/>
  <c r="R67"/>
  <c r="CR21"/>
  <c r="Z22"/>
  <c r="CQ7"/>
  <c r="CY7"/>
  <c r="GY9"/>
  <c r="HG9"/>
  <c r="GY10"/>
  <c r="HG10"/>
  <c r="G57"/>
  <c r="O57"/>
  <c r="CN11"/>
  <c r="CV11"/>
  <c r="G58"/>
  <c r="O58"/>
  <c r="CN12"/>
  <c r="CV12"/>
  <c r="I13"/>
  <c r="I59" s="1"/>
  <c r="BF13"/>
  <c r="BR13"/>
  <c r="HD13"/>
  <c r="EZ13"/>
  <c r="FL13"/>
  <c r="AE14"/>
  <c r="CV14" s="1"/>
  <c r="BZ14"/>
  <c r="HA14" s="1"/>
  <c r="FF14"/>
  <c r="HA15"/>
  <c r="HI15"/>
  <c r="I62"/>
  <c r="Q62"/>
  <c r="CP16"/>
  <c r="CX16"/>
  <c r="I63"/>
  <c r="Q63"/>
  <c r="CP17"/>
  <c r="CX17"/>
  <c r="HB18"/>
  <c r="HJ18"/>
  <c r="J65"/>
  <c r="R65"/>
  <c r="CQ19"/>
  <c r="CY19"/>
  <c r="CQ21"/>
  <c r="CY21"/>
  <c r="V22"/>
  <c r="DC22"/>
  <c r="DX22"/>
  <c r="FC22"/>
  <c r="Q54"/>
  <c r="Q30"/>
  <c r="GY14"/>
  <c r="I54"/>
  <c r="CV8"/>
  <c r="GZ20"/>
  <c r="GY20" s="1"/>
  <c r="GX20" s="1"/>
  <c r="GW20" s="1"/>
  <c r="GV20" s="1"/>
  <c r="R53"/>
  <c r="R29"/>
  <c r="Q29" s="1"/>
  <c r="F55"/>
  <c r="F31"/>
  <c r="N55"/>
  <c r="N31"/>
  <c r="GV8"/>
  <c r="HD8"/>
  <c r="GX9"/>
  <c r="HF9"/>
  <c r="GZ10"/>
  <c r="HH10"/>
  <c r="HB11"/>
  <c r="HJ11"/>
  <c r="GV12"/>
  <c r="HD12"/>
  <c r="L60"/>
  <c r="GY15"/>
  <c r="HG15"/>
  <c r="HA16"/>
  <c r="HI16"/>
  <c r="HC17"/>
  <c r="GW18"/>
  <c r="HE18"/>
  <c r="GY19"/>
  <c r="HG19"/>
  <c r="CP21"/>
  <c r="GZ21"/>
  <c r="HH21"/>
  <c r="J53"/>
  <c r="J29"/>
  <c r="I29" s="1"/>
  <c r="L54"/>
  <c r="L30"/>
  <c r="I53"/>
  <c r="Q53"/>
  <c r="E55"/>
  <c r="M55"/>
  <c r="EF27"/>
  <c r="HJ27"/>
  <c r="CY27"/>
  <c r="HB7"/>
  <c r="HJ7"/>
  <c r="CB8"/>
  <c r="CK8"/>
  <c r="CS8"/>
  <c r="G56"/>
  <c r="O56"/>
  <c r="I57"/>
  <c r="Q57"/>
  <c r="K58"/>
  <c r="N59"/>
  <c r="W13"/>
  <c r="AE13"/>
  <c r="BX13"/>
  <c r="CF13"/>
  <c r="CO13"/>
  <c r="CW13"/>
  <c r="CB14"/>
  <c r="CK14"/>
  <c r="CS14"/>
  <c r="GV14"/>
  <c r="HD14"/>
  <c r="F61"/>
  <c r="N61"/>
  <c r="H62"/>
  <c r="P62"/>
  <c r="J63"/>
  <c r="R63"/>
  <c r="L64"/>
  <c r="F65"/>
  <c r="N65"/>
  <c r="H66"/>
  <c r="P66"/>
  <c r="CP20"/>
  <c r="CX20"/>
  <c r="G67"/>
  <c r="O67"/>
  <c r="I68"/>
  <c r="Q68"/>
  <c r="CA22"/>
  <c r="CI22"/>
  <c r="CR22"/>
  <c r="H53"/>
  <c r="H29"/>
  <c r="P53"/>
  <c r="P29"/>
  <c r="O29" s="1"/>
  <c r="J54"/>
  <c r="J30"/>
  <c r="R54"/>
  <c r="S54"/>
  <c r="R30"/>
  <c r="L55"/>
  <c r="L31"/>
  <c r="GZ7"/>
  <c r="HH7"/>
  <c r="HB8"/>
  <c r="HJ8"/>
  <c r="D31"/>
  <c r="GV9"/>
  <c r="HD9"/>
  <c r="GX10"/>
  <c r="HF10"/>
  <c r="H57"/>
  <c r="P57"/>
  <c r="J58"/>
  <c r="R58"/>
  <c r="HJ12"/>
  <c r="E13"/>
  <c r="E59" s="1"/>
  <c r="GZ13"/>
  <c r="HH13"/>
  <c r="HJ13" s="1"/>
  <c r="J60"/>
  <c r="R60"/>
  <c r="E61"/>
  <c r="M61"/>
  <c r="G62"/>
  <c r="O62"/>
  <c r="CO16"/>
  <c r="CW16"/>
  <c r="GY16"/>
  <c r="HG16"/>
  <c r="CQ17"/>
  <c r="CY17"/>
  <c r="HA17"/>
  <c r="HI17"/>
  <c r="CS18"/>
  <c r="HC18"/>
  <c r="CM19"/>
  <c r="CU19"/>
  <c r="GW19"/>
  <c r="HE19"/>
  <c r="CO20"/>
  <c r="CW20"/>
  <c r="HD20"/>
  <c r="CN21"/>
  <c r="CV21"/>
  <c r="GX21"/>
  <c r="HF21"/>
  <c r="G53"/>
  <c r="G29"/>
  <c r="O53"/>
  <c r="K55"/>
  <c r="BZ8"/>
  <c r="CH8"/>
  <c r="HC9"/>
  <c r="E56"/>
  <c r="M56"/>
  <c r="CO11"/>
  <c r="CW11"/>
  <c r="GY11"/>
  <c r="HG11"/>
  <c r="CQ12"/>
  <c r="CY12"/>
  <c r="HA12"/>
  <c r="HI12"/>
  <c r="L59"/>
  <c r="CQ14"/>
  <c r="CY14"/>
  <c r="CL15"/>
  <c r="CT15"/>
  <c r="GV15"/>
  <c r="HD15"/>
  <c r="GX16"/>
  <c r="HF16"/>
  <c r="H63"/>
  <c r="P63"/>
  <c r="J64"/>
  <c r="R64"/>
  <c r="L65"/>
  <c r="F66"/>
  <c r="N66"/>
  <c r="CN20"/>
  <c r="CV20"/>
  <c r="HC20"/>
  <c r="E67"/>
  <c r="M67"/>
  <c r="G68"/>
  <c r="O68"/>
  <c r="X22"/>
  <c r="AF22"/>
  <c r="BG22"/>
  <c r="BO22"/>
  <c r="BY22"/>
  <c r="CG22"/>
  <c r="CP22"/>
  <c r="CX22"/>
  <c r="N53"/>
  <c r="N29"/>
  <c r="H54"/>
  <c r="H30"/>
  <c r="P54"/>
  <c r="P30"/>
  <c r="J55"/>
  <c r="J31"/>
  <c r="S55"/>
  <c r="R55"/>
  <c r="R31"/>
  <c r="GX7"/>
  <c r="HF7"/>
  <c r="L56"/>
  <c r="CL10"/>
  <c r="CT10"/>
  <c r="F57"/>
  <c r="N57"/>
  <c r="H58"/>
  <c r="P58"/>
  <c r="CL13"/>
  <c r="CT13"/>
  <c r="H60"/>
  <c r="P60"/>
  <c r="K61"/>
  <c r="E62"/>
  <c r="M62"/>
  <c r="G63"/>
  <c r="O63"/>
  <c r="CO17"/>
  <c r="CW17"/>
  <c r="I64"/>
  <c r="Q64"/>
  <c r="CQ18"/>
  <c r="CY18"/>
  <c r="K65"/>
  <c r="CS19"/>
  <c r="E66"/>
  <c r="M66"/>
  <c r="CM20"/>
  <c r="CU20"/>
  <c r="L67"/>
  <c r="CL21"/>
  <c r="CT21"/>
  <c r="GV21"/>
  <c r="HD21"/>
  <c r="G54"/>
  <c r="G30"/>
  <c r="O54"/>
  <c r="O30"/>
  <c r="I55"/>
  <c r="I31"/>
  <c r="Q55"/>
  <c r="Q31"/>
  <c r="GW7"/>
  <c r="HE7"/>
  <c r="CO8"/>
  <c r="CW8"/>
  <c r="GY8"/>
  <c r="HG8"/>
  <c r="CQ9"/>
  <c r="CY9"/>
  <c r="HA9"/>
  <c r="HI9"/>
  <c r="CS10"/>
  <c r="HC10"/>
  <c r="CM11"/>
  <c r="CU11"/>
  <c r="GW11"/>
  <c r="HE11"/>
  <c r="CO12"/>
  <c r="CW12"/>
  <c r="GY12"/>
  <c r="HG12"/>
  <c r="R59"/>
  <c r="CS13"/>
  <c r="CO14"/>
  <c r="CW14"/>
  <c r="CR15"/>
  <c r="HB15"/>
  <c r="HJ15"/>
  <c r="CL16"/>
  <c r="CT16"/>
  <c r="GV16"/>
  <c r="HD16"/>
  <c r="CN17"/>
  <c r="CV17"/>
  <c r="GX17"/>
  <c r="HF17"/>
  <c r="CP18"/>
  <c r="CX18"/>
  <c r="GZ18"/>
  <c r="HH18"/>
  <c r="CR19"/>
  <c r="HB19"/>
  <c r="HJ19"/>
  <c r="CL20"/>
  <c r="CT20"/>
  <c r="HC21"/>
  <c r="BW22"/>
  <c r="CE22"/>
  <c r="CN22"/>
  <c r="CV22"/>
  <c r="F53"/>
  <c r="F29"/>
  <c r="E53"/>
  <c r="L53"/>
  <c r="L29"/>
  <c r="F30"/>
  <c r="N30"/>
  <c r="H55"/>
  <c r="H31"/>
  <c r="G31" s="1"/>
  <c r="P55"/>
  <c r="P31"/>
  <c r="D29"/>
  <c r="HZ27" s="1"/>
  <c r="J56"/>
  <c r="R56"/>
  <c r="L57"/>
  <c r="F58"/>
  <c r="N58"/>
  <c r="CI13"/>
  <c r="CR13"/>
  <c r="F60"/>
  <c r="CN14"/>
  <c r="GG14"/>
  <c r="I61"/>
  <c r="Q61"/>
  <c r="K62"/>
  <c r="E63"/>
  <c r="M63"/>
  <c r="GY18"/>
  <c r="HG18"/>
  <c r="HA19"/>
  <c r="HI19"/>
  <c r="CK20"/>
  <c r="HB21"/>
  <c r="HJ21"/>
  <c r="D22"/>
  <c r="E68" s="1"/>
  <c r="L22"/>
  <c r="L68" s="1"/>
  <c r="GW22"/>
  <c r="HE22"/>
  <c r="M53"/>
  <c r="K53"/>
  <c r="G55"/>
  <c r="O55"/>
  <c r="O31"/>
  <c r="E8"/>
  <c r="E31" s="1"/>
  <c r="M8"/>
  <c r="CM8"/>
  <c r="CU8"/>
  <c r="I56"/>
  <c r="Q56"/>
  <c r="K57"/>
  <c r="E58"/>
  <c r="M58"/>
  <c r="CM12"/>
  <c r="CU12"/>
  <c r="H59"/>
  <c r="P59"/>
  <c r="CQ13"/>
  <c r="DB13"/>
  <c r="M14"/>
  <c r="M60" s="1"/>
  <c r="CM14"/>
  <c r="CU14"/>
  <c r="H61"/>
  <c r="P61"/>
  <c r="CP15"/>
  <c r="CX15"/>
  <c r="J62"/>
  <c r="R62"/>
  <c r="CR16"/>
  <c r="L63"/>
  <c r="CL17"/>
  <c r="CT17"/>
  <c r="F64"/>
  <c r="N64"/>
  <c r="H65"/>
  <c r="P65"/>
  <c r="J66"/>
  <c r="R66"/>
  <c r="I67"/>
  <c r="Q67"/>
  <c r="K68"/>
  <c r="BU22"/>
  <c r="CC22"/>
  <c r="CL22"/>
  <c r="CT22"/>
  <c r="EY6"/>
  <c r="EV6"/>
  <c r="EU6"/>
  <c r="ET6"/>
  <c r="ES6"/>
  <c r="ER6"/>
  <c r="EQ6"/>
  <c r="EP6"/>
  <c r="EO6"/>
  <c r="EN6"/>
  <c r="EM6"/>
  <c r="EL6"/>
  <c r="EK6"/>
  <c r="EJ6"/>
  <c r="EI6"/>
  <c r="EH6"/>
  <c r="EF6"/>
  <c r="EE6"/>
  <c r="ED6"/>
  <c r="EC6"/>
  <c r="EB6"/>
  <c r="EA6"/>
  <c r="DZ6"/>
  <c r="DY6"/>
  <c r="DX6"/>
  <c r="DW6"/>
  <c r="DV6"/>
  <c r="DU6"/>
  <c r="DT6"/>
  <c r="DS6"/>
  <c r="DR6"/>
  <c r="DO6"/>
  <c r="DN6"/>
  <c r="DM6"/>
  <c r="DL6"/>
  <c r="DK6"/>
  <c r="DJ6"/>
  <c r="DI6"/>
  <c r="DH6"/>
  <c r="DG6"/>
  <c r="DF6"/>
  <c r="DE6"/>
  <c r="DD6"/>
  <c r="DC6"/>
  <c r="DB6"/>
  <c r="DA6"/>
  <c r="CI6"/>
  <c r="CH6"/>
  <c r="HI6" s="1"/>
  <c r="CG6"/>
  <c r="CF6"/>
  <c r="HG6" s="1"/>
  <c r="CE6"/>
  <c r="CD6"/>
  <c r="CC6"/>
  <c r="CB6"/>
  <c r="CA6"/>
  <c r="BZ6"/>
  <c r="HA6" s="1"/>
  <c r="BY6"/>
  <c r="BX6"/>
  <c r="GY6" s="1"/>
  <c r="BW6"/>
  <c r="BV6"/>
  <c r="BU6"/>
  <c r="BS6"/>
  <c r="BR6"/>
  <c r="BQ6"/>
  <c r="BP6"/>
  <c r="BO6"/>
  <c r="BN6"/>
  <c r="BM6"/>
  <c r="BL6"/>
  <c r="BK6"/>
  <c r="BJ6"/>
  <c r="BI6"/>
  <c r="BH6"/>
  <c r="BG6"/>
  <c r="BF6"/>
  <c r="BE6"/>
  <c r="BC6"/>
  <c r="BB6"/>
  <c r="BA6"/>
  <c r="AZ6"/>
  <c r="AY6"/>
  <c r="AX6"/>
  <c r="AW6"/>
  <c r="AV6"/>
  <c r="AU6"/>
  <c r="AT6"/>
  <c r="AS6"/>
  <c r="AR6"/>
  <c r="AQ6"/>
  <c r="AP6"/>
  <c r="AO6"/>
  <c r="AM6"/>
  <c r="AL6"/>
  <c r="AK6"/>
  <c r="AJ6"/>
  <c r="AH6"/>
  <c r="AG6"/>
  <c r="AF6"/>
  <c r="AE6"/>
  <c r="AD6"/>
  <c r="AC6"/>
  <c r="AB6"/>
  <c r="AA6"/>
  <c r="Z6"/>
  <c r="Y6"/>
  <c r="X6"/>
  <c r="W6"/>
  <c r="V6"/>
  <c r="U6"/>
  <c r="T6"/>
  <c r="R6"/>
  <c r="Q6"/>
  <c r="Q52" s="1"/>
  <c r="P6"/>
  <c r="O6"/>
  <c r="O52" s="1"/>
  <c r="N6"/>
  <c r="M6"/>
  <c r="L6"/>
  <c r="K6"/>
  <c r="J6"/>
  <c r="I6"/>
  <c r="I52" s="1"/>
  <c r="H6"/>
  <c r="G6"/>
  <c r="G52" s="1"/>
  <c r="F6"/>
  <c r="E6"/>
  <c r="D6"/>
  <c r="HZ5"/>
  <c r="HY5"/>
  <c r="HX5"/>
  <c r="HW5"/>
  <c r="HV5"/>
  <c r="HU5"/>
  <c r="HT5"/>
  <c r="HS5"/>
  <c r="HR5"/>
  <c r="HQ5"/>
  <c r="HP5"/>
  <c r="HO5"/>
  <c r="HN5"/>
  <c r="HM5"/>
  <c r="HL5"/>
  <c r="GT5"/>
  <c r="GS5"/>
  <c r="GR5"/>
  <c r="GQ5"/>
  <c r="GP5"/>
  <c r="GO5"/>
  <c r="GN5"/>
  <c r="GM5"/>
  <c r="GL5"/>
  <c r="GK5"/>
  <c r="GJ5"/>
  <c r="GI5"/>
  <c r="GH5"/>
  <c r="GG5"/>
  <c r="GF5"/>
  <c r="GC5"/>
  <c r="GB5"/>
  <c r="GA5"/>
  <c r="FZ5"/>
  <c r="FY5"/>
  <c r="FX5"/>
  <c r="FW5"/>
  <c r="FV5"/>
  <c r="FU5"/>
  <c r="FT5"/>
  <c r="FS5"/>
  <c r="FR5"/>
  <c r="FQ5"/>
  <c r="FP5"/>
  <c r="FO5"/>
  <c r="FM5"/>
  <c r="FL5"/>
  <c r="FK5"/>
  <c r="FJ5"/>
  <c r="FI5"/>
  <c r="FH5"/>
  <c r="FG5"/>
  <c r="FF5"/>
  <c r="FE5"/>
  <c r="FD5"/>
  <c r="FC5"/>
  <c r="FB5"/>
  <c r="FA5"/>
  <c r="EZ5"/>
  <c r="EY5" s="1"/>
  <c r="EV5"/>
  <c r="EU5"/>
  <c r="ET5"/>
  <c r="ES5"/>
  <c r="ER5"/>
  <c r="EQ5"/>
  <c r="EP5"/>
  <c r="EO5"/>
  <c r="EN5"/>
  <c r="EM5"/>
  <c r="EL5"/>
  <c r="EK5"/>
  <c r="EJ5"/>
  <c r="EI5"/>
  <c r="EH5"/>
  <c r="EF5"/>
  <c r="EE5"/>
  <c r="ED5"/>
  <c r="EC5"/>
  <c r="EB5"/>
  <c r="EA5"/>
  <c r="DZ5"/>
  <c r="DY5"/>
  <c r="DX5"/>
  <c r="DW5"/>
  <c r="DV5"/>
  <c r="DU5"/>
  <c r="DT5"/>
  <c r="DS5"/>
  <c r="DR5"/>
  <c r="DO5"/>
  <c r="DN5"/>
  <c r="DM5"/>
  <c r="DL5"/>
  <c r="DK5"/>
  <c r="DJ5"/>
  <c r="DI5"/>
  <c r="DH5"/>
  <c r="DG5"/>
  <c r="DF5"/>
  <c r="DE5"/>
  <c r="DD5"/>
  <c r="DC5"/>
  <c r="DB5"/>
  <c r="DA5"/>
  <c r="CI5"/>
  <c r="CH5"/>
  <c r="CG5"/>
  <c r="CF5"/>
  <c r="CE5"/>
  <c r="HF5" s="1"/>
  <c r="CD5"/>
  <c r="CC5"/>
  <c r="CB5"/>
  <c r="CA5"/>
  <c r="BZ5"/>
  <c r="BY5"/>
  <c r="BX5"/>
  <c r="BW5"/>
  <c r="GX5" s="1"/>
  <c r="BV5"/>
  <c r="BU5"/>
  <c r="BS5"/>
  <c r="BR5"/>
  <c r="BQ5"/>
  <c r="BP5"/>
  <c r="BO5"/>
  <c r="BN5"/>
  <c r="BM5"/>
  <c r="BL5"/>
  <c r="BK5"/>
  <c r="BJ5"/>
  <c r="BI5"/>
  <c r="BH5"/>
  <c r="BG5"/>
  <c r="BF5"/>
  <c r="BE5"/>
  <c r="BC5"/>
  <c r="BB5"/>
  <c r="BA5"/>
  <c r="AZ5"/>
  <c r="AY5"/>
  <c r="AX5"/>
  <c r="AV5"/>
  <c r="AU5"/>
  <c r="AT5"/>
  <c r="AS5"/>
  <c r="AR5"/>
  <c r="AQ5"/>
  <c r="AP5"/>
  <c r="AO5"/>
  <c r="AM5"/>
  <c r="AL5"/>
  <c r="AK5"/>
  <c r="AJ5"/>
  <c r="AH5"/>
  <c r="AG5"/>
  <c r="AF5"/>
  <c r="AE5"/>
  <c r="AD5"/>
  <c r="AC5"/>
  <c r="AB5"/>
  <c r="AA5"/>
  <c r="Z5"/>
  <c r="Y5"/>
  <c r="X5"/>
  <c r="W5"/>
  <c r="V5"/>
  <c r="U5"/>
  <c r="T5"/>
  <c r="R5"/>
  <c r="Q5"/>
  <c r="P5"/>
  <c r="O5"/>
  <c r="O51" s="1"/>
  <c r="N5"/>
  <c r="M5"/>
  <c r="M51" s="1"/>
  <c r="L5"/>
  <c r="K5"/>
  <c r="J5"/>
  <c r="I5"/>
  <c r="H5"/>
  <c r="G5"/>
  <c r="G51" s="1"/>
  <c r="F5"/>
  <c r="E5"/>
  <c r="E51" s="1"/>
  <c r="D5"/>
  <c r="K85" i="47"/>
  <c r="J85"/>
  <c r="I85"/>
  <c r="H85"/>
  <c r="G85"/>
  <c r="F85"/>
  <c r="E85"/>
  <c r="D85"/>
  <c r="K84"/>
  <c r="J84"/>
  <c r="I84"/>
  <c r="H84"/>
  <c r="G84"/>
  <c r="F84"/>
  <c r="E84"/>
  <c r="D84"/>
  <c r="K83"/>
  <c r="J83"/>
  <c r="I83"/>
  <c r="H83"/>
  <c r="G83"/>
  <c r="F83"/>
  <c r="E83"/>
  <c r="D83"/>
  <c r="K82"/>
  <c r="J82"/>
  <c r="I82"/>
  <c r="H82"/>
  <c r="G82"/>
  <c r="F82"/>
  <c r="E82"/>
  <c r="D82"/>
  <c r="K81"/>
  <c r="J81"/>
  <c r="I81"/>
  <c r="H81"/>
  <c r="G81"/>
  <c r="F81"/>
  <c r="E81"/>
  <c r="D81"/>
  <c r="P80"/>
  <c r="K80"/>
  <c r="J80"/>
  <c r="I80"/>
  <c r="H80"/>
  <c r="G80"/>
  <c r="F80"/>
  <c r="E80"/>
  <c r="D80"/>
  <c r="P79"/>
  <c r="K79"/>
  <c r="J79"/>
  <c r="I79"/>
  <c r="H79"/>
  <c r="G79"/>
  <c r="F79"/>
  <c r="E79"/>
  <c r="D79"/>
  <c r="K78"/>
  <c r="J78"/>
  <c r="I78"/>
  <c r="H78"/>
  <c r="G78"/>
  <c r="F78"/>
  <c r="E78"/>
  <c r="D78"/>
  <c r="K77"/>
  <c r="J77"/>
  <c r="I77"/>
  <c r="H77"/>
  <c r="G77"/>
  <c r="F77"/>
  <c r="E77"/>
  <c r="D77"/>
  <c r="K76"/>
  <c r="J76"/>
  <c r="I76"/>
  <c r="H76"/>
  <c r="G76"/>
  <c r="F76"/>
  <c r="E76"/>
  <c r="D76"/>
  <c r="K75"/>
  <c r="J75"/>
  <c r="I75"/>
  <c r="H75"/>
  <c r="G75"/>
  <c r="F75"/>
  <c r="E75"/>
  <c r="D75"/>
  <c r="K74"/>
  <c r="J74"/>
  <c r="I74"/>
  <c r="H74"/>
  <c r="G74"/>
  <c r="F74"/>
  <c r="E74"/>
  <c r="D74"/>
  <c r="K73"/>
  <c r="J73"/>
  <c r="I73"/>
  <c r="H73"/>
  <c r="G73"/>
  <c r="F73"/>
  <c r="E73"/>
  <c r="D73"/>
  <c r="K72"/>
  <c r="J72"/>
  <c r="I72"/>
  <c r="H72"/>
  <c r="G72"/>
  <c r="F72"/>
  <c r="E72"/>
  <c r="D72"/>
  <c r="K71"/>
  <c r="J71"/>
  <c r="I71"/>
  <c r="H71"/>
  <c r="G71"/>
  <c r="F71"/>
  <c r="E71"/>
  <c r="D71"/>
  <c r="M70"/>
  <c r="K70"/>
  <c r="J70"/>
  <c r="I70"/>
  <c r="H70"/>
  <c r="G70"/>
  <c r="F70"/>
  <c r="E70"/>
  <c r="D70"/>
  <c r="N69"/>
  <c r="M69"/>
  <c r="O69" s="1"/>
  <c r="K69"/>
  <c r="J69"/>
  <c r="I69"/>
  <c r="H69"/>
  <c r="G69"/>
  <c r="F69"/>
  <c r="E69"/>
  <c r="D69"/>
  <c r="N68"/>
  <c r="O68" s="1"/>
  <c r="M68"/>
  <c r="K68"/>
  <c r="J68"/>
  <c r="I68"/>
  <c r="H68"/>
  <c r="G68"/>
  <c r="F68"/>
  <c r="E68"/>
  <c r="D68"/>
  <c r="O67"/>
  <c r="N67"/>
  <c r="M67"/>
  <c r="K67"/>
  <c r="J67"/>
  <c r="I67"/>
  <c r="H67"/>
  <c r="G67"/>
  <c r="F67"/>
  <c r="E67"/>
  <c r="D67"/>
  <c r="N66"/>
  <c r="O66" s="1"/>
  <c r="M66"/>
  <c r="K66"/>
  <c r="J66"/>
  <c r="I66"/>
  <c r="H66"/>
  <c r="G66"/>
  <c r="F66"/>
  <c r="E66"/>
  <c r="D66"/>
  <c r="N65"/>
  <c r="M65"/>
  <c r="O65" s="1"/>
  <c r="K65"/>
  <c r="J65"/>
  <c r="I65"/>
  <c r="H65"/>
  <c r="G65"/>
  <c r="F65"/>
  <c r="E65"/>
  <c r="D65"/>
  <c r="HC5" i="37" l="1"/>
  <c r="DO13"/>
  <c r="GW13"/>
  <c r="J59"/>
  <c r="HE14"/>
  <c r="CO5"/>
  <c r="CX14"/>
  <c r="GW14"/>
  <c r="CR6"/>
  <c r="L51"/>
  <c r="GW5"/>
  <c r="HE5"/>
  <c r="K54"/>
  <c r="GV5"/>
  <c r="HD5"/>
  <c r="K29"/>
  <c r="K31"/>
  <c r="L52"/>
  <c r="CW5"/>
  <c r="F51"/>
  <c r="CP14"/>
  <c r="N51"/>
  <c r="AW5"/>
  <c r="GY5"/>
  <c r="HG5"/>
  <c r="GZ5"/>
  <c r="HH5"/>
  <c r="H52"/>
  <c r="P52"/>
  <c r="GZ6"/>
  <c r="HH6"/>
  <c r="N54"/>
  <c r="E29"/>
  <c r="F59"/>
  <c r="M68"/>
  <c r="CM6"/>
  <c r="CU6"/>
  <c r="GW6"/>
  <c r="HE6"/>
  <c r="CR5"/>
  <c r="I51"/>
  <c r="Q51"/>
  <c r="HB5"/>
  <c r="HJ5"/>
  <c r="CP13"/>
  <c r="HA5"/>
  <c r="HI5"/>
  <c r="J52"/>
  <c r="R52"/>
  <c r="HB6"/>
  <c r="HJ6"/>
  <c r="M29"/>
  <c r="HD22"/>
  <c r="CS22"/>
  <c r="HC14"/>
  <c r="CR14"/>
  <c r="CR8"/>
  <c r="HC8"/>
  <c r="CN5"/>
  <c r="CV5"/>
  <c r="CQ6"/>
  <c r="CY6"/>
  <c r="CH13"/>
  <c r="HI13" s="1"/>
  <c r="E54"/>
  <c r="E30"/>
  <c r="GX22"/>
  <c r="CM22"/>
  <c r="CM5"/>
  <c r="CU5"/>
  <c r="CP6"/>
  <c r="CX6"/>
  <c r="M54"/>
  <c r="M30"/>
  <c r="HF22"/>
  <c r="CU22"/>
  <c r="CL5"/>
  <c r="CT5"/>
  <c r="CO6"/>
  <c r="CW6"/>
  <c r="N60"/>
  <c r="M31"/>
  <c r="GY13"/>
  <c r="CN13"/>
  <c r="K51"/>
  <c r="CK5"/>
  <c r="CS5"/>
  <c r="F52"/>
  <c r="N52"/>
  <c r="GX6"/>
  <c r="HF6"/>
  <c r="CN6"/>
  <c r="CV6"/>
  <c r="CT8"/>
  <c r="GZ22"/>
  <c r="CO22"/>
  <c r="CP8"/>
  <c r="HA8"/>
  <c r="HG13"/>
  <c r="CV13"/>
  <c r="J51"/>
  <c r="R51"/>
  <c r="E52"/>
  <c r="M52"/>
  <c r="HH22"/>
  <c r="CW22"/>
  <c r="CX8"/>
  <c r="HI8"/>
  <c r="HB22"/>
  <c r="CQ22"/>
  <c r="CQ5"/>
  <c r="CY5"/>
  <c r="GV6"/>
  <c r="HD6"/>
  <c r="CL6"/>
  <c r="CT6"/>
  <c r="F54"/>
  <c r="CY13"/>
  <c r="CL8"/>
  <c r="CT14"/>
  <c r="BS22"/>
  <c r="GV22"/>
  <c r="GT22" s="1"/>
  <c r="CK22"/>
  <c r="HJ22"/>
  <c r="CY22"/>
  <c r="H51"/>
  <c r="P51"/>
  <c r="CP5"/>
  <c r="CX5"/>
  <c r="K52"/>
  <c r="HC6"/>
  <c r="CK6"/>
  <c r="CS6"/>
  <c r="K64" i="47"/>
  <c r="J64"/>
  <c r="I64"/>
  <c r="H64"/>
  <c r="G64"/>
  <c r="F64"/>
  <c r="E64"/>
  <c r="D64"/>
  <c r="CX13" i="37" l="1"/>
  <c r="Y63" i="47"/>
  <c r="K63"/>
  <c r="J63"/>
  <c r="I63"/>
  <c r="H63"/>
  <c r="G63"/>
  <c r="F63"/>
  <c r="E63"/>
  <c r="D63"/>
  <c r="K62"/>
  <c r="J62"/>
  <c r="I62"/>
  <c r="H62"/>
  <c r="G62"/>
  <c r="F62"/>
  <c r="E62"/>
  <c r="D62"/>
  <c r="P61"/>
  <c r="K61"/>
  <c r="J61"/>
  <c r="I61"/>
  <c r="H61"/>
  <c r="G61"/>
  <c r="F61"/>
  <c r="E61"/>
  <c r="D61"/>
  <c r="K60"/>
  <c r="J60"/>
  <c r="I60"/>
  <c r="H60"/>
  <c r="G60"/>
  <c r="F60"/>
  <c r="E60"/>
  <c r="D60"/>
  <c r="K59"/>
  <c r="J59"/>
  <c r="I59"/>
  <c r="H59"/>
  <c r="G59"/>
  <c r="F59"/>
  <c r="E59"/>
  <c r="D59"/>
  <c r="K58"/>
  <c r="J58"/>
  <c r="I58"/>
  <c r="H58"/>
  <c r="G58"/>
  <c r="F58"/>
  <c r="E58"/>
  <c r="D58"/>
  <c r="K57"/>
  <c r="J57"/>
  <c r="I57"/>
  <c r="H57"/>
  <c r="G57"/>
  <c r="F57"/>
  <c r="E57"/>
  <c r="D57"/>
  <c r="K56"/>
  <c r="J56"/>
  <c r="I56"/>
  <c r="H56"/>
  <c r="G56"/>
  <c r="F56"/>
  <c r="E56"/>
  <c r="D56"/>
  <c r="K55"/>
  <c r="J55"/>
  <c r="I55"/>
  <c r="H55"/>
  <c r="G55"/>
  <c r="F55"/>
  <c r="E55"/>
  <c r="D55"/>
  <c r="K54"/>
  <c r="J54"/>
  <c r="I54"/>
  <c r="H54"/>
  <c r="G54"/>
  <c r="F54"/>
  <c r="E54"/>
  <c r="D54"/>
  <c r="K53"/>
  <c r="J53"/>
  <c r="I53"/>
  <c r="H53"/>
  <c r="G53"/>
  <c r="F53"/>
  <c r="E53"/>
  <c r="D53"/>
  <c r="Y53" l="1"/>
  <c r="Y64" s="1"/>
  <c r="Y52"/>
  <c r="Y54" s="1"/>
  <c r="K52"/>
  <c r="J52"/>
  <c r="I52"/>
  <c r="H52"/>
  <c r="G52"/>
  <c r="F52"/>
  <c r="E52"/>
  <c r="D52"/>
  <c r="K51"/>
  <c r="J51"/>
  <c r="I51"/>
  <c r="H51"/>
  <c r="G51"/>
  <c r="F51"/>
  <c r="E51"/>
  <c r="D51"/>
  <c r="K50"/>
  <c r="J50"/>
  <c r="I50"/>
  <c r="H50"/>
  <c r="G50"/>
  <c r="F50"/>
  <c r="E50"/>
  <c r="D50"/>
  <c r="K49"/>
  <c r="J49"/>
  <c r="I49"/>
  <c r="H49"/>
  <c r="G49"/>
  <c r="F49"/>
  <c r="E49"/>
  <c r="D49"/>
  <c r="K48"/>
  <c r="J48"/>
  <c r="I48"/>
  <c r="H48"/>
  <c r="G48"/>
  <c r="F48"/>
  <c r="E48"/>
  <c r="D48"/>
  <c r="K47"/>
  <c r="J47"/>
  <c r="I47"/>
  <c r="H47"/>
  <c r="G47"/>
  <c r="F47"/>
  <c r="E47"/>
  <c r="D47"/>
  <c r="K46"/>
  <c r="J46"/>
  <c r="I46"/>
  <c r="H46"/>
  <c r="G46"/>
  <c r="F46"/>
  <c r="E46"/>
  <c r="D46"/>
  <c r="K45"/>
  <c r="J45"/>
  <c r="I45"/>
  <c r="H45"/>
  <c r="G45"/>
  <c r="F45"/>
  <c r="E45"/>
  <c r="D45"/>
  <c r="K44"/>
  <c r="J44"/>
  <c r="I44"/>
  <c r="H44"/>
  <c r="G44"/>
  <c r="F44"/>
  <c r="E44"/>
  <c r="D44"/>
  <c r="K43"/>
  <c r="J43"/>
  <c r="I43"/>
  <c r="H43"/>
  <c r="G43"/>
  <c r="F43"/>
  <c r="E43"/>
  <c r="D43"/>
  <c r="K42"/>
  <c r="J42"/>
  <c r="I42"/>
  <c r="H42"/>
  <c r="G42"/>
  <c r="F42"/>
  <c r="E42"/>
  <c r="D42"/>
  <c r="K41"/>
  <c r="J41"/>
  <c r="I41"/>
  <c r="H41"/>
  <c r="G41"/>
  <c r="F41"/>
  <c r="E41"/>
  <c r="D41"/>
  <c r="K40"/>
  <c r="J40"/>
  <c r="I40"/>
  <c r="H40"/>
  <c r="G40"/>
  <c r="F40"/>
  <c r="E40"/>
  <c r="Y65" l="1"/>
  <c r="D40"/>
  <c r="K39"/>
  <c r="J39"/>
  <c r="I39"/>
  <c r="H39"/>
  <c r="G39"/>
  <c r="F39"/>
  <c r="E39"/>
  <c r="D39"/>
  <c r="G31"/>
  <c r="G30"/>
  <c r="G29"/>
  <c r="AH27"/>
  <c r="Z27"/>
  <c r="R27"/>
  <c r="O27"/>
  <c r="BP27" s="1"/>
  <c r="J27"/>
  <c r="AH26"/>
  <c r="AF26"/>
  <c r="AE26" s="1"/>
  <c r="Z26"/>
  <c r="X26"/>
  <c r="W26" s="1"/>
  <c r="R26"/>
  <c r="P26"/>
  <c r="O26" s="1"/>
  <c r="J26"/>
  <c r="H26"/>
  <c r="G26" s="1"/>
  <c r="AH25"/>
  <c r="Z25"/>
  <c r="R25"/>
  <c r="J25"/>
  <c r="AH24"/>
  <c r="AF24"/>
  <c r="AE24" s="1"/>
  <c r="Z24"/>
  <c r="X24"/>
  <c r="W24" s="1"/>
  <c r="R24"/>
  <c r="P24"/>
  <c r="O24" s="1"/>
  <c r="J24"/>
  <c r="H24"/>
  <c r="G24" s="1"/>
  <c r="I26" l="1"/>
  <c r="K26" s="1"/>
  <c r="Y26"/>
  <c r="AA26" s="1"/>
  <c r="AG24"/>
  <c r="AI24" s="1"/>
  <c r="Q24"/>
  <c r="S24" s="1"/>
  <c r="Q26"/>
  <c r="S26" s="1"/>
  <c r="AO26" s="1"/>
  <c r="I24"/>
  <c r="K24" s="1"/>
  <c r="AN24" s="1"/>
  <c r="AG26"/>
  <c r="AI26" s="1"/>
  <c r="AQ26" s="1"/>
  <c r="Y24"/>
  <c r="AA24" s="1"/>
  <c r="AP24" s="1"/>
  <c r="AH23"/>
  <c r="Z23"/>
  <c r="R23"/>
  <c r="O23"/>
  <c r="J23"/>
  <c r="AH22"/>
  <c r="Z22"/>
  <c r="R22"/>
  <c r="J22"/>
  <c r="AH21"/>
  <c r="Z21"/>
  <c r="R21"/>
  <c r="J21"/>
  <c r="AH20"/>
  <c r="Z20"/>
  <c r="R20"/>
  <c r="J20"/>
  <c r="AH19"/>
  <c r="AF19"/>
  <c r="AE19" s="1"/>
  <c r="Z19"/>
  <c r="X19"/>
  <c r="W19" s="1"/>
  <c r="R19"/>
  <c r="P19"/>
  <c r="O19" s="1"/>
  <c r="J19"/>
  <c r="H19"/>
  <c r="G19" s="1"/>
  <c r="AH18"/>
  <c r="Z18"/>
  <c r="R18"/>
  <c r="J18"/>
  <c r="AH17"/>
  <c r="Z17"/>
  <c r="R17"/>
  <c r="J17"/>
  <c r="AH16"/>
  <c r="Z16"/>
  <c r="R16"/>
  <c r="J16"/>
  <c r="AH15"/>
  <c r="Z15"/>
  <c r="R15"/>
  <c r="J15"/>
  <c r="AH14"/>
  <c r="AF14"/>
  <c r="AE14" s="1"/>
  <c r="Z14"/>
  <c r="X14"/>
  <c r="W14" s="1"/>
  <c r="R14"/>
  <c r="P14"/>
  <c r="Q14" s="1"/>
  <c r="O14"/>
  <c r="J14"/>
  <c r="H14"/>
  <c r="G14" s="1"/>
  <c r="AH13"/>
  <c r="AF13"/>
  <c r="AE13" s="1"/>
  <c r="Z13"/>
  <c r="X13"/>
  <c r="W13" s="1"/>
  <c r="R13"/>
  <c r="P13"/>
  <c r="O13" s="1"/>
  <c r="J13"/>
  <c r="H13"/>
  <c r="G13" s="1"/>
  <c r="AH12"/>
  <c r="Z12"/>
  <c r="R12"/>
  <c r="J12"/>
  <c r="AH11"/>
  <c r="Z11"/>
  <c r="R11"/>
  <c r="J11"/>
  <c r="AH10"/>
  <c r="Z10"/>
  <c r="R10"/>
  <c r="J10"/>
  <c r="AH9"/>
  <c r="Z9"/>
  <c r="X9"/>
  <c r="W9" s="1"/>
  <c r="R9"/>
  <c r="P9"/>
  <c r="O9" s="1"/>
  <c r="J9"/>
  <c r="H9"/>
  <c r="G9" s="1"/>
  <c r="AH8"/>
  <c r="AF8"/>
  <c r="AE8" s="1"/>
  <c r="Z8"/>
  <c r="X8"/>
  <c r="W8" s="1"/>
  <c r="R8"/>
  <c r="P8"/>
  <c r="O8" s="1"/>
  <c r="J8"/>
  <c r="H8"/>
  <c r="G8" s="1"/>
  <c r="AH7"/>
  <c r="Z7"/>
  <c r="R7"/>
  <c r="J7"/>
  <c r="AH6"/>
  <c r="Z6"/>
  <c r="R6"/>
  <c r="J6"/>
  <c r="AH5"/>
  <c r="Z5"/>
  <c r="M26" l="1"/>
  <c r="AN26"/>
  <c r="BC26"/>
  <c r="AP26"/>
  <c r="AR26" s="1"/>
  <c r="AL24"/>
  <c r="AQ24"/>
  <c r="V24"/>
  <c r="AO24"/>
  <c r="I19"/>
  <c r="N26"/>
  <c r="Y8"/>
  <c r="AA8" s="1"/>
  <c r="AU26"/>
  <c r="AD26"/>
  <c r="L26"/>
  <c r="AJ24"/>
  <c r="AB26"/>
  <c r="AC26"/>
  <c r="Y13"/>
  <c r="AA13" s="1"/>
  <c r="Y9"/>
  <c r="AG14"/>
  <c r="AG19"/>
  <c r="AY24"/>
  <c r="U24"/>
  <c r="T24"/>
  <c r="AG13"/>
  <c r="AI13" s="1"/>
  <c r="Y14"/>
  <c r="BG24"/>
  <c r="BH24" s="1"/>
  <c r="BI24" s="1"/>
  <c r="I8"/>
  <c r="K8" s="1"/>
  <c r="AK24"/>
  <c r="Y19"/>
  <c r="AB24"/>
  <c r="BC24"/>
  <c r="AD24"/>
  <c r="AC24"/>
  <c r="M24"/>
  <c r="N24"/>
  <c r="AU24"/>
  <c r="L24"/>
  <c r="AK26"/>
  <c r="AJ26"/>
  <c r="AL26"/>
  <c r="BG26"/>
  <c r="BH26" s="1"/>
  <c r="BI26" s="1"/>
  <c r="Q8"/>
  <c r="S8" s="1"/>
  <c r="AO8" s="1"/>
  <c r="I9"/>
  <c r="AG8"/>
  <c r="AI8" s="1"/>
  <c r="AQ8" s="1"/>
  <c r="Q9"/>
  <c r="I13"/>
  <c r="K13" s="1"/>
  <c r="AN13" s="1"/>
  <c r="I14"/>
  <c r="T26"/>
  <c r="U26"/>
  <c r="V26"/>
  <c r="AY26"/>
  <c r="Q13"/>
  <c r="S13" s="1"/>
  <c r="AO13" s="1"/>
  <c r="Q19"/>
  <c r="R5"/>
  <c r="J5"/>
  <c r="AF2"/>
  <c r="X2"/>
  <c r="P2"/>
  <c r="H2"/>
  <c r="AX26" l="1"/>
  <c r="AL13"/>
  <c r="AQ13"/>
  <c r="AD13"/>
  <c r="AP13"/>
  <c r="AC8"/>
  <c r="AP8"/>
  <c r="AR8" s="1"/>
  <c r="N8"/>
  <c r="AN8"/>
  <c r="AR24"/>
  <c r="AD8"/>
  <c r="C26"/>
  <c r="BC8"/>
  <c r="BC13"/>
  <c r="AB8"/>
  <c r="AZ24"/>
  <c r="BA24"/>
  <c r="BB24"/>
  <c r="AB13"/>
  <c r="AC13"/>
  <c r="AK13"/>
  <c r="M8"/>
  <c r="AU8"/>
  <c r="L8"/>
  <c r="BG13"/>
  <c r="BH13" s="1"/>
  <c r="BI13" s="1"/>
  <c r="AJ13"/>
  <c r="C24"/>
  <c r="BD26"/>
  <c r="V8"/>
  <c r="T8"/>
  <c r="AY8"/>
  <c r="U8"/>
  <c r="AV26"/>
  <c r="BE26"/>
  <c r="W5"/>
  <c r="AW26"/>
  <c r="BF26"/>
  <c r="BG8"/>
  <c r="BH8" s="1"/>
  <c r="BI8" s="1"/>
  <c r="AJ8"/>
  <c r="AL8"/>
  <c r="AK8"/>
  <c r="AY13"/>
  <c r="T13"/>
  <c r="U13"/>
  <c r="V13"/>
  <c r="N13"/>
  <c r="AU13"/>
  <c r="L13"/>
  <c r="M13"/>
  <c r="BA26"/>
  <c r="BB26"/>
  <c r="AZ26"/>
  <c r="AV24"/>
  <c r="AW24"/>
  <c r="AX24"/>
  <c r="BD24"/>
  <c r="BE24"/>
  <c r="BF24"/>
  <c r="P43" i="38"/>
  <c r="P42"/>
  <c r="P41"/>
  <c r="P40"/>
  <c r="EH39"/>
  <c r="EG39" s="1"/>
  <c r="EF39" s="1"/>
  <c r="EE39" s="1"/>
  <c r="ED39"/>
  <c r="P39"/>
  <c r="OW38"/>
  <c r="OV38" s="1"/>
  <c r="OU38" s="1"/>
  <c r="OT38" s="1"/>
  <c r="OS38" s="1"/>
  <c r="OR38" s="1"/>
  <c r="OQ38" s="1"/>
  <c r="OP38" s="1"/>
  <c r="EH38"/>
  <c r="EG38" s="1"/>
  <c r="EF38" s="1"/>
  <c r="EE38" s="1"/>
  <c r="ED38"/>
  <c r="EH37"/>
  <c r="EG37" s="1"/>
  <c r="EF37" s="1"/>
  <c r="EE37" s="1"/>
  <c r="ED37"/>
  <c r="P37"/>
  <c r="EH36"/>
  <c r="EG36"/>
  <c r="EF36" s="1"/>
  <c r="EE36" s="1"/>
  <c r="ED36"/>
  <c r="P36"/>
  <c r="EH35"/>
  <c r="EG35" s="1"/>
  <c r="EF35" s="1"/>
  <c r="EE35" s="1"/>
  <c r="ED35"/>
  <c r="P35"/>
  <c r="EK38" l="1"/>
  <c r="EK37"/>
  <c r="EK39"/>
  <c r="AR13" i="47"/>
  <c r="BF13"/>
  <c r="BD13"/>
  <c r="BE13"/>
  <c r="BE8"/>
  <c r="C13"/>
  <c r="C8"/>
  <c r="AW13"/>
  <c r="AX13"/>
  <c r="AV13"/>
  <c r="BB8"/>
  <c r="AZ8"/>
  <c r="BA8"/>
  <c r="AV8"/>
  <c r="AX8"/>
  <c r="AW8"/>
  <c r="BD8"/>
  <c r="AZ13"/>
  <c r="BA13"/>
  <c r="BB13"/>
  <c r="BF8"/>
  <c r="PB34" i="38"/>
  <c r="PA34" s="1"/>
  <c r="OZ34" s="1"/>
  <c r="OY34" s="1"/>
  <c r="OX34" s="1"/>
  <c r="OW34" s="1"/>
  <c r="OV34" s="1"/>
  <c r="OU34" s="1"/>
  <c r="OT34" s="1"/>
  <c r="OS34" s="1"/>
  <c r="OR34" s="1"/>
  <c r="OQ34" s="1"/>
  <c r="OP34" s="1"/>
  <c r="PG34" s="1"/>
  <c r="EH34"/>
  <c r="EG34" s="1"/>
  <c r="EF34" s="1"/>
  <c r="EE34" s="1"/>
  <c r="ED34"/>
  <c r="OW33"/>
  <c r="OV33" s="1"/>
  <c r="OU33" s="1"/>
  <c r="OT33" s="1"/>
  <c r="OS33" s="1"/>
  <c r="OR33" s="1"/>
  <c r="OQ33" s="1"/>
  <c r="OP33" s="1"/>
  <c r="EH33"/>
  <c r="EG33" s="1"/>
  <c r="EF33" s="1"/>
  <c r="EE33" s="1"/>
  <c r="ED33"/>
  <c r="P33"/>
  <c r="QF27"/>
  <c r="QE27"/>
  <c r="QD27"/>
  <c r="QC27"/>
  <c r="PD27"/>
  <c r="PC27"/>
  <c r="PB27"/>
  <c r="PA27"/>
  <c r="OZ27"/>
  <c r="OY27"/>
  <c r="OX27"/>
  <c r="OW27"/>
  <c r="OW64" s="1"/>
  <c r="OV27"/>
  <c r="OU27"/>
  <c r="OT27"/>
  <c r="OS27"/>
  <c r="OR27"/>
  <c r="OQ27"/>
  <c r="OP27"/>
  <c r="NR27"/>
  <c r="NQ27"/>
  <c r="NP27"/>
  <c r="NO27"/>
  <c r="NN27"/>
  <c r="NM27"/>
  <c r="NL27"/>
  <c r="NK27"/>
  <c r="NJ27"/>
  <c r="NI27"/>
  <c r="NH27"/>
  <c r="NG27"/>
  <c r="NF27"/>
  <c r="NE27"/>
  <c r="ND27"/>
  <c r="LV27"/>
  <c r="LU27"/>
  <c r="LT27" s="1"/>
  <c r="LS27"/>
  <c r="LR27"/>
  <c r="LQ27" s="1"/>
  <c r="LP27" s="1"/>
  <c r="LO27"/>
  <c r="LN27" s="1"/>
  <c r="LM27" s="1"/>
  <c r="LL27" s="1"/>
  <c r="LK27" s="1"/>
  <c r="LJ27" s="1"/>
  <c r="LI27"/>
  <c r="PG27" l="1"/>
  <c r="PF27"/>
  <c r="EK33"/>
  <c r="PE27"/>
  <c r="EK34"/>
  <c r="OV64"/>
  <c r="OU64" s="1"/>
  <c r="OS64" s="1"/>
  <c r="OR64" s="1"/>
  <c r="OQ64" s="1"/>
  <c r="JM27" l="1"/>
  <c r="JL27"/>
  <c r="JK27"/>
  <c r="JJ27"/>
  <c r="JI27"/>
  <c r="JH27"/>
  <c r="JG27"/>
  <c r="JF27"/>
  <c r="JE27"/>
  <c r="JD27"/>
  <c r="JC27"/>
  <c r="JB27"/>
  <c r="JA27"/>
  <c r="IZ27"/>
  <c r="IY27"/>
  <c r="GO27"/>
  <c r="HG27" s="1"/>
  <c r="GN27"/>
  <c r="HF27" s="1"/>
  <c r="GM27"/>
  <c r="GL27"/>
  <c r="GK27"/>
  <c r="GJ27"/>
  <c r="GI27"/>
  <c r="GH27"/>
  <c r="GG27"/>
  <c r="GF27"/>
  <c r="GE27"/>
  <c r="GD27"/>
  <c r="GC27"/>
  <c r="GU27" s="1"/>
  <c r="GB27"/>
  <c r="GA27"/>
  <c r="EH27"/>
  <c r="EG27"/>
  <c r="EF27" s="1"/>
  <c r="EE27" s="1"/>
  <c r="ED27"/>
  <c r="EA27"/>
  <c r="DZ27" s="1"/>
  <c r="DY27" s="1"/>
  <c r="DX27" s="1"/>
  <c r="DW27"/>
  <c r="DH27"/>
  <c r="DB27"/>
  <c r="DA27"/>
  <c r="CZ27"/>
  <c r="AT27"/>
  <c r="AS27"/>
  <c r="AR27"/>
  <c r="AQ27"/>
  <c r="AP27"/>
  <c r="AO27"/>
  <c r="AN27"/>
  <c r="AL27"/>
  <c r="AK27"/>
  <c r="AJ27"/>
  <c r="AH27"/>
  <c r="AG27"/>
  <c r="AF27"/>
  <c r="AE27" s="1"/>
  <c r="AD27"/>
  <c r="AC27"/>
  <c r="AB27"/>
  <c r="AA27"/>
  <c r="Z27"/>
  <c r="Y27"/>
  <c r="X27"/>
  <c r="W27"/>
  <c r="V27" s="1"/>
  <c r="U27"/>
  <c r="T27"/>
  <c r="M27"/>
  <c r="L27"/>
  <c r="K27"/>
  <c r="J27"/>
  <c r="I27"/>
  <c r="H27"/>
  <c r="G27"/>
  <c r="E27"/>
  <c r="QF26"/>
  <c r="QE26"/>
  <c r="QD26"/>
  <c r="QC26"/>
  <c r="PD26"/>
  <c r="H416" i="52" s="1"/>
  <c r="PC26" i="38"/>
  <c r="PB26"/>
  <c r="PA26"/>
  <c r="OZ26"/>
  <c r="OY26"/>
  <c r="OX26"/>
  <c r="L416" i="52" s="1"/>
  <c r="OW26" i="38"/>
  <c r="OV26"/>
  <c r="OU26"/>
  <c r="OT26"/>
  <c r="OS26"/>
  <c r="OS63" s="1"/>
  <c r="OR26"/>
  <c r="OQ26"/>
  <c r="OP26"/>
  <c r="NR26"/>
  <c r="NQ26"/>
  <c r="NP26"/>
  <c r="NO26"/>
  <c r="NN26"/>
  <c r="NM26"/>
  <c r="NL26"/>
  <c r="NK26"/>
  <c r="NJ26"/>
  <c r="NI26"/>
  <c r="NH26"/>
  <c r="NG26"/>
  <c r="NF26"/>
  <c r="NE26"/>
  <c r="ND26"/>
  <c r="LV26"/>
  <c r="LU26"/>
  <c r="LT26"/>
  <c r="LS26"/>
  <c r="LR26"/>
  <c r="LQ26"/>
  <c r="LP26"/>
  <c r="LO26"/>
  <c r="LN26"/>
  <c r="LM26"/>
  <c r="LL26"/>
  <c r="LK26"/>
  <c r="LJ26"/>
  <c r="LI26"/>
  <c r="JM26"/>
  <c r="JL26"/>
  <c r="JK26"/>
  <c r="JJ26"/>
  <c r="JI26"/>
  <c r="JH26"/>
  <c r="JG26"/>
  <c r="JF26"/>
  <c r="JE26"/>
  <c r="JD26"/>
  <c r="JC26"/>
  <c r="JB26"/>
  <c r="JA26"/>
  <c r="IZ26"/>
  <c r="IY26"/>
  <c r="HY26"/>
  <c r="HX26"/>
  <c r="HW26"/>
  <c r="HV26"/>
  <c r="HU26"/>
  <c r="HT26"/>
  <c r="HS26"/>
  <c r="HR26"/>
  <c r="HQ26"/>
  <c r="HP26"/>
  <c r="HO26"/>
  <c r="HN26"/>
  <c r="HM26"/>
  <c r="HL26"/>
  <c r="HK26"/>
  <c r="GO26"/>
  <c r="GN26"/>
  <c r="HF26" s="1"/>
  <c r="GM26"/>
  <c r="GL26"/>
  <c r="GK26"/>
  <c r="GJ26"/>
  <c r="GI26"/>
  <c r="GH26"/>
  <c r="GG26"/>
  <c r="GF26"/>
  <c r="GE26"/>
  <c r="GD26"/>
  <c r="GC26"/>
  <c r="GU26" s="1"/>
  <c r="GB26"/>
  <c r="GA26"/>
  <c r="EH26"/>
  <c r="EG26"/>
  <c r="ED26"/>
  <c r="EA26"/>
  <c r="DZ26" s="1"/>
  <c r="DY26" s="1"/>
  <c r="DX26" s="1"/>
  <c r="DW26"/>
  <c r="DB26"/>
  <c r="DA26"/>
  <c r="CZ26"/>
  <c r="CD26"/>
  <c r="CC26"/>
  <c r="CB26"/>
  <c r="CA26"/>
  <c r="BZ26"/>
  <c r="BY26"/>
  <c r="BX26"/>
  <c r="BW26"/>
  <c r="BV26"/>
  <c r="BU26"/>
  <c r="BT26"/>
  <c r="BS26"/>
  <c r="BR26"/>
  <c r="BQ26"/>
  <c r="BP26"/>
  <c r="AT26"/>
  <c r="AS26"/>
  <c r="AR26"/>
  <c r="AQ26"/>
  <c r="AP26"/>
  <c r="AO26"/>
  <c r="AN26"/>
  <c r="AL26"/>
  <c r="AK26"/>
  <c r="AJ26"/>
  <c r="AH26"/>
  <c r="AG26"/>
  <c r="AF26"/>
  <c r="AE26"/>
  <c r="AD26"/>
  <c r="AC26"/>
  <c r="AB26"/>
  <c r="AA26"/>
  <c r="Z26"/>
  <c r="Y26"/>
  <c r="X26"/>
  <c r="W26"/>
  <c r="V26" s="1"/>
  <c r="U26"/>
  <c r="T26"/>
  <c r="M26"/>
  <c r="L26"/>
  <c r="K26"/>
  <c r="J26"/>
  <c r="I26"/>
  <c r="H26"/>
  <c r="G26"/>
  <c r="E26"/>
  <c r="QF25"/>
  <c r="QE25"/>
  <c r="QD25"/>
  <c r="QC25"/>
  <c r="PD25"/>
  <c r="H399" i="52" s="1"/>
  <c r="PC25" i="38"/>
  <c r="PB25"/>
  <c r="M399" i="52" s="1"/>
  <c r="PA25" i="38"/>
  <c r="OZ25"/>
  <c r="OY25"/>
  <c r="OX25"/>
  <c r="L399" i="52" s="1"/>
  <c r="OW25" i="38"/>
  <c r="OV25"/>
  <c r="OU25"/>
  <c r="OT25"/>
  <c r="K399" i="52" s="1"/>
  <c r="OS25" i="38"/>
  <c r="OS62" s="1"/>
  <c r="OR25"/>
  <c r="OQ25"/>
  <c r="OP25"/>
  <c r="J399" i="52" s="1"/>
  <c r="NR25" i="38"/>
  <c r="NQ25"/>
  <c r="NP25"/>
  <c r="NO25"/>
  <c r="NN25"/>
  <c r="NM25"/>
  <c r="NL25"/>
  <c r="NK25"/>
  <c r="NJ25"/>
  <c r="NI25"/>
  <c r="NH25"/>
  <c r="NG25"/>
  <c r="NF25"/>
  <c r="NE25"/>
  <c r="ND25"/>
  <c r="LV25"/>
  <c r="LU25"/>
  <c r="LT25"/>
  <c r="LS25"/>
  <c r="LR25"/>
  <c r="LQ25"/>
  <c r="LP25"/>
  <c r="LO25"/>
  <c r="LN25"/>
  <c r="LM25"/>
  <c r="LL25"/>
  <c r="LK25" s="1"/>
  <c r="LJ25"/>
  <c r="LI25"/>
  <c r="JM25"/>
  <c r="JL25"/>
  <c r="JK25"/>
  <c r="JJ25"/>
  <c r="JI25"/>
  <c r="JH25"/>
  <c r="JG25"/>
  <c r="JF25"/>
  <c r="JE25"/>
  <c r="JD25"/>
  <c r="JC25"/>
  <c r="JB25"/>
  <c r="JA25"/>
  <c r="IZ25"/>
  <c r="IY25"/>
  <c r="GO25"/>
  <c r="GN25"/>
  <c r="GM25"/>
  <c r="GL25"/>
  <c r="GK25"/>
  <c r="GJ25"/>
  <c r="GI25"/>
  <c r="GH25"/>
  <c r="GG25"/>
  <c r="GF25"/>
  <c r="GE25"/>
  <c r="GD25"/>
  <c r="GC25"/>
  <c r="GB25"/>
  <c r="GA25"/>
  <c r="GS25" s="1"/>
  <c r="EH25"/>
  <c r="EG25"/>
  <c r="EF25" s="1"/>
  <c r="EE25" s="1"/>
  <c r="ED25"/>
  <c r="EA25"/>
  <c r="DZ25" s="1"/>
  <c r="DY25" s="1"/>
  <c r="DX25" s="1"/>
  <c r="DW25"/>
  <c r="DB25"/>
  <c r="DA25"/>
  <c r="CZ25"/>
  <c r="AT25"/>
  <c r="AS25"/>
  <c r="AR25"/>
  <c r="AQ25"/>
  <c r="AP25"/>
  <c r="AO25"/>
  <c r="AN25"/>
  <c r="AL25"/>
  <c r="AK25"/>
  <c r="AJ25"/>
  <c r="AH25"/>
  <c r="AG25"/>
  <c r="AF25"/>
  <c r="AE25"/>
  <c r="AD25"/>
  <c r="AC25"/>
  <c r="AB25"/>
  <c r="AA25"/>
  <c r="Z25"/>
  <c r="Y25"/>
  <c r="X25"/>
  <c r="W25"/>
  <c r="V25" s="1"/>
  <c r="U25"/>
  <c r="T25"/>
  <c r="Q25"/>
  <c r="M25"/>
  <c r="L25"/>
  <c r="K25"/>
  <c r="J25"/>
  <c r="I25"/>
  <c r="H25"/>
  <c r="G25"/>
  <c r="E25"/>
  <c r="QF24"/>
  <c r="QE24"/>
  <c r="QD24"/>
  <c r="QC24"/>
  <c r="PD24"/>
  <c r="H403" i="52" s="1"/>
  <c r="PC24" i="38"/>
  <c r="PB24"/>
  <c r="M403" i="52" s="1"/>
  <c r="PA24" i="38"/>
  <c r="OZ24"/>
  <c r="OY24"/>
  <c r="OX24"/>
  <c r="L403" i="52" s="1"/>
  <c r="OW24" i="38"/>
  <c r="OV24"/>
  <c r="OU24"/>
  <c r="OT24"/>
  <c r="K403" i="52" s="1"/>
  <c r="OS24" i="38"/>
  <c r="OR24"/>
  <c r="OQ24"/>
  <c r="OP24"/>
  <c r="J403" i="52" s="1"/>
  <c r="NR24" i="38"/>
  <c r="NQ24"/>
  <c r="NP24"/>
  <c r="NO24"/>
  <c r="NN24"/>
  <c r="NM24"/>
  <c r="NL24"/>
  <c r="NK24"/>
  <c r="NJ24"/>
  <c r="NI24"/>
  <c r="NH24"/>
  <c r="NG24"/>
  <c r="NF24"/>
  <c r="NE24"/>
  <c r="ND24"/>
  <c r="LQ24"/>
  <c r="LP24" s="1"/>
  <c r="LO24" s="1"/>
  <c r="LN24" s="1"/>
  <c r="LM24"/>
  <c r="LL24" s="1"/>
  <c r="LK24" s="1"/>
  <c r="LJ24" s="1"/>
  <c r="LI24" s="1"/>
  <c r="JM24"/>
  <c r="JL24"/>
  <c r="JK24"/>
  <c r="JJ24"/>
  <c r="JI24"/>
  <c r="JH24"/>
  <c r="JG24"/>
  <c r="JF24"/>
  <c r="JE24"/>
  <c r="JD24"/>
  <c r="JC24"/>
  <c r="JB24"/>
  <c r="JA24"/>
  <c r="IZ24"/>
  <c r="IY24"/>
  <c r="HY24"/>
  <c r="HX24"/>
  <c r="HW24"/>
  <c r="HV24"/>
  <c r="HU24"/>
  <c r="HT24"/>
  <c r="HS24"/>
  <c r="HR24"/>
  <c r="HQ24"/>
  <c r="HP24"/>
  <c r="HO24"/>
  <c r="HN24"/>
  <c r="HM24"/>
  <c r="HL24"/>
  <c r="HK24"/>
  <c r="GO24"/>
  <c r="HG24" s="1"/>
  <c r="GN24"/>
  <c r="GM24"/>
  <c r="GL24"/>
  <c r="GK24"/>
  <c r="GJ24"/>
  <c r="GI24"/>
  <c r="GH24"/>
  <c r="GG24"/>
  <c r="GF24"/>
  <c r="GE24"/>
  <c r="GD24"/>
  <c r="GC24"/>
  <c r="GB24"/>
  <c r="GA24"/>
  <c r="EH24"/>
  <c r="EG24"/>
  <c r="EF24" s="1"/>
  <c r="EE24" s="1"/>
  <c r="ED24"/>
  <c r="EA24"/>
  <c r="DZ24" s="1"/>
  <c r="DY24" s="1"/>
  <c r="DX24" s="1"/>
  <c r="DW24"/>
  <c r="DB24"/>
  <c r="DA24"/>
  <c r="CZ24"/>
  <c r="CD24"/>
  <c r="CC24"/>
  <c r="CB24"/>
  <c r="CA24"/>
  <c r="BZ24"/>
  <c r="BY24"/>
  <c r="BX24"/>
  <c r="BW24"/>
  <c r="BV24"/>
  <c r="BU24"/>
  <c r="BT24"/>
  <c r="BS24"/>
  <c r="BR24"/>
  <c r="BQ24"/>
  <c r="BP24"/>
  <c r="BL24"/>
  <c r="BK24"/>
  <c r="BJ24"/>
  <c r="BI24"/>
  <c r="BH24"/>
  <c r="BG24"/>
  <c r="BF24"/>
  <c r="BE24"/>
  <c r="BD24"/>
  <c r="BC24"/>
  <c r="BB24"/>
  <c r="BA24"/>
  <c r="AZ24"/>
  <c r="AY24"/>
  <c r="AX24"/>
  <c r="AT24"/>
  <c r="AS24"/>
  <c r="AR24"/>
  <c r="AQ24"/>
  <c r="AP24"/>
  <c r="AO24"/>
  <c r="AN24"/>
  <c r="AL24"/>
  <c r="AK24"/>
  <c r="AJ24"/>
  <c r="AH24"/>
  <c r="AG24"/>
  <c r="AF24"/>
  <c r="AE24"/>
  <c r="AD24"/>
  <c r="AC24"/>
  <c r="AB24" s="1"/>
  <c r="AA24" s="1"/>
  <c r="Z24"/>
  <c r="Y24"/>
  <c r="X24"/>
  <c r="W24"/>
  <c r="V24" s="1"/>
  <c r="U24"/>
  <c r="T24"/>
  <c r="Q24"/>
  <c r="M24"/>
  <c r="L24"/>
  <c r="K24"/>
  <c r="J24"/>
  <c r="I24"/>
  <c r="H24"/>
  <c r="G24"/>
  <c r="E24"/>
  <c r="QF23"/>
  <c r="QE23"/>
  <c r="QD23"/>
  <c r="QC23" s="1"/>
  <c r="PD23"/>
  <c r="H407" i="52" s="1"/>
  <c r="PC23" i="38"/>
  <c r="PB23"/>
  <c r="M407" i="52" s="1"/>
  <c r="PA23" i="38"/>
  <c r="OZ23"/>
  <c r="OY23"/>
  <c r="OX23"/>
  <c r="L407" i="52" s="1"/>
  <c r="OW23" i="38"/>
  <c r="OV23"/>
  <c r="OU23"/>
  <c r="OT23"/>
  <c r="K407" i="52" s="1"/>
  <c r="OS23" i="38"/>
  <c r="OR23"/>
  <c r="OQ23"/>
  <c r="OP23"/>
  <c r="J407" i="52" s="1"/>
  <c r="NR23" i="38"/>
  <c r="NQ23"/>
  <c r="NP23"/>
  <c r="NO23"/>
  <c r="NN23"/>
  <c r="NM23"/>
  <c r="NL23"/>
  <c r="NK23"/>
  <c r="NJ23"/>
  <c r="NI23"/>
  <c r="NH23"/>
  <c r="NG23"/>
  <c r="NF23"/>
  <c r="NE23"/>
  <c r="ND23"/>
  <c r="LV23"/>
  <c r="LU23"/>
  <c r="LT23"/>
  <c r="LS23"/>
  <c r="LR23"/>
  <c r="LQ23"/>
  <c r="LP23"/>
  <c r="LO23"/>
  <c r="LN23"/>
  <c r="LM23"/>
  <c r="LL23"/>
  <c r="LK23" s="1"/>
  <c r="LJ23"/>
  <c r="LI23"/>
  <c r="JM23"/>
  <c r="JL23"/>
  <c r="JK23"/>
  <c r="JJ23"/>
  <c r="JI23"/>
  <c r="JH23"/>
  <c r="JG23"/>
  <c r="JF23"/>
  <c r="JE23"/>
  <c r="JD23"/>
  <c r="JC23"/>
  <c r="JB23"/>
  <c r="JA23"/>
  <c r="IZ23"/>
  <c r="IY23"/>
  <c r="GO23"/>
  <c r="HG23" s="1"/>
  <c r="GN23"/>
  <c r="GM23"/>
  <c r="GL23"/>
  <c r="GK23"/>
  <c r="GJ23"/>
  <c r="GI23"/>
  <c r="GH23"/>
  <c r="GG23"/>
  <c r="GF23"/>
  <c r="GE23"/>
  <c r="GD23"/>
  <c r="GC23"/>
  <c r="GB23"/>
  <c r="GA23"/>
  <c r="EH23"/>
  <c r="EG23"/>
  <c r="EF23" s="1"/>
  <c r="EE23" s="1"/>
  <c r="ED23"/>
  <c r="EA23"/>
  <c r="DZ23" s="1"/>
  <c r="DY23" s="1"/>
  <c r="DX23" s="1"/>
  <c r="DW23"/>
  <c r="DB23"/>
  <c r="DA23"/>
  <c r="CZ23"/>
  <c r="AT23"/>
  <c r="AS23"/>
  <c r="AR23"/>
  <c r="AQ23"/>
  <c r="AP23"/>
  <c r="AO23"/>
  <c r="AN23"/>
  <c r="AL23"/>
  <c r="AK23"/>
  <c r="AJ23"/>
  <c r="AH23"/>
  <c r="AG23"/>
  <c r="AF23"/>
  <c r="AE23"/>
  <c r="AD23"/>
  <c r="AC23"/>
  <c r="AB23"/>
  <c r="AA23"/>
  <c r="Z23"/>
  <c r="Y23"/>
  <c r="X23"/>
  <c r="W23"/>
  <c r="V23" s="1"/>
  <c r="U23"/>
  <c r="T23"/>
  <c r="Q23"/>
  <c r="M23"/>
  <c r="L23"/>
  <c r="K23"/>
  <c r="J23"/>
  <c r="I23"/>
  <c r="H23"/>
  <c r="G23"/>
  <c r="E23"/>
  <c r="QF22"/>
  <c r="QE22" s="1"/>
  <c r="QD22"/>
  <c r="QC22"/>
  <c r="PD22"/>
  <c r="H413" i="52" s="1"/>
  <c r="PC22" i="38"/>
  <c r="PB22"/>
  <c r="PA22"/>
  <c r="OZ22"/>
  <c r="OY22"/>
  <c r="OX22"/>
  <c r="L413" i="52" s="1"/>
  <c r="OW22" i="38"/>
  <c r="OV22"/>
  <c r="OU22"/>
  <c r="OT22"/>
  <c r="OS22"/>
  <c r="OR22"/>
  <c r="OQ22"/>
  <c r="OP22"/>
  <c r="NR22"/>
  <c r="NQ22"/>
  <c r="NP22"/>
  <c r="NO22"/>
  <c r="NN22"/>
  <c r="NM22"/>
  <c r="NL22"/>
  <c r="NK22"/>
  <c r="NJ22"/>
  <c r="NI22"/>
  <c r="NH22"/>
  <c r="NG22"/>
  <c r="NF22"/>
  <c r="NE22"/>
  <c r="ND22"/>
  <c r="LV22"/>
  <c r="LU22"/>
  <c r="LT22"/>
  <c r="LS22"/>
  <c r="LR22"/>
  <c r="LQ22" s="1"/>
  <c r="LP22"/>
  <c r="LO22"/>
  <c r="LN22"/>
  <c r="LM22"/>
  <c r="LL22"/>
  <c r="LK22" s="1"/>
  <c r="LJ22"/>
  <c r="LI22"/>
  <c r="JM22"/>
  <c r="JL22"/>
  <c r="JK22"/>
  <c r="JJ22"/>
  <c r="JI22"/>
  <c r="JH22"/>
  <c r="JG22"/>
  <c r="JF22"/>
  <c r="JE22"/>
  <c r="JD22"/>
  <c r="JC22"/>
  <c r="JB22"/>
  <c r="JA22"/>
  <c r="IZ22"/>
  <c r="IY22"/>
  <c r="GO22"/>
  <c r="GN22"/>
  <c r="GM22"/>
  <c r="GL22"/>
  <c r="GK22"/>
  <c r="GJ22"/>
  <c r="GI22"/>
  <c r="GH22"/>
  <c r="GG22"/>
  <c r="GF22"/>
  <c r="GE22"/>
  <c r="GD22"/>
  <c r="GC22"/>
  <c r="GB22"/>
  <c r="GA22"/>
  <c r="EH22"/>
  <c r="EG22"/>
  <c r="ED22"/>
  <c r="EA22"/>
  <c r="DZ22" s="1"/>
  <c r="DY22" s="1"/>
  <c r="DX22" s="1"/>
  <c r="DW22"/>
  <c r="DB22"/>
  <c r="DA22"/>
  <c r="CZ22"/>
  <c r="AT22"/>
  <c r="AS22"/>
  <c r="AR22"/>
  <c r="AQ22"/>
  <c r="AP22"/>
  <c r="AO22"/>
  <c r="AN22"/>
  <c r="AL22"/>
  <c r="AK22"/>
  <c r="AJ22"/>
  <c r="AH22"/>
  <c r="AG22"/>
  <c r="AF22"/>
  <c r="AE22"/>
  <c r="AD22"/>
  <c r="AC22"/>
  <c r="AB22"/>
  <c r="AA22"/>
  <c r="Z22"/>
  <c r="Y22" s="1"/>
  <c r="X22"/>
  <c r="W22"/>
  <c r="V22"/>
  <c r="U22"/>
  <c r="T22"/>
  <c r="Q22"/>
  <c r="M22"/>
  <c r="L22"/>
  <c r="K22"/>
  <c r="J22"/>
  <c r="I22"/>
  <c r="H22"/>
  <c r="G22"/>
  <c r="E22"/>
  <c r="QF21"/>
  <c r="QE21"/>
  <c r="QD21"/>
  <c r="QC21"/>
  <c r="PD21"/>
  <c r="H417" i="52" s="1"/>
  <c r="PC21" i="38"/>
  <c r="PB21"/>
  <c r="M417" i="52" s="1"/>
  <c r="PA21" i="38"/>
  <c r="OZ21"/>
  <c r="OY21"/>
  <c r="OX21"/>
  <c r="L417" i="52" s="1"/>
  <c r="OW21" i="38"/>
  <c r="OV21"/>
  <c r="OU21"/>
  <c r="OT21"/>
  <c r="OS21"/>
  <c r="OR21"/>
  <c r="OQ21"/>
  <c r="OP21"/>
  <c r="J417" i="52" s="1"/>
  <c r="NR21" i="38"/>
  <c r="NQ21"/>
  <c r="NP21"/>
  <c r="NO21"/>
  <c r="NN21"/>
  <c r="NM21"/>
  <c r="NL21"/>
  <c r="NK21"/>
  <c r="NJ21"/>
  <c r="NI21"/>
  <c r="NH21"/>
  <c r="NG21"/>
  <c r="NF21"/>
  <c r="NE21"/>
  <c r="ND21"/>
  <c r="LV21"/>
  <c r="LU21"/>
  <c r="LT21"/>
  <c r="LS21"/>
  <c r="LR21"/>
  <c r="LQ21"/>
  <c r="LP21"/>
  <c r="LO21" s="1"/>
  <c r="LN21"/>
  <c r="LM21"/>
  <c r="LL21"/>
  <c r="LK21" s="1"/>
  <c r="LJ21"/>
  <c r="LI21"/>
  <c r="JM21"/>
  <c r="JL21"/>
  <c r="JK21"/>
  <c r="JJ21"/>
  <c r="JI21"/>
  <c r="JH21"/>
  <c r="JG21"/>
  <c r="JF21"/>
  <c r="JE21"/>
  <c r="JD21"/>
  <c r="JC21"/>
  <c r="JB21"/>
  <c r="JA21"/>
  <c r="IZ21"/>
  <c r="IY21"/>
  <c r="GO21"/>
  <c r="HG21" s="1"/>
  <c r="GN21"/>
  <c r="GM21"/>
  <c r="GL21"/>
  <c r="GK21"/>
  <c r="GJ21"/>
  <c r="GI21"/>
  <c r="GH21"/>
  <c r="GG21"/>
  <c r="GY21" s="1"/>
  <c r="GF21"/>
  <c r="GE21"/>
  <c r="GD21"/>
  <c r="GC21"/>
  <c r="GB21"/>
  <c r="GA21"/>
  <c r="EH21"/>
  <c r="EG21"/>
  <c r="EF21" s="1"/>
  <c r="EE21" s="1"/>
  <c r="ED21"/>
  <c r="EA21"/>
  <c r="DZ21" s="1"/>
  <c r="DY21" s="1"/>
  <c r="DX21" s="1"/>
  <c r="DW21"/>
  <c r="DB21"/>
  <c r="DA21"/>
  <c r="CZ21"/>
  <c r="AT21"/>
  <c r="AS21"/>
  <c r="AR21"/>
  <c r="AQ21"/>
  <c r="AP21"/>
  <c r="AO21"/>
  <c r="AN21"/>
  <c r="AL21"/>
  <c r="AK21"/>
  <c r="AJ21"/>
  <c r="AH21" s="1"/>
  <c r="AG21" s="1"/>
  <c r="AF21"/>
  <c r="AE21"/>
  <c r="AD21"/>
  <c r="AC21"/>
  <c r="AB21"/>
  <c r="AA21"/>
  <c r="Z21"/>
  <c r="Y21" s="1"/>
  <c r="X21" s="1"/>
  <c r="W21"/>
  <c r="V21" s="1"/>
  <c r="U21"/>
  <c r="T21"/>
  <c r="Q21"/>
  <c r="M21"/>
  <c r="L21"/>
  <c r="K21"/>
  <c r="J21"/>
  <c r="I21"/>
  <c r="H21"/>
  <c r="G21"/>
  <c r="E21"/>
  <c r="QF20"/>
  <c r="QE20"/>
  <c r="QD20"/>
  <c r="QC20"/>
  <c r="PD20"/>
  <c r="H410" i="52" s="1"/>
  <c r="PC20" i="38"/>
  <c r="PB20"/>
  <c r="PA20"/>
  <c r="OZ20"/>
  <c r="OY20"/>
  <c r="OX20"/>
  <c r="L410" i="52" s="1"/>
  <c r="OW20" i="38"/>
  <c r="OV20"/>
  <c r="OU20"/>
  <c r="OT20"/>
  <c r="OS20"/>
  <c r="OR20"/>
  <c r="OQ20"/>
  <c r="OP20"/>
  <c r="NR20"/>
  <c r="NQ20"/>
  <c r="NP20"/>
  <c r="NO20"/>
  <c r="NN20"/>
  <c r="NM20"/>
  <c r="NL20"/>
  <c r="NK20"/>
  <c r="NJ20"/>
  <c r="NI20"/>
  <c r="NH20"/>
  <c r="NG20"/>
  <c r="NF20"/>
  <c r="NE20"/>
  <c r="ND20"/>
  <c r="LV20"/>
  <c r="LU20"/>
  <c r="LT20"/>
  <c r="LS20"/>
  <c r="LR20"/>
  <c r="LQ20"/>
  <c r="LP20"/>
  <c r="LO20"/>
  <c r="LN20"/>
  <c r="LM20"/>
  <c r="LL20"/>
  <c r="LK20" s="1"/>
  <c r="LJ20"/>
  <c r="LI20"/>
  <c r="JM20"/>
  <c r="JL20"/>
  <c r="JK20"/>
  <c r="JJ20"/>
  <c r="JI20"/>
  <c r="JH20"/>
  <c r="JG20"/>
  <c r="JF20"/>
  <c r="JE20"/>
  <c r="JD20"/>
  <c r="JC20"/>
  <c r="JB20"/>
  <c r="JA20"/>
  <c r="IZ20"/>
  <c r="IY20"/>
  <c r="GO20"/>
  <c r="HG20" s="1"/>
  <c r="GN20"/>
  <c r="GM20"/>
  <c r="GL20"/>
  <c r="GK20"/>
  <c r="GJ20"/>
  <c r="GI20"/>
  <c r="GH20"/>
  <c r="GG20"/>
  <c r="GF20"/>
  <c r="GE20"/>
  <c r="GD20"/>
  <c r="GC20"/>
  <c r="GB20"/>
  <c r="GA20"/>
  <c r="EH20"/>
  <c r="EG20"/>
  <c r="EF20" s="1"/>
  <c r="EE20" s="1"/>
  <c r="ED20"/>
  <c r="EA20"/>
  <c r="DZ20" s="1"/>
  <c r="DY20" s="1"/>
  <c r="DX20" s="1"/>
  <c r="DW20"/>
  <c r="DB20"/>
  <c r="DA20"/>
  <c r="CZ20"/>
  <c r="AT20"/>
  <c r="AS20"/>
  <c r="AR20"/>
  <c r="AQ20"/>
  <c r="AP20"/>
  <c r="AO20"/>
  <c r="AN20"/>
  <c r="AL20"/>
  <c r="AK20"/>
  <c r="AJ20"/>
  <c r="AH20"/>
  <c r="AG20"/>
  <c r="AF20"/>
  <c r="AE20"/>
  <c r="AD20"/>
  <c r="AC20"/>
  <c r="AB20"/>
  <c r="AA20"/>
  <c r="Z20"/>
  <c r="Y20"/>
  <c r="X20"/>
  <c r="W20"/>
  <c r="V20" s="1"/>
  <c r="U20"/>
  <c r="T20"/>
  <c r="M20"/>
  <c r="L20"/>
  <c r="K20"/>
  <c r="J20"/>
  <c r="I20"/>
  <c r="H20"/>
  <c r="G20"/>
  <c r="E20"/>
  <c r="QF19"/>
  <c r="QE19"/>
  <c r="QD19"/>
  <c r="QC19" s="1"/>
  <c r="PD19"/>
  <c r="H409" i="52" s="1"/>
  <c r="PC19" i="38"/>
  <c r="PB19"/>
  <c r="M409" i="52" s="1"/>
  <c r="PA19" i="38"/>
  <c r="OZ19"/>
  <c r="OY19"/>
  <c r="OX19"/>
  <c r="L409" i="52" s="1"/>
  <c r="OW19" i="38"/>
  <c r="OV19"/>
  <c r="OU19"/>
  <c r="OT19"/>
  <c r="OS19"/>
  <c r="OR19"/>
  <c r="OQ19"/>
  <c r="OP19"/>
  <c r="NR19"/>
  <c r="NQ19"/>
  <c r="NP19"/>
  <c r="NO19"/>
  <c r="NN19"/>
  <c r="NM19"/>
  <c r="NL19"/>
  <c r="NK19"/>
  <c r="NJ19"/>
  <c r="NI19"/>
  <c r="NH19"/>
  <c r="NG19"/>
  <c r="NF19"/>
  <c r="NE19"/>
  <c r="ND19"/>
  <c r="LW19"/>
  <c r="LV19"/>
  <c r="LU19" s="1"/>
  <c r="LT19"/>
  <c r="LS19"/>
  <c r="LR19"/>
  <c r="LQ19"/>
  <c r="LP19"/>
  <c r="LO19"/>
  <c r="LN19"/>
  <c r="LM19"/>
  <c r="LL19"/>
  <c r="LK19" s="1"/>
  <c r="LJ19"/>
  <c r="LI19"/>
  <c r="JM19"/>
  <c r="JL19"/>
  <c r="JK19"/>
  <c r="JJ19"/>
  <c r="JI19"/>
  <c r="JH19"/>
  <c r="JG19"/>
  <c r="JF19"/>
  <c r="JE19"/>
  <c r="JD19"/>
  <c r="JC19"/>
  <c r="JB19"/>
  <c r="JA19"/>
  <c r="IZ19"/>
  <c r="IY19"/>
  <c r="GO19"/>
  <c r="HG19" s="1"/>
  <c r="GN19"/>
  <c r="GM19"/>
  <c r="GL19"/>
  <c r="GK19"/>
  <c r="GJ19"/>
  <c r="GI19"/>
  <c r="GH19"/>
  <c r="GG19"/>
  <c r="GF19"/>
  <c r="GE19"/>
  <c r="GD19"/>
  <c r="GC19"/>
  <c r="GB19"/>
  <c r="GA19"/>
  <c r="EH19"/>
  <c r="EG19"/>
  <c r="ED19"/>
  <c r="EA19"/>
  <c r="DZ19" s="1"/>
  <c r="DY19" s="1"/>
  <c r="DX19" s="1"/>
  <c r="DW19"/>
  <c r="DB19"/>
  <c r="DA19"/>
  <c r="CZ19"/>
  <c r="AT19"/>
  <c r="AS19"/>
  <c r="AR19"/>
  <c r="AQ19"/>
  <c r="AP19"/>
  <c r="AO19"/>
  <c r="AN19"/>
  <c r="AL19"/>
  <c r="AK19"/>
  <c r="AJ19"/>
  <c r="AH19"/>
  <c r="AG19"/>
  <c r="AF19"/>
  <c r="AE19"/>
  <c r="AD19"/>
  <c r="AC19"/>
  <c r="AB19"/>
  <c r="AA19"/>
  <c r="Z19"/>
  <c r="Y19"/>
  <c r="X19"/>
  <c r="W19"/>
  <c r="V19" s="1"/>
  <c r="U19"/>
  <c r="T19"/>
  <c r="Q19"/>
  <c r="M19"/>
  <c r="L19"/>
  <c r="K19"/>
  <c r="J19"/>
  <c r="I19"/>
  <c r="H19"/>
  <c r="G19"/>
  <c r="E19"/>
  <c r="QF18"/>
  <c r="QE18"/>
  <c r="QD18"/>
  <c r="QC18"/>
  <c r="PD18"/>
  <c r="H400" i="52" s="1"/>
  <c r="PC18" i="38"/>
  <c r="PB18"/>
  <c r="PA18"/>
  <c r="OZ18"/>
  <c r="OY18"/>
  <c r="OX18"/>
  <c r="L400" i="52" s="1"/>
  <c r="OW18" i="38"/>
  <c r="OV18"/>
  <c r="OU18"/>
  <c r="OT18"/>
  <c r="OS18"/>
  <c r="OR18"/>
  <c r="OQ18"/>
  <c r="OP18"/>
  <c r="NR18"/>
  <c r="NQ18"/>
  <c r="NP18"/>
  <c r="NO18"/>
  <c r="NN18"/>
  <c r="NM18"/>
  <c r="NL18"/>
  <c r="NK18"/>
  <c r="NJ18"/>
  <c r="NI18"/>
  <c r="NH18"/>
  <c r="NG18"/>
  <c r="NF18"/>
  <c r="NE18"/>
  <c r="ND18"/>
  <c r="LV18"/>
  <c r="LU18"/>
  <c r="LT18"/>
  <c r="LS18"/>
  <c r="LR18"/>
  <c r="LQ18"/>
  <c r="LP18"/>
  <c r="LO18" s="1"/>
  <c r="LN18"/>
  <c r="LM18"/>
  <c r="LL18"/>
  <c r="LK18" s="1"/>
  <c r="LJ18"/>
  <c r="LI18"/>
  <c r="JM18"/>
  <c r="JL18"/>
  <c r="JK18"/>
  <c r="JJ18"/>
  <c r="JI18"/>
  <c r="JH18"/>
  <c r="JG18"/>
  <c r="JF18"/>
  <c r="JE18"/>
  <c r="JD18"/>
  <c r="JC18"/>
  <c r="JB18"/>
  <c r="JA18"/>
  <c r="IZ18"/>
  <c r="IY18"/>
  <c r="GO18"/>
  <c r="HG18" s="1"/>
  <c r="GN18"/>
  <c r="GM18"/>
  <c r="GL18"/>
  <c r="GK18"/>
  <c r="GJ18"/>
  <c r="GI18"/>
  <c r="GH18"/>
  <c r="GG18"/>
  <c r="GY18" s="1"/>
  <c r="GF18"/>
  <c r="GE18"/>
  <c r="GD18"/>
  <c r="GC18"/>
  <c r="GB18"/>
  <c r="GA18"/>
  <c r="EH18"/>
  <c r="EG18"/>
  <c r="EF18" s="1"/>
  <c r="EE18" s="1"/>
  <c r="ED18"/>
  <c r="EA18"/>
  <c r="DZ18" s="1"/>
  <c r="DY18" s="1"/>
  <c r="DX18" s="1"/>
  <c r="DW18"/>
  <c r="DB18"/>
  <c r="DA18"/>
  <c r="CZ18"/>
  <c r="AT18"/>
  <c r="AS18"/>
  <c r="AR18"/>
  <c r="AQ18"/>
  <c r="AP18"/>
  <c r="AO18"/>
  <c r="AN18"/>
  <c r="AL18"/>
  <c r="AK18"/>
  <c r="AJ18"/>
  <c r="AH18"/>
  <c r="AG18"/>
  <c r="AF18"/>
  <c r="AE18"/>
  <c r="AD18"/>
  <c r="AC18" s="1"/>
  <c r="AB18" s="1"/>
  <c r="AA18"/>
  <c r="Z18"/>
  <c r="Y18"/>
  <c r="X18"/>
  <c r="W18"/>
  <c r="V18" s="1"/>
  <c r="U18"/>
  <c r="T18"/>
  <c r="M18"/>
  <c r="L18"/>
  <c r="K18"/>
  <c r="J18"/>
  <c r="I18"/>
  <c r="H18"/>
  <c r="G18"/>
  <c r="E18"/>
  <c r="QF17"/>
  <c r="QE17"/>
  <c r="QD17"/>
  <c r="QC17"/>
  <c r="PD17"/>
  <c r="H406" i="52" s="1"/>
  <c r="PC17" i="38"/>
  <c r="PB17"/>
  <c r="M406" i="52" s="1"/>
  <c r="PA17" i="38"/>
  <c r="OZ17"/>
  <c r="OY17"/>
  <c r="OX17"/>
  <c r="L406" i="52" s="1"/>
  <c r="OW17" i="38"/>
  <c r="OV17"/>
  <c r="OU17"/>
  <c r="OT17"/>
  <c r="K406" i="52" s="1"/>
  <c r="OS17" i="38"/>
  <c r="OR17"/>
  <c r="OQ17"/>
  <c r="OP17"/>
  <c r="J406" i="52" s="1"/>
  <c r="NR17" i="38"/>
  <c r="NQ17"/>
  <c r="NP17"/>
  <c r="NO17"/>
  <c r="NN17"/>
  <c r="NM17"/>
  <c r="NL17"/>
  <c r="NK17"/>
  <c r="NJ17"/>
  <c r="NI17"/>
  <c r="NH17"/>
  <c r="NG17"/>
  <c r="NF17"/>
  <c r="NE17"/>
  <c r="ND17"/>
  <c r="LV17"/>
  <c r="LU17"/>
  <c r="LT17"/>
  <c r="LS17"/>
  <c r="LR17"/>
  <c r="LQ17"/>
  <c r="LP17"/>
  <c r="LO17"/>
  <c r="LN17"/>
  <c r="LM17"/>
  <c r="LL17"/>
  <c r="LK17" s="1"/>
  <c r="LJ17"/>
  <c r="LI17"/>
  <c r="JM17"/>
  <c r="JL17"/>
  <c r="JK17"/>
  <c r="JJ17"/>
  <c r="JI17"/>
  <c r="JH17"/>
  <c r="JG17"/>
  <c r="JF17"/>
  <c r="JE17"/>
  <c r="JD17"/>
  <c r="JC17"/>
  <c r="JB17"/>
  <c r="JA17"/>
  <c r="IZ17"/>
  <c r="IY17"/>
  <c r="GO17"/>
  <c r="HG17" s="1"/>
  <c r="GN17"/>
  <c r="GM17"/>
  <c r="GL17"/>
  <c r="GK17"/>
  <c r="GJ17"/>
  <c r="GI17"/>
  <c r="GH17"/>
  <c r="GG17"/>
  <c r="GF17"/>
  <c r="GE17"/>
  <c r="GD17"/>
  <c r="GC17"/>
  <c r="GB17"/>
  <c r="GA17"/>
  <c r="EH17"/>
  <c r="EG17"/>
  <c r="EF17" s="1"/>
  <c r="EE17" s="1"/>
  <c r="ED17"/>
  <c r="EA17"/>
  <c r="DZ17" s="1"/>
  <c r="DY17" s="1"/>
  <c r="DX17" s="1"/>
  <c r="DW17"/>
  <c r="DB17"/>
  <c r="DA17"/>
  <c r="CZ17"/>
  <c r="AT17"/>
  <c r="AS17"/>
  <c r="AR17"/>
  <c r="AQ17"/>
  <c r="AP17"/>
  <c r="AO17"/>
  <c r="AN17"/>
  <c r="AL17"/>
  <c r="AK17"/>
  <c r="AJ17"/>
  <c r="AH17"/>
  <c r="AG17"/>
  <c r="AF17"/>
  <c r="AE17"/>
  <c r="AD17"/>
  <c r="AC17"/>
  <c r="AB17"/>
  <c r="AA17"/>
  <c r="Z17"/>
  <c r="Y17"/>
  <c r="X17"/>
  <c r="W17"/>
  <c r="V17" s="1"/>
  <c r="U17"/>
  <c r="T17"/>
  <c r="Q17"/>
  <c r="M17"/>
  <c r="L17"/>
  <c r="K17"/>
  <c r="J17"/>
  <c r="I17"/>
  <c r="H17"/>
  <c r="G17"/>
  <c r="E17"/>
  <c r="QF16"/>
  <c r="QE16"/>
  <c r="QD16"/>
  <c r="QC16"/>
  <c r="PD16"/>
  <c r="H415" i="52" s="1"/>
  <c r="PC16" i="38"/>
  <c r="PB16"/>
  <c r="M415" i="52" s="1"/>
  <c r="PA16" i="38"/>
  <c r="OZ16"/>
  <c r="OY16"/>
  <c r="OX16"/>
  <c r="L415" i="52" s="1"/>
  <c r="OW16" i="38"/>
  <c r="OV16"/>
  <c r="OU16"/>
  <c r="OT16"/>
  <c r="K415" i="52" s="1"/>
  <c r="OS16" i="38"/>
  <c r="OR16"/>
  <c r="OQ16"/>
  <c r="OP16"/>
  <c r="J415" i="52" s="1"/>
  <c r="NR16" i="38"/>
  <c r="NQ16"/>
  <c r="NP16"/>
  <c r="NO16"/>
  <c r="NN16"/>
  <c r="NM16"/>
  <c r="NL16"/>
  <c r="NK16"/>
  <c r="NJ16"/>
  <c r="NI16"/>
  <c r="NH16"/>
  <c r="NG16"/>
  <c r="NF16"/>
  <c r="NE16"/>
  <c r="ND16"/>
  <c r="LV16"/>
  <c r="LU16"/>
  <c r="LT16"/>
  <c r="LS16"/>
  <c r="LR16"/>
  <c r="LQ16"/>
  <c r="LP16"/>
  <c r="LO16"/>
  <c r="LN16"/>
  <c r="LM16"/>
  <c r="LL16"/>
  <c r="LK16" s="1"/>
  <c r="LJ16"/>
  <c r="LI16"/>
  <c r="JM16"/>
  <c r="JL16"/>
  <c r="JK16"/>
  <c r="JJ16"/>
  <c r="JI16"/>
  <c r="JH16"/>
  <c r="JG16"/>
  <c r="JF16"/>
  <c r="JE16"/>
  <c r="JD16"/>
  <c r="JC16"/>
  <c r="JB16"/>
  <c r="JA16"/>
  <c r="IZ16"/>
  <c r="IY16"/>
  <c r="GO16"/>
  <c r="GN16"/>
  <c r="GM16"/>
  <c r="GL16"/>
  <c r="GK16"/>
  <c r="GJ16"/>
  <c r="GI16"/>
  <c r="GH16"/>
  <c r="GG16"/>
  <c r="GF16"/>
  <c r="GE16"/>
  <c r="GD16"/>
  <c r="GC16"/>
  <c r="GB16"/>
  <c r="GA16"/>
  <c r="EH16"/>
  <c r="EG16"/>
  <c r="EF16" s="1"/>
  <c r="EE16" s="1"/>
  <c r="ED16"/>
  <c r="EA16"/>
  <c r="DZ16" s="1"/>
  <c r="DY16" s="1"/>
  <c r="DX16" s="1"/>
  <c r="DW16"/>
  <c r="DB16"/>
  <c r="DA16"/>
  <c r="CZ16"/>
  <c r="AT16"/>
  <c r="AS16"/>
  <c r="AR16"/>
  <c r="AQ16"/>
  <c r="AP16"/>
  <c r="AO16"/>
  <c r="AN16"/>
  <c r="AL16"/>
  <c r="AK16"/>
  <c r="AJ16"/>
  <c r="AH16" s="1"/>
  <c r="AG16"/>
  <c r="AF16"/>
  <c r="AE16"/>
  <c r="AD16"/>
  <c r="AC16"/>
  <c r="AB16"/>
  <c r="AA16"/>
  <c r="Z16" s="1"/>
  <c r="Y16"/>
  <c r="X16"/>
  <c r="W16"/>
  <c r="V16" s="1"/>
  <c r="U16"/>
  <c r="T16"/>
  <c r="M16"/>
  <c r="L16"/>
  <c r="K16"/>
  <c r="J16"/>
  <c r="I16"/>
  <c r="H16"/>
  <c r="G16"/>
  <c r="E16"/>
  <c r="QF15"/>
  <c r="QE15"/>
  <c r="QD15"/>
  <c r="QC15" s="1"/>
  <c r="PD15"/>
  <c r="H411" i="52" s="1"/>
  <c r="PC15" i="38"/>
  <c r="PB15"/>
  <c r="PA15"/>
  <c r="OZ15"/>
  <c r="OY15"/>
  <c r="OX15"/>
  <c r="L411" i="52" s="1"/>
  <c r="OW15" i="38"/>
  <c r="OV15"/>
  <c r="OU15"/>
  <c r="OT15"/>
  <c r="OS15"/>
  <c r="OR15"/>
  <c r="OQ15"/>
  <c r="OP15"/>
  <c r="NR15"/>
  <c r="NQ15"/>
  <c r="NP15"/>
  <c r="NO15"/>
  <c r="NN15"/>
  <c r="NM15"/>
  <c r="NL15"/>
  <c r="NK15"/>
  <c r="NJ15"/>
  <c r="NI15"/>
  <c r="NH15"/>
  <c r="NG15"/>
  <c r="NF15"/>
  <c r="NE15"/>
  <c r="ND15"/>
  <c r="LV15"/>
  <c r="LU15"/>
  <c r="LT15"/>
  <c r="LS15"/>
  <c r="LR15"/>
  <c r="LQ15"/>
  <c r="LP15"/>
  <c r="LO15"/>
  <c r="LN15"/>
  <c r="LM15"/>
  <c r="LL15"/>
  <c r="LK15" s="1"/>
  <c r="LJ15"/>
  <c r="LI15"/>
  <c r="JM15"/>
  <c r="JL15"/>
  <c r="JK15"/>
  <c r="JJ15"/>
  <c r="JI15"/>
  <c r="JH15"/>
  <c r="JG15"/>
  <c r="JF15"/>
  <c r="JE15"/>
  <c r="JD15"/>
  <c r="JC15"/>
  <c r="JB15"/>
  <c r="JA15"/>
  <c r="IZ15"/>
  <c r="IY15"/>
  <c r="GO15"/>
  <c r="GN15"/>
  <c r="GM15"/>
  <c r="GL15"/>
  <c r="GK15"/>
  <c r="GJ15"/>
  <c r="GI15"/>
  <c r="GH15"/>
  <c r="GG15"/>
  <c r="GF15"/>
  <c r="GE15"/>
  <c r="GD15"/>
  <c r="GC15"/>
  <c r="GB15"/>
  <c r="GA15"/>
  <c r="EH15"/>
  <c r="EG15"/>
  <c r="ED15"/>
  <c r="EA15"/>
  <c r="DZ15" s="1"/>
  <c r="DY15" s="1"/>
  <c r="DX15" s="1"/>
  <c r="DW15"/>
  <c r="DB15"/>
  <c r="DA15"/>
  <c r="CZ15"/>
  <c r="AT15"/>
  <c r="AS15"/>
  <c r="AR15"/>
  <c r="AQ15"/>
  <c r="AP15"/>
  <c r="AO15"/>
  <c r="AN15"/>
  <c r="AL15"/>
  <c r="AK15"/>
  <c r="AJ15"/>
  <c r="AH15"/>
  <c r="AG15" s="1"/>
  <c r="AF15" s="1"/>
  <c r="AE15"/>
  <c r="AD15"/>
  <c r="AC15"/>
  <c r="AB15"/>
  <c r="AA15"/>
  <c r="Z15"/>
  <c r="Y15" s="1"/>
  <c r="X15" s="1"/>
  <c r="W15"/>
  <c r="V15" s="1"/>
  <c r="U15"/>
  <c r="T15"/>
  <c r="M15"/>
  <c r="L15"/>
  <c r="K15"/>
  <c r="J15"/>
  <c r="I15"/>
  <c r="H15"/>
  <c r="G15"/>
  <c r="E15"/>
  <c r="QF14"/>
  <c r="QE14"/>
  <c r="QD14"/>
  <c r="QC14"/>
  <c r="PD14"/>
  <c r="H414" i="52" s="1"/>
  <c r="PC14" i="38"/>
  <c r="PB14"/>
  <c r="PA14"/>
  <c r="OZ14"/>
  <c r="OY14"/>
  <c r="OX14"/>
  <c r="L414" i="52" s="1"/>
  <c r="OW14" i="38"/>
  <c r="OV14"/>
  <c r="OU14"/>
  <c r="OT14"/>
  <c r="K414" i="52" s="1"/>
  <c r="OS14" i="38"/>
  <c r="OR14"/>
  <c r="OQ14"/>
  <c r="OP14"/>
  <c r="NR14"/>
  <c r="NQ14"/>
  <c r="NP14"/>
  <c r="NO14"/>
  <c r="NN14"/>
  <c r="NM14"/>
  <c r="NL14"/>
  <c r="NK14"/>
  <c r="NJ14"/>
  <c r="NI14"/>
  <c r="NH14"/>
  <c r="NG14"/>
  <c r="NF14"/>
  <c r="NE14"/>
  <c r="ND14"/>
  <c r="LW14"/>
  <c r="LV14"/>
  <c r="LU14"/>
  <c r="LT14"/>
  <c r="LS14"/>
  <c r="LR14"/>
  <c r="LQ14"/>
  <c r="LP14"/>
  <c r="LO14"/>
  <c r="LN14"/>
  <c r="LM14"/>
  <c r="LL14" s="1"/>
  <c r="LK14"/>
  <c r="LJ14" s="1"/>
  <c r="LI14"/>
  <c r="JM14"/>
  <c r="JL14"/>
  <c r="JK14"/>
  <c r="JJ14"/>
  <c r="JI14"/>
  <c r="JH14"/>
  <c r="JG14"/>
  <c r="JF14"/>
  <c r="JE14"/>
  <c r="JD14"/>
  <c r="JC14"/>
  <c r="JB14"/>
  <c r="JA14"/>
  <c r="IZ14"/>
  <c r="IY14"/>
  <c r="GO14"/>
  <c r="GN14"/>
  <c r="GM14"/>
  <c r="GL14"/>
  <c r="GK14"/>
  <c r="GJ14"/>
  <c r="GI14"/>
  <c r="GH14"/>
  <c r="GG14"/>
  <c r="GF14"/>
  <c r="GE14"/>
  <c r="GD14"/>
  <c r="GC14"/>
  <c r="GB14"/>
  <c r="GA14"/>
  <c r="EH14"/>
  <c r="EG14"/>
  <c r="EF14" s="1"/>
  <c r="EE14" s="1"/>
  <c r="ED14"/>
  <c r="EA14"/>
  <c r="DZ14" s="1"/>
  <c r="DY14" s="1"/>
  <c r="DX14" s="1"/>
  <c r="DW14"/>
  <c r="DB14"/>
  <c r="DA14"/>
  <c r="CZ14"/>
  <c r="AT14"/>
  <c r="AS14"/>
  <c r="AR14"/>
  <c r="AQ14"/>
  <c r="AP14"/>
  <c r="AO14"/>
  <c r="AN14"/>
  <c r="AL14"/>
  <c r="AK14"/>
  <c r="AJ14"/>
  <c r="AH14"/>
  <c r="AG14"/>
  <c r="AF14"/>
  <c r="AE14"/>
  <c r="AD14" s="1"/>
  <c r="AC14"/>
  <c r="AB14"/>
  <c r="AA14"/>
  <c r="Z14"/>
  <c r="Y14"/>
  <c r="X14"/>
  <c r="W14"/>
  <c r="V14" s="1"/>
  <c r="U14"/>
  <c r="T14"/>
  <c r="M14"/>
  <c r="L14"/>
  <c r="K14"/>
  <c r="J14"/>
  <c r="I14"/>
  <c r="H14"/>
  <c r="G14"/>
  <c r="E14"/>
  <c r="QF13"/>
  <c r="QE13"/>
  <c r="QD13"/>
  <c r="QC13"/>
  <c r="PD13"/>
  <c r="H398" i="52" s="1"/>
  <c r="PC13" i="38"/>
  <c r="PB13"/>
  <c r="PA13"/>
  <c r="OZ13"/>
  <c r="OY13"/>
  <c r="OX13"/>
  <c r="L398" i="52" s="1"/>
  <c r="OW13" i="38"/>
  <c r="OV13"/>
  <c r="OU13"/>
  <c r="OT13"/>
  <c r="OS13"/>
  <c r="OR13"/>
  <c r="OQ13"/>
  <c r="OP13"/>
  <c r="NR13"/>
  <c r="NQ13"/>
  <c r="NP13"/>
  <c r="NO13"/>
  <c r="NN13"/>
  <c r="NM13"/>
  <c r="NL13"/>
  <c r="NK13"/>
  <c r="NJ13"/>
  <c r="NI13"/>
  <c r="NH13"/>
  <c r="NG13"/>
  <c r="NF13"/>
  <c r="NE13"/>
  <c r="ND13"/>
  <c r="LR13"/>
  <c r="LQ13" s="1"/>
  <c r="LP13" s="1"/>
  <c r="LO13" s="1"/>
  <c r="LN13" s="1"/>
  <c r="LM13" s="1"/>
  <c r="LL13" s="1"/>
  <c r="LK13" s="1"/>
  <c r="LJ13" s="1"/>
  <c r="LI13" s="1"/>
  <c r="JM13"/>
  <c r="JL13"/>
  <c r="JK13"/>
  <c r="JJ13"/>
  <c r="JI13"/>
  <c r="JH13"/>
  <c r="JG13"/>
  <c r="JF13"/>
  <c r="JE13"/>
  <c r="JD13"/>
  <c r="JC13"/>
  <c r="JB13"/>
  <c r="JA13"/>
  <c r="IZ13"/>
  <c r="IY13"/>
  <c r="HY13"/>
  <c r="HX13"/>
  <c r="HW13"/>
  <c r="HV13"/>
  <c r="HU13"/>
  <c r="HT13"/>
  <c r="HS13"/>
  <c r="HR13"/>
  <c r="HQ13"/>
  <c r="HP13"/>
  <c r="HO13"/>
  <c r="HN13"/>
  <c r="HM13"/>
  <c r="HL13"/>
  <c r="HK13"/>
  <c r="GO13"/>
  <c r="GN13"/>
  <c r="HF13" s="1"/>
  <c r="GM13"/>
  <c r="GL13"/>
  <c r="GK13"/>
  <c r="GJ13"/>
  <c r="GI13"/>
  <c r="GH13"/>
  <c r="GG13"/>
  <c r="GF13"/>
  <c r="GE13"/>
  <c r="GD13"/>
  <c r="GC13"/>
  <c r="GB13"/>
  <c r="GA13"/>
  <c r="EH13"/>
  <c r="EG13"/>
  <c r="EF13" s="1"/>
  <c r="EE13"/>
  <c r="ED13"/>
  <c r="EA13"/>
  <c r="DZ13" s="1"/>
  <c r="DY13" s="1"/>
  <c r="DX13" s="1"/>
  <c r="DW13"/>
  <c r="DB13"/>
  <c r="DA13"/>
  <c r="CZ13"/>
  <c r="CD13"/>
  <c r="CC13"/>
  <c r="CB13"/>
  <c r="CA13"/>
  <c r="BZ13"/>
  <c r="BY13"/>
  <c r="BX13"/>
  <c r="BW13"/>
  <c r="BV13"/>
  <c r="BU13"/>
  <c r="BT13"/>
  <c r="BS13"/>
  <c r="BR13"/>
  <c r="BQ13"/>
  <c r="BP13"/>
  <c r="BK13"/>
  <c r="BJ13"/>
  <c r="BI13"/>
  <c r="BH13"/>
  <c r="BG13"/>
  <c r="BF13"/>
  <c r="BE13"/>
  <c r="BD13"/>
  <c r="BC13"/>
  <c r="HQ50" l="1"/>
  <c r="P406" i="52"/>
  <c r="HN63" i="38"/>
  <c r="HV63"/>
  <c r="P403" i="52"/>
  <c r="P415"/>
  <c r="P407"/>
  <c r="OT55" i="38"/>
  <c r="K400" i="52"/>
  <c r="PB55" i="38"/>
  <c r="M400" i="52"/>
  <c r="OT59" i="38"/>
  <c r="K413" i="52"/>
  <c r="PB59" i="38"/>
  <c r="M413" i="52"/>
  <c r="OP63" i="38"/>
  <c r="J416" i="52"/>
  <c r="HL50" i="38"/>
  <c r="HT50"/>
  <c r="HL61"/>
  <c r="HT61"/>
  <c r="OT52"/>
  <c r="K411" i="52"/>
  <c r="PB52" i="38"/>
  <c r="M411" i="52"/>
  <c r="OT56" i="38"/>
  <c r="K409" i="52"/>
  <c r="OP57" i="38"/>
  <c r="J410" i="52"/>
  <c r="OP50" i="38"/>
  <c r="J398" i="52"/>
  <c r="PB51" i="38"/>
  <c r="M414" i="52"/>
  <c r="OP55" i="38"/>
  <c r="J400" i="52"/>
  <c r="OP59" i="38"/>
  <c r="J413" i="52"/>
  <c r="OT63" i="38"/>
  <c r="K416" i="52"/>
  <c r="PB63" i="38"/>
  <c r="M416" i="52"/>
  <c r="P399"/>
  <c r="OT58" i="38"/>
  <c r="K417" i="52"/>
  <c r="P417" s="1"/>
  <c r="HO61" i="38"/>
  <c r="OP52"/>
  <c r="J411" i="52"/>
  <c r="OP56" i="38"/>
  <c r="J409" i="52"/>
  <c r="OT57" i="38"/>
  <c r="K410" i="52"/>
  <c r="PB57" i="38"/>
  <c r="M410" i="52"/>
  <c r="OT50" i="38"/>
  <c r="K398" i="52"/>
  <c r="PB50" i="38"/>
  <c r="M398" i="52"/>
  <c r="OP51" i="38"/>
  <c r="J414" i="52"/>
  <c r="HM61" i="38"/>
  <c r="HO63"/>
  <c r="HW61"/>
  <c r="HQ63"/>
  <c r="HU61"/>
  <c r="HW63"/>
  <c r="HK50"/>
  <c r="HS50"/>
  <c r="HK61"/>
  <c r="HS61"/>
  <c r="HM63"/>
  <c r="HU63"/>
  <c r="HR50"/>
  <c r="HR61"/>
  <c r="HL63"/>
  <c r="HT63"/>
  <c r="IS13"/>
  <c r="HY50"/>
  <c r="IS24"/>
  <c r="HY61"/>
  <c r="HQ61"/>
  <c r="HK63"/>
  <c r="HS63"/>
  <c r="IR13"/>
  <c r="HX50"/>
  <c r="HP50"/>
  <c r="HP61"/>
  <c r="HX61"/>
  <c r="HR63"/>
  <c r="IS26"/>
  <c r="HY63"/>
  <c r="HO50"/>
  <c r="HW50"/>
  <c r="HN50"/>
  <c r="HV50"/>
  <c r="HN61"/>
  <c r="HV61"/>
  <c r="HP63"/>
  <c r="HX63"/>
  <c r="IG13"/>
  <c r="HM50"/>
  <c r="HU50"/>
  <c r="PN27"/>
  <c r="JQ27"/>
  <c r="HE13"/>
  <c r="HD13" s="1"/>
  <c r="HC13" s="1"/>
  <c r="LY19"/>
  <c r="OS52"/>
  <c r="GX21"/>
  <c r="GW21" s="1"/>
  <c r="EI25"/>
  <c r="EJ25" s="1"/>
  <c r="HE27"/>
  <c r="HF21"/>
  <c r="HE21" s="1"/>
  <c r="P17"/>
  <c r="HD27"/>
  <c r="HC27" s="1"/>
  <c r="HB27" s="1"/>
  <c r="HA27" s="1"/>
  <c r="GZ27" s="1"/>
  <c r="JN16"/>
  <c r="JO16"/>
  <c r="O17"/>
  <c r="GV21"/>
  <c r="PG17"/>
  <c r="OS57"/>
  <c r="JN20"/>
  <c r="HF24"/>
  <c r="GU21"/>
  <c r="GT21" s="1"/>
  <c r="OR57"/>
  <c r="OQ57" s="1"/>
  <c r="OS50"/>
  <c r="OR50" s="1"/>
  <c r="OQ50" s="1"/>
  <c r="GX18"/>
  <c r="JQ22"/>
  <c r="JO18"/>
  <c r="EI24"/>
  <c r="PF23"/>
  <c r="GQ24"/>
  <c r="JO15"/>
  <c r="AV18"/>
  <c r="O24"/>
  <c r="AV24"/>
  <c r="JN13"/>
  <c r="JO14"/>
  <c r="AV17"/>
  <c r="O20"/>
  <c r="JN21"/>
  <c r="P22"/>
  <c r="GQ22"/>
  <c r="OS59"/>
  <c r="OR59" s="1"/>
  <c r="OW59"/>
  <c r="OV59" s="1"/>
  <c r="OW50"/>
  <c r="OV50" s="1"/>
  <c r="JQ14"/>
  <c r="PF17"/>
  <c r="PG21"/>
  <c r="EI14"/>
  <c r="EK14"/>
  <c r="OR52"/>
  <c r="OQ52" s="1"/>
  <c r="GP20"/>
  <c r="JN22"/>
  <c r="P27"/>
  <c r="Q27" s="1"/>
  <c r="JN14"/>
  <c r="JN15"/>
  <c r="EJ14"/>
  <c r="AV21"/>
  <c r="AU14"/>
  <c r="AV15"/>
  <c r="P19"/>
  <c r="HF19"/>
  <c r="HE19" s="1"/>
  <c r="HD19" s="1"/>
  <c r="HC19" s="1"/>
  <c r="HB19" s="1"/>
  <c r="HA19" s="1"/>
  <c r="GZ19" s="1"/>
  <c r="OS56"/>
  <c r="JP20"/>
  <c r="EI23"/>
  <c r="JN27"/>
  <c r="P14"/>
  <c r="Q14" s="1"/>
  <c r="MA14"/>
  <c r="GS21"/>
  <c r="HD21"/>
  <c r="HC21" s="1"/>
  <c r="HB21" s="1"/>
  <c r="HA21" s="1"/>
  <c r="GZ21" s="1"/>
  <c r="AU22"/>
  <c r="JP22"/>
  <c r="P25"/>
  <c r="P26"/>
  <c r="Q26" s="1"/>
  <c r="AV26"/>
  <c r="OW51"/>
  <c r="OV51" s="1"/>
  <c r="OU51" s="1"/>
  <c r="N15"/>
  <c r="N16"/>
  <c r="EI17"/>
  <c r="AV20"/>
  <c r="EI21"/>
  <c r="JP16"/>
  <c r="PG16"/>
  <c r="JN19"/>
  <c r="PG23"/>
  <c r="PG24"/>
  <c r="GP25"/>
  <c r="O26"/>
  <c r="HB13"/>
  <c r="HA13" s="1"/>
  <c r="GZ13" s="1"/>
  <c r="GY13" s="1"/>
  <c r="GX13" s="1"/>
  <c r="GW13" s="1"/>
  <c r="GV13" s="1"/>
  <c r="GU13" s="1"/>
  <c r="EB13"/>
  <c r="JO19"/>
  <c r="OQ59"/>
  <c r="PF13"/>
  <c r="PF16"/>
  <c r="GP17"/>
  <c r="GW18"/>
  <c r="GV18" s="1"/>
  <c r="GU18" s="1"/>
  <c r="GT18" s="1"/>
  <c r="GS18" s="1"/>
  <c r="HF18"/>
  <c r="HE18" s="1"/>
  <c r="HD18" s="1"/>
  <c r="HC18" s="1"/>
  <c r="JO20"/>
  <c r="P23"/>
  <c r="JQ26"/>
  <c r="GP14"/>
  <c r="O15"/>
  <c r="PE15"/>
  <c r="F411" i="52" s="1"/>
  <c r="AV16" i="38"/>
  <c r="JP17"/>
  <c r="EI18"/>
  <c r="OS55"/>
  <c r="OR55" s="1"/>
  <c r="OQ55" s="1"/>
  <c r="EK25"/>
  <c r="O27"/>
  <c r="GQ14"/>
  <c r="GQ16"/>
  <c r="AU18"/>
  <c r="GQ18"/>
  <c r="JQ18"/>
  <c r="GP19"/>
  <c r="GQ19"/>
  <c r="MB19"/>
  <c r="PE19"/>
  <c r="F409" i="52" s="1"/>
  <c r="JQ20" i="38"/>
  <c r="GP21"/>
  <c r="O22"/>
  <c r="GP24"/>
  <c r="PE25"/>
  <c r="F399" i="52" s="1"/>
  <c r="GP26" i="38"/>
  <c r="GP27"/>
  <c r="GQ27"/>
  <c r="AV14"/>
  <c r="PF15"/>
  <c r="EI16"/>
  <c r="JQ16"/>
  <c r="GY19"/>
  <c r="GX19" s="1"/>
  <c r="GW19" s="1"/>
  <c r="GV19" s="1"/>
  <c r="GU19" s="1"/>
  <c r="JQ19"/>
  <c r="EI20"/>
  <c r="P21"/>
  <c r="EK23"/>
  <c r="N24"/>
  <c r="GQ13"/>
  <c r="O14"/>
  <c r="P15"/>
  <c r="Q15" s="1"/>
  <c r="JP15"/>
  <c r="O18"/>
  <c r="JN18"/>
  <c r="O19"/>
  <c r="MA19"/>
  <c r="GY27"/>
  <c r="GX27" s="1"/>
  <c r="GW27" s="1"/>
  <c r="GV27" s="1"/>
  <c r="EB18"/>
  <c r="LX19"/>
  <c r="PG19"/>
  <c r="O21"/>
  <c r="EK21"/>
  <c r="HG22"/>
  <c r="HF22" s="1"/>
  <c r="HE22" s="1"/>
  <c r="HD22" s="1"/>
  <c r="HC22" s="1"/>
  <c r="HB22" s="1"/>
  <c r="O25"/>
  <c r="JQ13"/>
  <c r="N14"/>
  <c r="MC14"/>
  <c r="GP15"/>
  <c r="GQ21"/>
  <c r="JQ21"/>
  <c r="PF25"/>
  <c r="JN26"/>
  <c r="JO27"/>
  <c r="AU16"/>
  <c r="PE18"/>
  <c r="F400" i="52" s="1"/>
  <c r="PF18" i="38"/>
  <c r="PF20"/>
  <c r="PG26"/>
  <c r="JP27"/>
  <c r="GP13"/>
  <c r="JP13"/>
  <c r="PF14"/>
  <c r="P16"/>
  <c r="Q16" s="1"/>
  <c r="JP18"/>
  <c r="AU19"/>
  <c r="N20"/>
  <c r="PE21"/>
  <c r="F417" i="52" s="1"/>
  <c r="GP23" i="38"/>
  <c r="GQ25"/>
  <c r="N26"/>
  <c r="PF26"/>
  <c r="N19"/>
  <c r="JP19"/>
  <c r="OW57"/>
  <c r="OV57" s="1"/>
  <c r="OU57" s="1"/>
  <c r="JO22"/>
  <c r="O23"/>
  <c r="JQ25"/>
  <c r="OR62"/>
  <c r="OQ62" s="1"/>
  <c r="OW61" s="1"/>
  <c r="OV61" s="1"/>
  <c r="N27"/>
  <c r="AU27"/>
  <c r="IF13"/>
  <c r="IQ13"/>
  <c r="IP13" s="1"/>
  <c r="IO13" s="1"/>
  <c r="IN13" s="1"/>
  <c r="CF24"/>
  <c r="IM13"/>
  <c r="IE13"/>
  <c r="IL13"/>
  <c r="IK13" s="1"/>
  <c r="CF26"/>
  <c r="IA26"/>
  <c r="IJ13"/>
  <c r="II13" s="1"/>
  <c r="IH13" s="1"/>
  <c r="CE13"/>
  <c r="HZ24"/>
  <c r="IA24"/>
  <c r="CF13"/>
  <c r="GT13"/>
  <c r="GS13" s="1"/>
  <c r="IR26"/>
  <c r="IQ26" s="1"/>
  <c r="IP26" s="1"/>
  <c r="IO26" s="1"/>
  <c r="IN26" s="1"/>
  <c r="IM26" s="1"/>
  <c r="IL26" s="1"/>
  <c r="IK26" s="1"/>
  <c r="IJ26" s="1"/>
  <c r="II26" s="1"/>
  <c r="IH26" s="1"/>
  <c r="IG26" s="1"/>
  <c r="IF26" s="1"/>
  <c r="IE26" s="1"/>
  <c r="EB27"/>
  <c r="EK27"/>
  <c r="GS27"/>
  <c r="HG14"/>
  <c r="HF14" s="1"/>
  <c r="HE14" s="1"/>
  <c r="HD14" s="1"/>
  <c r="HC14" s="1"/>
  <c r="HB14" s="1"/>
  <c r="HA14" s="1"/>
  <c r="GZ14" s="1"/>
  <c r="GY14" s="1"/>
  <c r="GX14" s="1"/>
  <c r="GW14" s="1"/>
  <c r="GV14" s="1"/>
  <c r="GU14" s="1"/>
  <c r="JP14"/>
  <c r="PE14"/>
  <c r="F414" i="52" s="1"/>
  <c r="AU15" i="38"/>
  <c r="PE16"/>
  <c r="F415" i="52" s="1"/>
  <c r="HB18" i="38"/>
  <c r="HA18" s="1"/>
  <c r="GZ18" s="1"/>
  <c r="N21"/>
  <c r="PF21"/>
  <c r="JP23"/>
  <c r="BM24"/>
  <c r="CE24"/>
  <c r="JO25"/>
  <c r="PG25"/>
  <c r="CE26"/>
  <c r="JO26"/>
  <c r="EB26"/>
  <c r="GT27"/>
  <c r="GQ15"/>
  <c r="HG15"/>
  <c r="HF15" s="1"/>
  <c r="HE15" s="1"/>
  <c r="HD15" s="1"/>
  <c r="HC15" s="1"/>
  <c r="HB15" s="1"/>
  <c r="HA15" s="1"/>
  <c r="GZ15" s="1"/>
  <c r="GY15" s="1"/>
  <c r="GX15" s="1"/>
  <c r="GW15" s="1"/>
  <c r="GV15" s="1"/>
  <c r="GU15" s="1"/>
  <c r="GQ26"/>
  <c r="HG26"/>
  <c r="HI26" s="1"/>
  <c r="EF19"/>
  <c r="EE19" s="1"/>
  <c r="EI19" s="1"/>
  <c r="EK19"/>
  <c r="EF22"/>
  <c r="EE22" s="1"/>
  <c r="EI22" s="1"/>
  <c r="EK22"/>
  <c r="IA13"/>
  <c r="HZ13" s="1"/>
  <c r="O16"/>
  <c r="AU17"/>
  <c r="N18"/>
  <c r="AU20"/>
  <c r="PE20"/>
  <c r="F410" i="52" s="1"/>
  <c r="GP22" i="38"/>
  <c r="PE22"/>
  <c r="F413" i="52" s="1"/>
  <c r="AU24" i="38"/>
  <c r="JP25"/>
  <c r="JP26"/>
  <c r="EB15"/>
  <c r="EB19"/>
  <c r="IR24"/>
  <c r="IQ24" s="1"/>
  <c r="IP24" s="1"/>
  <c r="IO24" s="1"/>
  <c r="IN24" s="1"/>
  <c r="IM24" s="1"/>
  <c r="IL24" s="1"/>
  <c r="IK24" s="1"/>
  <c r="IJ24" s="1"/>
  <c r="II24" s="1"/>
  <c r="IH24" s="1"/>
  <c r="IG24" s="1"/>
  <c r="IF24" s="1"/>
  <c r="IE24" s="1"/>
  <c r="OU50"/>
  <c r="GP16"/>
  <c r="AV19"/>
  <c r="EK13"/>
  <c r="HG13"/>
  <c r="AU21"/>
  <c r="P24"/>
  <c r="PE24"/>
  <c r="F403" i="52" s="1"/>
  <c r="HZ26" i="38"/>
  <c r="JN23"/>
  <c r="JO23"/>
  <c r="JN24"/>
  <c r="JO24"/>
  <c r="GT26"/>
  <c r="GS26" s="1"/>
  <c r="JN25"/>
  <c r="EI13"/>
  <c r="JO13"/>
  <c r="PG13"/>
  <c r="N17"/>
  <c r="PE17"/>
  <c r="F406" i="52" s="1"/>
  <c r="PF19" i="38"/>
  <c r="EJ21"/>
  <c r="HA22"/>
  <c r="GZ22" s="1"/>
  <c r="GY22" s="1"/>
  <c r="GX22" s="1"/>
  <c r="GW22" s="1"/>
  <c r="GV22" s="1"/>
  <c r="GU22" s="1"/>
  <c r="OT51"/>
  <c r="OS51" s="1"/>
  <c r="OR51" s="1"/>
  <c r="OQ51" s="1"/>
  <c r="PG14"/>
  <c r="GT19"/>
  <c r="GS19" s="1"/>
  <c r="OU59"/>
  <c r="PE13"/>
  <c r="F398" i="52" s="1"/>
  <c r="EB14" i="38"/>
  <c r="MB14"/>
  <c r="GP18"/>
  <c r="P20"/>
  <c r="AU23"/>
  <c r="AU25"/>
  <c r="AU26"/>
  <c r="EF15"/>
  <c r="EE15" s="1"/>
  <c r="EI15" s="1"/>
  <c r="EK15"/>
  <c r="JN17"/>
  <c r="JO17"/>
  <c r="EF26"/>
  <c r="EE26" s="1"/>
  <c r="EI26" s="1"/>
  <c r="EK26"/>
  <c r="N22"/>
  <c r="JP21"/>
  <c r="JO21"/>
  <c r="N23"/>
  <c r="PE23"/>
  <c r="F407" i="52" s="1"/>
  <c r="JP24" i="38"/>
  <c r="N25"/>
  <c r="OU61"/>
  <c r="OS61" s="1"/>
  <c r="OR61" s="1"/>
  <c r="OQ61" s="1"/>
  <c r="OW60" s="1"/>
  <c r="OV60" s="1"/>
  <c r="OU60" s="1"/>
  <c r="OS60" s="1"/>
  <c r="OR60" s="1"/>
  <c r="OQ60" s="1"/>
  <c r="PE26"/>
  <c r="F416" i="52" s="1"/>
  <c r="EK16" i="38"/>
  <c r="EJ16" s="1"/>
  <c r="EB22"/>
  <c r="EK24"/>
  <c r="OW62"/>
  <c r="OV62" s="1"/>
  <c r="OU62" s="1"/>
  <c r="HI27"/>
  <c r="OW52"/>
  <c r="OV52" s="1"/>
  <c r="OU52" s="1"/>
  <c r="HG16"/>
  <c r="HF16" s="1"/>
  <c r="HE16" s="1"/>
  <c r="HD16" s="1"/>
  <c r="HC16" s="1"/>
  <c r="HB16" s="1"/>
  <c r="HA16" s="1"/>
  <c r="GZ16" s="1"/>
  <c r="GY16" s="1"/>
  <c r="GX16" s="1"/>
  <c r="GW16" s="1"/>
  <c r="GV16" s="1"/>
  <c r="GU16" s="1"/>
  <c r="EK17"/>
  <c r="EJ17" s="1"/>
  <c r="JQ17"/>
  <c r="P18"/>
  <c r="OW55"/>
  <c r="OV55" s="1"/>
  <c r="OU55" s="1"/>
  <c r="PG20"/>
  <c r="EJ23"/>
  <c r="JQ23"/>
  <c r="HE24"/>
  <c r="HD24" s="1"/>
  <c r="HC24" s="1"/>
  <c r="HB24" s="1"/>
  <c r="HA24" s="1"/>
  <c r="GZ24" s="1"/>
  <c r="GY24" s="1"/>
  <c r="GX24" s="1"/>
  <c r="GW24" s="1"/>
  <c r="GV24" s="1"/>
  <c r="GU24" s="1"/>
  <c r="JQ24"/>
  <c r="HG25"/>
  <c r="HF25" s="1"/>
  <c r="HE25" s="1"/>
  <c r="HD25" s="1"/>
  <c r="HC25" s="1"/>
  <c r="HB25" s="1"/>
  <c r="HA25" s="1"/>
  <c r="GZ25" s="1"/>
  <c r="GY25" s="1"/>
  <c r="GX25" s="1"/>
  <c r="GW25" s="1"/>
  <c r="GV25" s="1"/>
  <c r="GU25" s="1"/>
  <c r="HF17"/>
  <c r="HE17" s="1"/>
  <c r="HD17" s="1"/>
  <c r="HC17" s="1"/>
  <c r="HB17" s="1"/>
  <c r="HA17" s="1"/>
  <c r="GZ17" s="1"/>
  <c r="GY17" s="1"/>
  <c r="GX17" s="1"/>
  <c r="GW17" s="1"/>
  <c r="GV17" s="1"/>
  <c r="GU17" s="1"/>
  <c r="HF20"/>
  <c r="HE20" s="1"/>
  <c r="HD20" s="1"/>
  <c r="HC20" s="1"/>
  <c r="HB20" s="1"/>
  <c r="HA20" s="1"/>
  <c r="GZ20" s="1"/>
  <c r="GY20" s="1"/>
  <c r="GX20" s="1"/>
  <c r="GW20" s="1"/>
  <c r="GV20" s="1"/>
  <c r="GU20" s="1"/>
  <c r="OW56"/>
  <c r="OV56" s="1"/>
  <c r="OU56" s="1"/>
  <c r="PG22"/>
  <c r="HF23"/>
  <c r="HE23" s="1"/>
  <c r="HD23" s="1"/>
  <c r="HC23" s="1"/>
  <c r="HB23" s="1"/>
  <c r="HA23" s="1"/>
  <c r="GZ23" s="1"/>
  <c r="GY23" s="1"/>
  <c r="GX23" s="1"/>
  <c r="GW23" s="1"/>
  <c r="GV23" s="1"/>
  <c r="GU23" s="1"/>
  <c r="AV27"/>
  <c r="GQ17"/>
  <c r="GQ20"/>
  <c r="EB21"/>
  <c r="AV22"/>
  <c r="OW58"/>
  <c r="OV58" s="1"/>
  <c r="OU58" s="1"/>
  <c r="PF22"/>
  <c r="AV23"/>
  <c r="GQ23"/>
  <c r="BN24"/>
  <c r="PF24"/>
  <c r="AV25"/>
  <c r="HE26"/>
  <c r="HD26" s="1"/>
  <c r="HC26" s="1"/>
  <c r="HB26" s="1"/>
  <c r="HA26" s="1"/>
  <c r="GZ26" s="1"/>
  <c r="GY26" s="1"/>
  <c r="GX26" s="1"/>
  <c r="GW26" s="1"/>
  <c r="GV26" s="1"/>
  <c r="JQ15"/>
  <c r="PG15"/>
  <c r="EB16"/>
  <c r="PG18"/>
  <c r="OR56"/>
  <c r="OQ56" s="1"/>
  <c r="EB20"/>
  <c r="EB24"/>
  <c r="OW63"/>
  <c r="OV63" s="1"/>
  <c r="OU63" s="1"/>
  <c r="EB17"/>
  <c r="EK18"/>
  <c r="OW54"/>
  <c r="OV54" s="1"/>
  <c r="OU54" s="1"/>
  <c r="OS54" s="1"/>
  <c r="OR54" s="1"/>
  <c r="OQ54" s="1"/>
  <c r="OW53" s="1"/>
  <c r="OV53" s="1"/>
  <c r="OU53" s="1"/>
  <c r="OS53" s="1"/>
  <c r="OR53" s="1"/>
  <c r="OQ53" s="1"/>
  <c r="EB23"/>
  <c r="EB25"/>
  <c r="OR63"/>
  <c r="OQ63" s="1"/>
  <c r="BB13"/>
  <c r="BA13"/>
  <c r="AZ13"/>
  <c r="AY13"/>
  <c r="AX13"/>
  <c r="AT13"/>
  <c r="AS13"/>
  <c r="AR13"/>
  <c r="AQ13"/>
  <c r="AP13"/>
  <c r="AO13"/>
  <c r="AN13"/>
  <c r="AL13"/>
  <c r="AK13"/>
  <c r="AJ13"/>
  <c r="AH13" s="1"/>
  <c r="AG13"/>
  <c r="AF13"/>
  <c r="AE13"/>
  <c r="AD13"/>
  <c r="AC13"/>
  <c r="AB13" s="1"/>
  <c r="AA13"/>
  <c r="Z13" s="1"/>
  <c r="Y13"/>
  <c r="X13"/>
  <c r="W13"/>
  <c r="V13" s="1"/>
  <c r="U13"/>
  <c r="T13"/>
  <c r="M13"/>
  <c r="L13"/>
  <c r="K13"/>
  <c r="J13"/>
  <c r="I13"/>
  <c r="H13"/>
  <c r="G13"/>
  <c r="E13"/>
  <c r="QF12"/>
  <c r="QE12"/>
  <c r="QD12"/>
  <c r="QC12"/>
  <c r="PD12"/>
  <c r="H402" i="52" s="1"/>
  <c r="PC12" i="38"/>
  <c r="PB12"/>
  <c r="M402" i="52" s="1"/>
  <c r="PA12" i="38"/>
  <c r="OZ12"/>
  <c r="OY12"/>
  <c r="OX12"/>
  <c r="L402" i="52" s="1"/>
  <c r="OW12" i="38"/>
  <c r="OW49" s="1"/>
  <c r="OV12"/>
  <c r="OU12"/>
  <c r="OT12"/>
  <c r="K402" i="52" s="1"/>
  <c r="OS12" i="38"/>
  <c r="OR12"/>
  <c r="OQ12"/>
  <c r="OP12"/>
  <c r="J402" i="52" s="1"/>
  <c r="NR12" i="38"/>
  <c r="NQ12"/>
  <c r="NP12"/>
  <c r="NO12"/>
  <c r="NN12"/>
  <c r="NM12"/>
  <c r="NL12"/>
  <c r="NK12"/>
  <c r="NJ12"/>
  <c r="NI12"/>
  <c r="NH12"/>
  <c r="NG12"/>
  <c r="NF12"/>
  <c r="NE12"/>
  <c r="ND12"/>
  <c r="LV12"/>
  <c r="LU12"/>
  <c r="LT12"/>
  <c r="LS12"/>
  <c r="LR12"/>
  <c r="LQ12"/>
  <c r="LP12"/>
  <c r="LO12"/>
  <c r="LN12"/>
  <c r="LM12"/>
  <c r="LL12"/>
  <c r="LK12"/>
  <c r="LJ12"/>
  <c r="LI12"/>
  <c r="JM12"/>
  <c r="JL12"/>
  <c r="JK12"/>
  <c r="JJ12"/>
  <c r="JI12"/>
  <c r="JH12"/>
  <c r="JG12"/>
  <c r="JF12"/>
  <c r="JE12"/>
  <c r="JD12"/>
  <c r="JC12"/>
  <c r="JB12"/>
  <c r="JA12"/>
  <c r="IZ12"/>
  <c r="IY12"/>
  <c r="GO12"/>
  <c r="HG12" s="1"/>
  <c r="GN12"/>
  <c r="GM12"/>
  <c r="GL12"/>
  <c r="GK12"/>
  <c r="GJ12"/>
  <c r="GI12"/>
  <c r="GH12"/>
  <c r="GG12"/>
  <c r="GF12"/>
  <c r="GE12"/>
  <c r="GD12"/>
  <c r="GC12"/>
  <c r="GB12"/>
  <c r="GA12"/>
  <c r="EH12"/>
  <c r="EG12"/>
  <c r="EF12" s="1"/>
  <c r="EE12" s="1"/>
  <c r="ED12"/>
  <c r="EA12"/>
  <c r="DZ12" s="1"/>
  <c r="DY12" s="1"/>
  <c r="DX12" s="1"/>
  <c r="DW12"/>
  <c r="DB12"/>
  <c r="DA12"/>
  <c r="CZ12"/>
  <c r="AT12"/>
  <c r="AS12"/>
  <c r="AR12"/>
  <c r="AQ12"/>
  <c r="AP12"/>
  <c r="AO12"/>
  <c r="AN12"/>
  <c r="AL12"/>
  <c r="AK12"/>
  <c r="AJ12"/>
  <c r="AH12"/>
  <c r="AG12"/>
  <c r="AF12"/>
  <c r="AE12"/>
  <c r="AD12"/>
  <c r="AC12"/>
  <c r="AB12"/>
  <c r="AA12"/>
  <c r="Z12"/>
  <c r="Y12"/>
  <c r="X12"/>
  <c r="W12"/>
  <c r="V12" s="1"/>
  <c r="U12"/>
  <c r="T12"/>
  <c r="M12"/>
  <c r="L12"/>
  <c r="K12"/>
  <c r="J12"/>
  <c r="I12"/>
  <c r="H12"/>
  <c r="G12"/>
  <c r="E12"/>
  <c r="QF11"/>
  <c r="QE11"/>
  <c r="QD11"/>
  <c r="QC11"/>
  <c r="PD11"/>
  <c r="H405" i="52" s="1"/>
  <c r="PC11" i="38"/>
  <c r="PB11"/>
  <c r="PA11"/>
  <c r="OZ11"/>
  <c r="OY11"/>
  <c r="OX11"/>
  <c r="L405" i="52" s="1"/>
  <c r="OW11" i="38"/>
  <c r="OV11"/>
  <c r="OU11"/>
  <c r="OT11"/>
  <c r="K405" i="52" s="1"/>
  <c r="OS11" i="38"/>
  <c r="OR11"/>
  <c r="OQ11"/>
  <c r="OP11"/>
  <c r="J405" i="52" s="1"/>
  <c r="NR11" i="38"/>
  <c r="NQ11"/>
  <c r="NP11"/>
  <c r="NO11"/>
  <c r="NN11"/>
  <c r="NM11"/>
  <c r="NL11"/>
  <c r="NK11"/>
  <c r="NJ11"/>
  <c r="NI11"/>
  <c r="NH11"/>
  <c r="NG11"/>
  <c r="NF11"/>
  <c r="NE11"/>
  <c r="ND11"/>
  <c r="LV11"/>
  <c r="LU11"/>
  <c r="LT11"/>
  <c r="LS11"/>
  <c r="LR11"/>
  <c r="LQ11"/>
  <c r="LP11"/>
  <c r="LO11"/>
  <c r="LN11"/>
  <c r="LM11"/>
  <c r="LL11"/>
  <c r="LK11" s="1"/>
  <c r="LJ11"/>
  <c r="LI11"/>
  <c r="JM11"/>
  <c r="JL11"/>
  <c r="JK11"/>
  <c r="JJ11"/>
  <c r="JI11"/>
  <c r="JH11"/>
  <c r="JG11"/>
  <c r="JF11"/>
  <c r="JE11"/>
  <c r="JD11"/>
  <c r="JC11"/>
  <c r="JB11"/>
  <c r="JA11"/>
  <c r="IZ11"/>
  <c r="IY11"/>
  <c r="GO11"/>
  <c r="HG11" s="1"/>
  <c r="GN11"/>
  <c r="GM11"/>
  <c r="GL11"/>
  <c r="GK11"/>
  <c r="GJ11"/>
  <c r="GI11"/>
  <c r="GH11"/>
  <c r="GG11"/>
  <c r="GF11"/>
  <c r="GE11"/>
  <c r="GD11"/>
  <c r="GC11"/>
  <c r="GB11"/>
  <c r="GA11"/>
  <c r="EH11"/>
  <c r="EG11"/>
  <c r="EF11" s="1"/>
  <c r="EE11" s="1"/>
  <c r="ED11"/>
  <c r="EA11"/>
  <c r="DZ11" s="1"/>
  <c r="DY11" s="1"/>
  <c r="DX11" s="1"/>
  <c r="DW11"/>
  <c r="DB11"/>
  <c r="DA11"/>
  <c r="CZ11"/>
  <c r="AT11"/>
  <c r="AS11"/>
  <c r="AR11"/>
  <c r="AQ11"/>
  <c r="AP11"/>
  <c r="AO11"/>
  <c r="AN11"/>
  <c r="AL11"/>
  <c r="AK11"/>
  <c r="AJ11"/>
  <c r="AH11"/>
  <c r="AG11"/>
  <c r="AF11"/>
  <c r="AE11"/>
  <c r="AD11"/>
  <c r="AC11"/>
  <c r="AB11"/>
  <c r="AA11"/>
  <c r="Z11"/>
  <c r="Y11"/>
  <c r="X11"/>
  <c r="W11"/>
  <c r="V11" s="1"/>
  <c r="U11"/>
  <c r="T11"/>
  <c r="M11"/>
  <c r="L11"/>
  <c r="K11"/>
  <c r="J11"/>
  <c r="I11"/>
  <c r="H11"/>
  <c r="G11"/>
  <c r="E11"/>
  <c r="QF10"/>
  <c r="QE10"/>
  <c r="QD10"/>
  <c r="QC10"/>
  <c r="PD10"/>
  <c r="H408" i="52" s="1"/>
  <c r="PC10" i="38"/>
  <c r="PB10"/>
  <c r="M408" i="52" s="1"/>
  <c r="PA10" i="38"/>
  <c r="OZ10"/>
  <c r="OY10"/>
  <c r="OX10"/>
  <c r="L408" i="52" s="1"/>
  <c r="OW10" i="38"/>
  <c r="OV10"/>
  <c r="OU10"/>
  <c r="OT10"/>
  <c r="K408" i="52" s="1"/>
  <c r="OS10" i="38"/>
  <c r="OR10"/>
  <c r="OQ10"/>
  <c r="OP10"/>
  <c r="J408" i="52" s="1"/>
  <c r="P408" s="1"/>
  <c r="NR10" i="38"/>
  <c r="NQ10"/>
  <c r="NP10"/>
  <c r="NO10"/>
  <c r="NN10"/>
  <c r="NM10"/>
  <c r="NL10"/>
  <c r="NK10"/>
  <c r="NJ10"/>
  <c r="NI10"/>
  <c r="NH10"/>
  <c r="NG10"/>
  <c r="NF10"/>
  <c r="NE10"/>
  <c r="ND10"/>
  <c r="LV10"/>
  <c r="LU10"/>
  <c r="LT10"/>
  <c r="LS10"/>
  <c r="LR10"/>
  <c r="LQ10"/>
  <c r="LP10"/>
  <c r="LO10"/>
  <c r="LN10"/>
  <c r="LM10"/>
  <c r="LL10"/>
  <c r="LK10" s="1"/>
  <c r="LJ10"/>
  <c r="LI10"/>
  <c r="JM10"/>
  <c r="JL10"/>
  <c r="JK10"/>
  <c r="JJ10"/>
  <c r="JI10"/>
  <c r="JH10"/>
  <c r="JG10"/>
  <c r="JF10"/>
  <c r="JE10"/>
  <c r="JD10"/>
  <c r="JC10"/>
  <c r="JB10"/>
  <c r="JA10"/>
  <c r="IZ10"/>
  <c r="IY10"/>
  <c r="GO10"/>
  <c r="GN10"/>
  <c r="GM10"/>
  <c r="GL10"/>
  <c r="GK10"/>
  <c r="GJ10"/>
  <c r="GI10"/>
  <c r="GH10"/>
  <c r="GG10"/>
  <c r="GF10"/>
  <c r="GE10"/>
  <c r="GD10"/>
  <c r="GC10"/>
  <c r="GB10"/>
  <c r="GA10"/>
  <c r="EH10"/>
  <c r="EG10"/>
  <c r="EF10" s="1"/>
  <c r="EE10" s="1"/>
  <c r="ED10"/>
  <c r="EA10"/>
  <c r="DZ10" s="1"/>
  <c r="DY10" s="1"/>
  <c r="DX10" s="1"/>
  <c r="DW10"/>
  <c r="DB10"/>
  <c r="DA10"/>
  <c r="CZ10"/>
  <c r="AT10"/>
  <c r="AS10"/>
  <c r="AR10"/>
  <c r="AQ10"/>
  <c r="AP10"/>
  <c r="AO10"/>
  <c r="AN10"/>
  <c r="AL10"/>
  <c r="AK10"/>
  <c r="AJ10"/>
  <c r="AH10"/>
  <c r="AG10"/>
  <c r="AF10"/>
  <c r="AE10"/>
  <c r="AD10"/>
  <c r="AC10"/>
  <c r="AB10"/>
  <c r="AA10"/>
  <c r="Z10"/>
  <c r="Y10"/>
  <c r="X10"/>
  <c r="W10"/>
  <c r="V10" s="1"/>
  <c r="U10"/>
  <c r="T10"/>
  <c r="Q10"/>
  <c r="M10"/>
  <c r="L10"/>
  <c r="K10"/>
  <c r="J10"/>
  <c r="I10"/>
  <c r="H10"/>
  <c r="G10"/>
  <c r="E10"/>
  <c r="QF9"/>
  <c r="QE9"/>
  <c r="QD9"/>
  <c r="QC9"/>
  <c r="PD9"/>
  <c r="H418" i="52" s="1"/>
  <c r="AA495" s="1"/>
  <c r="PC9" i="38"/>
  <c r="PB9"/>
  <c r="M418" i="52" s="1"/>
  <c r="PA9" i="38"/>
  <c r="OZ9"/>
  <c r="OY9"/>
  <c r="OX9"/>
  <c r="L418" i="52" s="1"/>
  <c r="OW9" i="38"/>
  <c r="OV9"/>
  <c r="OU9"/>
  <c r="OT9"/>
  <c r="OS9"/>
  <c r="OR9"/>
  <c r="OQ9"/>
  <c r="OP9"/>
  <c r="NR9"/>
  <c r="NQ9"/>
  <c r="NP9"/>
  <c r="NO9"/>
  <c r="NN9"/>
  <c r="NM9"/>
  <c r="NL9"/>
  <c r="NK9"/>
  <c r="NJ9"/>
  <c r="NI9"/>
  <c r="NH9"/>
  <c r="NG9"/>
  <c r="NF9"/>
  <c r="NE9"/>
  <c r="ND9"/>
  <c r="LV9"/>
  <c r="LU9"/>
  <c r="LT9"/>
  <c r="LS9"/>
  <c r="LR9"/>
  <c r="LQ9"/>
  <c r="LP9"/>
  <c r="LO9"/>
  <c r="LN9"/>
  <c r="LM9"/>
  <c r="LL9"/>
  <c r="LK9" s="1"/>
  <c r="LJ9"/>
  <c r="LI9"/>
  <c r="JM9"/>
  <c r="JL9"/>
  <c r="JK9"/>
  <c r="JJ9"/>
  <c r="JI9"/>
  <c r="JH9"/>
  <c r="JG9"/>
  <c r="JF9"/>
  <c r="JE9"/>
  <c r="JD9"/>
  <c r="JC9"/>
  <c r="JB9"/>
  <c r="JA9"/>
  <c r="IZ9"/>
  <c r="IY9"/>
  <c r="GO9"/>
  <c r="HG9" s="1"/>
  <c r="GN9"/>
  <c r="GM9"/>
  <c r="GL9"/>
  <c r="GK9"/>
  <c r="GJ9"/>
  <c r="GI9"/>
  <c r="GH9"/>
  <c r="GG9"/>
  <c r="GF9"/>
  <c r="GE9"/>
  <c r="GD9"/>
  <c r="GC9"/>
  <c r="GB9"/>
  <c r="GA9"/>
  <c r="EH9"/>
  <c r="EG9"/>
  <c r="EF9" s="1"/>
  <c r="EE9" s="1"/>
  <c r="ED9"/>
  <c r="EA9"/>
  <c r="DZ9" s="1"/>
  <c r="DY9" s="1"/>
  <c r="DX9" s="1"/>
  <c r="DW9"/>
  <c r="DB9"/>
  <c r="DA9"/>
  <c r="CZ9"/>
  <c r="AT9"/>
  <c r="AS9"/>
  <c r="AR9"/>
  <c r="AQ9"/>
  <c r="AP9"/>
  <c r="AO9"/>
  <c r="AN9"/>
  <c r="AL9"/>
  <c r="AK9"/>
  <c r="AJ9"/>
  <c r="AH9"/>
  <c r="AG9"/>
  <c r="AF9"/>
  <c r="AE9"/>
  <c r="AD9"/>
  <c r="AC9"/>
  <c r="AB9"/>
  <c r="AA9"/>
  <c r="Z9"/>
  <c r="Y9"/>
  <c r="X9"/>
  <c r="W9"/>
  <c r="V9"/>
  <c r="U9"/>
  <c r="T9"/>
  <c r="M9"/>
  <c r="L9"/>
  <c r="K9"/>
  <c r="J9"/>
  <c r="I9"/>
  <c r="H9"/>
  <c r="G9"/>
  <c r="E9"/>
  <c r="QF8"/>
  <c r="QE8"/>
  <c r="QD8"/>
  <c r="QC8"/>
  <c r="PD8"/>
  <c r="H397" i="52" s="1"/>
  <c r="PC8" i="38"/>
  <c r="PB8"/>
  <c r="PA8"/>
  <c r="OZ8"/>
  <c r="OY8"/>
  <c r="OX8"/>
  <c r="L397" i="52" s="1"/>
  <c r="OW8" i="38"/>
  <c r="OV8"/>
  <c r="OU8"/>
  <c r="OT8"/>
  <c r="OS8"/>
  <c r="OR8"/>
  <c r="OQ8"/>
  <c r="OP8"/>
  <c r="NR8"/>
  <c r="NQ8"/>
  <c r="NP8"/>
  <c r="NO8"/>
  <c r="NN8"/>
  <c r="NM8"/>
  <c r="NL8"/>
  <c r="NK8"/>
  <c r="NJ8"/>
  <c r="NI8"/>
  <c r="NH8"/>
  <c r="NG8"/>
  <c r="NF8"/>
  <c r="NE8"/>
  <c r="ND8"/>
  <c r="LW8"/>
  <c r="LU8"/>
  <c r="LT8" s="1"/>
  <c r="LS8" s="1"/>
  <c r="LR8" s="1"/>
  <c r="LQ8" s="1"/>
  <c r="LP8" s="1"/>
  <c r="LO8" s="1"/>
  <c r="LN8" s="1"/>
  <c r="LM8" s="1"/>
  <c r="LL8" s="1"/>
  <c r="LK8" s="1"/>
  <c r="LJ8" s="1"/>
  <c r="LI8" s="1"/>
  <c r="JM8"/>
  <c r="JL8"/>
  <c r="JK8"/>
  <c r="JJ8"/>
  <c r="JI8"/>
  <c r="JH8"/>
  <c r="JG8"/>
  <c r="JF8"/>
  <c r="JE8"/>
  <c r="JD8"/>
  <c r="JC8"/>
  <c r="JB8"/>
  <c r="JA8"/>
  <c r="IZ8"/>
  <c r="IY8"/>
  <c r="HY8"/>
  <c r="HX8"/>
  <c r="HW8"/>
  <c r="HV8"/>
  <c r="HU8"/>
  <c r="HT8"/>
  <c r="HS8"/>
  <c r="HR8"/>
  <c r="HQ8"/>
  <c r="HQ45" s="1"/>
  <c r="HP8"/>
  <c r="HO8"/>
  <c r="HN8"/>
  <c r="HM8"/>
  <c r="HL8"/>
  <c r="HK8"/>
  <c r="GO8"/>
  <c r="HG8" s="1"/>
  <c r="GN8"/>
  <c r="HF8" s="1"/>
  <c r="GM8"/>
  <c r="GL8"/>
  <c r="GK8"/>
  <c r="GJ8"/>
  <c r="GI8"/>
  <c r="GH8"/>
  <c r="GG8"/>
  <c r="GF8"/>
  <c r="GE8"/>
  <c r="GD8"/>
  <c r="GC8"/>
  <c r="GB8"/>
  <c r="GA8"/>
  <c r="EH8"/>
  <c r="EG8"/>
  <c r="EF8" s="1"/>
  <c r="EE8" s="1"/>
  <c r="ED8"/>
  <c r="EA8"/>
  <c r="DZ8" s="1"/>
  <c r="DY8" s="1"/>
  <c r="DX8" s="1"/>
  <c r="DW8"/>
  <c r="DB8"/>
  <c r="DA8"/>
  <c r="CZ8"/>
  <c r="CD8"/>
  <c r="CC8"/>
  <c r="CB8"/>
  <c r="CA8"/>
  <c r="BZ8"/>
  <c r="BY8"/>
  <c r="BX8"/>
  <c r="BW8"/>
  <c r="BV8"/>
  <c r="BU8"/>
  <c r="BT8"/>
  <c r="BS8"/>
  <c r="BR8"/>
  <c r="BQ8"/>
  <c r="BP8"/>
  <c r="BL8"/>
  <c r="BK8"/>
  <c r="BJ8"/>
  <c r="BI8"/>
  <c r="BH8"/>
  <c r="BG8"/>
  <c r="BF8"/>
  <c r="BE8"/>
  <c r="BD8"/>
  <c r="BC8"/>
  <c r="BB8"/>
  <c r="BA8"/>
  <c r="AZ8"/>
  <c r="AY8"/>
  <c r="AX8"/>
  <c r="AT8"/>
  <c r="AS8"/>
  <c r="AR8"/>
  <c r="AQ8"/>
  <c r="AP8"/>
  <c r="AO8"/>
  <c r="AN8"/>
  <c r="AL8"/>
  <c r="AK8"/>
  <c r="AJ8"/>
  <c r="AH8"/>
  <c r="AG8"/>
  <c r="AF8"/>
  <c r="AE8"/>
  <c r="AD8"/>
  <c r="AC8"/>
  <c r="AB8"/>
  <c r="AA8"/>
  <c r="Z8"/>
  <c r="Y8"/>
  <c r="X8"/>
  <c r="W8"/>
  <c r="V8"/>
  <c r="U8"/>
  <c r="T8"/>
  <c r="M8"/>
  <c r="L8"/>
  <c r="K8"/>
  <c r="J8"/>
  <c r="I8"/>
  <c r="H8"/>
  <c r="G8"/>
  <c r="E8"/>
  <c r="E37" s="1"/>
  <c r="QF7"/>
  <c r="QE7"/>
  <c r="QD7"/>
  <c r="QC7" s="1"/>
  <c r="PD7"/>
  <c r="H404" i="52" s="1"/>
  <c r="PC7" i="38"/>
  <c r="PB7"/>
  <c r="PA7"/>
  <c r="OZ7"/>
  <c r="OY7"/>
  <c r="OX7"/>
  <c r="L404" i="52" s="1"/>
  <c r="OW7" i="38"/>
  <c r="OV7"/>
  <c r="OU7"/>
  <c r="OT7"/>
  <c r="OS7"/>
  <c r="OR7"/>
  <c r="OQ7"/>
  <c r="OP7"/>
  <c r="NR7"/>
  <c r="NQ7"/>
  <c r="NP7"/>
  <c r="NO7"/>
  <c r="NN7"/>
  <c r="NM7"/>
  <c r="NL7"/>
  <c r="NK7"/>
  <c r="NJ7"/>
  <c r="NI7"/>
  <c r="NH7"/>
  <c r="NG7"/>
  <c r="NF7"/>
  <c r="NE7"/>
  <c r="ND7"/>
  <c r="LV7"/>
  <c r="LU7"/>
  <c r="LT7"/>
  <c r="LS7"/>
  <c r="LR7"/>
  <c r="LQ7"/>
  <c r="LP7"/>
  <c r="LO7"/>
  <c r="LN7"/>
  <c r="LM7"/>
  <c r="LL7"/>
  <c r="LK7" s="1"/>
  <c r="LJ7"/>
  <c r="LI7"/>
  <c r="JM7"/>
  <c r="JL7"/>
  <c r="JK7"/>
  <c r="JJ7"/>
  <c r="JI7"/>
  <c r="JH7"/>
  <c r="JG7"/>
  <c r="JF7"/>
  <c r="JE7"/>
  <c r="JD7"/>
  <c r="JC7"/>
  <c r="JB7"/>
  <c r="JA7"/>
  <c r="IZ7"/>
  <c r="IY7"/>
  <c r="GO7"/>
  <c r="HG7" s="1"/>
  <c r="GN7"/>
  <c r="GM7"/>
  <c r="GL7"/>
  <c r="GK7"/>
  <c r="GJ7"/>
  <c r="GI7"/>
  <c r="GH7"/>
  <c r="GG7"/>
  <c r="GF7"/>
  <c r="GE7"/>
  <c r="GD7"/>
  <c r="GC7"/>
  <c r="GB7"/>
  <c r="GA7"/>
  <c r="EH7"/>
  <c r="EG7"/>
  <c r="EF7" s="1"/>
  <c r="EE7" s="1"/>
  <c r="ED7"/>
  <c r="EA7"/>
  <c r="DZ7" s="1"/>
  <c r="DY7" s="1"/>
  <c r="DX7" s="1"/>
  <c r="DW7"/>
  <c r="DB7"/>
  <c r="DA7"/>
  <c r="CZ7"/>
  <c r="AT7"/>
  <c r="AS7"/>
  <c r="AR7"/>
  <c r="AQ7"/>
  <c r="AP7"/>
  <c r="AO7"/>
  <c r="AN7"/>
  <c r="AL7"/>
  <c r="AK7"/>
  <c r="AJ7"/>
  <c r="AH7"/>
  <c r="AG7"/>
  <c r="AF7"/>
  <c r="AE7"/>
  <c r="AD7"/>
  <c r="AC7"/>
  <c r="AB7"/>
  <c r="AA7"/>
  <c r="Z7"/>
  <c r="Y7"/>
  <c r="X7"/>
  <c r="W7"/>
  <c r="V7"/>
  <c r="U7"/>
  <c r="T7"/>
  <c r="M7"/>
  <c r="L7"/>
  <c r="K7"/>
  <c r="J7"/>
  <c r="I7"/>
  <c r="H7"/>
  <c r="G7"/>
  <c r="E7"/>
  <c r="QF6"/>
  <c r="QE6"/>
  <c r="QD6"/>
  <c r="QC6"/>
  <c r="PD6"/>
  <c r="H401" i="52" s="1"/>
  <c r="PC6" i="38"/>
  <c r="PB6"/>
  <c r="M401" i="52" s="1"/>
  <c r="PA6" i="38"/>
  <c r="OZ6"/>
  <c r="OY6"/>
  <c r="OX6"/>
  <c r="L401" i="52" s="1"/>
  <c r="OW6" i="38"/>
  <c r="OV6"/>
  <c r="OU6"/>
  <c r="OT6"/>
  <c r="K401" i="52" s="1"/>
  <c r="OS6" i="38"/>
  <c r="OR6"/>
  <c r="OQ6"/>
  <c r="OP6"/>
  <c r="J401" i="52" s="1"/>
  <c r="NR6" i="38"/>
  <c r="NQ6"/>
  <c r="NP6"/>
  <c r="NO6"/>
  <c r="NN6"/>
  <c r="NM6"/>
  <c r="NL6"/>
  <c r="NK6"/>
  <c r="NJ6"/>
  <c r="NI6"/>
  <c r="NH6"/>
  <c r="NG6"/>
  <c r="NF6"/>
  <c r="NE6"/>
  <c r="ND6"/>
  <c r="LV6"/>
  <c r="LU6"/>
  <c r="LT6"/>
  <c r="LS6"/>
  <c r="LR6"/>
  <c r="LQ6"/>
  <c r="LP6"/>
  <c r="LO6"/>
  <c r="LN6"/>
  <c r="LM6"/>
  <c r="LL6"/>
  <c r="LK6" s="1"/>
  <c r="LJ6"/>
  <c r="LI6"/>
  <c r="JM6"/>
  <c r="JL6"/>
  <c r="JK6"/>
  <c r="JJ6"/>
  <c r="JI6"/>
  <c r="JH6"/>
  <c r="JG6"/>
  <c r="JF6"/>
  <c r="JE6"/>
  <c r="JD6"/>
  <c r="JC6"/>
  <c r="JB6"/>
  <c r="JA6"/>
  <c r="IZ6"/>
  <c r="IY6"/>
  <c r="GO6"/>
  <c r="HG6" s="1"/>
  <c r="GN6"/>
  <c r="GM6"/>
  <c r="GL6"/>
  <c r="GK6"/>
  <c r="GJ6"/>
  <c r="GI6"/>
  <c r="GH6"/>
  <c r="GG6"/>
  <c r="GF6"/>
  <c r="GE6"/>
  <c r="GD6"/>
  <c r="GC6"/>
  <c r="GB6"/>
  <c r="GA6"/>
  <c r="EH6"/>
  <c r="EG6"/>
  <c r="EF6" s="1"/>
  <c r="EE6" s="1"/>
  <c r="ED6"/>
  <c r="EA6"/>
  <c r="DZ6" s="1"/>
  <c r="DY6" s="1"/>
  <c r="DX6" s="1"/>
  <c r="DW6"/>
  <c r="DB6"/>
  <c r="DA6"/>
  <c r="CZ6"/>
  <c r="AT6"/>
  <c r="AS6"/>
  <c r="AR6"/>
  <c r="AQ6"/>
  <c r="AP6"/>
  <c r="AO6"/>
  <c r="AN6"/>
  <c r="AL6"/>
  <c r="AK6"/>
  <c r="AJ6"/>
  <c r="AH6"/>
  <c r="AG6"/>
  <c r="AF6"/>
  <c r="AE6"/>
  <c r="AD6"/>
  <c r="AC6"/>
  <c r="AB6"/>
  <c r="AA6"/>
  <c r="Z6" s="1"/>
  <c r="Y6"/>
  <c r="X6"/>
  <c r="W6"/>
  <c r="V6" s="1"/>
  <c r="U6"/>
  <c r="T6"/>
  <c r="M6"/>
  <c r="L6"/>
  <c r="K6"/>
  <c r="J6"/>
  <c r="I6"/>
  <c r="H6"/>
  <c r="G6"/>
  <c r="E6"/>
  <c r="QF5"/>
  <c r="QE5"/>
  <c r="QD5"/>
  <c r="PD5"/>
  <c r="PC5"/>
  <c r="PB5"/>
  <c r="PA5"/>
  <c r="OZ5"/>
  <c r="OY5"/>
  <c r="OX5"/>
  <c r="OW5"/>
  <c r="OV5"/>
  <c r="OU5"/>
  <c r="OT5"/>
  <c r="OS5"/>
  <c r="OR5"/>
  <c r="OQ5"/>
  <c r="OP5"/>
  <c r="NR5"/>
  <c r="NQ5"/>
  <c r="NP5"/>
  <c r="NO5"/>
  <c r="NN5"/>
  <c r="NM5"/>
  <c r="NL5"/>
  <c r="NK5"/>
  <c r="NJ5"/>
  <c r="NI5"/>
  <c r="NH5"/>
  <c r="NG5"/>
  <c r="NF5"/>
  <c r="P402" i="52" l="1"/>
  <c r="P409"/>
  <c r="P414"/>
  <c r="OY28" i="38"/>
  <c r="OQ28"/>
  <c r="P411" i="52"/>
  <c r="OV28" i="38"/>
  <c r="PC28"/>
  <c r="OU28"/>
  <c r="OS28"/>
  <c r="PA28"/>
  <c r="OZ28"/>
  <c r="P413" i="52"/>
  <c r="J412"/>
  <c r="OP28" i="38"/>
  <c r="OX28"/>
  <c r="L412" i="52"/>
  <c r="OP45" i="38"/>
  <c r="J397" i="52"/>
  <c r="P398"/>
  <c r="OR42" i="38"/>
  <c r="OR28"/>
  <c r="OW42"/>
  <c r="OW28"/>
  <c r="P416" i="52"/>
  <c r="H412"/>
  <c r="PD28" i="38"/>
  <c r="OP46"/>
  <c r="J418" i="52"/>
  <c r="OT44" i="38"/>
  <c r="K404" i="52"/>
  <c r="PB44" i="38"/>
  <c r="M404" i="52"/>
  <c r="PB48" i="38"/>
  <c r="M405" i="52"/>
  <c r="K412"/>
  <c r="OT28" i="38"/>
  <c r="M412" i="52"/>
  <c r="PB28" i="38"/>
  <c r="OT45"/>
  <c r="K397" i="52"/>
  <c r="PB45" i="38"/>
  <c r="M397" i="52"/>
  <c r="P400"/>
  <c r="P401"/>
  <c r="OT46" i="38"/>
  <c r="K418" i="52"/>
  <c r="P410"/>
  <c r="OP44" i="38"/>
  <c r="J404" i="52"/>
  <c r="P405"/>
  <c r="HZ61" i="38"/>
  <c r="HP45"/>
  <c r="HX45"/>
  <c r="HO45"/>
  <c r="HW45"/>
  <c r="HZ50"/>
  <c r="HN45"/>
  <c r="HV45"/>
  <c r="HM45"/>
  <c r="HU45"/>
  <c r="HZ63"/>
  <c r="HL45"/>
  <c r="HT45"/>
  <c r="IS8"/>
  <c r="HY45"/>
  <c r="HK45"/>
  <c r="HS45"/>
  <c r="HR45"/>
  <c r="HH27"/>
  <c r="HH13"/>
  <c r="EJ18"/>
  <c r="IB24"/>
  <c r="D24" i="47" s="1"/>
  <c r="HF11" i="38"/>
  <c r="PG6"/>
  <c r="OS46"/>
  <c r="HF12"/>
  <c r="HE8"/>
  <c r="JN10"/>
  <c r="PF10"/>
  <c r="HH19"/>
  <c r="EJ24"/>
  <c r="AV9"/>
  <c r="AV12"/>
  <c r="HH26"/>
  <c r="G36"/>
  <c r="HE12"/>
  <c r="HD12" s="1"/>
  <c r="HC12" s="1"/>
  <c r="P6"/>
  <c r="Q6" s="1"/>
  <c r="EI9"/>
  <c r="EJ9" s="1"/>
  <c r="EI12"/>
  <c r="IB26"/>
  <c r="IC26" s="1"/>
  <c r="LZ19"/>
  <c r="G37"/>
  <c r="JO8"/>
  <c r="IB13"/>
  <c r="D13" i="47" s="1"/>
  <c r="AV8" i="38"/>
  <c r="JQ8"/>
  <c r="PG11"/>
  <c r="PG12"/>
  <c r="EJ13"/>
  <c r="O9"/>
  <c r="PF12"/>
  <c r="O11"/>
  <c r="AV11"/>
  <c r="HD8"/>
  <c r="HE11"/>
  <c r="HD11" s="1"/>
  <c r="HC11" s="1"/>
  <c r="PG10"/>
  <c r="EI11"/>
  <c r="JP7"/>
  <c r="O8"/>
  <c r="AU13"/>
  <c r="O6"/>
  <c r="JN11"/>
  <c r="JO10"/>
  <c r="JO11"/>
  <c r="JN12"/>
  <c r="PE6"/>
  <c r="F401" i="52" s="1"/>
  <c r="P7" i="38"/>
  <c r="Q7" s="1"/>
  <c r="OS45"/>
  <c r="N9"/>
  <c r="JO12"/>
  <c r="OV49"/>
  <c r="OU49" s="1"/>
  <c r="PG5"/>
  <c r="N13"/>
  <c r="JN7"/>
  <c r="E36"/>
  <c r="OQ42"/>
  <c r="JN9"/>
  <c r="O10"/>
  <c r="GQ10"/>
  <c r="AU6"/>
  <c r="AV7"/>
  <c r="PE8"/>
  <c r="F397" i="52" s="1"/>
  <c r="O13" i="38"/>
  <c r="AV13"/>
  <c r="HF6"/>
  <c r="HE6" s="1"/>
  <c r="HD6" s="1"/>
  <c r="HC6" s="1"/>
  <c r="HB6" s="1"/>
  <c r="HA6" s="1"/>
  <c r="GZ6" s="1"/>
  <c r="GY6" s="1"/>
  <c r="GX6" s="1"/>
  <c r="GW6" s="1"/>
  <c r="GV6" s="1"/>
  <c r="GU6" s="1"/>
  <c r="HH6" s="1"/>
  <c r="N7"/>
  <c r="HF7"/>
  <c r="HE7" s="1"/>
  <c r="HD7" s="1"/>
  <c r="HC7" s="1"/>
  <c r="HB7" s="1"/>
  <c r="HA7" s="1"/>
  <c r="GZ7" s="1"/>
  <c r="GY7" s="1"/>
  <c r="GX7" s="1"/>
  <c r="GW7" s="1"/>
  <c r="GV7" s="1"/>
  <c r="GU7" s="1"/>
  <c r="HH7" s="1"/>
  <c r="OS44"/>
  <c r="OR44" s="1"/>
  <c r="OQ44" s="1"/>
  <c r="OW44"/>
  <c r="OV44" s="1"/>
  <c r="OU44" s="1"/>
  <c r="AU8"/>
  <c r="GP8"/>
  <c r="GP9"/>
  <c r="JP9"/>
  <c r="EB11"/>
  <c r="EB12"/>
  <c r="EB6"/>
  <c r="JQ6"/>
  <c r="EB7"/>
  <c r="JQ7"/>
  <c r="JP8"/>
  <c r="PF9"/>
  <c r="GP10"/>
  <c r="PE10"/>
  <c r="F408" i="52" s="1"/>
  <c r="OS49" i="38"/>
  <c r="OR49" s="1"/>
  <c r="OQ49" s="1"/>
  <c r="PE7"/>
  <c r="F404" i="52" s="1"/>
  <c r="AU10" i="38"/>
  <c r="JP10"/>
  <c r="GP11"/>
  <c r="GP12"/>
  <c r="PF5"/>
  <c r="P8"/>
  <c r="Q8" s="1"/>
  <c r="EK8"/>
  <c r="PF8"/>
  <c r="AU9"/>
  <c r="EK9"/>
  <c r="OR46"/>
  <c r="OQ46" s="1"/>
  <c r="AU11"/>
  <c r="JP11"/>
  <c r="PF11"/>
  <c r="JP12"/>
  <c r="P13"/>
  <c r="Q13" s="1"/>
  <c r="GP6"/>
  <c r="JO6"/>
  <c r="O7"/>
  <c r="GP7"/>
  <c r="GQ8"/>
  <c r="AV10"/>
  <c r="N11"/>
  <c r="N12"/>
  <c r="AU12"/>
  <c r="JP6"/>
  <c r="AU7"/>
  <c r="N6"/>
  <c r="PF6"/>
  <c r="PF7"/>
  <c r="EI8"/>
  <c r="EJ8" s="1"/>
  <c r="JN8"/>
  <c r="P9"/>
  <c r="Q9" s="1"/>
  <c r="EB10"/>
  <c r="GQ11"/>
  <c r="JQ11"/>
  <c r="PE11"/>
  <c r="F405" i="52" s="1"/>
  <c r="O12" i="38"/>
  <c r="GQ12"/>
  <c r="JQ12"/>
  <c r="PE12"/>
  <c r="F402" i="52" s="1"/>
  <c r="BN8" i="38"/>
  <c r="BM8"/>
  <c r="HZ8"/>
  <c r="IR8"/>
  <c r="IQ8" s="1"/>
  <c r="IP8" s="1"/>
  <c r="IO8" s="1"/>
  <c r="IN8" s="1"/>
  <c r="IM8" s="1"/>
  <c r="IL8" s="1"/>
  <c r="IK8" s="1"/>
  <c r="IJ8" s="1"/>
  <c r="II8" s="1"/>
  <c r="IH8" s="1"/>
  <c r="IG8" s="1"/>
  <c r="IT8" s="1"/>
  <c r="GT6"/>
  <c r="GS6" s="1"/>
  <c r="GT7"/>
  <c r="GS7" s="1"/>
  <c r="IF8"/>
  <c r="IE8" s="1"/>
  <c r="QC5"/>
  <c r="QD29"/>
  <c r="QD31"/>
  <c r="GT23"/>
  <c r="GS23" s="1"/>
  <c r="HH23"/>
  <c r="GT22"/>
  <c r="GS22" s="1"/>
  <c r="HH22"/>
  <c r="AV6"/>
  <c r="GQ6"/>
  <c r="GQ7"/>
  <c r="JO7"/>
  <c r="GQ9"/>
  <c r="JO9"/>
  <c r="PE9"/>
  <c r="F418" i="52" s="1"/>
  <c r="EI10" i="38"/>
  <c r="HG10"/>
  <c r="HF10" s="1"/>
  <c r="HE10" s="1"/>
  <c r="HD10" s="1"/>
  <c r="HC10" s="1"/>
  <c r="HB10" s="1"/>
  <c r="HA10" s="1"/>
  <c r="GZ10" s="1"/>
  <c r="GY10" s="1"/>
  <c r="GX10" s="1"/>
  <c r="GW10" s="1"/>
  <c r="GV10" s="1"/>
  <c r="GU10" s="1"/>
  <c r="JQ10"/>
  <c r="P11"/>
  <c r="P12"/>
  <c r="LV8"/>
  <c r="MB8" s="1"/>
  <c r="MC34"/>
  <c r="JN6"/>
  <c r="IA8"/>
  <c r="OR45"/>
  <c r="OQ45" s="1"/>
  <c r="OW45"/>
  <c r="OV45" s="1"/>
  <c r="OU45" s="1"/>
  <c r="GT17"/>
  <c r="GS17" s="1"/>
  <c r="HH17"/>
  <c r="GT16"/>
  <c r="GS16" s="1"/>
  <c r="HH16"/>
  <c r="EB9"/>
  <c r="EK11"/>
  <c r="EK12"/>
  <c r="EJ19"/>
  <c r="HI13"/>
  <c r="IU26"/>
  <c r="IT26" s="1"/>
  <c r="GT20"/>
  <c r="GS20" s="1"/>
  <c r="HH20"/>
  <c r="GT24"/>
  <c r="GS24" s="1"/>
  <c r="HH24"/>
  <c r="GT14"/>
  <c r="GS14" s="1"/>
  <c r="HH14"/>
  <c r="HC8"/>
  <c r="HB8" s="1"/>
  <c r="HA8" s="1"/>
  <c r="GZ8" s="1"/>
  <c r="GY8" s="1"/>
  <c r="GX8" s="1"/>
  <c r="GW8" s="1"/>
  <c r="GV8" s="1"/>
  <c r="GU8" s="1"/>
  <c r="GT8" s="1"/>
  <c r="GS8" s="1"/>
  <c r="HB11"/>
  <c r="HA11" s="1"/>
  <c r="GZ11" s="1"/>
  <c r="GY11" s="1"/>
  <c r="GX11" s="1"/>
  <c r="GW11" s="1"/>
  <c r="GV11" s="1"/>
  <c r="GU11" s="1"/>
  <c r="HB12"/>
  <c r="HA12" s="1"/>
  <c r="GZ12" s="1"/>
  <c r="GY12" s="1"/>
  <c r="GX12" s="1"/>
  <c r="GW12" s="1"/>
  <c r="GV12" s="1"/>
  <c r="GU12" s="1"/>
  <c r="MC8"/>
  <c r="PG8"/>
  <c r="IU24"/>
  <c r="IT24" s="1"/>
  <c r="EJ22"/>
  <c r="Q18"/>
  <c r="OV42"/>
  <c r="OU42" s="1"/>
  <c r="OS42" s="1"/>
  <c r="PE5"/>
  <c r="PG7"/>
  <c r="JQ34"/>
  <c r="P10"/>
  <c r="OW48"/>
  <c r="OV48" s="1"/>
  <c r="OU48" s="1"/>
  <c r="OS48" s="1"/>
  <c r="OR48" s="1"/>
  <c r="OQ48" s="1"/>
  <c r="OW47" s="1"/>
  <c r="OV47" s="1"/>
  <c r="OU47" s="1"/>
  <c r="OS47" s="1"/>
  <c r="OR47" s="1"/>
  <c r="OQ47" s="1"/>
  <c r="OU46" s="1"/>
  <c r="QF29"/>
  <c r="QF31"/>
  <c r="GT25"/>
  <c r="HH25"/>
  <c r="GT15"/>
  <c r="GS15" s="1"/>
  <c r="HH15"/>
  <c r="EK6"/>
  <c r="EK7"/>
  <c r="CF8"/>
  <c r="JQ9"/>
  <c r="PG9"/>
  <c r="EJ26"/>
  <c r="EJ15"/>
  <c r="EK35"/>
  <c r="Q20"/>
  <c r="EI6"/>
  <c r="EI7"/>
  <c r="N8"/>
  <c r="CE8"/>
  <c r="EB8"/>
  <c r="HF9"/>
  <c r="HE9" s="1"/>
  <c r="HD9" s="1"/>
  <c r="HC9" s="1"/>
  <c r="HB9" s="1"/>
  <c r="HA9" s="1"/>
  <c r="GZ9" s="1"/>
  <c r="GY9" s="1"/>
  <c r="GX9" s="1"/>
  <c r="GW9" s="1"/>
  <c r="GV9" s="1"/>
  <c r="GU9" s="1"/>
  <c r="N10"/>
  <c r="EK10"/>
  <c r="HI24"/>
  <c r="NE5"/>
  <c r="ND5"/>
  <c r="LV5"/>
  <c r="LU5"/>
  <c r="LT5"/>
  <c r="LS5"/>
  <c r="LR5"/>
  <c r="LQ5"/>
  <c r="LP5"/>
  <c r="LO5"/>
  <c r="LN5"/>
  <c r="LM5"/>
  <c r="LL5"/>
  <c r="LK5" s="1"/>
  <c r="LJ5"/>
  <c r="LI5"/>
  <c r="JM5"/>
  <c r="JL5"/>
  <c r="JK5"/>
  <c r="JJ5"/>
  <c r="JI5"/>
  <c r="JH5"/>
  <c r="JG5"/>
  <c r="JF5"/>
  <c r="JE5"/>
  <c r="JD5"/>
  <c r="JC5"/>
  <c r="JB5"/>
  <c r="JA5"/>
  <c r="IZ5"/>
  <c r="IY5"/>
  <c r="GO5"/>
  <c r="GN5"/>
  <c r="GM5"/>
  <c r="GL5"/>
  <c r="GK5"/>
  <c r="GJ5"/>
  <c r="GI5"/>
  <c r="GH5"/>
  <c r="GG5"/>
  <c r="GF5"/>
  <c r="GE5"/>
  <c r="GD5"/>
  <c r="GC5"/>
  <c r="GB5"/>
  <c r="GA5"/>
  <c r="EH5"/>
  <c r="EG5"/>
  <c r="EF5" s="1"/>
  <c r="EE5" s="1"/>
  <c r="ED5"/>
  <c r="EA5"/>
  <c r="DW5"/>
  <c r="DB5"/>
  <c r="DA5"/>
  <c r="CZ5"/>
  <c r="AT5"/>
  <c r="AS5"/>
  <c r="AS29" s="1"/>
  <c r="AR5"/>
  <c r="AR30" s="1"/>
  <c r="AQ5"/>
  <c r="AQ29" s="1"/>
  <c r="AP5"/>
  <c r="AP30" s="1"/>
  <c r="AO5"/>
  <c r="AO29" s="1"/>
  <c r="AN5"/>
  <c r="AN30" s="1"/>
  <c r="AL5"/>
  <c r="AK5"/>
  <c r="AJ5"/>
  <c r="AH5"/>
  <c r="AG5" s="1"/>
  <c r="AF5"/>
  <c r="AE5"/>
  <c r="AD5"/>
  <c r="AC5"/>
  <c r="AB5"/>
  <c r="AA5"/>
  <c r="Z5"/>
  <c r="Y5" s="1"/>
  <c r="X5" s="1"/>
  <c r="W5"/>
  <c r="V5" s="1"/>
  <c r="U5"/>
  <c r="T5"/>
  <c r="M5"/>
  <c r="L5"/>
  <c r="L30" s="1"/>
  <c r="K5"/>
  <c r="K29" s="1"/>
  <c r="J5"/>
  <c r="J29" s="1"/>
  <c r="I5"/>
  <c r="I29" s="1"/>
  <c r="H5"/>
  <c r="H29" s="1"/>
  <c r="G5"/>
  <c r="E5"/>
  <c r="KO1"/>
  <c r="FG1"/>
  <c r="CI1"/>
  <c r="S428" i="43"/>
  <c r="T427" s="1"/>
  <c r="S427" s="1"/>
  <c r="T426"/>
  <c r="S426"/>
  <c r="T425" s="1"/>
  <c r="S425" s="1"/>
  <c r="T424" s="1"/>
  <c r="S424" s="1"/>
  <c r="T423"/>
  <c r="S423"/>
  <c r="T422"/>
  <c r="S422"/>
  <c r="T421"/>
  <c r="S421"/>
  <c r="V409"/>
  <c r="U409"/>
  <c r="T409"/>
  <c r="S409"/>
  <c r="R409"/>
  <c r="O408"/>
  <c r="N408"/>
  <c r="M408"/>
  <c r="L408"/>
  <c r="K408"/>
  <c r="J408"/>
  <c r="O407"/>
  <c r="N407" s="1"/>
  <c r="M407" s="1"/>
  <c r="L407" s="1"/>
  <c r="K407" s="1"/>
  <c r="J407" s="1"/>
  <c r="O405"/>
  <c r="N405" s="1"/>
  <c r="M405" s="1"/>
  <c r="L405" s="1"/>
  <c r="K405" s="1"/>
  <c r="J405" s="1"/>
  <c r="U403"/>
  <c r="M403"/>
  <c r="L403"/>
  <c r="K403"/>
  <c r="V402"/>
  <c r="U402"/>
  <c r="T402"/>
  <c r="S402"/>
  <c r="R402"/>
  <c r="M402"/>
  <c r="L402"/>
  <c r="K402"/>
  <c r="N397"/>
  <c r="M397"/>
  <c r="L397"/>
  <c r="K397"/>
  <c r="G395"/>
  <c r="F395"/>
  <c r="E395"/>
  <c r="N392"/>
  <c r="M392"/>
  <c r="L392"/>
  <c r="K392"/>
  <c r="O384"/>
  <c r="N384"/>
  <c r="M384"/>
  <c r="L384"/>
  <c r="K384"/>
  <c r="J384"/>
  <c r="O383"/>
  <c r="N383"/>
  <c r="M383"/>
  <c r="L383"/>
  <c r="K383"/>
  <c r="J383"/>
  <c r="O382"/>
  <c r="N382"/>
  <c r="M382"/>
  <c r="L382"/>
  <c r="K382"/>
  <c r="J382"/>
  <c r="O381"/>
  <c r="N381" s="1"/>
  <c r="M381" s="1"/>
  <c r="L381" s="1"/>
  <c r="K381" s="1"/>
  <c r="J381" s="1"/>
  <c r="N378"/>
  <c r="M378"/>
  <c r="L378"/>
  <c r="K378"/>
  <c r="J378"/>
  <c r="N377"/>
  <c r="M377"/>
  <c r="L377"/>
  <c r="K377"/>
  <c r="J377"/>
  <c r="O376"/>
  <c r="N376"/>
  <c r="M376"/>
  <c r="L376"/>
  <c r="K376"/>
  <c r="J376"/>
  <c r="N375" s="1"/>
  <c r="M375" s="1"/>
  <c r="L375"/>
  <c r="K375"/>
  <c r="J375" s="1"/>
  <c r="N374"/>
  <c r="M374"/>
  <c r="L374"/>
  <c r="K374"/>
  <c r="J374"/>
  <c r="O368"/>
  <c r="N368" s="1"/>
  <c r="M368" s="1"/>
  <c r="L368"/>
  <c r="K368"/>
  <c r="J368"/>
  <c r="N367"/>
  <c r="M367"/>
  <c r="L367" s="1"/>
  <c r="K367" s="1"/>
  <c r="J367"/>
  <c r="N366"/>
  <c r="M366"/>
  <c r="L366"/>
  <c r="K366"/>
  <c r="J366"/>
  <c r="O360"/>
  <c r="N360" s="1"/>
  <c r="M360" s="1"/>
  <c r="L360" s="1"/>
  <c r="K360"/>
  <c r="J360"/>
  <c r="O358"/>
  <c r="N358"/>
  <c r="M358"/>
  <c r="L358"/>
  <c r="K358"/>
  <c r="O357"/>
  <c r="N357"/>
  <c r="M357"/>
  <c r="L357"/>
  <c r="K357"/>
  <c r="O356"/>
  <c r="N356"/>
  <c r="M356"/>
  <c r="L356"/>
  <c r="K356"/>
  <c r="S354"/>
  <c r="R354"/>
  <c r="S353"/>
  <c r="R353"/>
  <c r="H353"/>
  <c r="G353"/>
  <c r="F353"/>
  <c r="E353"/>
  <c r="S352"/>
  <c r="R352"/>
  <c r="H352"/>
  <c r="G352"/>
  <c r="F352"/>
  <c r="E352"/>
  <c r="S351"/>
  <c r="R351"/>
  <c r="S350"/>
  <c r="R350" s="1"/>
  <c r="O350"/>
  <c r="N350" s="1"/>
  <c r="M350"/>
  <c r="L350"/>
  <c r="K350"/>
  <c r="J350" s="1"/>
  <c r="S349" s="1"/>
  <c r="R349"/>
  <c r="O348" s="1"/>
  <c r="N348"/>
  <c r="M348"/>
  <c r="L348"/>
  <c r="K348"/>
  <c r="J348" s="1"/>
  <c r="S347" s="1"/>
  <c r="R347" s="1"/>
  <c r="S345"/>
  <c r="R345"/>
  <c r="V338"/>
  <c r="T338"/>
  <c r="S338"/>
  <c r="R338"/>
  <c r="U336"/>
  <c r="T336"/>
  <c r="N336"/>
  <c r="M336" s="1"/>
  <c r="L336" s="1"/>
  <c r="K336"/>
  <c r="J336"/>
  <c r="T332" s="1"/>
  <c r="S332"/>
  <c r="T331"/>
  <c r="S331" s="1"/>
  <c r="R331"/>
  <c r="T330"/>
  <c r="S330"/>
  <c r="R330"/>
  <c r="H328"/>
  <c r="G328"/>
  <c r="F328"/>
  <c r="E328"/>
  <c r="N327"/>
  <c r="M327"/>
  <c r="L327"/>
  <c r="K327"/>
  <c r="J327" s="1"/>
  <c r="N324" s="1"/>
  <c r="M324" s="1"/>
  <c r="L324" s="1"/>
  <c r="K324" s="1"/>
  <c r="V319"/>
  <c r="U319"/>
  <c r="T319"/>
  <c r="S319"/>
  <c r="R319" s="1"/>
  <c r="V318" s="1"/>
  <c r="U318" s="1"/>
  <c r="T318" s="1"/>
  <c r="S318" s="1"/>
  <c r="R318" s="1"/>
  <c r="V316"/>
  <c r="U316"/>
  <c r="T316"/>
  <c r="S316"/>
  <c r="R316"/>
  <c r="T314"/>
  <c r="S314"/>
  <c r="R314"/>
  <c r="T308"/>
  <c r="S308"/>
  <c r="R308"/>
  <c r="N305"/>
  <c r="M305"/>
  <c r="L305"/>
  <c r="K305"/>
  <c r="J305"/>
  <c r="V302"/>
  <c r="U302"/>
  <c r="T302"/>
  <c r="S302"/>
  <c r="R302" s="1"/>
  <c r="V300"/>
  <c r="U300"/>
  <c r="T300"/>
  <c r="S300"/>
  <c r="R300"/>
  <c r="N286"/>
  <c r="M286"/>
  <c r="L286"/>
  <c r="K286"/>
  <c r="O281"/>
  <c r="N281"/>
  <c r="M281"/>
  <c r="L281"/>
  <c r="K281"/>
  <c r="V277"/>
  <c r="U277"/>
  <c r="T277"/>
  <c r="S277"/>
  <c r="R277"/>
  <c r="O276"/>
  <c r="N276"/>
  <c r="M276" s="1"/>
  <c r="L276"/>
  <c r="K276"/>
  <c r="J276" s="1"/>
  <c r="V275" s="1"/>
  <c r="U275" s="1"/>
  <c r="T275"/>
  <c r="S275"/>
  <c r="R275"/>
  <c r="O275"/>
  <c r="N275"/>
  <c r="M275" s="1"/>
  <c r="L275"/>
  <c r="K275" s="1"/>
  <c r="J275"/>
  <c r="O274"/>
  <c r="N274"/>
  <c r="M274"/>
  <c r="L274"/>
  <c r="K274" s="1"/>
  <c r="J274"/>
  <c r="V273"/>
  <c r="U273"/>
  <c r="T273"/>
  <c r="S273"/>
  <c r="R273" s="1"/>
  <c r="V271"/>
  <c r="U271"/>
  <c r="T271" s="1"/>
  <c r="S271" s="1"/>
  <c r="R271"/>
  <c r="V268"/>
  <c r="U268"/>
  <c r="T268"/>
  <c r="S268"/>
  <c r="R268"/>
  <c r="V266"/>
  <c r="U266" s="1"/>
  <c r="T266" s="1"/>
  <c r="S266"/>
  <c r="R266"/>
  <c r="V264" s="1"/>
  <c r="U264"/>
  <c r="T264"/>
  <c r="S264" s="1"/>
  <c r="R264" s="1"/>
  <c r="O264"/>
  <c r="N264"/>
  <c r="M264"/>
  <c r="L264"/>
  <c r="K264"/>
  <c r="J264"/>
  <c r="N263"/>
  <c r="M263"/>
  <c r="L263"/>
  <c r="K263"/>
  <c r="J263"/>
  <c r="V262"/>
  <c r="U262"/>
  <c r="T262"/>
  <c r="S262"/>
  <c r="R262"/>
  <c r="O261"/>
  <c r="N261"/>
  <c r="M261"/>
  <c r="L261"/>
  <c r="K261"/>
  <c r="J261"/>
  <c r="N260"/>
  <c r="M260"/>
  <c r="L260"/>
  <c r="K260"/>
  <c r="J260"/>
  <c r="V259"/>
  <c r="U259"/>
  <c r="T259"/>
  <c r="S259"/>
  <c r="R259"/>
  <c r="O258"/>
  <c r="N258"/>
  <c r="M258"/>
  <c r="L258"/>
  <c r="K258"/>
  <c r="J258"/>
  <c r="V257" s="1"/>
  <c r="U257"/>
  <c r="T257"/>
  <c r="S257" s="1"/>
  <c r="R257"/>
  <c r="O257"/>
  <c r="N257"/>
  <c r="M257"/>
  <c r="L257"/>
  <c r="K257"/>
  <c r="J257"/>
  <c r="V255"/>
  <c r="U255"/>
  <c r="T255"/>
  <c r="S255"/>
  <c r="R255" s="1"/>
  <c r="V253"/>
  <c r="U253" s="1"/>
  <c r="T253" s="1"/>
  <c r="S253"/>
  <c r="R253"/>
  <c r="V250"/>
  <c r="U250"/>
  <c r="T250"/>
  <c r="S250"/>
  <c r="R250"/>
  <c r="O249"/>
  <c r="N249"/>
  <c r="M249"/>
  <c r="L249"/>
  <c r="K249"/>
  <c r="J249"/>
  <c r="V248"/>
  <c r="U248"/>
  <c r="T248" s="1"/>
  <c r="S248"/>
  <c r="R248" s="1"/>
  <c r="N247"/>
  <c r="M247"/>
  <c r="L247"/>
  <c r="K247"/>
  <c r="V246" s="1"/>
  <c r="U246"/>
  <c r="T246"/>
  <c r="S246"/>
  <c r="R246"/>
  <c r="V244"/>
  <c r="U244" s="1"/>
  <c r="T244"/>
  <c r="S244" s="1"/>
  <c r="R244"/>
  <c r="O234"/>
  <c r="N234"/>
  <c r="M234"/>
  <c r="L234"/>
  <c r="K234"/>
  <c r="O233"/>
  <c r="N233"/>
  <c r="M233"/>
  <c r="L233"/>
  <c r="K233"/>
  <c r="O232"/>
  <c r="N232"/>
  <c r="M232"/>
  <c r="L232"/>
  <c r="K232"/>
  <c r="N228" s="1"/>
  <c r="M228" s="1"/>
  <c r="L228" s="1"/>
  <c r="K228"/>
  <c r="J228"/>
  <c r="N226"/>
  <c r="M226"/>
  <c r="L226"/>
  <c r="K226"/>
  <c r="M225"/>
  <c r="L225"/>
  <c r="K225"/>
  <c r="AE224" s="1"/>
  <c r="V224" s="1"/>
  <c r="U224"/>
  <c r="T224"/>
  <c r="S224" s="1"/>
  <c r="M224"/>
  <c r="L224"/>
  <c r="K224"/>
  <c r="AE223" s="1"/>
  <c r="V223" s="1"/>
  <c r="U223" s="1"/>
  <c r="T223"/>
  <c r="S223" s="1"/>
  <c r="P412" i="52" l="1"/>
  <c r="PE28" i="38"/>
  <c r="F412" i="52"/>
  <c r="PF28" i="38"/>
  <c r="P404" i="52"/>
  <c r="PG28" i="38"/>
  <c r="P418" i="52"/>
  <c r="HZ45" i="38"/>
  <c r="IC13"/>
  <c r="IC24"/>
  <c r="EJ12"/>
  <c r="EI5"/>
  <c r="JN5"/>
  <c r="JN31" s="1"/>
  <c r="AN29"/>
  <c r="EJ11"/>
  <c r="IB8"/>
  <c r="IC8" s="1"/>
  <c r="GQ5"/>
  <c r="GQ29" s="1"/>
  <c r="AQ30"/>
  <c r="JO5"/>
  <c r="GP5"/>
  <c r="GP31" s="1"/>
  <c r="AO30"/>
  <c r="JP5"/>
  <c r="JP31" s="1"/>
  <c r="EJ6"/>
  <c r="HG5"/>
  <c r="HF5" s="1"/>
  <c r="HE5" s="1"/>
  <c r="EJ10"/>
  <c r="EJ7"/>
  <c r="M29"/>
  <c r="M30"/>
  <c r="MA8"/>
  <c r="LY8"/>
  <c r="JQ5"/>
  <c r="K30"/>
  <c r="J30" s="1"/>
  <c r="I30" s="1"/>
  <c r="H30" s="1"/>
  <c r="AP29"/>
  <c r="EK5"/>
  <c r="T428" i="43"/>
  <c r="CW26" i="38"/>
  <c r="CV26" s="1"/>
  <c r="CU26" s="1"/>
  <c r="CT26" s="1"/>
  <c r="CS26" s="1"/>
  <c r="CR26" s="1"/>
  <c r="CQ26" s="1"/>
  <c r="CP26" s="1"/>
  <c r="CO26" s="1"/>
  <c r="CN26" s="1"/>
  <c r="CM26" s="1"/>
  <c r="CL26" s="1"/>
  <c r="CK26" s="1"/>
  <c r="CV13"/>
  <c r="CU13" s="1"/>
  <c r="CT13" s="1"/>
  <c r="CS13" s="1"/>
  <c r="CR13" s="1"/>
  <c r="CQ13" s="1"/>
  <c r="CP13" s="1"/>
  <c r="CO13" s="1"/>
  <c r="CN13" s="1"/>
  <c r="CM13" s="1"/>
  <c r="CL13" s="1"/>
  <c r="CK13" s="1"/>
  <c r="CW13"/>
  <c r="CW8"/>
  <c r="CO8"/>
  <c r="CP8"/>
  <c r="CQ8"/>
  <c r="CI8"/>
  <c r="CG8" s="1"/>
  <c r="CR8"/>
  <c r="CJ8"/>
  <c r="CS8"/>
  <c r="CK8"/>
  <c r="CT8"/>
  <c r="CL8"/>
  <c r="CU8"/>
  <c r="CM8"/>
  <c r="CV8"/>
  <c r="CN8"/>
  <c r="GT11"/>
  <c r="GS11" s="1"/>
  <c r="HH11"/>
  <c r="GT10"/>
  <c r="GS10" s="1"/>
  <c r="HH10"/>
  <c r="HD5"/>
  <c r="HC5" s="1"/>
  <c r="HB5" s="1"/>
  <c r="HA5" s="1"/>
  <c r="GZ5" s="1"/>
  <c r="GY5" s="1"/>
  <c r="GX5" s="1"/>
  <c r="GW5" s="1"/>
  <c r="GV5" s="1"/>
  <c r="GU5" s="1"/>
  <c r="EH29"/>
  <c r="EH31"/>
  <c r="PE29"/>
  <c r="PE31"/>
  <c r="GT12"/>
  <c r="GS12" s="1"/>
  <c r="HH12"/>
  <c r="GT9"/>
  <c r="GS9" s="1"/>
  <c r="HH9"/>
  <c r="Q11"/>
  <c r="AV5"/>
  <c r="P5"/>
  <c r="AU5"/>
  <c r="G34"/>
  <c r="G30"/>
  <c r="G29"/>
  <c r="AT29"/>
  <c r="AT30"/>
  <c r="AS30" s="1"/>
  <c r="DZ5"/>
  <c r="DY5" s="1"/>
  <c r="DX5" s="1"/>
  <c r="EA29"/>
  <c r="EA31"/>
  <c r="Q12"/>
  <c r="O5"/>
  <c r="HI8"/>
  <c r="HH8" s="1"/>
  <c r="IV8" s="1"/>
  <c r="E30"/>
  <c r="E29"/>
  <c r="E34"/>
  <c r="N5"/>
  <c r="AR29"/>
  <c r="AE222" i="43"/>
  <c r="V222"/>
  <c r="U222"/>
  <c r="T222"/>
  <c r="S222"/>
  <c r="AE220" s="1"/>
  <c r="V220"/>
  <c r="U220" s="1"/>
  <c r="T220" s="1"/>
  <c r="S220" s="1"/>
  <c r="AE218" s="1"/>
  <c r="V218" s="1"/>
  <c r="U218" s="1"/>
  <c r="T218"/>
  <c r="S218"/>
  <c r="V217"/>
  <c r="U217"/>
  <c r="JN29" i="38" l="1"/>
  <c r="GQ31"/>
  <c r="JP29"/>
  <c r="GP29"/>
  <c r="CX8"/>
  <c r="CJ13"/>
  <c r="CI13" s="1"/>
  <c r="CG13" s="1"/>
  <c r="CX13"/>
  <c r="L29"/>
  <c r="P29"/>
  <c r="R5" s="1"/>
  <c r="IU8"/>
  <c r="IW8"/>
  <c r="F8" i="47" s="1"/>
  <c r="E8" s="1"/>
  <c r="D8" s="1"/>
  <c r="Q5" i="38"/>
  <c r="EJ5"/>
  <c r="GT5"/>
  <c r="GS5" s="1"/>
  <c r="HH5"/>
  <c r="LX8"/>
  <c r="LZ8"/>
  <c r="AV29"/>
  <c r="EB5"/>
  <c r="CJ26"/>
  <c r="CI26" s="1"/>
  <c r="CG26" s="1"/>
  <c r="CX26"/>
  <c r="F34"/>
  <c r="G35"/>
  <c r="H35" s="1"/>
  <c r="H34"/>
  <c r="F36"/>
  <c r="F37"/>
  <c r="E35"/>
  <c r="F35" s="1"/>
  <c r="AU29"/>
  <c r="AU30"/>
  <c r="N29"/>
  <c r="PE30" s="1"/>
  <c r="N30"/>
  <c r="O29"/>
  <c r="O30"/>
  <c r="H37"/>
  <c r="H36"/>
  <c r="AE214" i="43"/>
  <c r="V210" s="1"/>
  <c r="U210" s="1"/>
  <c r="T210" s="1"/>
  <c r="S210" s="1"/>
  <c r="H210"/>
  <c r="G210"/>
  <c r="F210"/>
  <c r="E210"/>
  <c r="H209"/>
  <c r="G209"/>
  <c r="E209"/>
  <c r="F208"/>
  <c r="N207" s="1"/>
  <c r="M207" s="1"/>
  <c r="L207"/>
  <c r="K207" s="1"/>
  <c r="N206"/>
  <c r="M206"/>
  <c r="L206"/>
  <c r="K206"/>
  <c r="O204"/>
  <c r="N204"/>
  <c r="M204"/>
  <c r="L204"/>
  <c r="K204"/>
  <c r="N203"/>
  <c r="M203"/>
  <c r="L203"/>
  <c r="K203"/>
  <c r="J203"/>
  <c r="O200"/>
  <c r="N200"/>
  <c r="M200"/>
  <c r="L200"/>
  <c r="K200"/>
  <c r="O199"/>
  <c r="O197"/>
  <c r="O196"/>
  <c r="V191" s="1"/>
  <c r="U191" s="1"/>
  <c r="T191" s="1"/>
  <c r="S191" s="1"/>
  <c r="R191" s="1"/>
  <c r="N191" s="1"/>
  <c r="M191"/>
  <c r="L191" s="1"/>
  <c r="K191" s="1"/>
  <c r="J191" s="1"/>
  <c r="V190"/>
  <c r="U190"/>
  <c r="T190"/>
  <c r="S190" s="1"/>
  <c r="R190"/>
  <c r="V189" s="1"/>
  <c r="U189" s="1"/>
  <c r="T189"/>
  <c r="S189"/>
  <c r="R189" s="1"/>
  <c r="V186" s="1"/>
  <c r="U186"/>
  <c r="T186"/>
  <c r="S186"/>
  <c r="R186"/>
  <c r="V185" s="1"/>
  <c r="U185" s="1"/>
  <c r="T185" s="1"/>
  <c r="S185"/>
  <c r="R185"/>
  <c r="V184"/>
  <c r="U184" s="1"/>
  <c r="T184" s="1"/>
  <c r="S184"/>
  <c r="R184"/>
  <c r="V180"/>
  <c r="U180"/>
  <c r="T180"/>
  <c r="S180"/>
  <c r="R180"/>
  <c r="V179"/>
  <c r="U179"/>
  <c r="T179"/>
  <c r="N179"/>
  <c r="M179"/>
  <c r="L179"/>
  <c r="K179"/>
  <c r="V178"/>
  <c r="U178"/>
  <c r="T178"/>
  <c r="AL169"/>
  <c r="AL168" s="1"/>
  <c r="U168"/>
  <c r="AQ167"/>
  <c r="U167"/>
  <c r="AL166"/>
  <c r="EH30" i="38" l="1"/>
  <c r="PG29"/>
  <c r="JP30"/>
  <c r="QF30"/>
  <c r="QD30"/>
  <c r="JN30"/>
  <c r="GP30"/>
  <c r="R26"/>
  <c r="R23"/>
  <c r="R17"/>
  <c r="R19"/>
  <c r="R16"/>
  <c r="R21"/>
  <c r="R15"/>
  <c r="R25"/>
  <c r="R14"/>
  <c r="R22"/>
  <c r="R27"/>
  <c r="R6"/>
  <c r="R24"/>
  <c r="R7"/>
  <c r="R13"/>
  <c r="R20"/>
  <c r="R9"/>
  <c r="R8"/>
  <c r="R18"/>
  <c r="R12"/>
  <c r="R11"/>
  <c r="R10"/>
  <c r="EB31"/>
  <c r="EB29"/>
  <c r="EB30"/>
  <c r="EA30" s="1"/>
  <c r="GQ30"/>
  <c r="U164" i="43"/>
  <c r="T164"/>
  <c r="N163"/>
  <c r="M163"/>
  <c r="L163" s="1"/>
  <c r="K163" s="1"/>
  <c r="N162"/>
  <c r="M162"/>
  <c r="L162"/>
  <c r="K162"/>
  <c r="N161"/>
  <c r="M161"/>
  <c r="L161" s="1"/>
  <c r="K161"/>
  <c r="M160" s="1"/>
  <c r="L160"/>
  <c r="K160"/>
  <c r="O157"/>
  <c r="O156"/>
  <c r="M156"/>
  <c r="L156"/>
  <c r="K156"/>
  <c r="J156"/>
  <c r="O155"/>
  <c r="M155"/>
  <c r="L155"/>
  <c r="K155"/>
  <c r="J155"/>
  <c r="O154"/>
  <c r="M154"/>
  <c r="L154"/>
  <c r="K154"/>
  <c r="J154"/>
  <c r="O153"/>
  <c r="M153"/>
  <c r="L153"/>
  <c r="K153"/>
  <c r="J153"/>
  <c r="O152"/>
  <c r="M152"/>
  <c r="L152"/>
  <c r="K152"/>
  <c r="O151"/>
  <c r="M151"/>
  <c r="L151"/>
  <c r="K151"/>
  <c r="J151"/>
  <c r="O150"/>
  <c r="M150"/>
  <c r="L150"/>
  <c r="K150"/>
  <c r="J150"/>
  <c r="O149"/>
  <c r="M149"/>
  <c r="L149"/>
  <c r="K149"/>
  <c r="J149"/>
  <c r="R146"/>
  <c r="O146"/>
  <c r="R145"/>
  <c r="O145"/>
  <c r="M145"/>
  <c r="L145"/>
  <c r="K145"/>
  <c r="J145"/>
  <c r="O144"/>
  <c r="M144"/>
  <c r="L144"/>
  <c r="K144"/>
  <c r="J144"/>
  <c r="O143"/>
  <c r="M143"/>
  <c r="L143"/>
  <c r="K143"/>
  <c r="J143"/>
  <c r="O142"/>
  <c r="M142"/>
  <c r="L142"/>
  <c r="K142"/>
  <c r="J142"/>
  <c r="O141"/>
  <c r="M141"/>
  <c r="L141"/>
  <c r="K141"/>
  <c r="O140"/>
  <c r="M140"/>
  <c r="L140"/>
  <c r="K140"/>
  <c r="J140"/>
  <c r="O139"/>
  <c r="M139"/>
  <c r="L139"/>
  <c r="K139"/>
  <c r="J139"/>
  <c r="O138"/>
  <c r="M138"/>
  <c r="L138"/>
  <c r="K138"/>
  <c r="J138"/>
  <c r="O136"/>
  <c r="O135"/>
  <c r="M135"/>
  <c r="L135"/>
  <c r="K135"/>
  <c r="J135"/>
  <c r="O134"/>
  <c r="M134"/>
  <c r="L134"/>
  <c r="K134"/>
  <c r="J134"/>
  <c r="O133"/>
  <c r="M133"/>
  <c r="L133"/>
  <c r="K133"/>
  <c r="J133"/>
  <c r="O132"/>
  <c r="M132"/>
  <c r="L132"/>
  <c r="K132"/>
  <c r="J132"/>
  <c r="O131"/>
  <c r="M131"/>
  <c r="L131"/>
  <c r="K131"/>
  <c r="O130"/>
  <c r="M130"/>
  <c r="L130"/>
  <c r="K130"/>
  <c r="J130"/>
  <c r="O129"/>
  <c r="M129"/>
  <c r="L129"/>
  <c r="K129"/>
  <c r="J129"/>
  <c r="O128" s="1"/>
  <c r="N128"/>
  <c r="M128"/>
  <c r="L128"/>
  <c r="K128"/>
  <c r="J128"/>
  <c r="O126"/>
  <c r="O125"/>
  <c r="M125"/>
  <c r="L125"/>
  <c r="K125"/>
  <c r="J125"/>
  <c r="O124"/>
  <c r="M124"/>
  <c r="L124"/>
  <c r="K124"/>
  <c r="J124"/>
  <c r="O123"/>
  <c r="M123"/>
  <c r="L123"/>
  <c r="K123"/>
  <c r="J123"/>
  <c r="O122"/>
  <c r="M122"/>
  <c r="L122"/>
  <c r="K122"/>
  <c r="J122"/>
  <c r="O121"/>
  <c r="M121"/>
  <c r="L121"/>
  <c r="K121"/>
  <c r="O120"/>
  <c r="M120"/>
  <c r="L120"/>
  <c r="K120"/>
  <c r="J120"/>
  <c r="O119"/>
  <c r="M119"/>
  <c r="L119"/>
  <c r="K119"/>
  <c r="J119"/>
  <c r="O118"/>
  <c r="N118"/>
  <c r="M118"/>
  <c r="L118"/>
  <c r="K118"/>
  <c r="J118"/>
  <c r="N113"/>
  <c r="M113"/>
  <c r="L113"/>
  <c r="K113"/>
  <c r="J113"/>
  <c r="N100"/>
  <c r="M100"/>
  <c r="L100"/>
  <c r="K100"/>
  <c r="J100"/>
  <c r="N98"/>
  <c r="M98"/>
  <c r="L98"/>
  <c r="K98" s="1"/>
  <c r="N97"/>
  <c r="M97"/>
  <c r="L97"/>
  <c r="K97"/>
  <c r="AL95"/>
  <c r="V95"/>
  <c r="U95"/>
  <c r="T95"/>
  <c r="S95"/>
  <c r="R95"/>
  <c r="N95" s="1"/>
  <c r="M95" s="1"/>
  <c r="L95" s="1"/>
  <c r="K95" s="1"/>
  <c r="J95" s="1"/>
  <c r="N94" s="1"/>
  <c r="M94" s="1"/>
  <c r="L94" s="1"/>
  <c r="K94" s="1"/>
  <c r="J94"/>
  <c r="N93"/>
  <c r="M93" l="1"/>
  <c r="L93"/>
  <c r="K93"/>
  <c r="J93" s="1"/>
  <c r="AL92"/>
  <c r="AK92"/>
  <c r="N92" s="1"/>
  <c r="M92" s="1"/>
  <c r="L92" s="1"/>
  <c r="K92" s="1"/>
  <c r="J92" s="1"/>
  <c r="AL91"/>
  <c r="AK91"/>
  <c r="N91"/>
  <c r="M91"/>
  <c r="L91" s="1"/>
  <c r="K91"/>
  <c r="J91" l="1"/>
  <c r="AL90"/>
  <c r="AK90" s="1"/>
  <c r="V90"/>
  <c r="U90"/>
  <c r="T90"/>
  <c r="S90"/>
  <c r="R90"/>
  <c r="N90" s="1"/>
  <c r="M90" s="1"/>
  <c r="L90"/>
  <c r="K90" s="1"/>
  <c r="J90"/>
  <c r="AJ89"/>
  <c r="N89" s="1"/>
  <c r="M89" s="1"/>
  <c r="L89" s="1"/>
  <c r="K89" s="1"/>
  <c r="J89" s="1"/>
  <c r="V88"/>
  <c r="U88"/>
  <c r="T88"/>
  <c r="N88" s="1"/>
  <c r="M88" s="1"/>
  <c r="L88"/>
  <c r="K88" s="1"/>
  <c r="J88"/>
  <c r="V87"/>
  <c r="U87"/>
  <c r="T87"/>
  <c r="N87"/>
  <c r="M87"/>
  <c r="L87"/>
  <c r="K87"/>
  <c r="J87"/>
  <c r="N86" s="1"/>
  <c r="M86" s="1"/>
  <c r="L86" s="1"/>
  <c r="K86"/>
  <c r="J86" s="1"/>
  <c r="V85"/>
  <c r="U85"/>
  <c r="T85"/>
  <c r="S85"/>
  <c r="R85"/>
  <c r="N85"/>
  <c r="M85" l="1"/>
  <c r="L85" s="1"/>
  <c r="K85"/>
  <c r="J85"/>
  <c r="N84"/>
  <c r="M84" l="1"/>
  <c r="L84"/>
  <c r="K84" s="1"/>
  <c r="J84" s="1"/>
  <c r="N83"/>
  <c r="M83"/>
  <c r="L83" s="1"/>
  <c r="K83"/>
  <c r="J83" l="1"/>
  <c r="U81"/>
  <c r="T81"/>
  <c r="S81"/>
  <c r="R81"/>
  <c r="M81" s="1"/>
  <c r="L81" s="1"/>
  <c r="K81" s="1"/>
  <c r="J81" s="1"/>
  <c r="M80" s="1"/>
  <c r="L80" s="1"/>
  <c r="K80" s="1"/>
  <c r="J80" s="1"/>
  <c r="H80"/>
  <c r="G80"/>
  <c r="F80"/>
  <c r="E80"/>
  <c r="M79"/>
  <c r="L79"/>
  <c r="K79"/>
  <c r="J79"/>
  <c r="M78" s="1"/>
  <c r="L78" s="1"/>
  <c r="K78" s="1"/>
  <c r="J78" s="1"/>
  <c r="M77" s="1"/>
  <c r="L77" s="1"/>
  <c r="K77" s="1"/>
  <c r="J77" s="1"/>
  <c r="U76"/>
  <c r="T76"/>
  <c r="S76"/>
  <c r="R76"/>
  <c r="M76"/>
  <c r="L76"/>
  <c r="K76"/>
  <c r="J76"/>
  <c r="M75" s="1"/>
  <c r="L75" s="1"/>
  <c r="K75" s="1"/>
  <c r="J75" s="1"/>
  <c r="F75"/>
  <c r="E75"/>
  <c r="U74"/>
  <c r="M74"/>
  <c r="L74"/>
  <c r="K74" l="1"/>
  <c r="J74"/>
  <c r="U73"/>
  <c r="M73"/>
  <c r="L73"/>
  <c r="K73"/>
  <c r="J73"/>
  <c r="M72" s="1"/>
  <c r="L72" s="1"/>
  <c r="K72" s="1"/>
  <c r="J72" s="1"/>
  <c r="U71"/>
  <c r="T71"/>
  <c r="S71"/>
  <c r="R71"/>
  <c r="M71"/>
  <c r="L71"/>
  <c r="K71" l="1"/>
  <c r="J71"/>
  <c r="E71"/>
  <c r="M70" s="1"/>
  <c r="L70"/>
  <c r="K70"/>
  <c r="J70" l="1"/>
  <c r="M69"/>
  <c r="L69"/>
  <c r="K69"/>
  <c r="J69"/>
  <c r="S61"/>
  <c r="R61"/>
  <c r="K61"/>
  <c r="J61"/>
  <c r="N53"/>
  <c r="M53"/>
  <c r="L53"/>
  <c r="K53"/>
  <c r="N41"/>
  <c r="M41"/>
  <c r="W21"/>
  <c r="V21" s="1"/>
  <c r="U21" s="1"/>
  <c r="T21" s="1"/>
  <c r="S21" l="1"/>
  <c r="R21" s="1"/>
  <c r="AA19" s="1"/>
  <c r="W19"/>
  <c r="V19"/>
  <c r="U19" s="1"/>
  <c r="T19"/>
  <c r="S19" s="1"/>
  <c r="R19"/>
  <c r="AA18" s="1"/>
  <c r="W18" s="1"/>
  <c r="V18" s="1"/>
  <c r="U18" s="1"/>
  <c r="T18" s="1"/>
  <c r="S18" s="1"/>
  <c r="R18" s="1"/>
  <c r="N18"/>
  <c r="J18" s="1"/>
  <c r="AA17" s="1"/>
  <c r="W17" s="1"/>
  <c r="V17"/>
  <c r="U17" s="1"/>
  <c r="T17"/>
  <c r="S17" s="1"/>
  <c r="R17"/>
  <c r="N17"/>
  <c r="M17"/>
  <c r="L17"/>
  <c r="K17"/>
  <c r="J17"/>
  <c r="AA16"/>
  <c r="Z16" s="1"/>
  <c r="X16" l="1"/>
  <c r="V16" l="1"/>
  <c r="U16"/>
  <c r="T16"/>
  <c r="S16"/>
  <c r="R16"/>
  <c r="AA15"/>
  <c r="Z15"/>
  <c r="X15"/>
  <c r="V15"/>
  <c r="U15"/>
  <c r="T15"/>
  <c r="S15"/>
  <c r="R15"/>
  <c r="AA14" l="1"/>
  <c r="W14"/>
  <c r="V14"/>
  <c r="U14"/>
  <c r="T14"/>
  <c r="S14"/>
  <c r="R14"/>
  <c r="AA13" l="1"/>
  <c r="W13"/>
  <c r="V13"/>
  <c r="U13"/>
  <c r="T13"/>
  <c r="S13"/>
  <c r="R13"/>
  <c r="AA12"/>
  <c r="W12"/>
  <c r="V12"/>
  <c r="U12"/>
  <c r="T12"/>
  <c r="S12"/>
  <c r="R12"/>
  <c r="N12" s="1"/>
  <c r="J12" s="1"/>
  <c r="N11" s="1"/>
  <c r="M11" s="1"/>
  <c r="L11"/>
  <c r="K11" s="1"/>
  <c r="J11" s="1"/>
  <c r="O385" i="51"/>
  <c r="O359"/>
  <c r="O333"/>
  <c r="O312"/>
  <c r="O271"/>
  <c r="O262"/>
  <c r="O225"/>
  <c r="O208"/>
  <c r="O185"/>
  <c r="O141"/>
  <c r="AF129"/>
  <c r="AF117"/>
  <c r="O117"/>
  <c r="O91"/>
  <c r="O75" l="1"/>
  <c r="O52" l="1"/>
  <c r="AI28"/>
  <c r="Y28"/>
  <c r="V28"/>
  <c r="U28"/>
  <c r="U62" s="1"/>
  <c r="T28"/>
  <c r="S28"/>
  <c r="S62" s="1"/>
  <c r="R28"/>
  <c r="Q28"/>
  <c r="J28"/>
  <c r="J62" s="1"/>
  <c r="T388" l="1"/>
  <c r="T330"/>
  <c r="T299"/>
  <c r="T269"/>
  <c r="T250"/>
  <c r="T355"/>
  <c r="T237"/>
  <c r="T159"/>
  <c r="T192"/>
  <c r="T168"/>
  <c r="T136"/>
  <c r="T96"/>
  <c r="T87"/>
  <c r="S87" s="1"/>
  <c r="R87" s="1"/>
  <c r="T62"/>
  <c r="R330"/>
  <c r="R355"/>
  <c r="R237"/>
  <c r="R388"/>
  <c r="R299"/>
  <c r="R269"/>
  <c r="R250"/>
  <c r="R159"/>
  <c r="R192"/>
  <c r="R168"/>
  <c r="R136"/>
  <c r="R96"/>
  <c r="Q355"/>
  <c r="Q388"/>
  <c r="Q330"/>
  <c r="Q237"/>
  <c r="Q299"/>
  <c r="Q269"/>
  <c r="Q250"/>
  <c r="Q192"/>
  <c r="Q168"/>
  <c r="Q159"/>
  <c r="Q96"/>
  <c r="Q136"/>
  <c r="Q87"/>
  <c r="R62"/>
  <c r="Y355"/>
  <c r="Y388"/>
  <c r="Y330"/>
  <c r="Y237"/>
  <c r="Y299"/>
  <c r="Y269"/>
  <c r="Y250"/>
  <c r="Y192"/>
  <c r="Y168"/>
  <c r="Y159"/>
  <c r="Y96"/>
  <c r="Y87"/>
  <c r="Y136"/>
  <c r="Q62"/>
  <c r="Y62"/>
  <c r="W28"/>
  <c r="S388"/>
  <c r="S330"/>
  <c r="S355"/>
  <c r="S299"/>
  <c r="S269"/>
  <c r="S250"/>
  <c r="S237"/>
  <c r="S159"/>
  <c r="S192"/>
  <c r="S168"/>
  <c r="S136"/>
  <c r="S96"/>
  <c r="J330"/>
  <c r="J355"/>
  <c r="J237"/>
  <c r="J388"/>
  <c r="J299"/>
  <c r="J269"/>
  <c r="J250"/>
  <c r="J159"/>
  <c r="J192"/>
  <c r="J168"/>
  <c r="J136"/>
  <c r="J96"/>
  <c r="V355"/>
  <c r="V388"/>
  <c r="V330"/>
  <c r="V299"/>
  <c r="V269"/>
  <c r="V250"/>
  <c r="V192"/>
  <c r="V168"/>
  <c r="V237"/>
  <c r="V159"/>
  <c r="V136"/>
  <c r="V96"/>
  <c r="V87"/>
  <c r="U87" s="1"/>
  <c r="U355"/>
  <c r="U388"/>
  <c r="U330"/>
  <c r="U299"/>
  <c r="U269"/>
  <c r="U250"/>
  <c r="U168"/>
  <c r="U237"/>
  <c r="U159"/>
  <c r="U192"/>
  <c r="U136"/>
  <c r="U96"/>
  <c r="V62"/>
  <c r="I28"/>
  <c r="G28"/>
  <c r="F28"/>
  <c r="E28"/>
  <c r="C28"/>
  <c r="AI27"/>
  <c r="Z27"/>
  <c r="Y27"/>
  <c r="S27"/>
  <c r="R27"/>
  <c r="Q27"/>
  <c r="J27"/>
  <c r="I27"/>
  <c r="G27"/>
  <c r="F27"/>
  <c r="E27"/>
  <c r="C27"/>
  <c r="AI26"/>
  <c r="Y26"/>
  <c r="V26"/>
  <c r="U26"/>
  <c r="T26"/>
  <c r="S26"/>
  <c r="R26"/>
  <c r="Q26"/>
  <c r="J26"/>
  <c r="I26"/>
  <c r="G26"/>
  <c r="F26"/>
  <c r="E26"/>
  <c r="C26"/>
  <c r="AI25"/>
  <c r="Z25"/>
  <c r="Y25"/>
  <c r="S25"/>
  <c r="R25"/>
  <c r="Q25"/>
  <c r="J25"/>
  <c r="I25"/>
  <c r="G25"/>
  <c r="F25"/>
  <c r="E25"/>
  <c r="C25"/>
  <c r="AI24"/>
  <c r="Z24"/>
  <c r="Y24"/>
  <c r="S24"/>
  <c r="R24"/>
  <c r="Q24"/>
  <c r="J24"/>
  <c r="I24"/>
  <c r="G24"/>
  <c r="F24"/>
  <c r="E24"/>
  <c r="C24"/>
  <c r="AI23"/>
  <c r="Z23"/>
  <c r="Y23"/>
  <c r="S23"/>
  <c r="R23"/>
  <c r="Q23"/>
  <c r="O23"/>
  <c r="J23"/>
  <c r="I23"/>
  <c r="G23"/>
  <c r="F23"/>
  <c r="E23"/>
  <c r="C23"/>
  <c r="Z22"/>
  <c r="Y22"/>
  <c r="S22"/>
  <c r="R22"/>
  <c r="Q22"/>
  <c r="J22"/>
  <c r="I22"/>
  <c r="G22"/>
  <c r="F22"/>
  <c r="E22"/>
  <c r="C22"/>
  <c r="AI21"/>
  <c r="Z21"/>
  <c r="Y21"/>
  <c r="S21"/>
  <c r="R21"/>
  <c r="Q21"/>
  <c r="J21"/>
  <c r="I21"/>
  <c r="G21"/>
  <c r="F21"/>
  <c r="E21"/>
  <c r="C21"/>
  <c r="Z20"/>
  <c r="Y20"/>
  <c r="S20"/>
  <c r="R20"/>
  <c r="Q20"/>
  <c r="J20"/>
  <c r="I20"/>
  <c r="G20"/>
  <c r="F20"/>
  <c r="E20"/>
  <c r="C20"/>
  <c r="AI19"/>
  <c r="Z19"/>
  <c r="Y19"/>
  <c r="S19"/>
  <c r="R19"/>
  <c r="Q19"/>
  <c r="J19"/>
  <c r="I19"/>
  <c r="G19"/>
  <c r="F19"/>
  <c r="E19"/>
  <c r="C19"/>
  <c r="AI18"/>
  <c r="Z18"/>
  <c r="Y18"/>
  <c r="S18"/>
  <c r="R18"/>
  <c r="Q18"/>
  <c r="J18"/>
  <c r="I18"/>
  <c r="G18"/>
  <c r="F18"/>
  <c r="E18"/>
  <c r="C18"/>
  <c r="Z17"/>
  <c r="Y17"/>
  <c r="S17"/>
  <c r="R17"/>
  <c r="Q17"/>
  <c r="J17"/>
  <c r="I17"/>
  <c r="G17"/>
  <c r="F17"/>
  <c r="E17"/>
  <c r="C17"/>
  <c r="AI16"/>
  <c r="Z16"/>
  <c r="Y16"/>
  <c r="S16"/>
  <c r="R16"/>
  <c r="Q16"/>
  <c r="J16"/>
  <c r="I16"/>
  <c r="G16"/>
  <c r="F16"/>
  <c r="E16"/>
  <c r="C16"/>
  <c r="Y15"/>
  <c r="V15"/>
  <c r="U15"/>
  <c r="T15"/>
  <c r="S15"/>
  <c r="R15"/>
  <c r="Q15"/>
  <c r="J15"/>
  <c r="I15"/>
  <c r="G15"/>
  <c r="F15"/>
  <c r="E15"/>
  <c r="C15"/>
  <c r="AI14"/>
  <c r="Z14"/>
  <c r="Y14"/>
  <c r="S14"/>
  <c r="R14"/>
  <c r="Q14"/>
  <c r="J14"/>
  <c r="I14"/>
  <c r="G14"/>
  <c r="F14"/>
  <c r="E14"/>
  <c r="C14"/>
  <c r="Z13"/>
  <c r="Y13"/>
  <c r="S13"/>
  <c r="R13"/>
  <c r="Q13"/>
  <c r="J13"/>
  <c r="I13"/>
  <c r="G13"/>
  <c r="F13"/>
  <c r="E13"/>
  <c r="C13"/>
  <c r="AI12"/>
  <c r="Z12"/>
  <c r="Y12"/>
  <c r="S12"/>
  <c r="R12"/>
  <c r="Q12"/>
  <c r="J12"/>
  <c r="I12"/>
  <c r="G12"/>
  <c r="F12"/>
  <c r="E12"/>
  <c r="C12"/>
  <c r="AI11"/>
  <c r="Z11"/>
  <c r="Y11"/>
  <c r="S11"/>
  <c r="R11"/>
  <c r="Q11"/>
  <c r="J11"/>
  <c r="I11"/>
  <c r="G11"/>
  <c r="F11"/>
  <c r="E11"/>
  <c r="C11"/>
  <c r="Y10"/>
  <c r="V10"/>
  <c r="U10"/>
  <c r="T10"/>
  <c r="S10"/>
  <c r="R10"/>
  <c r="Q10"/>
  <c r="J10"/>
  <c r="I10"/>
  <c r="G10"/>
  <c r="F10"/>
  <c r="E10"/>
  <c r="C10"/>
  <c r="AI9"/>
  <c r="Z9"/>
  <c r="Y9"/>
  <c r="S9"/>
  <c r="R9"/>
  <c r="Q9"/>
  <c r="W10" l="1"/>
  <c r="W266" s="1"/>
  <c r="Z378"/>
  <c r="Z247"/>
  <c r="Z297"/>
  <c r="Z280"/>
  <c r="Z319"/>
  <c r="Z345"/>
  <c r="Z217"/>
  <c r="Z197"/>
  <c r="Z173"/>
  <c r="Z153"/>
  <c r="Z105"/>
  <c r="Z126"/>
  <c r="Z67"/>
  <c r="Z42"/>
  <c r="R385"/>
  <c r="R359"/>
  <c r="R271"/>
  <c r="R333"/>
  <c r="R312"/>
  <c r="R262"/>
  <c r="R208"/>
  <c r="R185"/>
  <c r="R225"/>
  <c r="R117"/>
  <c r="R141"/>
  <c r="R91"/>
  <c r="R75"/>
  <c r="R52"/>
  <c r="F344"/>
  <c r="F318"/>
  <c r="F380"/>
  <c r="F241"/>
  <c r="F291"/>
  <c r="F286"/>
  <c r="F182"/>
  <c r="F224"/>
  <c r="F157"/>
  <c r="F206"/>
  <c r="F106"/>
  <c r="F133"/>
  <c r="F49"/>
  <c r="Z341"/>
  <c r="Z382"/>
  <c r="Z298"/>
  <c r="Z252"/>
  <c r="Z287"/>
  <c r="Z316"/>
  <c r="Z211"/>
  <c r="Z229"/>
  <c r="Z186"/>
  <c r="Z93"/>
  <c r="Z142"/>
  <c r="Z116"/>
  <c r="Z79"/>
  <c r="Z58"/>
  <c r="J334"/>
  <c r="J387"/>
  <c r="J300"/>
  <c r="J266"/>
  <c r="J236"/>
  <c r="J255"/>
  <c r="J356"/>
  <c r="J191"/>
  <c r="J166"/>
  <c r="J161"/>
  <c r="J128"/>
  <c r="J111"/>
  <c r="J61"/>
  <c r="S356"/>
  <c r="S334"/>
  <c r="S387"/>
  <c r="S300"/>
  <c r="S266"/>
  <c r="S236"/>
  <c r="S255"/>
  <c r="S191"/>
  <c r="S166"/>
  <c r="S161"/>
  <c r="S128"/>
  <c r="S111"/>
  <c r="S61"/>
  <c r="AU11"/>
  <c r="AT11" s="1"/>
  <c r="C347"/>
  <c r="C321"/>
  <c r="C374"/>
  <c r="C251"/>
  <c r="C302"/>
  <c r="C272"/>
  <c r="C228"/>
  <c r="C184"/>
  <c r="C210"/>
  <c r="C102"/>
  <c r="C148"/>
  <c r="C124"/>
  <c r="AF123" s="1"/>
  <c r="C78"/>
  <c r="C54"/>
  <c r="S347"/>
  <c r="S321"/>
  <c r="S251"/>
  <c r="S374"/>
  <c r="S302"/>
  <c r="S272"/>
  <c r="S228"/>
  <c r="S184"/>
  <c r="S210"/>
  <c r="S102"/>
  <c r="S148"/>
  <c r="S124"/>
  <c r="S54"/>
  <c r="F345"/>
  <c r="F319"/>
  <c r="F378"/>
  <c r="F247"/>
  <c r="F297"/>
  <c r="F280"/>
  <c r="F153"/>
  <c r="F217"/>
  <c r="F197"/>
  <c r="F173"/>
  <c r="F126"/>
  <c r="F105"/>
  <c r="F42"/>
  <c r="J331"/>
  <c r="J305"/>
  <c r="J376"/>
  <c r="J352"/>
  <c r="J277"/>
  <c r="J233"/>
  <c r="J256"/>
  <c r="J172"/>
  <c r="J196"/>
  <c r="J121"/>
  <c r="J98"/>
  <c r="J146"/>
  <c r="J59"/>
  <c r="R331"/>
  <c r="R305"/>
  <c r="R376"/>
  <c r="R352"/>
  <c r="R277"/>
  <c r="R233"/>
  <c r="R256"/>
  <c r="R172"/>
  <c r="R196"/>
  <c r="R121"/>
  <c r="R98"/>
  <c r="R146"/>
  <c r="R59"/>
  <c r="Z331"/>
  <c r="Z305"/>
  <c r="Z376"/>
  <c r="Z352"/>
  <c r="Z277"/>
  <c r="Z233"/>
  <c r="Z256"/>
  <c r="Z172"/>
  <c r="Z196"/>
  <c r="Z121"/>
  <c r="Z98"/>
  <c r="Z146"/>
  <c r="Z83"/>
  <c r="Z59"/>
  <c r="E312"/>
  <c r="E359"/>
  <c r="E333"/>
  <c r="E385"/>
  <c r="E262"/>
  <c r="E271"/>
  <c r="E185"/>
  <c r="E225"/>
  <c r="E208"/>
  <c r="E117"/>
  <c r="E141"/>
  <c r="E91"/>
  <c r="E75"/>
  <c r="E52"/>
  <c r="V312"/>
  <c r="V359"/>
  <c r="V333"/>
  <c r="V385"/>
  <c r="V262"/>
  <c r="V271"/>
  <c r="V185"/>
  <c r="V225"/>
  <c r="V208"/>
  <c r="V141"/>
  <c r="V91"/>
  <c r="V117"/>
  <c r="V75"/>
  <c r="U75" s="1"/>
  <c r="V52"/>
  <c r="AU15"/>
  <c r="AT15" s="1"/>
  <c r="C372"/>
  <c r="C346"/>
  <c r="C323"/>
  <c r="C278"/>
  <c r="C246"/>
  <c r="C293"/>
  <c r="C222"/>
  <c r="C200"/>
  <c r="C176"/>
  <c r="C155"/>
  <c r="C108"/>
  <c r="C131"/>
  <c r="AF130" s="1"/>
  <c r="C72"/>
  <c r="C44"/>
  <c r="S372"/>
  <c r="S346"/>
  <c r="S323"/>
  <c r="S278"/>
  <c r="S246"/>
  <c r="S293"/>
  <c r="S222"/>
  <c r="S200"/>
  <c r="S176"/>
  <c r="S155"/>
  <c r="S108"/>
  <c r="S131"/>
  <c r="S44"/>
  <c r="F326"/>
  <c r="F383"/>
  <c r="F231"/>
  <c r="F358"/>
  <c r="F242"/>
  <c r="F301"/>
  <c r="F283"/>
  <c r="F178"/>
  <c r="F203"/>
  <c r="F160"/>
  <c r="F137"/>
  <c r="F99"/>
  <c r="F60"/>
  <c r="J344"/>
  <c r="J318"/>
  <c r="J291"/>
  <c r="J286"/>
  <c r="J380"/>
  <c r="J241"/>
  <c r="J157"/>
  <c r="J206"/>
  <c r="J182"/>
  <c r="J224"/>
  <c r="J133"/>
  <c r="J106"/>
  <c r="J49"/>
  <c r="R344"/>
  <c r="R318"/>
  <c r="R291"/>
  <c r="R286"/>
  <c r="R241"/>
  <c r="R380"/>
  <c r="R157"/>
  <c r="R206"/>
  <c r="R182"/>
  <c r="R224"/>
  <c r="R133"/>
  <c r="R106"/>
  <c r="R49"/>
  <c r="Z344"/>
  <c r="Z318"/>
  <c r="Z380"/>
  <c r="Z291"/>
  <c r="Z286"/>
  <c r="Z241"/>
  <c r="Z157"/>
  <c r="Z206"/>
  <c r="Z182"/>
  <c r="Z224"/>
  <c r="Z133"/>
  <c r="Z106"/>
  <c r="Z74"/>
  <c r="Z49"/>
  <c r="E368"/>
  <c r="E361"/>
  <c r="E335"/>
  <c r="E261"/>
  <c r="E311"/>
  <c r="E270"/>
  <c r="E169"/>
  <c r="E194"/>
  <c r="E220"/>
  <c r="E125"/>
  <c r="E147"/>
  <c r="E94"/>
  <c r="E70"/>
  <c r="E46"/>
  <c r="G342"/>
  <c r="G381"/>
  <c r="G292"/>
  <c r="G317"/>
  <c r="G284"/>
  <c r="G244"/>
  <c r="G179"/>
  <c r="G152"/>
  <c r="G204"/>
  <c r="G232"/>
  <c r="G123"/>
  <c r="G112"/>
  <c r="G82"/>
  <c r="F82" s="1"/>
  <c r="E82" s="1"/>
  <c r="G55"/>
  <c r="AU22"/>
  <c r="AT22" s="1"/>
  <c r="C375"/>
  <c r="C354"/>
  <c r="C303"/>
  <c r="C268"/>
  <c r="C249"/>
  <c r="C324"/>
  <c r="C219"/>
  <c r="C187"/>
  <c r="C212"/>
  <c r="C149"/>
  <c r="C132"/>
  <c r="AF131" s="1"/>
  <c r="C92"/>
  <c r="C69"/>
  <c r="C47"/>
  <c r="S375"/>
  <c r="S354"/>
  <c r="S324"/>
  <c r="S303"/>
  <c r="S268"/>
  <c r="S249"/>
  <c r="S219"/>
  <c r="S187"/>
  <c r="S212"/>
  <c r="S149"/>
  <c r="S132"/>
  <c r="S92"/>
  <c r="S47"/>
  <c r="F350"/>
  <c r="F310"/>
  <c r="F370"/>
  <c r="F328"/>
  <c r="F275"/>
  <c r="F254"/>
  <c r="F216"/>
  <c r="F193"/>
  <c r="F167"/>
  <c r="F143"/>
  <c r="F119"/>
  <c r="F97"/>
  <c r="F41"/>
  <c r="I308"/>
  <c r="I329"/>
  <c r="I369"/>
  <c r="I353"/>
  <c r="I257"/>
  <c r="I279"/>
  <c r="I170"/>
  <c r="I195"/>
  <c r="I221"/>
  <c r="I144"/>
  <c r="I118"/>
  <c r="I101"/>
  <c r="I45"/>
  <c r="Q308"/>
  <c r="Q329"/>
  <c r="Q369"/>
  <c r="Q353"/>
  <c r="Q257"/>
  <c r="Q279"/>
  <c r="Q170"/>
  <c r="Q195"/>
  <c r="Q221"/>
  <c r="Q144"/>
  <c r="Q118"/>
  <c r="Q101"/>
  <c r="Q71"/>
  <c r="Q45"/>
  <c r="Y308"/>
  <c r="Y329"/>
  <c r="Y369"/>
  <c r="Y353"/>
  <c r="Y257"/>
  <c r="Y279"/>
  <c r="Y170"/>
  <c r="Y195"/>
  <c r="Y221"/>
  <c r="Y144"/>
  <c r="Y118"/>
  <c r="Y101"/>
  <c r="Y71"/>
  <c r="Y45"/>
  <c r="T357"/>
  <c r="T386"/>
  <c r="T332"/>
  <c r="T309"/>
  <c r="T267"/>
  <c r="T258"/>
  <c r="T150"/>
  <c r="T198"/>
  <c r="T171"/>
  <c r="T230"/>
  <c r="T122"/>
  <c r="T103"/>
  <c r="T80"/>
  <c r="S80" s="1"/>
  <c r="R80" s="1"/>
  <c r="T53"/>
  <c r="AU27"/>
  <c r="AT27" s="1"/>
  <c r="C388"/>
  <c r="C330"/>
  <c r="C355"/>
  <c r="C299"/>
  <c r="C269"/>
  <c r="C250"/>
  <c r="C237"/>
  <c r="C159"/>
  <c r="C192"/>
  <c r="C168"/>
  <c r="C136"/>
  <c r="AF135" s="1"/>
  <c r="C96"/>
  <c r="C87"/>
  <c r="C62"/>
  <c r="Z347"/>
  <c r="Z374"/>
  <c r="Z321"/>
  <c r="Z251"/>
  <c r="Z302"/>
  <c r="Z272"/>
  <c r="Z184"/>
  <c r="Z210"/>
  <c r="Z228"/>
  <c r="Z102"/>
  <c r="Z148"/>
  <c r="Z124"/>
  <c r="Z78"/>
  <c r="Z54"/>
  <c r="E345"/>
  <c r="E319"/>
  <c r="E378"/>
  <c r="E247"/>
  <c r="E297"/>
  <c r="E280"/>
  <c r="E153"/>
  <c r="E217"/>
  <c r="E197"/>
  <c r="E173"/>
  <c r="E105"/>
  <c r="E126"/>
  <c r="E67"/>
  <c r="E42"/>
  <c r="I331"/>
  <c r="I376"/>
  <c r="I352"/>
  <c r="I305"/>
  <c r="I277"/>
  <c r="I233"/>
  <c r="I256"/>
  <c r="I172"/>
  <c r="I196"/>
  <c r="I121"/>
  <c r="I98"/>
  <c r="I146"/>
  <c r="I59"/>
  <c r="Q331"/>
  <c r="Q376"/>
  <c r="Q352"/>
  <c r="Q277"/>
  <c r="Q233"/>
  <c r="Q305"/>
  <c r="Q256"/>
  <c r="Q172"/>
  <c r="Q196"/>
  <c r="Q121"/>
  <c r="Q98"/>
  <c r="Q146"/>
  <c r="Q83"/>
  <c r="Q59"/>
  <c r="Y331"/>
  <c r="Y376"/>
  <c r="Y352"/>
  <c r="Y277"/>
  <c r="Y233"/>
  <c r="Y305"/>
  <c r="Y256"/>
  <c r="Y172"/>
  <c r="Y196"/>
  <c r="Y121"/>
  <c r="Y98"/>
  <c r="Y146"/>
  <c r="Y83"/>
  <c r="Y59"/>
  <c r="U312"/>
  <c r="U359"/>
  <c r="U333"/>
  <c r="U385"/>
  <c r="U262"/>
  <c r="U271"/>
  <c r="U225"/>
  <c r="U208"/>
  <c r="U185"/>
  <c r="U117"/>
  <c r="U141"/>
  <c r="U91"/>
  <c r="U52"/>
  <c r="J372"/>
  <c r="J346"/>
  <c r="J323"/>
  <c r="J278"/>
  <c r="J246"/>
  <c r="J293"/>
  <c r="J222"/>
  <c r="J200"/>
  <c r="J176"/>
  <c r="J155"/>
  <c r="J108"/>
  <c r="J131"/>
  <c r="J44"/>
  <c r="R372"/>
  <c r="R346"/>
  <c r="R323"/>
  <c r="R278"/>
  <c r="R246"/>
  <c r="R293"/>
  <c r="R222"/>
  <c r="R200"/>
  <c r="R176"/>
  <c r="R155"/>
  <c r="R108"/>
  <c r="R131"/>
  <c r="R44"/>
  <c r="Z372"/>
  <c r="Z346"/>
  <c r="Z323"/>
  <c r="Z278"/>
  <c r="Z246"/>
  <c r="Z293"/>
  <c r="Z222"/>
  <c r="Z200"/>
  <c r="Z176"/>
  <c r="Z155"/>
  <c r="Z108"/>
  <c r="Z131"/>
  <c r="Z72"/>
  <c r="Z44"/>
  <c r="E383"/>
  <c r="E358"/>
  <c r="E242"/>
  <c r="E326"/>
  <c r="E301"/>
  <c r="E283"/>
  <c r="E231"/>
  <c r="E178"/>
  <c r="E203"/>
  <c r="E160"/>
  <c r="E137"/>
  <c r="E99"/>
  <c r="E81"/>
  <c r="E60"/>
  <c r="I344"/>
  <c r="I318"/>
  <c r="I380"/>
  <c r="I286"/>
  <c r="I241"/>
  <c r="I291"/>
  <c r="I157"/>
  <c r="I206"/>
  <c r="I182"/>
  <c r="I224"/>
  <c r="I133"/>
  <c r="I106"/>
  <c r="I49"/>
  <c r="Q344"/>
  <c r="Q318"/>
  <c r="Q380"/>
  <c r="Q286"/>
  <c r="Q241"/>
  <c r="Q291"/>
  <c r="Q157"/>
  <c r="Q206"/>
  <c r="Q182"/>
  <c r="Q224"/>
  <c r="Q106"/>
  <c r="Q133"/>
  <c r="Q74"/>
  <c r="Q49"/>
  <c r="Y344"/>
  <c r="Y318"/>
  <c r="Y380"/>
  <c r="Y286"/>
  <c r="Y241"/>
  <c r="Y291"/>
  <c r="Y157"/>
  <c r="Y206"/>
  <c r="Y182"/>
  <c r="Y224"/>
  <c r="Y106"/>
  <c r="Y133"/>
  <c r="Y74"/>
  <c r="Y49"/>
  <c r="G379"/>
  <c r="G348"/>
  <c r="G322"/>
  <c r="G281"/>
  <c r="G294"/>
  <c r="G201"/>
  <c r="G177"/>
  <c r="G156"/>
  <c r="G226"/>
  <c r="G245"/>
  <c r="G129"/>
  <c r="G110"/>
  <c r="G76"/>
  <c r="F76" s="1"/>
  <c r="E76" s="1"/>
  <c r="G50"/>
  <c r="AU20"/>
  <c r="AT20" s="1"/>
  <c r="C337"/>
  <c r="C373"/>
  <c r="C362"/>
  <c r="C274"/>
  <c r="C260"/>
  <c r="C304"/>
  <c r="C162"/>
  <c r="C205"/>
  <c r="C234"/>
  <c r="C180"/>
  <c r="C109"/>
  <c r="C135"/>
  <c r="AF134" s="1"/>
  <c r="C84"/>
  <c r="C56"/>
  <c r="S337"/>
  <c r="S373"/>
  <c r="S362"/>
  <c r="S274"/>
  <c r="S260"/>
  <c r="S304"/>
  <c r="S234"/>
  <c r="S162"/>
  <c r="S205"/>
  <c r="S180"/>
  <c r="S109"/>
  <c r="S135"/>
  <c r="S56"/>
  <c r="F342"/>
  <c r="F381"/>
  <c r="F317"/>
  <c r="F284"/>
  <c r="F244"/>
  <c r="F292"/>
  <c r="F204"/>
  <c r="F232"/>
  <c r="F179"/>
  <c r="F152"/>
  <c r="F112"/>
  <c r="F123"/>
  <c r="F55"/>
  <c r="J375"/>
  <c r="J354"/>
  <c r="J324"/>
  <c r="J303"/>
  <c r="J268"/>
  <c r="J249"/>
  <c r="J187"/>
  <c r="J212"/>
  <c r="J149"/>
  <c r="J219"/>
  <c r="J132"/>
  <c r="J92"/>
  <c r="J47"/>
  <c r="R375"/>
  <c r="R354"/>
  <c r="R324"/>
  <c r="R303"/>
  <c r="R268"/>
  <c r="R249"/>
  <c r="R187"/>
  <c r="R212"/>
  <c r="R149"/>
  <c r="R219"/>
  <c r="R132"/>
  <c r="R92"/>
  <c r="R47"/>
  <c r="Z375"/>
  <c r="Z354"/>
  <c r="Z324"/>
  <c r="Z303"/>
  <c r="Z268"/>
  <c r="Z249"/>
  <c r="Z187"/>
  <c r="Z212"/>
  <c r="Z149"/>
  <c r="Z219"/>
  <c r="Z132"/>
  <c r="Z92"/>
  <c r="Z69"/>
  <c r="Z47"/>
  <c r="E350"/>
  <c r="E310"/>
  <c r="E370"/>
  <c r="E275"/>
  <c r="E328"/>
  <c r="E254"/>
  <c r="E216"/>
  <c r="E193"/>
  <c r="E167"/>
  <c r="E143"/>
  <c r="E119"/>
  <c r="E97"/>
  <c r="E41"/>
  <c r="AU25"/>
  <c r="AT25" s="1"/>
  <c r="C357"/>
  <c r="C386"/>
  <c r="C332"/>
  <c r="C309"/>
  <c r="C267"/>
  <c r="C258"/>
  <c r="C198"/>
  <c r="C171"/>
  <c r="C230"/>
  <c r="C150"/>
  <c r="C122"/>
  <c r="AF121" s="1"/>
  <c r="C103"/>
  <c r="C80"/>
  <c r="C53"/>
  <c r="S357"/>
  <c r="S386"/>
  <c r="S332"/>
  <c r="S309"/>
  <c r="S267"/>
  <c r="S258"/>
  <c r="S198"/>
  <c r="S171"/>
  <c r="S230"/>
  <c r="S150"/>
  <c r="S122"/>
  <c r="S103"/>
  <c r="S53"/>
  <c r="G306"/>
  <c r="G327"/>
  <c r="G351"/>
  <c r="G367"/>
  <c r="G253"/>
  <c r="G282"/>
  <c r="G223"/>
  <c r="G209"/>
  <c r="G183"/>
  <c r="G120"/>
  <c r="G145"/>
  <c r="G95"/>
  <c r="G73"/>
  <c r="F73" s="1"/>
  <c r="E73" s="1"/>
  <c r="G48"/>
  <c r="G347"/>
  <c r="G321"/>
  <c r="G374"/>
  <c r="G302"/>
  <c r="G272"/>
  <c r="G251"/>
  <c r="G210"/>
  <c r="G228"/>
  <c r="G184"/>
  <c r="G148"/>
  <c r="G124"/>
  <c r="G102"/>
  <c r="G78"/>
  <c r="F78" s="1"/>
  <c r="E78" s="1"/>
  <c r="G54"/>
  <c r="R378"/>
  <c r="R247"/>
  <c r="R319"/>
  <c r="R297"/>
  <c r="R280"/>
  <c r="R345"/>
  <c r="R217"/>
  <c r="R197"/>
  <c r="R173"/>
  <c r="R153"/>
  <c r="R105"/>
  <c r="R126"/>
  <c r="R42"/>
  <c r="I334"/>
  <c r="I387"/>
  <c r="I356"/>
  <c r="I300"/>
  <c r="I266"/>
  <c r="I236"/>
  <c r="I255"/>
  <c r="I191"/>
  <c r="I166"/>
  <c r="I161"/>
  <c r="I128"/>
  <c r="I111"/>
  <c r="I61"/>
  <c r="G341"/>
  <c r="G382"/>
  <c r="G316"/>
  <c r="G252"/>
  <c r="G298"/>
  <c r="G287"/>
  <c r="G186"/>
  <c r="G211"/>
  <c r="G229"/>
  <c r="G142"/>
  <c r="G116"/>
  <c r="G93"/>
  <c r="G79"/>
  <c r="F79" s="1"/>
  <c r="E79" s="1"/>
  <c r="G58"/>
  <c r="Y334"/>
  <c r="Y387"/>
  <c r="Y356"/>
  <c r="Y300"/>
  <c r="Y266"/>
  <c r="Y236"/>
  <c r="Y255"/>
  <c r="Y191"/>
  <c r="Y166"/>
  <c r="Y161"/>
  <c r="Y128"/>
  <c r="Y111"/>
  <c r="Y86"/>
  <c r="Y61"/>
  <c r="Q347"/>
  <c r="Q321"/>
  <c r="Q374"/>
  <c r="Q251"/>
  <c r="Q302"/>
  <c r="Q272"/>
  <c r="Q184"/>
  <c r="Q210"/>
  <c r="Q228"/>
  <c r="Q102"/>
  <c r="Q148"/>
  <c r="Q124"/>
  <c r="Q78"/>
  <c r="Q54"/>
  <c r="Y347"/>
  <c r="Y321"/>
  <c r="Y374"/>
  <c r="Y251"/>
  <c r="Y302"/>
  <c r="Y272"/>
  <c r="Y184"/>
  <c r="Y210"/>
  <c r="Y228"/>
  <c r="Y102"/>
  <c r="Y148"/>
  <c r="Y124"/>
  <c r="Y78"/>
  <c r="Y54"/>
  <c r="AU14"/>
  <c r="AT14" s="1"/>
  <c r="C333"/>
  <c r="C385"/>
  <c r="C312"/>
  <c r="C359"/>
  <c r="C262"/>
  <c r="C271"/>
  <c r="C225"/>
  <c r="C208"/>
  <c r="C185"/>
  <c r="C117"/>
  <c r="AF116" s="1"/>
  <c r="C141"/>
  <c r="AF137" s="1"/>
  <c r="C91"/>
  <c r="C75"/>
  <c r="C52"/>
  <c r="T359"/>
  <c r="T333"/>
  <c r="T385"/>
  <c r="T262"/>
  <c r="T271"/>
  <c r="T312"/>
  <c r="T225"/>
  <c r="T208"/>
  <c r="T185"/>
  <c r="T91"/>
  <c r="T117"/>
  <c r="T141"/>
  <c r="T75"/>
  <c r="T52"/>
  <c r="I346"/>
  <c r="I323"/>
  <c r="I372"/>
  <c r="I278"/>
  <c r="I246"/>
  <c r="I293"/>
  <c r="I200"/>
  <c r="I176"/>
  <c r="I155"/>
  <c r="I222"/>
  <c r="I108"/>
  <c r="I131"/>
  <c r="I44"/>
  <c r="Q346"/>
  <c r="Q323"/>
  <c r="Q278"/>
  <c r="Q372"/>
  <c r="Q246"/>
  <c r="Q293"/>
  <c r="Q200"/>
  <c r="Q176"/>
  <c r="Q155"/>
  <c r="Q222"/>
  <c r="Q108"/>
  <c r="Q131"/>
  <c r="Q72"/>
  <c r="Q44"/>
  <c r="Y346"/>
  <c r="Y323"/>
  <c r="Y278"/>
  <c r="Y246"/>
  <c r="Y372"/>
  <c r="Y293"/>
  <c r="Y200"/>
  <c r="Y176"/>
  <c r="Y155"/>
  <c r="Y222"/>
  <c r="Y108"/>
  <c r="Y131"/>
  <c r="Y72"/>
  <c r="Y44"/>
  <c r="AU18"/>
  <c r="AT18" s="1"/>
  <c r="C361"/>
  <c r="C335"/>
  <c r="C311"/>
  <c r="C368"/>
  <c r="C270"/>
  <c r="C261"/>
  <c r="C194"/>
  <c r="C220"/>
  <c r="C169"/>
  <c r="C125"/>
  <c r="AF124" s="1"/>
  <c r="C147"/>
  <c r="C94"/>
  <c r="C70"/>
  <c r="C46"/>
  <c r="S361"/>
  <c r="S335"/>
  <c r="S311"/>
  <c r="S368"/>
  <c r="S270"/>
  <c r="S261"/>
  <c r="S194"/>
  <c r="S220"/>
  <c r="S169"/>
  <c r="S125"/>
  <c r="S147"/>
  <c r="S94"/>
  <c r="S46"/>
  <c r="F379"/>
  <c r="F348"/>
  <c r="F322"/>
  <c r="F281"/>
  <c r="F294"/>
  <c r="F245"/>
  <c r="F201"/>
  <c r="F177"/>
  <c r="F156"/>
  <c r="F226"/>
  <c r="F129"/>
  <c r="F110"/>
  <c r="F50"/>
  <c r="J337"/>
  <c r="J373"/>
  <c r="J362"/>
  <c r="J304"/>
  <c r="J274"/>
  <c r="J260"/>
  <c r="J234"/>
  <c r="J205"/>
  <c r="J180"/>
  <c r="J162"/>
  <c r="J109"/>
  <c r="J135"/>
  <c r="J56"/>
  <c r="R337"/>
  <c r="R373"/>
  <c r="R362"/>
  <c r="R274"/>
  <c r="R260"/>
  <c r="R304"/>
  <c r="R234"/>
  <c r="R205"/>
  <c r="R180"/>
  <c r="R162"/>
  <c r="R109"/>
  <c r="R135"/>
  <c r="R56"/>
  <c r="Z337"/>
  <c r="Z373"/>
  <c r="Z362"/>
  <c r="Z304"/>
  <c r="Z274"/>
  <c r="Z260"/>
  <c r="Z234"/>
  <c r="Z205"/>
  <c r="Z180"/>
  <c r="Z162"/>
  <c r="Z109"/>
  <c r="Z135"/>
  <c r="Z84"/>
  <c r="Z56"/>
  <c r="E342"/>
  <c r="E381"/>
  <c r="E317"/>
  <c r="E284"/>
  <c r="E244"/>
  <c r="E232"/>
  <c r="E292"/>
  <c r="E204"/>
  <c r="E179"/>
  <c r="E152"/>
  <c r="E123"/>
  <c r="E112"/>
  <c r="E55"/>
  <c r="I375"/>
  <c r="I354"/>
  <c r="I303"/>
  <c r="I324"/>
  <c r="I268"/>
  <c r="I249"/>
  <c r="I212"/>
  <c r="I219"/>
  <c r="I187"/>
  <c r="I149"/>
  <c r="I132"/>
  <c r="I92"/>
  <c r="I47"/>
  <c r="Q354"/>
  <c r="Q303"/>
  <c r="Q324"/>
  <c r="Q268"/>
  <c r="Q249"/>
  <c r="Q375"/>
  <c r="Q212"/>
  <c r="Q219"/>
  <c r="Q187"/>
  <c r="Q149"/>
  <c r="Q132"/>
  <c r="Q92"/>
  <c r="Q69"/>
  <c r="Q47"/>
  <c r="Y354"/>
  <c r="Y303"/>
  <c r="Y268"/>
  <c r="Y249"/>
  <c r="Y324"/>
  <c r="Y375"/>
  <c r="Y212"/>
  <c r="Y149"/>
  <c r="Y219"/>
  <c r="Y187"/>
  <c r="Y132"/>
  <c r="Y92"/>
  <c r="Y69"/>
  <c r="Y47"/>
  <c r="G308"/>
  <c r="G329"/>
  <c r="G369"/>
  <c r="G353"/>
  <c r="G279"/>
  <c r="G257"/>
  <c r="G195"/>
  <c r="G221"/>
  <c r="G170"/>
  <c r="G118"/>
  <c r="G101"/>
  <c r="G144"/>
  <c r="G71"/>
  <c r="F71" s="1"/>
  <c r="E71" s="1"/>
  <c r="G45"/>
  <c r="J357"/>
  <c r="J386"/>
  <c r="J332"/>
  <c r="J267"/>
  <c r="J258"/>
  <c r="J309"/>
  <c r="J198"/>
  <c r="J171"/>
  <c r="J230"/>
  <c r="J122"/>
  <c r="J103"/>
  <c r="J150"/>
  <c r="J53"/>
  <c r="R357"/>
  <c r="R386"/>
  <c r="R332"/>
  <c r="R309"/>
  <c r="R267"/>
  <c r="R258"/>
  <c r="R198"/>
  <c r="R171"/>
  <c r="R230"/>
  <c r="R150"/>
  <c r="R122"/>
  <c r="R103"/>
  <c r="R53"/>
  <c r="F327"/>
  <c r="F351"/>
  <c r="F367"/>
  <c r="F306"/>
  <c r="F253"/>
  <c r="F282"/>
  <c r="F183"/>
  <c r="F223"/>
  <c r="F209"/>
  <c r="F145"/>
  <c r="F95"/>
  <c r="F120"/>
  <c r="F48"/>
  <c r="I355"/>
  <c r="I388"/>
  <c r="I330"/>
  <c r="I237"/>
  <c r="I299"/>
  <c r="I269"/>
  <c r="I250"/>
  <c r="I192"/>
  <c r="I168"/>
  <c r="I159"/>
  <c r="I96"/>
  <c r="I136"/>
  <c r="I62"/>
  <c r="F387"/>
  <c r="F356"/>
  <c r="F334"/>
  <c r="F255"/>
  <c r="F300"/>
  <c r="F266"/>
  <c r="F236"/>
  <c r="F161"/>
  <c r="F191"/>
  <c r="F166"/>
  <c r="F128"/>
  <c r="F111"/>
  <c r="F61"/>
  <c r="F352"/>
  <c r="F331"/>
  <c r="F305"/>
  <c r="F376"/>
  <c r="F256"/>
  <c r="F277"/>
  <c r="F172"/>
  <c r="F196"/>
  <c r="F233"/>
  <c r="F121"/>
  <c r="F98"/>
  <c r="F146"/>
  <c r="F59"/>
  <c r="I385"/>
  <c r="I312"/>
  <c r="I359"/>
  <c r="I333"/>
  <c r="I271"/>
  <c r="I262"/>
  <c r="I208"/>
  <c r="I185"/>
  <c r="I225"/>
  <c r="I117"/>
  <c r="I141"/>
  <c r="I91"/>
  <c r="I52"/>
  <c r="J358"/>
  <c r="J326"/>
  <c r="J383"/>
  <c r="J242"/>
  <c r="J301"/>
  <c r="J283"/>
  <c r="J178"/>
  <c r="J203"/>
  <c r="J160"/>
  <c r="J231"/>
  <c r="J137"/>
  <c r="J99"/>
  <c r="J60"/>
  <c r="R334"/>
  <c r="R387"/>
  <c r="R356"/>
  <c r="R300"/>
  <c r="R266"/>
  <c r="R236"/>
  <c r="R255"/>
  <c r="R191"/>
  <c r="R166"/>
  <c r="R161"/>
  <c r="R128"/>
  <c r="R111"/>
  <c r="R61"/>
  <c r="J347"/>
  <c r="J374"/>
  <c r="J251"/>
  <c r="J321"/>
  <c r="J302"/>
  <c r="J272"/>
  <c r="J184"/>
  <c r="J210"/>
  <c r="J228"/>
  <c r="J102"/>
  <c r="J148"/>
  <c r="J124"/>
  <c r="J54"/>
  <c r="R347"/>
  <c r="R374"/>
  <c r="R251"/>
  <c r="R302"/>
  <c r="R272"/>
  <c r="R321"/>
  <c r="R184"/>
  <c r="R210"/>
  <c r="R228"/>
  <c r="R102"/>
  <c r="R148"/>
  <c r="R124"/>
  <c r="R54"/>
  <c r="Q334"/>
  <c r="Q387"/>
  <c r="Q356"/>
  <c r="Q300"/>
  <c r="Q266"/>
  <c r="Q236"/>
  <c r="Q255"/>
  <c r="Q191"/>
  <c r="Q166"/>
  <c r="Q161"/>
  <c r="Q128"/>
  <c r="Q111"/>
  <c r="Q86"/>
  <c r="Q61"/>
  <c r="F382"/>
  <c r="F316"/>
  <c r="F252"/>
  <c r="F298"/>
  <c r="F287"/>
  <c r="F341"/>
  <c r="F186"/>
  <c r="F211"/>
  <c r="F229"/>
  <c r="F142"/>
  <c r="F116"/>
  <c r="F93"/>
  <c r="F58"/>
  <c r="I347"/>
  <c r="I321"/>
  <c r="I374"/>
  <c r="I251"/>
  <c r="I302"/>
  <c r="I272"/>
  <c r="I184"/>
  <c r="I210"/>
  <c r="I228"/>
  <c r="I102"/>
  <c r="I148"/>
  <c r="I124"/>
  <c r="I54"/>
  <c r="G387"/>
  <c r="G356"/>
  <c r="G334"/>
  <c r="G255"/>
  <c r="G300"/>
  <c r="G266"/>
  <c r="G236"/>
  <c r="G161"/>
  <c r="G191"/>
  <c r="G166"/>
  <c r="G128"/>
  <c r="G111"/>
  <c r="G86"/>
  <c r="F86" s="1"/>
  <c r="E86" s="1"/>
  <c r="G61"/>
  <c r="E316"/>
  <c r="E341"/>
  <c r="E298"/>
  <c r="E287"/>
  <c r="E382"/>
  <c r="E252"/>
  <c r="E186"/>
  <c r="E211"/>
  <c r="E229"/>
  <c r="E142"/>
  <c r="E116"/>
  <c r="E93"/>
  <c r="E58"/>
  <c r="AU12"/>
  <c r="AT12" s="1"/>
  <c r="C345"/>
  <c r="C319"/>
  <c r="C378"/>
  <c r="C247"/>
  <c r="C297"/>
  <c r="C280"/>
  <c r="C217"/>
  <c r="C197"/>
  <c r="C173"/>
  <c r="C153"/>
  <c r="C105"/>
  <c r="C126"/>
  <c r="AF125" s="1"/>
  <c r="C67"/>
  <c r="C42"/>
  <c r="S345"/>
  <c r="S319"/>
  <c r="S378"/>
  <c r="S247"/>
  <c r="S297"/>
  <c r="S280"/>
  <c r="S217"/>
  <c r="S197"/>
  <c r="S173"/>
  <c r="S153"/>
  <c r="S105"/>
  <c r="S126"/>
  <c r="S42"/>
  <c r="G376"/>
  <c r="G352"/>
  <c r="G331"/>
  <c r="G256"/>
  <c r="G305"/>
  <c r="G277"/>
  <c r="G233"/>
  <c r="G172"/>
  <c r="G196"/>
  <c r="G121"/>
  <c r="G98"/>
  <c r="G146"/>
  <c r="G83"/>
  <c r="F83" s="1"/>
  <c r="E83" s="1"/>
  <c r="G59"/>
  <c r="J385"/>
  <c r="J359"/>
  <c r="J333"/>
  <c r="J312"/>
  <c r="J271"/>
  <c r="J262"/>
  <c r="J225"/>
  <c r="J208"/>
  <c r="J185"/>
  <c r="J117"/>
  <c r="J141"/>
  <c r="J91"/>
  <c r="J52"/>
  <c r="S333"/>
  <c r="S385"/>
  <c r="S312"/>
  <c r="S262"/>
  <c r="S359"/>
  <c r="S271"/>
  <c r="S225"/>
  <c r="S208"/>
  <c r="S185"/>
  <c r="S117"/>
  <c r="S141"/>
  <c r="S91"/>
  <c r="S75"/>
  <c r="S52"/>
  <c r="AU16"/>
  <c r="AT16" s="1"/>
  <c r="C383"/>
  <c r="C358"/>
  <c r="C242"/>
  <c r="C326"/>
  <c r="C301"/>
  <c r="C283"/>
  <c r="C178"/>
  <c r="C203"/>
  <c r="C160"/>
  <c r="C231"/>
  <c r="C137"/>
  <c r="AF136" s="1"/>
  <c r="C99"/>
  <c r="C81"/>
  <c r="C60"/>
  <c r="S383"/>
  <c r="S358"/>
  <c r="S326"/>
  <c r="S242"/>
  <c r="S301"/>
  <c r="S283"/>
  <c r="S178"/>
  <c r="S231"/>
  <c r="S203"/>
  <c r="S160"/>
  <c r="S137"/>
  <c r="S99"/>
  <c r="S60"/>
  <c r="G344"/>
  <c r="G318"/>
  <c r="G380"/>
  <c r="G241"/>
  <c r="G291"/>
  <c r="G286"/>
  <c r="G206"/>
  <c r="G182"/>
  <c r="G224"/>
  <c r="G157"/>
  <c r="G106"/>
  <c r="G133"/>
  <c r="G74"/>
  <c r="F74" s="1"/>
  <c r="E74" s="1"/>
  <c r="G49"/>
  <c r="J361"/>
  <c r="J335"/>
  <c r="J311"/>
  <c r="J368"/>
  <c r="J270"/>
  <c r="J261"/>
  <c r="J194"/>
  <c r="J220"/>
  <c r="J169"/>
  <c r="J125"/>
  <c r="J147"/>
  <c r="J94"/>
  <c r="J46"/>
  <c r="R361"/>
  <c r="R335"/>
  <c r="R311"/>
  <c r="R368"/>
  <c r="R270"/>
  <c r="R261"/>
  <c r="R194"/>
  <c r="R220"/>
  <c r="R169"/>
  <c r="R125"/>
  <c r="R147"/>
  <c r="R94"/>
  <c r="R46"/>
  <c r="Z361"/>
  <c r="Z335"/>
  <c r="Z311"/>
  <c r="Z368"/>
  <c r="Z270"/>
  <c r="Z261"/>
  <c r="Z194"/>
  <c r="Z220"/>
  <c r="Z169"/>
  <c r="Z125"/>
  <c r="Z147"/>
  <c r="Z94"/>
  <c r="Z70"/>
  <c r="Z46"/>
  <c r="E348"/>
  <c r="E322"/>
  <c r="E281"/>
  <c r="E379"/>
  <c r="E294"/>
  <c r="E245"/>
  <c r="E177"/>
  <c r="E156"/>
  <c r="E226"/>
  <c r="E201"/>
  <c r="E110"/>
  <c r="E129"/>
  <c r="E50"/>
  <c r="I373"/>
  <c r="I362"/>
  <c r="I337"/>
  <c r="I274"/>
  <c r="I260"/>
  <c r="I234"/>
  <c r="I304"/>
  <c r="I180"/>
  <c r="I162"/>
  <c r="I205"/>
  <c r="I109"/>
  <c r="I135"/>
  <c r="I56"/>
  <c r="Q373"/>
  <c r="Q362"/>
  <c r="Q274"/>
  <c r="Q260"/>
  <c r="Q337"/>
  <c r="Q304"/>
  <c r="Q234"/>
  <c r="Q180"/>
  <c r="Q162"/>
  <c r="Q205"/>
  <c r="Q109"/>
  <c r="Q135"/>
  <c r="Q56"/>
  <c r="Y373"/>
  <c r="Y362"/>
  <c r="Y304"/>
  <c r="Y274"/>
  <c r="Y260"/>
  <c r="Y337"/>
  <c r="Y234"/>
  <c r="Y180"/>
  <c r="Y162"/>
  <c r="Y205"/>
  <c r="Y109"/>
  <c r="Y135"/>
  <c r="Y84"/>
  <c r="Y56"/>
  <c r="AU23"/>
  <c r="AT23" s="1"/>
  <c r="C310"/>
  <c r="C370"/>
  <c r="C328"/>
  <c r="C350"/>
  <c r="C254"/>
  <c r="C275"/>
  <c r="C167"/>
  <c r="C216"/>
  <c r="C193"/>
  <c r="C143"/>
  <c r="C119"/>
  <c r="AF118" s="1"/>
  <c r="C97"/>
  <c r="C66"/>
  <c r="C41"/>
  <c r="S310"/>
  <c r="S370"/>
  <c r="S328"/>
  <c r="S254"/>
  <c r="S350"/>
  <c r="S275"/>
  <c r="S167"/>
  <c r="S216"/>
  <c r="S193"/>
  <c r="S143"/>
  <c r="S119"/>
  <c r="S97"/>
  <c r="S41"/>
  <c r="F329"/>
  <c r="F369"/>
  <c r="F353"/>
  <c r="F308"/>
  <c r="F279"/>
  <c r="F257"/>
  <c r="F195"/>
  <c r="F221"/>
  <c r="F170"/>
  <c r="F118"/>
  <c r="F101"/>
  <c r="F144"/>
  <c r="F45"/>
  <c r="I357"/>
  <c r="I386"/>
  <c r="I332"/>
  <c r="I309"/>
  <c r="I267"/>
  <c r="I258"/>
  <c r="I198"/>
  <c r="I171"/>
  <c r="I230"/>
  <c r="I150"/>
  <c r="I122"/>
  <c r="I103"/>
  <c r="I53"/>
  <c r="Q357"/>
  <c r="Q386"/>
  <c r="Q332"/>
  <c r="Q309"/>
  <c r="Q267"/>
  <c r="Q258"/>
  <c r="Q198"/>
  <c r="Q171"/>
  <c r="Q230"/>
  <c r="Q150"/>
  <c r="Q122"/>
  <c r="Q103"/>
  <c r="Q80"/>
  <c r="Q53"/>
  <c r="Y357"/>
  <c r="Y386"/>
  <c r="Y332"/>
  <c r="Y309"/>
  <c r="Y267"/>
  <c r="Y258"/>
  <c r="Y230"/>
  <c r="Y198"/>
  <c r="Y171"/>
  <c r="Y150"/>
  <c r="Y122"/>
  <c r="Y103"/>
  <c r="Y80"/>
  <c r="Y53"/>
  <c r="E306"/>
  <c r="E327"/>
  <c r="E351"/>
  <c r="E367"/>
  <c r="E253"/>
  <c r="E282"/>
  <c r="E183"/>
  <c r="E223"/>
  <c r="E209"/>
  <c r="E95"/>
  <c r="E120"/>
  <c r="E145"/>
  <c r="E48"/>
  <c r="Y361"/>
  <c r="Y335"/>
  <c r="Y311"/>
  <c r="Y368"/>
  <c r="Y270"/>
  <c r="Y261"/>
  <c r="Y194"/>
  <c r="Y220"/>
  <c r="Y169"/>
  <c r="Y125"/>
  <c r="Y147"/>
  <c r="Y94"/>
  <c r="Y70"/>
  <c r="Y46"/>
  <c r="AU21"/>
  <c r="AT21" s="1"/>
  <c r="C381"/>
  <c r="C317"/>
  <c r="C292"/>
  <c r="C342"/>
  <c r="C284"/>
  <c r="C244"/>
  <c r="C179"/>
  <c r="C152"/>
  <c r="C232"/>
  <c r="C204"/>
  <c r="C123"/>
  <c r="AF122" s="1"/>
  <c r="C112"/>
  <c r="C82"/>
  <c r="C55"/>
  <c r="S381"/>
  <c r="S317"/>
  <c r="S244"/>
  <c r="S342"/>
  <c r="S292"/>
  <c r="S284"/>
  <c r="S232"/>
  <c r="S179"/>
  <c r="S152"/>
  <c r="S204"/>
  <c r="S123"/>
  <c r="S112"/>
  <c r="S55"/>
  <c r="G324"/>
  <c r="G375"/>
  <c r="G354"/>
  <c r="G303"/>
  <c r="G268"/>
  <c r="G249"/>
  <c r="G212"/>
  <c r="G219"/>
  <c r="G187"/>
  <c r="G149"/>
  <c r="G132"/>
  <c r="G92"/>
  <c r="G69"/>
  <c r="F69" s="1"/>
  <c r="E69" s="1"/>
  <c r="G47"/>
  <c r="O324"/>
  <c r="O375"/>
  <c r="O303"/>
  <c r="O354"/>
  <c r="O268"/>
  <c r="O249"/>
  <c r="O212"/>
  <c r="O219"/>
  <c r="O187"/>
  <c r="O149"/>
  <c r="O132"/>
  <c r="O92"/>
  <c r="O47"/>
  <c r="J370"/>
  <c r="J328"/>
  <c r="J350"/>
  <c r="J254"/>
  <c r="J275"/>
  <c r="J310"/>
  <c r="J167"/>
  <c r="J216"/>
  <c r="J193"/>
  <c r="J143"/>
  <c r="J119"/>
  <c r="J97"/>
  <c r="J41"/>
  <c r="R370"/>
  <c r="R328"/>
  <c r="R350"/>
  <c r="R310"/>
  <c r="R254"/>
  <c r="R275"/>
  <c r="R167"/>
  <c r="R216"/>
  <c r="R193"/>
  <c r="R119"/>
  <c r="R97"/>
  <c r="R143"/>
  <c r="R41"/>
  <c r="Z370"/>
  <c r="Z328"/>
  <c r="Z350"/>
  <c r="Z310"/>
  <c r="Z254"/>
  <c r="Z275"/>
  <c r="Z167"/>
  <c r="Z216"/>
  <c r="Z193"/>
  <c r="Z119"/>
  <c r="Z97"/>
  <c r="Z143"/>
  <c r="Z66"/>
  <c r="Z41"/>
  <c r="E329"/>
  <c r="E369"/>
  <c r="E353"/>
  <c r="E308"/>
  <c r="E279"/>
  <c r="E257"/>
  <c r="E221"/>
  <c r="E170"/>
  <c r="E195"/>
  <c r="E118"/>
  <c r="E101"/>
  <c r="E144"/>
  <c r="E45"/>
  <c r="G355"/>
  <c r="G388"/>
  <c r="G330"/>
  <c r="G237"/>
  <c r="G299"/>
  <c r="G269"/>
  <c r="G250"/>
  <c r="G192"/>
  <c r="G168"/>
  <c r="G159"/>
  <c r="G136"/>
  <c r="G96"/>
  <c r="G87"/>
  <c r="F87" s="1"/>
  <c r="E87" s="1"/>
  <c r="G62"/>
  <c r="Z307"/>
  <c r="Z336"/>
  <c r="Z366"/>
  <c r="Z360"/>
  <c r="Z276"/>
  <c r="Z259"/>
  <c r="Z181"/>
  <c r="Z154"/>
  <c r="Z227"/>
  <c r="Z207"/>
  <c r="Z130"/>
  <c r="Z104"/>
  <c r="Z77"/>
  <c r="Z51"/>
  <c r="E387"/>
  <c r="E356"/>
  <c r="E334"/>
  <c r="E255"/>
  <c r="E300"/>
  <c r="E266"/>
  <c r="E236"/>
  <c r="E161"/>
  <c r="E191"/>
  <c r="E166"/>
  <c r="E128"/>
  <c r="E111"/>
  <c r="E61"/>
  <c r="V387"/>
  <c r="V356"/>
  <c r="V334"/>
  <c r="V255"/>
  <c r="V300"/>
  <c r="V266"/>
  <c r="V161"/>
  <c r="V236"/>
  <c r="V191"/>
  <c r="V166"/>
  <c r="V128"/>
  <c r="V111"/>
  <c r="V86"/>
  <c r="V61"/>
  <c r="AU10"/>
  <c r="AT10" s="1"/>
  <c r="C316"/>
  <c r="C341"/>
  <c r="C382"/>
  <c r="C252"/>
  <c r="C298"/>
  <c r="C287"/>
  <c r="C211"/>
  <c r="C229"/>
  <c r="C186"/>
  <c r="C116"/>
  <c r="C93"/>
  <c r="C142"/>
  <c r="C79"/>
  <c r="C58"/>
  <c r="S316"/>
  <c r="S341"/>
  <c r="S382"/>
  <c r="S252"/>
  <c r="S298"/>
  <c r="S287"/>
  <c r="S211"/>
  <c r="S229"/>
  <c r="S186"/>
  <c r="S116"/>
  <c r="S93"/>
  <c r="S142"/>
  <c r="S58"/>
  <c r="F347"/>
  <c r="F321"/>
  <c r="F374"/>
  <c r="F302"/>
  <c r="F272"/>
  <c r="F251"/>
  <c r="F210"/>
  <c r="F228"/>
  <c r="F184"/>
  <c r="F148"/>
  <c r="F124"/>
  <c r="F102"/>
  <c r="F54"/>
  <c r="I378"/>
  <c r="I345"/>
  <c r="I319"/>
  <c r="I297"/>
  <c r="I280"/>
  <c r="I247"/>
  <c r="I217"/>
  <c r="I197"/>
  <c r="I173"/>
  <c r="I153"/>
  <c r="I105"/>
  <c r="I126"/>
  <c r="I42"/>
  <c r="Q378"/>
  <c r="Q345"/>
  <c r="Q319"/>
  <c r="Q297"/>
  <c r="Q280"/>
  <c r="Q247"/>
  <c r="Q217"/>
  <c r="Q197"/>
  <c r="Q173"/>
  <c r="Q153"/>
  <c r="Q105"/>
  <c r="Q126"/>
  <c r="Q67"/>
  <c r="Q42"/>
  <c r="Y378"/>
  <c r="Y345"/>
  <c r="Y319"/>
  <c r="Y297"/>
  <c r="Y280"/>
  <c r="Y247"/>
  <c r="Y217"/>
  <c r="Y197"/>
  <c r="Y173"/>
  <c r="Y153"/>
  <c r="Y105"/>
  <c r="Y126"/>
  <c r="Y67"/>
  <c r="Y42"/>
  <c r="E331"/>
  <c r="E376"/>
  <c r="E352"/>
  <c r="E256"/>
  <c r="E305"/>
  <c r="E277"/>
  <c r="E233"/>
  <c r="E172"/>
  <c r="E196"/>
  <c r="E121"/>
  <c r="E98"/>
  <c r="E146"/>
  <c r="E59"/>
  <c r="Q385"/>
  <c r="Q312"/>
  <c r="Q359"/>
  <c r="Q333"/>
  <c r="Q271"/>
  <c r="Q262"/>
  <c r="Q208"/>
  <c r="Q185"/>
  <c r="Q225"/>
  <c r="Q117"/>
  <c r="Q141"/>
  <c r="Q91"/>
  <c r="Q75"/>
  <c r="Q52"/>
  <c r="Y385"/>
  <c r="Y359"/>
  <c r="Y312"/>
  <c r="Y333"/>
  <c r="Y271"/>
  <c r="Y262"/>
  <c r="Y208"/>
  <c r="Y185"/>
  <c r="Y225"/>
  <c r="Y117"/>
  <c r="Y141"/>
  <c r="Y91"/>
  <c r="Y75"/>
  <c r="Y52"/>
  <c r="F372"/>
  <c r="F346"/>
  <c r="F278"/>
  <c r="F323"/>
  <c r="F246"/>
  <c r="F293"/>
  <c r="F155"/>
  <c r="F222"/>
  <c r="F200"/>
  <c r="F176"/>
  <c r="F108"/>
  <c r="F131"/>
  <c r="F44"/>
  <c r="I358"/>
  <c r="I326"/>
  <c r="I383"/>
  <c r="I301"/>
  <c r="I283"/>
  <c r="I203"/>
  <c r="I160"/>
  <c r="I231"/>
  <c r="I242"/>
  <c r="I178"/>
  <c r="I137"/>
  <c r="I99"/>
  <c r="I60"/>
  <c r="Q358"/>
  <c r="Q326"/>
  <c r="Q383"/>
  <c r="Q301"/>
  <c r="Q283"/>
  <c r="Q242"/>
  <c r="Q203"/>
  <c r="Q160"/>
  <c r="Q178"/>
  <c r="Q137"/>
  <c r="Q99"/>
  <c r="Q81"/>
  <c r="Q60"/>
  <c r="Y358"/>
  <c r="Y326"/>
  <c r="Y383"/>
  <c r="Y301"/>
  <c r="Y283"/>
  <c r="Y231"/>
  <c r="Y203"/>
  <c r="Y160"/>
  <c r="Y242"/>
  <c r="Y178"/>
  <c r="Y137"/>
  <c r="Y99"/>
  <c r="Y81"/>
  <c r="Y60"/>
  <c r="E380"/>
  <c r="E241"/>
  <c r="E291"/>
  <c r="E286"/>
  <c r="E344"/>
  <c r="E318"/>
  <c r="E224"/>
  <c r="E157"/>
  <c r="E206"/>
  <c r="E182"/>
  <c r="E133"/>
  <c r="E106"/>
  <c r="E49"/>
  <c r="AU19"/>
  <c r="AT19" s="1"/>
  <c r="C348"/>
  <c r="C322"/>
  <c r="C379"/>
  <c r="C294"/>
  <c r="C245"/>
  <c r="C281"/>
  <c r="C156"/>
  <c r="C226"/>
  <c r="C201"/>
  <c r="C177"/>
  <c r="C110"/>
  <c r="C129"/>
  <c r="AF128" s="1"/>
  <c r="C76"/>
  <c r="C50"/>
  <c r="S348"/>
  <c r="S322"/>
  <c r="S379"/>
  <c r="S294"/>
  <c r="S245"/>
  <c r="S281"/>
  <c r="S156"/>
  <c r="S226"/>
  <c r="S201"/>
  <c r="S177"/>
  <c r="S110"/>
  <c r="S129"/>
  <c r="S50"/>
  <c r="G373"/>
  <c r="G362"/>
  <c r="G304"/>
  <c r="G337"/>
  <c r="G234"/>
  <c r="G274"/>
  <c r="G260"/>
  <c r="G180"/>
  <c r="G162"/>
  <c r="G205"/>
  <c r="G109"/>
  <c r="G135"/>
  <c r="G84"/>
  <c r="F84" s="1"/>
  <c r="E84" s="1"/>
  <c r="G56"/>
  <c r="J381"/>
  <c r="J317"/>
  <c r="J342"/>
  <c r="J292"/>
  <c r="J284"/>
  <c r="J232"/>
  <c r="J244"/>
  <c r="J179"/>
  <c r="J152"/>
  <c r="J204"/>
  <c r="J123"/>
  <c r="J112"/>
  <c r="J55"/>
  <c r="R381"/>
  <c r="R317"/>
  <c r="R342"/>
  <c r="R292"/>
  <c r="R284"/>
  <c r="R179"/>
  <c r="R152"/>
  <c r="R244"/>
  <c r="R204"/>
  <c r="R232"/>
  <c r="R123"/>
  <c r="R112"/>
  <c r="R55"/>
  <c r="Z381"/>
  <c r="Z317"/>
  <c r="Z342"/>
  <c r="Z292"/>
  <c r="Z284"/>
  <c r="Z179"/>
  <c r="Z152"/>
  <c r="Z232"/>
  <c r="Z204"/>
  <c r="Z244"/>
  <c r="Z123"/>
  <c r="Z112"/>
  <c r="Z82"/>
  <c r="Z55"/>
  <c r="F324"/>
  <c r="F375"/>
  <c r="F354"/>
  <c r="F303"/>
  <c r="F268"/>
  <c r="F249"/>
  <c r="F219"/>
  <c r="F187"/>
  <c r="F212"/>
  <c r="F149"/>
  <c r="F132"/>
  <c r="F92"/>
  <c r="F47"/>
  <c r="I370"/>
  <c r="I328"/>
  <c r="I350"/>
  <c r="I310"/>
  <c r="I254"/>
  <c r="I275"/>
  <c r="I167"/>
  <c r="I216"/>
  <c r="I193"/>
  <c r="I97"/>
  <c r="I143"/>
  <c r="I119"/>
  <c r="I41"/>
  <c r="Q370"/>
  <c r="Q328"/>
  <c r="Q350"/>
  <c r="Q310"/>
  <c r="Q254"/>
  <c r="Q275"/>
  <c r="Q167"/>
  <c r="Q216"/>
  <c r="Q193"/>
  <c r="Q97"/>
  <c r="Q143"/>
  <c r="Q119"/>
  <c r="Q66"/>
  <c r="Q41"/>
  <c r="Y370"/>
  <c r="Y328"/>
  <c r="Y350"/>
  <c r="Y310"/>
  <c r="Y254"/>
  <c r="Y275"/>
  <c r="Y167"/>
  <c r="Y216"/>
  <c r="Y193"/>
  <c r="Y97"/>
  <c r="Y143"/>
  <c r="Y119"/>
  <c r="Y66"/>
  <c r="Y41"/>
  <c r="G386"/>
  <c r="G332"/>
  <c r="G309"/>
  <c r="G357"/>
  <c r="G267"/>
  <c r="G258"/>
  <c r="G198"/>
  <c r="G171"/>
  <c r="G230"/>
  <c r="G150"/>
  <c r="G103"/>
  <c r="G122"/>
  <c r="G80"/>
  <c r="F80" s="1"/>
  <c r="E80" s="1"/>
  <c r="G53"/>
  <c r="AU26"/>
  <c r="AT26" s="1"/>
  <c r="C327"/>
  <c r="C351"/>
  <c r="C367"/>
  <c r="C306"/>
  <c r="C253"/>
  <c r="C282"/>
  <c r="C183"/>
  <c r="C223"/>
  <c r="C209"/>
  <c r="C95"/>
  <c r="C120"/>
  <c r="AF119" s="1"/>
  <c r="C145"/>
  <c r="C73"/>
  <c r="C48"/>
  <c r="S327"/>
  <c r="S351"/>
  <c r="S367"/>
  <c r="S306"/>
  <c r="S253"/>
  <c r="S282"/>
  <c r="S183"/>
  <c r="S223"/>
  <c r="S209"/>
  <c r="S95"/>
  <c r="S120"/>
  <c r="S145"/>
  <c r="S48"/>
  <c r="F355"/>
  <c r="F388"/>
  <c r="F330"/>
  <c r="F299"/>
  <c r="F269"/>
  <c r="F250"/>
  <c r="F237"/>
  <c r="F192"/>
  <c r="F168"/>
  <c r="F159"/>
  <c r="F136"/>
  <c r="F96"/>
  <c r="F62"/>
  <c r="W26"/>
  <c r="Z358"/>
  <c r="Z326"/>
  <c r="Z242"/>
  <c r="Z383"/>
  <c r="Z301"/>
  <c r="Z283"/>
  <c r="Z178"/>
  <c r="Z231"/>
  <c r="Z203"/>
  <c r="Z160"/>
  <c r="Z137"/>
  <c r="Z99"/>
  <c r="Z81"/>
  <c r="Z60"/>
  <c r="Q361"/>
  <c r="Q335"/>
  <c r="Q311"/>
  <c r="Q368"/>
  <c r="Q270"/>
  <c r="Q261"/>
  <c r="Q194"/>
  <c r="Q220"/>
  <c r="Q169"/>
  <c r="Q125"/>
  <c r="Q147"/>
  <c r="Q94"/>
  <c r="Q70"/>
  <c r="Q46"/>
  <c r="R366"/>
  <c r="R307"/>
  <c r="R336"/>
  <c r="R276"/>
  <c r="R360"/>
  <c r="R259"/>
  <c r="R181"/>
  <c r="R154"/>
  <c r="R227"/>
  <c r="R207"/>
  <c r="R130"/>
  <c r="R104"/>
  <c r="R51"/>
  <c r="Q336"/>
  <c r="Q360"/>
  <c r="Q366"/>
  <c r="Q307"/>
  <c r="Q259"/>
  <c r="Q276"/>
  <c r="Q181"/>
  <c r="Q154"/>
  <c r="Q227"/>
  <c r="Q207"/>
  <c r="Q104"/>
  <c r="Q130"/>
  <c r="Q77"/>
  <c r="Q51"/>
  <c r="R341"/>
  <c r="R382"/>
  <c r="R252"/>
  <c r="R316"/>
  <c r="R298"/>
  <c r="R287"/>
  <c r="R211"/>
  <c r="R229"/>
  <c r="R186"/>
  <c r="R93"/>
  <c r="R142"/>
  <c r="R116"/>
  <c r="R58"/>
  <c r="G368"/>
  <c r="G361"/>
  <c r="G335"/>
  <c r="G261"/>
  <c r="G311"/>
  <c r="G270"/>
  <c r="G169"/>
  <c r="G194"/>
  <c r="G220"/>
  <c r="G94"/>
  <c r="G125"/>
  <c r="G147"/>
  <c r="G70"/>
  <c r="G46"/>
  <c r="J348"/>
  <c r="J322"/>
  <c r="J379"/>
  <c r="J294"/>
  <c r="J245"/>
  <c r="J281"/>
  <c r="J226"/>
  <c r="J201"/>
  <c r="J177"/>
  <c r="J156"/>
  <c r="J129"/>
  <c r="J110"/>
  <c r="J50"/>
  <c r="R348"/>
  <c r="R322"/>
  <c r="R379"/>
  <c r="R294"/>
  <c r="R245"/>
  <c r="R281"/>
  <c r="R226"/>
  <c r="R201"/>
  <c r="R177"/>
  <c r="R156"/>
  <c r="R129"/>
  <c r="R110"/>
  <c r="R50"/>
  <c r="Z348"/>
  <c r="Z322"/>
  <c r="Z379"/>
  <c r="Z294"/>
  <c r="Z245"/>
  <c r="Z281"/>
  <c r="Z226"/>
  <c r="Z201"/>
  <c r="Z177"/>
  <c r="Z156"/>
  <c r="Z129"/>
  <c r="Z110"/>
  <c r="Z76"/>
  <c r="Z50"/>
  <c r="F362"/>
  <c r="F304"/>
  <c r="F337"/>
  <c r="F234"/>
  <c r="F373"/>
  <c r="F274"/>
  <c r="F260"/>
  <c r="F180"/>
  <c r="F162"/>
  <c r="F205"/>
  <c r="F109"/>
  <c r="F135"/>
  <c r="F56"/>
  <c r="I381"/>
  <c r="I317"/>
  <c r="I342"/>
  <c r="I292"/>
  <c r="I284"/>
  <c r="I244"/>
  <c r="I232"/>
  <c r="I179"/>
  <c r="I152"/>
  <c r="I204"/>
  <c r="I123"/>
  <c r="I112"/>
  <c r="I55"/>
  <c r="Q381"/>
  <c r="Q317"/>
  <c r="Q342"/>
  <c r="Q292"/>
  <c r="Q284"/>
  <c r="Q244"/>
  <c r="Q179"/>
  <c r="Q152"/>
  <c r="Q204"/>
  <c r="Q232"/>
  <c r="Q123"/>
  <c r="Q112"/>
  <c r="Q82"/>
  <c r="Q55"/>
  <c r="Y381"/>
  <c r="Y317"/>
  <c r="Y342"/>
  <c r="Y292"/>
  <c r="Y284"/>
  <c r="Y244"/>
  <c r="Y179"/>
  <c r="Y152"/>
  <c r="Y232"/>
  <c r="Y204"/>
  <c r="Y123"/>
  <c r="Y112"/>
  <c r="Y82"/>
  <c r="Y55"/>
  <c r="E324"/>
  <c r="E375"/>
  <c r="E354"/>
  <c r="E249"/>
  <c r="E303"/>
  <c r="E268"/>
  <c r="E219"/>
  <c r="E187"/>
  <c r="E212"/>
  <c r="E149"/>
  <c r="E132"/>
  <c r="E92"/>
  <c r="E47"/>
  <c r="AU24"/>
  <c r="AT24" s="1"/>
  <c r="C369"/>
  <c r="C353"/>
  <c r="C308"/>
  <c r="C329"/>
  <c r="C279"/>
  <c r="C257"/>
  <c r="C170"/>
  <c r="C195"/>
  <c r="C221"/>
  <c r="C144"/>
  <c r="C118"/>
  <c r="C101"/>
  <c r="C71"/>
  <c r="C45"/>
  <c r="S369"/>
  <c r="S353"/>
  <c r="S308"/>
  <c r="S329"/>
  <c r="S279"/>
  <c r="S257"/>
  <c r="S170"/>
  <c r="S195"/>
  <c r="S221"/>
  <c r="S144"/>
  <c r="S118"/>
  <c r="S101"/>
  <c r="S45"/>
  <c r="F332"/>
  <c r="F309"/>
  <c r="F357"/>
  <c r="F258"/>
  <c r="F386"/>
  <c r="F267"/>
  <c r="F198"/>
  <c r="F171"/>
  <c r="F230"/>
  <c r="F150"/>
  <c r="F103"/>
  <c r="F122"/>
  <c r="F53"/>
  <c r="V332"/>
  <c r="V309"/>
  <c r="V357"/>
  <c r="V386"/>
  <c r="V258"/>
  <c r="V267"/>
  <c r="V198"/>
  <c r="V171"/>
  <c r="V230"/>
  <c r="V150"/>
  <c r="V103"/>
  <c r="V122"/>
  <c r="V80"/>
  <c r="U80" s="1"/>
  <c r="V53"/>
  <c r="J351"/>
  <c r="J367"/>
  <c r="J282"/>
  <c r="J306"/>
  <c r="J327"/>
  <c r="J253"/>
  <c r="J223"/>
  <c r="J209"/>
  <c r="J183"/>
  <c r="J120"/>
  <c r="J145"/>
  <c r="J95"/>
  <c r="J48"/>
  <c r="R351"/>
  <c r="R367"/>
  <c r="R282"/>
  <c r="R306"/>
  <c r="R327"/>
  <c r="R253"/>
  <c r="R223"/>
  <c r="R209"/>
  <c r="R183"/>
  <c r="R120"/>
  <c r="R145"/>
  <c r="R95"/>
  <c r="R48"/>
  <c r="Z351"/>
  <c r="Z367"/>
  <c r="Z282"/>
  <c r="Z327"/>
  <c r="Z306"/>
  <c r="Z253"/>
  <c r="Z223"/>
  <c r="Z209"/>
  <c r="Z183"/>
  <c r="Z120"/>
  <c r="Z145"/>
  <c r="Z95"/>
  <c r="Z73"/>
  <c r="Z48"/>
  <c r="E355"/>
  <c r="E388"/>
  <c r="E330"/>
  <c r="E299"/>
  <c r="E269"/>
  <c r="E250"/>
  <c r="E168"/>
  <c r="E159"/>
  <c r="E237"/>
  <c r="E192"/>
  <c r="E136"/>
  <c r="E96"/>
  <c r="E62"/>
  <c r="S360"/>
  <c r="S366"/>
  <c r="S307"/>
  <c r="S336"/>
  <c r="S259"/>
  <c r="S276"/>
  <c r="S181"/>
  <c r="S154"/>
  <c r="S227"/>
  <c r="S207"/>
  <c r="S130"/>
  <c r="S104"/>
  <c r="S51"/>
  <c r="J378"/>
  <c r="J247"/>
  <c r="J345"/>
  <c r="J297"/>
  <c r="J280"/>
  <c r="J319"/>
  <c r="J217"/>
  <c r="J197"/>
  <c r="J173"/>
  <c r="J153"/>
  <c r="J105"/>
  <c r="J126"/>
  <c r="J42"/>
  <c r="G323"/>
  <c r="G372"/>
  <c r="G278"/>
  <c r="G246"/>
  <c r="G293"/>
  <c r="G346"/>
  <c r="G155"/>
  <c r="G222"/>
  <c r="G200"/>
  <c r="G176"/>
  <c r="G131"/>
  <c r="G108"/>
  <c r="G72"/>
  <c r="F72" s="1"/>
  <c r="G44"/>
  <c r="R358"/>
  <c r="R326"/>
  <c r="R383"/>
  <c r="R242"/>
  <c r="R301"/>
  <c r="R283"/>
  <c r="R178"/>
  <c r="R231"/>
  <c r="Q231" s="1"/>
  <c r="R203"/>
  <c r="R160"/>
  <c r="R137"/>
  <c r="R99"/>
  <c r="R60"/>
  <c r="I361"/>
  <c r="I335"/>
  <c r="I311"/>
  <c r="I368"/>
  <c r="I270"/>
  <c r="I261"/>
  <c r="I194"/>
  <c r="I220"/>
  <c r="I169"/>
  <c r="I125"/>
  <c r="I147"/>
  <c r="I94"/>
  <c r="I46"/>
  <c r="Y336"/>
  <c r="Y366"/>
  <c r="Y360"/>
  <c r="Y307"/>
  <c r="Y276"/>
  <c r="Y259"/>
  <c r="Y181"/>
  <c r="Y154"/>
  <c r="Y227"/>
  <c r="Y207"/>
  <c r="Y104"/>
  <c r="Y130"/>
  <c r="Y77"/>
  <c r="Y51"/>
  <c r="U387"/>
  <c r="U356"/>
  <c r="U334"/>
  <c r="U255"/>
  <c r="U300"/>
  <c r="U266"/>
  <c r="U236"/>
  <c r="U161"/>
  <c r="U191"/>
  <c r="U166"/>
  <c r="U128"/>
  <c r="U111"/>
  <c r="U86"/>
  <c r="U61"/>
  <c r="J341"/>
  <c r="J382"/>
  <c r="J316"/>
  <c r="J252"/>
  <c r="J298"/>
  <c r="J287"/>
  <c r="J211"/>
  <c r="J229"/>
  <c r="J186"/>
  <c r="J93"/>
  <c r="J142"/>
  <c r="J116"/>
  <c r="J58"/>
  <c r="E347"/>
  <c r="E321"/>
  <c r="E374"/>
  <c r="E272"/>
  <c r="E251"/>
  <c r="E302"/>
  <c r="E210"/>
  <c r="E228"/>
  <c r="E184"/>
  <c r="E148"/>
  <c r="E124"/>
  <c r="E102"/>
  <c r="E54"/>
  <c r="G312"/>
  <c r="G359"/>
  <c r="G333"/>
  <c r="G385"/>
  <c r="G271"/>
  <c r="G262"/>
  <c r="G185"/>
  <c r="G225"/>
  <c r="G208"/>
  <c r="G141"/>
  <c r="G91"/>
  <c r="G117"/>
  <c r="G75"/>
  <c r="F75" s="1"/>
  <c r="G52"/>
  <c r="E372"/>
  <c r="E346"/>
  <c r="E323"/>
  <c r="E246"/>
  <c r="E293"/>
  <c r="E278"/>
  <c r="E222"/>
  <c r="E200"/>
  <c r="E176"/>
  <c r="E155"/>
  <c r="E108"/>
  <c r="E131"/>
  <c r="E72"/>
  <c r="E44"/>
  <c r="AU9"/>
  <c r="AT9" s="1"/>
  <c r="C356"/>
  <c r="C334"/>
  <c r="C387"/>
  <c r="C300"/>
  <c r="C266"/>
  <c r="C236"/>
  <c r="C255"/>
  <c r="C191"/>
  <c r="C166"/>
  <c r="C161"/>
  <c r="C128"/>
  <c r="AF127" s="1"/>
  <c r="C111"/>
  <c r="C86"/>
  <c r="C61"/>
  <c r="T356"/>
  <c r="T334"/>
  <c r="T300"/>
  <c r="T266"/>
  <c r="T387"/>
  <c r="T236"/>
  <c r="T255"/>
  <c r="T191"/>
  <c r="T166"/>
  <c r="T161"/>
  <c r="T128"/>
  <c r="T111"/>
  <c r="T86"/>
  <c r="S86" s="1"/>
  <c r="R86" s="1"/>
  <c r="T61"/>
  <c r="I341"/>
  <c r="I382"/>
  <c r="I316"/>
  <c r="I252"/>
  <c r="I298"/>
  <c r="I287"/>
  <c r="I229"/>
  <c r="I186"/>
  <c r="I211"/>
  <c r="I93"/>
  <c r="I142"/>
  <c r="I116"/>
  <c r="I58"/>
  <c r="Q341"/>
  <c r="Q382"/>
  <c r="Q316"/>
  <c r="Q252"/>
  <c r="Q298"/>
  <c r="Q287"/>
  <c r="Q229"/>
  <c r="Q186"/>
  <c r="Q211"/>
  <c r="Q93"/>
  <c r="Q142"/>
  <c r="Q116"/>
  <c r="Q79"/>
  <c r="Q58"/>
  <c r="Y341"/>
  <c r="Y382"/>
  <c r="Y316"/>
  <c r="Y298"/>
  <c r="Y252"/>
  <c r="Y287"/>
  <c r="Y229"/>
  <c r="Y186"/>
  <c r="Y211"/>
  <c r="Y93"/>
  <c r="Y142"/>
  <c r="Y116"/>
  <c r="Y79"/>
  <c r="Y58"/>
  <c r="G345"/>
  <c r="G319"/>
  <c r="G378"/>
  <c r="G247"/>
  <c r="G297"/>
  <c r="G280"/>
  <c r="G153"/>
  <c r="G217"/>
  <c r="G197"/>
  <c r="G173"/>
  <c r="G126"/>
  <c r="G105"/>
  <c r="G67"/>
  <c r="F67" s="1"/>
  <c r="G42"/>
  <c r="AU13"/>
  <c r="AT13" s="1"/>
  <c r="C331"/>
  <c r="C305"/>
  <c r="C376"/>
  <c r="C352"/>
  <c r="C256"/>
  <c r="C277"/>
  <c r="C233"/>
  <c r="C196"/>
  <c r="C172"/>
  <c r="C146"/>
  <c r="C121"/>
  <c r="AF120" s="1"/>
  <c r="C98"/>
  <c r="C83"/>
  <c r="C59"/>
  <c r="S331"/>
  <c r="S305"/>
  <c r="S376"/>
  <c r="S352"/>
  <c r="S256"/>
  <c r="S277"/>
  <c r="S233"/>
  <c r="S196"/>
  <c r="S172"/>
  <c r="S146"/>
  <c r="S121"/>
  <c r="S98"/>
  <c r="S59"/>
  <c r="F312"/>
  <c r="F359"/>
  <c r="F333"/>
  <c r="F385"/>
  <c r="F262"/>
  <c r="F271"/>
  <c r="F185"/>
  <c r="F225"/>
  <c r="F208"/>
  <c r="F141"/>
  <c r="F91"/>
  <c r="F117"/>
  <c r="F52"/>
  <c r="G358"/>
  <c r="G326"/>
  <c r="G383"/>
  <c r="G301"/>
  <c r="G283"/>
  <c r="G242"/>
  <c r="G231"/>
  <c r="G178"/>
  <c r="G203"/>
  <c r="G160"/>
  <c r="G137"/>
  <c r="G99"/>
  <c r="G81"/>
  <c r="F81" s="1"/>
  <c r="G60"/>
  <c r="AU17"/>
  <c r="AT17" s="1"/>
  <c r="C380"/>
  <c r="C344"/>
  <c r="C291"/>
  <c r="C286"/>
  <c r="C318"/>
  <c r="C157"/>
  <c r="C206"/>
  <c r="C241"/>
  <c r="C182"/>
  <c r="C224"/>
  <c r="C133"/>
  <c r="AF132" s="1"/>
  <c r="C106"/>
  <c r="C74"/>
  <c r="C49"/>
  <c r="S380"/>
  <c r="S344"/>
  <c r="S291"/>
  <c r="S318"/>
  <c r="S286"/>
  <c r="S241"/>
  <c r="S157"/>
  <c r="S206"/>
  <c r="S182"/>
  <c r="S224"/>
  <c r="S133"/>
  <c r="S106"/>
  <c r="S49"/>
  <c r="F368"/>
  <c r="F361"/>
  <c r="F335"/>
  <c r="F311"/>
  <c r="F261"/>
  <c r="F270"/>
  <c r="F169"/>
  <c r="F194"/>
  <c r="F220"/>
  <c r="F94"/>
  <c r="F125"/>
  <c r="F147"/>
  <c r="F70"/>
  <c r="F46"/>
  <c r="I379"/>
  <c r="I294"/>
  <c r="I245"/>
  <c r="I322"/>
  <c r="I348"/>
  <c r="I281"/>
  <c r="I226"/>
  <c r="I201"/>
  <c r="I177"/>
  <c r="I156"/>
  <c r="I129"/>
  <c r="I110"/>
  <c r="I50"/>
  <c r="Q379"/>
  <c r="Q294"/>
  <c r="Q245"/>
  <c r="Q281"/>
  <c r="Q348"/>
  <c r="Q322"/>
  <c r="Q226"/>
  <c r="Q201"/>
  <c r="Q177"/>
  <c r="Q156"/>
  <c r="Q129"/>
  <c r="Q110"/>
  <c r="Q76"/>
  <c r="Q50"/>
  <c r="Y379"/>
  <c r="Y294"/>
  <c r="Y245"/>
  <c r="Y281"/>
  <c r="Y348"/>
  <c r="Y322"/>
  <c r="Y226"/>
  <c r="Y201"/>
  <c r="Y177"/>
  <c r="Y156"/>
  <c r="Y129"/>
  <c r="Y110"/>
  <c r="Y76"/>
  <c r="Y50"/>
  <c r="E362"/>
  <c r="E304"/>
  <c r="E337"/>
  <c r="E373"/>
  <c r="E274"/>
  <c r="E260"/>
  <c r="E180"/>
  <c r="E162"/>
  <c r="E205"/>
  <c r="E234"/>
  <c r="E135"/>
  <c r="E109"/>
  <c r="E56"/>
  <c r="G350"/>
  <c r="G310"/>
  <c r="G275"/>
  <c r="G328"/>
  <c r="G370"/>
  <c r="G254"/>
  <c r="G167"/>
  <c r="G216"/>
  <c r="G193"/>
  <c r="G97"/>
  <c r="G143"/>
  <c r="G119"/>
  <c r="G66"/>
  <c r="F66" s="1"/>
  <c r="E66" s="1"/>
  <c r="G41"/>
  <c r="J308"/>
  <c r="J369"/>
  <c r="J329"/>
  <c r="J257"/>
  <c r="J353"/>
  <c r="J279"/>
  <c r="J170"/>
  <c r="J195"/>
  <c r="J221"/>
  <c r="J144"/>
  <c r="J118"/>
  <c r="J101"/>
  <c r="J45"/>
  <c r="R308"/>
  <c r="R369"/>
  <c r="R257"/>
  <c r="R329"/>
  <c r="R353"/>
  <c r="R279"/>
  <c r="R170"/>
  <c r="R195"/>
  <c r="R221"/>
  <c r="R144"/>
  <c r="R118"/>
  <c r="R101"/>
  <c r="R45"/>
  <c r="Z308"/>
  <c r="Z257"/>
  <c r="Z369"/>
  <c r="Z329"/>
  <c r="Z353"/>
  <c r="Z279"/>
  <c r="Z170"/>
  <c r="Z195"/>
  <c r="Z221"/>
  <c r="Z144"/>
  <c r="Z118"/>
  <c r="Z101"/>
  <c r="Z71"/>
  <c r="Z45"/>
  <c r="E332"/>
  <c r="E309"/>
  <c r="E357"/>
  <c r="E386"/>
  <c r="E258"/>
  <c r="E267"/>
  <c r="E230"/>
  <c r="E198"/>
  <c r="E171"/>
  <c r="E150"/>
  <c r="E122"/>
  <c r="E103"/>
  <c r="E53"/>
  <c r="U332"/>
  <c r="U309"/>
  <c r="U357"/>
  <c r="U386"/>
  <c r="U258"/>
  <c r="U267"/>
  <c r="U230"/>
  <c r="U150"/>
  <c r="U198"/>
  <c r="U171"/>
  <c r="U122"/>
  <c r="U103"/>
  <c r="U53"/>
  <c r="I351"/>
  <c r="I367"/>
  <c r="I306"/>
  <c r="I327"/>
  <c r="I253"/>
  <c r="I282"/>
  <c r="I223"/>
  <c r="I209"/>
  <c r="I183"/>
  <c r="I120"/>
  <c r="I145"/>
  <c r="I95"/>
  <c r="I48"/>
  <c r="Q351"/>
  <c r="Q367"/>
  <c r="Q306"/>
  <c r="Q327"/>
  <c r="Q253"/>
  <c r="Q282"/>
  <c r="Q223"/>
  <c r="Q209"/>
  <c r="Q183"/>
  <c r="Q120"/>
  <c r="Q145"/>
  <c r="Q95"/>
  <c r="Q73"/>
  <c r="Q48"/>
  <c r="Y351"/>
  <c r="Y367"/>
  <c r="Y306"/>
  <c r="Y327"/>
  <c r="Y253"/>
  <c r="Y282"/>
  <c r="Y223"/>
  <c r="Y209"/>
  <c r="Y183"/>
  <c r="Y120"/>
  <c r="Y145"/>
  <c r="Y95"/>
  <c r="Y73"/>
  <c r="Y48"/>
  <c r="W355"/>
  <c r="W388"/>
  <c r="W330"/>
  <c r="W237"/>
  <c r="W299"/>
  <c r="W269"/>
  <c r="W250"/>
  <c r="W192"/>
  <c r="W168"/>
  <c r="W159"/>
  <c r="W136"/>
  <c r="W96"/>
  <c r="W87"/>
  <c r="W62"/>
  <c r="X28"/>
  <c r="W15"/>
  <c r="J9"/>
  <c r="I9"/>
  <c r="G9"/>
  <c r="W7" i="48" s="1"/>
  <c r="F9" i="51"/>
  <c r="E9"/>
  <c r="C9"/>
  <c r="V7" i="48" s="1"/>
  <c r="AI8" i="51"/>
  <c r="Z8"/>
  <c r="Y8"/>
  <c r="S8"/>
  <c r="R8"/>
  <c r="Q8"/>
  <c r="J8"/>
  <c r="I8"/>
  <c r="G8"/>
  <c r="F8"/>
  <c r="E8"/>
  <c r="C8"/>
  <c r="AI7"/>
  <c r="Z7"/>
  <c r="Y7"/>
  <c r="S7"/>
  <c r="R7"/>
  <c r="Q7"/>
  <c r="O7"/>
  <c r="J7"/>
  <c r="I7"/>
  <c r="G7"/>
  <c r="F7"/>
  <c r="E7"/>
  <c r="C7"/>
  <c r="V10" i="48" l="1"/>
  <c r="W9"/>
  <c r="W8"/>
  <c r="W11"/>
  <c r="V9"/>
  <c r="V8"/>
  <c r="W10"/>
  <c r="V11"/>
  <c r="W161" i="51"/>
  <c r="W236"/>
  <c r="W191"/>
  <c r="W387"/>
  <c r="W166"/>
  <c r="W356"/>
  <c r="W128"/>
  <c r="W334"/>
  <c r="X10"/>
  <c r="X334" s="1"/>
  <c r="W111"/>
  <c r="W255"/>
  <c r="W86"/>
  <c r="W300"/>
  <c r="W61"/>
  <c r="AU7"/>
  <c r="AT7" s="1"/>
  <c r="C325"/>
  <c r="C349"/>
  <c r="C285"/>
  <c r="C235"/>
  <c r="C377"/>
  <c r="C248"/>
  <c r="C295"/>
  <c r="C202"/>
  <c r="C175"/>
  <c r="C158"/>
  <c r="C107"/>
  <c r="C134"/>
  <c r="AF133" s="1"/>
  <c r="C85"/>
  <c r="C57"/>
  <c r="S325"/>
  <c r="S349"/>
  <c r="S285"/>
  <c r="S235"/>
  <c r="S248"/>
  <c r="S377"/>
  <c r="S295"/>
  <c r="S202"/>
  <c r="S175"/>
  <c r="S158"/>
  <c r="S107"/>
  <c r="S134"/>
  <c r="S57"/>
  <c r="F336"/>
  <c r="F360"/>
  <c r="F366"/>
  <c r="F307"/>
  <c r="F259"/>
  <c r="F276"/>
  <c r="F227"/>
  <c r="F207"/>
  <c r="F181"/>
  <c r="F154"/>
  <c r="F104"/>
  <c r="F130"/>
  <c r="F51"/>
  <c r="Z325"/>
  <c r="Z349"/>
  <c r="Z377"/>
  <c r="Z248"/>
  <c r="Z295"/>
  <c r="Z285"/>
  <c r="Z235"/>
  <c r="Z158"/>
  <c r="Z202"/>
  <c r="Z175"/>
  <c r="Z134"/>
  <c r="Z107"/>
  <c r="Z85"/>
  <c r="Z57"/>
  <c r="G371"/>
  <c r="G343"/>
  <c r="G243"/>
  <c r="G296"/>
  <c r="G273"/>
  <c r="G320"/>
  <c r="G218"/>
  <c r="G174"/>
  <c r="G199"/>
  <c r="G151"/>
  <c r="G100"/>
  <c r="G127"/>
  <c r="G68"/>
  <c r="F68" s="1"/>
  <c r="G43"/>
  <c r="R325"/>
  <c r="R349"/>
  <c r="R377"/>
  <c r="R248"/>
  <c r="R295"/>
  <c r="R285"/>
  <c r="R158"/>
  <c r="R235"/>
  <c r="R202"/>
  <c r="R175"/>
  <c r="R134"/>
  <c r="R107"/>
  <c r="R57"/>
  <c r="F371"/>
  <c r="F343"/>
  <c r="F320"/>
  <c r="F296"/>
  <c r="F273"/>
  <c r="F218"/>
  <c r="F174"/>
  <c r="F199"/>
  <c r="F243"/>
  <c r="F100"/>
  <c r="F127"/>
  <c r="F151"/>
  <c r="F43"/>
  <c r="I325"/>
  <c r="I349"/>
  <c r="I377"/>
  <c r="I248"/>
  <c r="I295"/>
  <c r="I285"/>
  <c r="I235"/>
  <c r="I158"/>
  <c r="I202"/>
  <c r="I175"/>
  <c r="I134"/>
  <c r="I107"/>
  <c r="I57"/>
  <c r="Q325"/>
  <c r="Q349"/>
  <c r="Q377"/>
  <c r="Q248"/>
  <c r="Q295"/>
  <c r="Q285"/>
  <c r="Q158"/>
  <c r="Q235"/>
  <c r="Q202"/>
  <c r="Q175"/>
  <c r="Q134"/>
  <c r="Q107"/>
  <c r="Q85"/>
  <c r="Q57"/>
  <c r="Y325"/>
  <c r="Y349"/>
  <c r="Y377"/>
  <c r="Y248"/>
  <c r="Y295"/>
  <c r="Y285"/>
  <c r="Y158"/>
  <c r="Y202"/>
  <c r="Y175"/>
  <c r="Y235"/>
  <c r="Y134"/>
  <c r="Y107"/>
  <c r="Y85"/>
  <c r="Y57"/>
  <c r="O371"/>
  <c r="O343"/>
  <c r="O243"/>
  <c r="O296"/>
  <c r="O273"/>
  <c r="O320"/>
  <c r="O218"/>
  <c r="O174"/>
  <c r="O199"/>
  <c r="O151"/>
  <c r="O100"/>
  <c r="O127"/>
  <c r="O43"/>
  <c r="J325"/>
  <c r="J349"/>
  <c r="J377"/>
  <c r="J248"/>
  <c r="J295"/>
  <c r="J285"/>
  <c r="J235"/>
  <c r="J158"/>
  <c r="J202"/>
  <c r="J175"/>
  <c r="J134"/>
  <c r="J107"/>
  <c r="J57"/>
  <c r="E336"/>
  <c r="E360"/>
  <c r="E366"/>
  <c r="E307"/>
  <c r="E259"/>
  <c r="E276"/>
  <c r="E207"/>
  <c r="E181"/>
  <c r="E154"/>
  <c r="E227"/>
  <c r="E104"/>
  <c r="E130"/>
  <c r="E51"/>
  <c r="G349"/>
  <c r="G377"/>
  <c r="G325"/>
  <c r="G248"/>
  <c r="G295"/>
  <c r="G285"/>
  <c r="G235"/>
  <c r="G158"/>
  <c r="G202"/>
  <c r="G175"/>
  <c r="G134"/>
  <c r="G107"/>
  <c r="G85"/>
  <c r="F85" s="1"/>
  <c r="E85" s="1"/>
  <c r="G57"/>
  <c r="J366"/>
  <c r="J307"/>
  <c r="J336"/>
  <c r="J276"/>
  <c r="J360"/>
  <c r="J259"/>
  <c r="J181"/>
  <c r="J154"/>
  <c r="J227"/>
  <c r="J207"/>
  <c r="J130"/>
  <c r="J104"/>
  <c r="J51"/>
  <c r="W386"/>
  <c r="W332"/>
  <c r="W309"/>
  <c r="W357"/>
  <c r="W267"/>
  <c r="W230"/>
  <c r="W258"/>
  <c r="W198"/>
  <c r="W171"/>
  <c r="W150"/>
  <c r="W103"/>
  <c r="W122"/>
  <c r="W80"/>
  <c r="W53"/>
  <c r="X26"/>
  <c r="I343"/>
  <c r="I320"/>
  <c r="I371"/>
  <c r="I243"/>
  <c r="I296"/>
  <c r="I273"/>
  <c r="I218"/>
  <c r="I174"/>
  <c r="I199"/>
  <c r="I151"/>
  <c r="I100"/>
  <c r="I127"/>
  <c r="I68"/>
  <c r="I43"/>
  <c r="Q343"/>
  <c r="Q320"/>
  <c r="Q371"/>
  <c r="Q243"/>
  <c r="Q296"/>
  <c r="Q273"/>
  <c r="Q218"/>
  <c r="Q174"/>
  <c r="Q199"/>
  <c r="Q151"/>
  <c r="Q100"/>
  <c r="Q127"/>
  <c r="Q68"/>
  <c r="Q43"/>
  <c r="W312"/>
  <c r="W333"/>
  <c r="W385"/>
  <c r="W271"/>
  <c r="W262"/>
  <c r="W185"/>
  <c r="W225"/>
  <c r="W208"/>
  <c r="W141"/>
  <c r="W91"/>
  <c r="W117"/>
  <c r="W75"/>
  <c r="W52"/>
  <c r="X15"/>
  <c r="E371"/>
  <c r="E343"/>
  <c r="E296"/>
  <c r="E273"/>
  <c r="E320"/>
  <c r="E199"/>
  <c r="E243"/>
  <c r="E151"/>
  <c r="E218"/>
  <c r="E174"/>
  <c r="E127"/>
  <c r="E100"/>
  <c r="E68"/>
  <c r="E43"/>
  <c r="AU8"/>
  <c r="AT8" s="1"/>
  <c r="C360"/>
  <c r="C366"/>
  <c r="C307"/>
  <c r="C336"/>
  <c r="C259"/>
  <c r="C276"/>
  <c r="C181"/>
  <c r="C154"/>
  <c r="C227"/>
  <c r="C207"/>
  <c r="C130"/>
  <c r="C104"/>
  <c r="C77"/>
  <c r="C51"/>
  <c r="C343"/>
  <c r="C320"/>
  <c r="C371"/>
  <c r="C296"/>
  <c r="C273"/>
  <c r="C243"/>
  <c r="C151"/>
  <c r="C218"/>
  <c r="C174"/>
  <c r="C199"/>
  <c r="C127"/>
  <c r="AF126" s="1"/>
  <c r="C100"/>
  <c r="C68"/>
  <c r="C43"/>
  <c r="S343"/>
  <c r="S320"/>
  <c r="S371"/>
  <c r="S296"/>
  <c r="S273"/>
  <c r="S243"/>
  <c r="S151"/>
  <c r="S218"/>
  <c r="S174"/>
  <c r="S199"/>
  <c r="S127"/>
  <c r="S100"/>
  <c r="S43"/>
  <c r="F377"/>
  <c r="F295"/>
  <c r="F285"/>
  <c r="F235"/>
  <c r="F325"/>
  <c r="F349"/>
  <c r="F248"/>
  <c r="F158"/>
  <c r="F202"/>
  <c r="F175"/>
  <c r="F107"/>
  <c r="F134"/>
  <c r="F57"/>
  <c r="I336"/>
  <c r="I360"/>
  <c r="I307"/>
  <c r="I259"/>
  <c r="I366"/>
  <c r="I276"/>
  <c r="I181"/>
  <c r="I154"/>
  <c r="I227"/>
  <c r="I207"/>
  <c r="I104"/>
  <c r="I130"/>
  <c r="I51"/>
  <c r="X355"/>
  <c r="X388"/>
  <c r="X330"/>
  <c r="X237"/>
  <c r="X299"/>
  <c r="X269"/>
  <c r="X250"/>
  <c r="X192"/>
  <c r="X168"/>
  <c r="X159"/>
  <c r="X87"/>
  <c r="X96"/>
  <c r="X62"/>
  <c r="X80"/>
  <c r="Y343"/>
  <c r="Y320"/>
  <c r="Y371"/>
  <c r="Y243"/>
  <c r="Y296"/>
  <c r="Y273"/>
  <c r="Y218"/>
  <c r="Y174"/>
  <c r="Y199"/>
  <c r="Y151"/>
  <c r="Y100"/>
  <c r="Y127"/>
  <c r="Y68"/>
  <c r="Y43"/>
  <c r="G336"/>
  <c r="G360"/>
  <c r="G366"/>
  <c r="G307"/>
  <c r="G259"/>
  <c r="G276"/>
  <c r="G227"/>
  <c r="G207"/>
  <c r="G181"/>
  <c r="G154"/>
  <c r="G104"/>
  <c r="G130"/>
  <c r="G77"/>
  <c r="F77" s="1"/>
  <c r="E77" s="1"/>
  <c r="G51"/>
  <c r="J343"/>
  <c r="J320"/>
  <c r="J371"/>
  <c r="J243"/>
  <c r="J296"/>
  <c r="J273"/>
  <c r="J151"/>
  <c r="J218"/>
  <c r="J174"/>
  <c r="J199"/>
  <c r="J100"/>
  <c r="J127"/>
  <c r="J43"/>
  <c r="R343"/>
  <c r="R320"/>
  <c r="R371"/>
  <c r="R243"/>
  <c r="R296"/>
  <c r="R273"/>
  <c r="R151"/>
  <c r="R218"/>
  <c r="R174"/>
  <c r="R199"/>
  <c r="R100"/>
  <c r="R127"/>
  <c r="R43"/>
  <c r="Z343"/>
  <c r="Z320"/>
  <c r="Z371"/>
  <c r="Z243"/>
  <c r="Z296"/>
  <c r="Z273"/>
  <c r="Z151"/>
  <c r="Z218"/>
  <c r="Z174"/>
  <c r="Z199"/>
  <c r="Z100"/>
  <c r="Z127"/>
  <c r="Z68"/>
  <c r="Z43"/>
  <c r="E377"/>
  <c r="E325"/>
  <c r="E349"/>
  <c r="E285"/>
  <c r="E235"/>
  <c r="E248"/>
  <c r="E295"/>
  <c r="E158"/>
  <c r="E202"/>
  <c r="E175"/>
  <c r="E107"/>
  <c r="E134"/>
  <c r="E57"/>
  <c r="X136"/>
  <c r="E6"/>
  <c r="S5"/>
  <c r="Q5"/>
  <c r="G5"/>
  <c r="E5"/>
  <c r="C5"/>
  <c r="S4"/>
  <c r="Q4"/>
  <c r="J4"/>
  <c r="I4"/>
  <c r="G4"/>
  <c r="E4"/>
  <c r="C4"/>
  <c r="B3"/>
  <c r="X236" l="1"/>
  <c r="H9"/>
  <c r="H336" s="1"/>
  <c r="X111"/>
  <c r="D9"/>
  <c r="D276" s="1"/>
  <c r="X86"/>
  <c r="X255"/>
  <c r="X61"/>
  <c r="X300"/>
  <c r="X266"/>
  <c r="X191"/>
  <c r="X166"/>
  <c r="X387"/>
  <c r="X161"/>
  <c r="X356"/>
  <c r="X128"/>
  <c r="X359"/>
  <c r="W359" s="1"/>
  <c r="X312"/>
  <c r="X333"/>
  <c r="X271"/>
  <c r="X262"/>
  <c r="X385"/>
  <c r="X185"/>
  <c r="X225"/>
  <c r="X208"/>
  <c r="X117"/>
  <c r="X141"/>
  <c r="X91"/>
  <c r="X52"/>
  <c r="H7"/>
  <c r="H68" s="1"/>
  <c r="D14"/>
  <c r="D10"/>
  <c r="D18"/>
  <c r="D27"/>
  <c r="D20"/>
  <c r="D11"/>
  <c r="D13"/>
  <c r="D15"/>
  <c r="D25"/>
  <c r="D8"/>
  <c r="D85" s="1"/>
  <c r="D19"/>
  <c r="D12"/>
  <c r="D28"/>
  <c r="D7"/>
  <c r="D68" s="1"/>
  <c r="D17"/>
  <c r="D22"/>
  <c r="D21"/>
  <c r="D23"/>
  <c r="D26"/>
  <c r="D24"/>
  <c r="D16"/>
  <c r="X386"/>
  <c r="X332"/>
  <c r="X309"/>
  <c r="X267"/>
  <c r="X258"/>
  <c r="X357"/>
  <c r="X230"/>
  <c r="X198"/>
  <c r="X171"/>
  <c r="X150"/>
  <c r="X103"/>
  <c r="X122"/>
  <c r="X53"/>
  <c r="X75"/>
  <c r="H24"/>
  <c r="H17"/>
  <c r="H26"/>
  <c r="H21"/>
  <c r="H10"/>
  <c r="H14"/>
  <c r="H25"/>
  <c r="H13"/>
  <c r="H27"/>
  <c r="H16"/>
  <c r="H28"/>
  <c r="H15"/>
  <c r="H12"/>
  <c r="H8"/>
  <c r="H23"/>
  <c r="H11"/>
  <c r="H20"/>
  <c r="H18"/>
  <c r="H22"/>
  <c r="H19"/>
  <c r="D130" l="1"/>
  <c r="D154"/>
  <c r="D259"/>
  <c r="D360"/>
  <c r="H104"/>
  <c r="H366"/>
  <c r="D77"/>
  <c r="H154"/>
  <c r="D336"/>
  <c r="D207"/>
  <c r="D181"/>
  <c r="D227"/>
  <c r="D366"/>
  <c r="D104"/>
  <c r="D307"/>
  <c r="D51"/>
  <c r="H360"/>
  <c r="H130"/>
  <c r="H307"/>
  <c r="H77"/>
  <c r="H259"/>
  <c r="H51"/>
  <c r="H276"/>
  <c r="H227"/>
  <c r="H207"/>
  <c r="H181"/>
  <c r="H341"/>
  <c r="H382"/>
  <c r="H316"/>
  <c r="H252"/>
  <c r="H298"/>
  <c r="H287"/>
  <c r="H229"/>
  <c r="H186"/>
  <c r="H211"/>
  <c r="H142"/>
  <c r="H116"/>
  <c r="H93"/>
  <c r="H79"/>
  <c r="H58"/>
  <c r="H345"/>
  <c r="H297"/>
  <c r="H280"/>
  <c r="H319"/>
  <c r="H247"/>
  <c r="H378"/>
  <c r="H153"/>
  <c r="H217"/>
  <c r="H197"/>
  <c r="H173"/>
  <c r="H126"/>
  <c r="H105"/>
  <c r="H42"/>
  <c r="D343"/>
  <c r="D320"/>
  <c r="D296"/>
  <c r="D273"/>
  <c r="D243"/>
  <c r="D371"/>
  <c r="D199"/>
  <c r="D151"/>
  <c r="D218"/>
  <c r="D174"/>
  <c r="D127"/>
  <c r="D100"/>
  <c r="D43"/>
  <c r="D32"/>
  <c r="D33" s="1"/>
  <c r="Q6"/>
  <c r="I6"/>
  <c r="D316"/>
  <c r="D341"/>
  <c r="D382"/>
  <c r="D252"/>
  <c r="D298"/>
  <c r="D287"/>
  <c r="D186"/>
  <c r="D211"/>
  <c r="D229"/>
  <c r="D142"/>
  <c r="D116"/>
  <c r="D93"/>
  <c r="D58"/>
  <c r="D79"/>
  <c r="H320"/>
  <c r="H371"/>
  <c r="H243"/>
  <c r="H343"/>
  <c r="H296"/>
  <c r="H273"/>
  <c r="H218"/>
  <c r="H174"/>
  <c r="H199"/>
  <c r="H100"/>
  <c r="H151"/>
  <c r="H127"/>
  <c r="H32"/>
  <c r="H33" s="1"/>
  <c r="H43"/>
  <c r="S6"/>
  <c r="J6"/>
  <c r="D383"/>
  <c r="D358"/>
  <c r="D326"/>
  <c r="D242"/>
  <c r="D301"/>
  <c r="D283"/>
  <c r="D178"/>
  <c r="D203"/>
  <c r="D160"/>
  <c r="D231"/>
  <c r="D137"/>
  <c r="D99"/>
  <c r="D60"/>
  <c r="D81"/>
  <c r="D345"/>
  <c r="D319"/>
  <c r="D378"/>
  <c r="D247"/>
  <c r="D297"/>
  <c r="D280"/>
  <c r="D153"/>
  <c r="D217"/>
  <c r="D197"/>
  <c r="D173"/>
  <c r="D105"/>
  <c r="D126"/>
  <c r="D42"/>
  <c r="D67"/>
  <c r="D342"/>
  <c r="D381"/>
  <c r="D317"/>
  <c r="D284"/>
  <c r="D244"/>
  <c r="D232"/>
  <c r="D292"/>
  <c r="D179"/>
  <c r="D152"/>
  <c r="D204"/>
  <c r="D123"/>
  <c r="D112"/>
  <c r="D55"/>
  <c r="D82"/>
  <c r="D359"/>
  <c r="D333"/>
  <c r="D385"/>
  <c r="D262"/>
  <c r="D312"/>
  <c r="D271"/>
  <c r="D225"/>
  <c r="D208"/>
  <c r="D185"/>
  <c r="D91"/>
  <c r="D117"/>
  <c r="D141"/>
  <c r="D52"/>
  <c r="D75"/>
  <c r="D337"/>
  <c r="D373"/>
  <c r="D362"/>
  <c r="D274"/>
  <c r="D260"/>
  <c r="D304"/>
  <c r="D180"/>
  <c r="D162"/>
  <c r="D205"/>
  <c r="D234"/>
  <c r="D135"/>
  <c r="D109"/>
  <c r="D56"/>
  <c r="D84"/>
  <c r="D369"/>
  <c r="D353"/>
  <c r="D329"/>
  <c r="D279"/>
  <c r="D257"/>
  <c r="D308"/>
  <c r="D170"/>
  <c r="D195"/>
  <c r="D221"/>
  <c r="D101"/>
  <c r="D144"/>
  <c r="D118"/>
  <c r="D45"/>
  <c r="D71"/>
  <c r="D331"/>
  <c r="D305"/>
  <c r="D376"/>
  <c r="D352"/>
  <c r="D256"/>
  <c r="D277"/>
  <c r="D172"/>
  <c r="D196"/>
  <c r="D233"/>
  <c r="D121"/>
  <c r="D98"/>
  <c r="D146"/>
  <c r="D59"/>
  <c r="D83"/>
  <c r="H379"/>
  <c r="H348"/>
  <c r="H322"/>
  <c r="H245"/>
  <c r="H281"/>
  <c r="H294"/>
  <c r="H201"/>
  <c r="H177"/>
  <c r="H156"/>
  <c r="H226"/>
  <c r="H129"/>
  <c r="H110"/>
  <c r="H50"/>
  <c r="H344"/>
  <c r="H318"/>
  <c r="H380"/>
  <c r="H286"/>
  <c r="H241"/>
  <c r="H291"/>
  <c r="H157"/>
  <c r="H206"/>
  <c r="H182"/>
  <c r="H224"/>
  <c r="H106"/>
  <c r="H133"/>
  <c r="H49"/>
  <c r="H358"/>
  <c r="H326"/>
  <c r="H383"/>
  <c r="H301"/>
  <c r="H283"/>
  <c r="H203"/>
  <c r="H160"/>
  <c r="H231"/>
  <c r="H242"/>
  <c r="H178"/>
  <c r="H137"/>
  <c r="H99"/>
  <c r="H60"/>
  <c r="D324"/>
  <c r="D375"/>
  <c r="D354"/>
  <c r="D303"/>
  <c r="D268"/>
  <c r="D249"/>
  <c r="D219"/>
  <c r="D187"/>
  <c r="D212"/>
  <c r="D132"/>
  <c r="D92"/>
  <c r="D149"/>
  <c r="D47"/>
  <c r="D69"/>
  <c r="D377"/>
  <c r="D325"/>
  <c r="D349"/>
  <c r="D285"/>
  <c r="D235"/>
  <c r="D248"/>
  <c r="D295"/>
  <c r="D202"/>
  <c r="D175"/>
  <c r="D158"/>
  <c r="D107"/>
  <c r="D134"/>
  <c r="D57"/>
  <c r="D356"/>
  <c r="D334"/>
  <c r="D387"/>
  <c r="D300"/>
  <c r="D266"/>
  <c r="D236"/>
  <c r="D255"/>
  <c r="D191"/>
  <c r="D166"/>
  <c r="D161"/>
  <c r="D128"/>
  <c r="D111"/>
  <c r="D35"/>
  <c r="D61"/>
  <c r="D86"/>
  <c r="H367"/>
  <c r="H306"/>
  <c r="H327"/>
  <c r="H253"/>
  <c r="H351"/>
  <c r="H282"/>
  <c r="H223"/>
  <c r="H209"/>
  <c r="H183"/>
  <c r="H120"/>
  <c r="H145"/>
  <c r="H95"/>
  <c r="H48"/>
  <c r="H346"/>
  <c r="H323"/>
  <c r="H372"/>
  <c r="H278"/>
  <c r="H246"/>
  <c r="H293"/>
  <c r="H176"/>
  <c r="H155"/>
  <c r="H222"/>
  <c r="H200"/>
  <c r="H108"/>
  <c r="H131"/>
  <c r="H44"/>
  <c r="H386"/>
  <c r="H332"/>
  <c r="H309"/>
  <c r="H267"/>
  <c r="H357"/>
  <c r="H258"/>
  <c r="H198"/>
  <c r="H171"/>
  <c r="H230"/>
  <c r="H103"/>
  <c r="H150"/>
  <c r="H122"/>
  <c r="H53"/>
  <c r="H347"/>
  <c r="H321"/>
  <c r="H374"/>
  <c r="H302"/>
  <c r="H272"/>
  <c r="H251"/>
  <c r="H184"/>
  <c r="H210"/>
  <c r="H228"/>
  <c r="H148"/>
  <c r="H124"/>
  <c r="H102"/>
  <c r="H34"/>
  <c r="H54"/>
  <c r="H387"/>
  <c r="H356"/>
  <c r="H236"/>
  <c r="H255"/>
  <c r="H334"/>
  <c r="H300"/>
  <c r="H266"/>
  <c r="H191"/>
  <c r="H166"/>
  <c r="H161"/>
  <c r="H128"/>
  <c r="H111"/>
  <c r="H61"/>
  <c r="H35"/>
  <c r="D357"/>
  <c r="D386"/>
  <c r="D267"/>
  <c r="D309"/>
  <c r="D332"/>
  <c r="D258"/>
  <c r="D198"/>
  <c r="D171"/>
  <c r="D230"/>
  <c r="D150"/>
  <c r="D122"/>
  <c r="D103"/>
  <c r="D53"/>
  <c r="D80"/>
  <c r="D361"/>
  <c r="D335"/>
  <c r="D311"/>
  <c r="D270"/>
  <c r="D368"/>
  <c r="D261"/>
  <c r="D169"/>
  <c r="D194"/>
  <c r="D220"/>
  <c r="D125"/>
  <c r="D147"/>
  <c r="D94"/>
  <c r="D70"/>
  <c r="D46"/>
  <c r="D380"/>
  <c r="D344"/>
  <c r="D318"/>
  <c r="D291"/>
  <c r="D286"/>
  <c r="D157"/>
  <c r="D206"/>
  <c r="D241"/>
  <c r="D182"/>
  <c r="D224"/>
  <c r="D133"/>
  <c r="D106"/>
  <c r="D49"/>
  <c r="D74"/>
  <c r="H370"/>
  <c r="H328"/>
  <c r="H350"/>
  <c r="H254"/>
  <c r="H275"/>
  <c r="H310"/>
  <c r="H167"/>
  <c r="H216"/>
  <c r="H193"/>
  <c r="H97"/>
  <c r="H143"/>
  <c r="H119"/>
  <c r="H66"/>
  <c r="H41"/>
  <c r="H31"/>
  <c r="H317"/>
  <c r="H342"/>
  <c r="H381"/>
  <c r="H292"/>
  <c r="H284"/>
  <c r="H244"/>
  <c r="H232"/>
  <c r="H179"/>
  <c r="H152"/>
  <c r="H204"/>
  <c r="H123"/>
  <c r="H112"/>
  <c r="H55"/>
  <c r="H355"/>
  <c r="H388"/>
  <c r="H330"/>
  <c r="H237"/>
  <c r="H299"/>
  <c r="H269"/>
  <c r="H250"/>
  <c r="H192"/>
  <c r="H168"/>
  <c r="H159"/>
  <c r="H136"/>
  <c r="H96"/>
  <c r="H62"/>
  <c r="H331"/>
  <c r="H376"/>
  <c r="H352"/>
  <c r="H277"/>
  <c r="H256"/>
  <c r="H305"/>
  <c r="H233"/>
  <c r="H172"/>
  <c r="H196"/>
  <c r="H121"/>
  <c r="H98"/>
  <c r="H146"/>
  <c r="H59"/>
  <c r="D350"/>
  <c r="D310"/>
  <c r="D370"/>
  <c r="D328"/>
  <c r="D254"/>
  <c r="D275"/>
  <c r="D216"/>
  <c r="D193"/>
  <c r="D167"/>
  <c r="D143"/>
  <c r="D119"/>
  <c r="D97"/>
  <c r="D31"/>
  <c r="AU28" s="1"/>
  <c r="AT28" s="1"/>
  <c r="D41"/>
  <c r="D66"/>
  <c r="D374"/>
  <c r="D302"/>
  <c r="D347"/>
  <c r="D321"/>
  <c r="D251"/>
  <c r="D272"/>
  <c r="D228"/>
  <c r="D184"/>
  <c r="D210"/>
  <c r="D124"/>
  <c r="D102"/>
  <c r="D148"/>
  <c r="D34"/>
  <c r="D54"/>
  <c r="D78"/>
  <c r="D327"/>
  <c r="D351"/>
  <c r="D367"/>
  <c r="D306"/>
  <c r="D253"/>
  <c r="D282"/>
  <c r="D183"/>
  <c r="D223"/>
  <c r="D209"/>
  <c r="D95"/>
  <c r="D120"/>
  <c r="D145"/>
  <c r="D48"/>
  <c r="D73"/>
  <c r="H361"/>
  <c r="H335"/>
  <c r="H311"/>
  <c r="H368"/>
  <c r="H261"/>
  <c r="H270"/>
  <c r="H220"/>
  <c r="H169"/>
  <c r="H194"/>
  <c r="H147"/>
  <c r="H94"/>
  <c r="H125"/>
  <c r="H70"/>
  <c r="H46"/>
  <c r="H312"/>
  <c r="H359"/>
  <c r="H333"/>
  <c r="H271"/>
  <c r="H385"/>
  <c r="H262"/>
  <c r="H185"/>
  <c r="H225"/>
  <c r="H208"/>
  <c r="H117"/>
  <c r="H141"/>
  <c r="H91"/>
  <c r="H52"/>
  <c r="H373"/>
  <c r="H362"/>
  <c r="H337"/>
  <c r="H274"/>
  <c r="H260"/>
  <c r="H234"/>
  <c r="H304"/>
  <c r="H180"/>
  <c r="H162"/>
  <c r="H205"/>
  <c r="H109"/>
  <c r="H135"/>
  <c r="H56"/>
  <c r="H349"/>
  <c r="H377"/>
  <c r="H248"/>
  <c r="H295"/>
  <c r="H285"/>
  <c r="H235"/>
  <c r="H325"/>
  <c r="H158"/>
  <c r="H202"/>
  <c r="H175"/>
  <c r="H134"/>
  <c r="H107"/>
  <c r="H57"/>
  <c r="H354"/>
  <c r="H324"/>
  <c r="H303"/>
  <c r="H268"/>
  <c r="H249"/>
  <c r="H375"/>
  <c r="H212"/>
  <c r="H219"/>
  <c r="H187"/>
  <c r="H149"/>
  <c r="H132"/>
  <c r="H92"/>
  <c r="H47"/>
  <c r="H308"/>
  <c r="H329"/>
  <c r="H369"/>
  <c r="H353"/>
  <c r="H257"/>
  <c r="H279"/>
  <c r="H195"/>
  <c r="H221"/>
  <c r="H170"/>
  <c r="H144"/>
  <c r="H118"/>
  <c r="H101"/>
  <c r="H45"/>
  <c r="D372"/>
  <c r="D346"/>
  <c r="D323"/>
  <c r="D293"/>
  <c r="D278"/>
  <c r="D246"/>
  <c r="D222"/>
  <c r="D200"/>
  <c r="D176"/>
  <c r="D155"/>
  <c r="D108"/>
  <c r="D131"/>
  <c r="D44"/>
  <c r="D72"/>
  <c r="D388"/>
  <c r="D330"/>
  <c r="D299"/>
  <c r="D269"/>
  <c r="D250"/>
  <c r="D355"/>
  <c r="D237"/>
  <c r="D159"/>
  <c r="D192"/>
  <c r="D168"/>
  <c r="D136"/>
  <c r="D96"/>
  <c r="D62"/>
  <c r="D87"/>
  <c r="D348"/>
  <c r="D322"/>
  <c r="D379"/>
  <c r="D294"/>
  <c r="D245"/>
  <c r="D281"/>
  <c r="D156"/>
  <c r="D226"/>
  <c r="D201"/>
  <c r="D177"/>
  <c r="D110"/>
  <c r="D129"/>
  <c r="D50"/>
  <c r="D76"/>
  <c r="S457" i="48" l="1"/>
  <c r="R407" l="1"/>
  <c r="G266" l="1"/>
  <c r="F266" l="1"/>
  <c r="R247"/>
  <c r="Q247" s="1"/>
  <c r="P247" s="1"/>
  <c r="R246"/>
  <c r="Q246"/>
  <c r="P246"/>
  <c r="R244"/>
  <c r="Q244" s="1"/>
  <c r="P244" s="1"/>
  <c r="R243"/>
  <c r="Q243"/>
  <c r="P243" s="1"/>
  <c r="R242"/>
  <c r="Q242" s="1"/>
  <c r="G231"/>
  <c r="F231"/>
  <c r="H230"/>
  <c r="G230"/>
  <c r="F230"/>
  <c r="G229"/>
  <c r="F229"/>
  <c r="G228"/>
  <c r="F228"/>
  <c r="H227"/>
  <c r="G227"/>
  <c r="F227"/>
  <c r="G226"/>
  <c r="F226"/>
  <c r="G225"/>
  <c r="F225"/>
  <c r="G224"/>
  <c r="F224"/>
  <c r="G223"/>
  <c r="F223"/>
  <c r="G222"/>
  <c r="F222"/>
  <c r="G221"/>
  <c r="F221"/>
  <c r="F220" s="1"/>
  <c r="H219"/>
  <c r="G219"/>
  <c r="F219"/>
  <c r="G218"/>
  <c r="F218"/>
  <c r="G217"/>
  <c r="F217"/>
  <c r="G216"/>
  <c r="F216"/>
  <c r="F215" s="1"/>
  <c r="G214"/>
  <c r="F214"/>
  <c r="G213"/>
  <c r="F213"/>
  <c r="G212"/>
  <c r="F212"/>
  <c r="G211"/>
  <c r="F211"/>
  <c r="G210"/>
  <c r="F210"/>
  <c r="G209"/>
  <c r="F209"/>
  <c r="G208"/>
  <c r="F208"/>
  <c r="X101"/>
  <c r="V101"/>
  <c r="Q101"/>
  <c r="K101"/>
  <c r="F101"/>
  <c r="X100"/>
  <c r="V100"/>
  <c r="Q100"/>
  <c r="L100"/>
  <c r="K100"/>
  <c r="F100"/>
  <c r="X99"/>
  <c r="V99"/>
  <c r="Q99"/>
  <c r="L99"/>
  <c r="K99"/>
  <c r="P245" l="1"/>
  <c r="R245"/>
  <c r="Q245" s="1"/>
  <c r="F99"/>
  <c r="X98"/>
  <c r="V98"/>
  <c r="Q98"/>
  <c r="L98"/>
  <c r="K98"/>
  <c r="F98"/>
  <c r="X97"/>
  <c r="V97"/>
  <c r="Q97"/>
  <c r="L97"/>
  <c r="K97"/>
  <c r="G97"/>
  <c r="F97"/>
  <c r="X96"/>
  <c r="V96"/>
  <c r="Q96"/>
  <c r="L96"/>
  <c r="K96"/>
  <c r="G96"/>
  <c r="F96"/>
  <c r="X95"/>
  <c r="V95"/>
  <c r="Q95"/>
  <c r="L95"/>
  <c r="K95"/>
  <c r="G95"/>
  <c r="F95"/>
  <c r="X94"/>
  <c r="V94"/>
  <c r="Q94"/>
  <c r="L94"/>
  <c r="K94"/>
  <c r="G94"/>
  <c r="F94"/>
  <c r="X93"/>
  <c r="V93"/>
  <c r="Q93"/>
  <c r="L93"/>
  <c r="K93"/>
  <c r="G93"/>
  <c r="F93"/>
  <c r="X92"/>
  <c r="V92"/>
  <c r="Q92"/>
  <c r="L92"/>
  <c r="K92"/>
  <c r="G92"/>
  <c r="F92"/>
  <c r="X91"/>
  <c r="V91"/>
  <c r="Q91"/>
  <c r="L91"/>
  <c r="K91"/>
  <c r="F91"/>
  <c r="X90"/>
  <c r="V90"/>
  <c r="Q90"/>
  <c r="K90"/>
  <c r="G90"/>
  <c r="F90"/>
  <c r="X89"/>
  <c r="V89"/>
  <c r="Q89"/>
  <c r="L89"/>
  <c r="K89"/>
  <c r="G89"/>
  <c r="F89"/>
  <c r="X88"/>
  <c r="V88"/>
  <c r="Q88"/>
  <c r="L88"/>
  <c r="K88"/>
  <c r="G88"/>
  <c r="F88"/>
  <c r="X87"/>
  <c r="V87"/>
  <c r="Q87"/>
  <c r="L87"/>
  <c r="K87"/>
  <c r="G87"/>
  <c r="F87"/>
  <c r="F17" l="1"/>
  <c r="N8"/>
  <c r="M8"/>
  <c r="D8"/>
  <c r="M7"/>
  <c r="E7"/>
  <c r="D7"/>
  <c r="C7"/>
  <c r="R804" i="55"/>
  <c r="Y101" i="48" s="1"/>
  <c r="R802" i="55"/>
  <c r="W101" i="48" s="1"/>
  <c r="R800" i="55"/>
  <c r="U101" i="48" s="1"/>
  <c r="R799" i="55"/>
  <c r="T101" i="48" s="1"/>
  <c r="R798" i="55"/>
  <c r="S101" i="48" s="1"/>
  <c r="R797" i="55"/>
  <c r="R101" i="48" s="1"/>
  <c r="R795" i="55"/>
  <c r="P101" i="48" s="1"/>
  <c r="R794" i="55"/>
  <c r="O101" i="48" s="1"/>
  <c r="R793" i="55"/>
  <c r="N101" i="48" s="1"/>
  <c r="R792" i="55"/>
  <c r="M101" i="48" s="1"/>
  <c r="R791" i="55"/>
  <c r="L101" i="48" s="1"/>
  <c r="R789" i="55"/>
  <c r="J101" i="48" s="1"/>
  <c r="R788" i="55"/>
  <c r="I101" i="48" s="1"/>
  <c r="R787" i="55"/>
  <c r="H101" i="48" s="1"/>
  <c r="R786" i="55"/>
  <c r="G101" i="48" s="1"/>
  <c r="R784" i="55"/>
  <c r="E101" i="48" s="1"/>
  <c r="R783" i="55"/>
  <c r="D101" i="48" s="1"/>
  <c r="R782" i="55"/>
  <c r="C101" i="48" s="1"/>
  <c r="R781" i="55"/>
  <c r="Q781"/>
  <c r="P781"/>
  <c r="O781"/>
  <c r="N781"/>
  <c r="M781"/>
  <c r="L781"/>
  <c r="K781"/>
  <c r="J781"/>
  <c r="I781"/>
  <c r="H781"/>
  <c r="G781"/>
  <c r="F781"/>
  <c r="E781"/>
  <c r="D781"/>
  <c r="U229"/>
  <c r="N229"/>
  <c r="G498" i="48" s="1"/>
  <c r="H229" i="55"/>
  <c r="F498" i="48" s="1"/>
  <c r="F229" i="55"/>
  <c r="D229"/>
  <c r="U228"/>
  <c r="N228"/>
  <c r="G500" i="48" s="1"/>
  <c r="H228" i="55"/>
  <c r="F500" i="48" s="1"/>
  <c r="F228" i="55"/>
  <c r="D228"/>
  <c r="U227"/>
  <c r="N227"/>
  <c r="G499" i="48" s="1"/>
  <c r="H227" i="55"/>
  <c r="F499" i="48" s="1"/>
  <c r="F227" i="55"/>
  <c r="D227"/>
  <c r="U226"/>
  <c r="N226"/>
  <c r="G497" i="48" s="1"/>
  <c r="H226" i="55"/>
  <c r="F497" i="48" s="1"/>
  <c r="F226" i="55"/>
  <c r="E782" l="1"/>
  <c r="H782"/>
  <c r="C91" i="48" s="1"/>
  <c r="G782" i="55"/>
  <c r="O786"/>
  <c r="O787"/>
  <c r="D789"/>
  <c r="N797"/>
  <c r="G797"/>
  <c r="N782"/>
  <c r="K789"/>
  <c r="J94" i="48" s="1"/>
  <c r="K782" i="55"/>
  <c r="P786"/>
  <c r="F789"/>
  <c r="J89" i="48" s="1"/>
  <c r="M804" i="55"/>
  <c r="O784"/>
  <c r="E98" i="48" s="1"/>
  <c r="D788" i="55"/>
  <c r="D783"/>
  <c r="D87" i="48" s="1"/>
  <c r="H787" i="55"/>
  <c r="H91" i="48" s="1"/>
  <c r="G91" s="1"/>
  <c r="M789" i="55"/>
  <c r="J96" i="48" s="1"/>
  <c r="Q782" i="55"/>
  <c r="O783"/>
  <c r="E787"/>
  <c r="P788"/>
  <c r="I99" i="48" s="1"/>
  <c r="Q789" i="55"/>
  <c r="J100" i="48" s="1"/>
  <c r="P782" i="55"/>
  <c r="C99" i="48" s="1"/>
  <c r="M783" i="55"/>
  <c r="J788"/>
  <c r="O789"/>
  <c r="J98" i="48" s="1"/>
  <c r="J783" i="55"/>
  <c r="I783"/>
  <c r="I782"/>
  <c r="H783"/>
  <c r="P6" i="47" s="1"/>
  <c r="Q787" i="55"/>
  <c r="H100" i="48" s="1"/>
  <c r="J789" i="55"/>
  <c r="I789" s="1"/>
  <c r="J92" i="48" s="1"/>
  <c r="K800" i="55"/>
  <c r="J800" s="1"/>
  <c r="U93" i="48" s="1"/>
  <c r="E783" i="55"/>
  <c r="D98" i="48"/>
  <c r="Q783" i="55"/>
  <c r="G787"/>
  <c r="O788"/>
  <c r="I98" i="48" s="1"/>
  <c r="P798" i="55"/>
  <c r="S99" i="48" s="1"/>
  <c r="G804" i="55"/>
  <c r="F804" s="1"/>
  <c r="M788"/>
  <c r="I96" i="48" s="1"/>
  <c r="I798" i="55"/>
  <c r="N783"/>
  <c r="H788"/>
  <c r="H789"/>
  <c r="P12" i="47" s="1"/>
  <c r="N792" i="55"/>
  <c r="P797"/>
  <c r="R99" i="48" s="1"/>
  <c r="N800" i="55"/>
  <c r="U97" i="48" s="1"/>
  <c r="K783" i="55"/>
  <c r="J797"/>
  <c r="I797" s="1"/>
  <c r="E800"/>
  <c r="U88" i="48" s="1"/>
  <c r="H784" i="55"/>
  <c r="I787"/>
  <c r="H793"/>
  <c r="I795"/>
  <c r="P92" i="48" s="1"/>
  <c r="J804" i="55"/>
  <c r="F784"/>
  <c r="E89" i="48" s="1"/>
  <c r="G795" i="55"/>
  <c r="P90" i="48" s="1"/>
  <c r="P800" i="55"/>
  <c r="H804"/>
  <c r="E795"/>
  <c r="P88" i="48" s="1"/>
  <c r="D784" i="55"/>
  <c r="F782"/>
  <c r="O782"/>
  <c r="C98" i="48" s="1"/>
  <c r="Q784" i="55"/>
  <c r="E100" i="48" s="1"/>
  <c r="F787" i="55"/>
  <c r="P787"/>
  <c r="AF10" i="47" s="1"/>
  <c r="K788" i="55"/>
  <c r="I94" i="48" s="1"/>
  <c r="E792" i="55"/>
  <c r="E797"/>
  <c r="K798"/>
  <c r="L800"/>
  <c r="U95" i="48" s="1"/>
  <c r="D804" i="55"/>
  <c r="Y87" i="48" s="1"/>
  <c r="D782" i="55"/>
  <c r="C87" i="48" s="1"/>
  <c r="M782" i="55"/>
  <c r="L782" s="1"/>
  <c r="X5" i="47" s="1"/>
  <c r="Y5" s="1"/>
  <c r="F783" i="55"/>
  <c r="P783"/>
  <c r="D99" i="48" s="1"/>
  <c r="M784" i="55"/>
  <c r="E96" i="48" s="1"/>
  <c r="D787" i="55"/>
  <c r="H87" i="48" s="1"/>
  <c r="N787" i="55"/>
  <c r="I788"/>
  <c r="I92" i="48" s="1"/>
  <c r="P793" i="55"/>
  <c r="N99" i="48" s="1"/>
  <c r="P795" i="55"/>
  <c r="P99" i="48" s="1"/>
  <c r="G798" i="55"/>
  <c r="I800"/>
  <c r="U92" i="48" s="1"/>
  <c r="N802" i="55"/>
  <c r="W97" i="48" s="1"/>
  <c r="P804" i="55"/>
  <c r="AF27" i="47" s="1"/>
  <c r="K784" i="55"/>
  <c r="J784" s="1"/>
  <c r="E93" i="48" s="1"/>
  <c r="M787" i="55"/>
  <c r="L793"/>
  <c r="N95" i="48" s="1"/>
  <c r="N795" i="55"/>
  <c r="P97" i="48" s="1"/>
  <c r="G800" i="55"/>
  <c r="U90" i="48" s="1"/>
  <c r="J802" i="55"/>
  <c r="W93" i="48" s="1"/>
  <c r="O804" i="55"/>
  <c r="J782"/>
  <c r="I784"/>
  <c r="E92" i="48" s="1"/>
  <c r="Q786" i="55"/>
  <c r="J787"/>
  <c r="G788"/>
  <c r="F788" s="1"/>
  <c r="I89" i="48" s="1"/>
  <c r="Q788" i="55"/>
  <c r="I100" i="48" s="1"/>
  <c r="J793" i="55"/>
  <c r="L795"/>
  <c r="X18" i="47" s="1"/>
  <c r="E802" i="55"/>
  <c r="W88" i="48" s="1"/>
  <c r="K795" i="55"/>
  <c r="P94" i="48" s="1"/>
  <c r="G783" i="55"/>
  <c r="L789"/>
  <c r="D792"/>
  <c r="M792"/>
  <c r="G793"/>
  <c r="O793"/>
  <c r="I794"/>
  <c r="H794" s="1"/>
  <c r="P17" i="47" s="1"/>
  <c r="Q794" i="55"/>
  <c r="J795"/>
  <c r="P93" i="48" s="1"/>
  <c r="D797" i="55"/>
  <c r="M797"/>
  <c r="F798"/>
  <c r="O798"/>
  <c r="I799"/>
  <c r="T92" i="48" s="1"/>
  <c r="S92" s="1"/>
  <c r="R92" s="1"/>
  <c r="Q799" i="55"/>
  <c r="D802"/>
  <c r="M802"/>
  <c r="W96" i="48" s="1"/>
  <c r="P7" i="47"/>
  <c r="E91" i="48"/>
  <c r="D100"/>
  <c r="C100" s="1"/>
  <c r="L792" i="55"/>
  <c r="F793"/>
  <c r="E793" s="1"/>
  <c r="N793"/>
  <c r="G794"/>
  <c r="O90" i="48" s="1"/>
  <c r="P794" i="55"/>
  <c r="L797"/>
  <c r="E798"/>
  <c r="N798"/>
  <c r="H799"/>
  <c r="P799"/>
  <c r="L802"/>
  <c r="E804"/>
  <c r="Y88" i="48" s="1"/>
  <c r="N804" i="55"/>
  <c r="Y97" i="48" s="1"/>
  <c r="P11" i="47"/>
  <c r="I91" i="48"/>
  <c r="AF11" i="47"/>
  <c r="G784" i="55"/>
  <c r="E90" i="48" s="1"/>
  <c r="P784" i="55"/>
  <c r="K792"/>
  <c r="J792" s="1"/>
  <c r="D793"/>
  <c r="M793"/>
  <c r="F794"/>
  <c r="O794"/>
  <c r="H795"/>
  <c r="Q795"/>
  <c r="P100" i="48" s="1"/>
  <c r="K797" i="55"/>
  <c r="D798"/>
  <c r="M798"/>
  <c r="L798" s="1"/>
  <c r="X21" i="47" s="1"/>
  <c r="F799" i="55"/>
  <c r="O799"/>
  <c r="H800"/>
  <c r="Q800"/>
  <c r="U100" i="48" s="1"/>
  <c r="K802" i="55"/>
  <c r="W94" i="48" s="1"/>
  <c r="X16" i="47"/>
  <c r="AF23"/>
  <c r="U99" i="48"/>
  <c r="I792" i="55"/>
  <c r="N794"/>
  <c r="O97" i="48" s="1"/>
  <c r="E799" i="55"/>
  <c r="T88" i="48" s="1"/>
  <c r="N799" i="55"/>
  <c r="T97" i="48" s="1"/>
  <c r="L804" i="55"/>
  <c r="H12" i="47"/>
  <c r="J87" i="48"/>
  <c r="AF18" i="47"/>
  <c r="E794" i="55"/>
  <c r="O88" i="48" s="1"/>
  <c r="L783" i="55"/>
  <c r="E784"/>
  <c r="E88" i="48" s="1"/>
  <c r="D88" s="1"/>
  <c r="N784" i="55"/>
  <c r="E97" i="48" s="1"/>
  <c r="L787" i="55"/>
  <c r="E788"/>
  <c r="N788"/>
  <c r="G789"/>
  <c r="J90" i="48" s="1"/>
  <c r="P789" i="55"/>
  <c r="H792"/>
  <c r="Q792"/>
  <c r="K793"/>
  <c r="D794"/>
  <c r="M794"/>
  <c r="F795"/>
  <c r="P89" i="48" s="1"/>
  <c r="O795" i="55"/>
  <c r="P98" i="48" s="1"/>
  <c r="H797" i="55"/>
  <c r="Q797"/>
  <c r="J798"/>
  <c r="D799"/>
  <c r="M799"/>
  <c r="F800"/>
  <c r="U89" i="48" s="1"/>
  <c r="O800" i="55"/>
  <c r="U98" i="48" s="1"/>
  <c r="I802" i="55"/>
  <c r="Q802"/>
  <c r="W100" i="48" s="1"/>
  <c r="K804" i="55"/>
  <c r="H11" i="47"/>
  <c r="I87" i="48"/>
  <c r="L794" i="55"/>
  <c r="L799"/>
  <c r="G802"/>
  <c r="W90" i="48" s="1"/>
  <c r="P802" i="55"/>
  <c r="P16" i="47"/>
  <c r="N91" i="48"/>
  <c r="P27" i="47"/>
  <c r="Q27" s="1"/>
  <c r="S27" s="1"/>
  <c r="AO27" s="1"/>
  <c r="Y91" i="48"/>
  <c r="H7" i="47"/>
  <c r="E87" i="48"/>
  <c r="AF9" i="47"/>
  <c r="G99" i="48"/>
  <c r="J794" i="55"/>
  <c r="J799"/>
  <c r="T93" i="48" s="1"/>
  <c r="D92"/>
  <c r="G792" i="55"/>
  <c r="P792"/>
  <c r="L784"/>
  <c r="L788"/>
  <c r="E789"/>
  <c r="J88" i="48" s="1"/>
  <c r="N789" i="55"/>
  <c r="J97" i="48" s="1"/>
  <c r="F792" i="55"/>
  <c r="O792"/>
  <c r="I793"/>
  <c r="Q793"/>
  <c r="K794"/>
  <c r="D795"/>
  <c r="M795"/>
  <c r="P96" i="48" s="1"/>
  <c r="F797" i="55"/>
  <c r="O797"/>
  <c r="H798"/>
  <c r="Q798"/>
  <c r="K799"/>
  <c r="D800"/>
  <c r="M800"/>
  <c r="U96" i="48" s="1"/>
  <c r="F802" i="55"/>
  <c r="W89" i="48" s="1"/>
  <c r="O802" i="55"/>
  <c r="W98" i="48" s="1"/>
  <c r="I804" i="55"/>
  <c r="Y92" i="48" s="1"/>
  <c r="Q804" i="55"/>
  <c r="Y100" i="48" s="1"/>
  <c r="D226" i="55"/>
  <c r="W225"/>
  <c r="J496" i="48" s="1"/>
  <c r="U225" i="55"/>
  <c r="I496" i="48" s="1"/>
  <c r="H225" i="55"/>
  <c r="F496" i="48" s="1"/>
  <c r="F225" i="55"/>
  <c r="D225"/>
  <c r="W224"/>
  <c r="J495" i="48" s="1"/>
  <c r="U224" i="55"/>
  <c r="I495" i="48" s="1"/>
  <c r="H224" i="55"/>
  <c r="F495" i="48" s="1"/>
  <c r="F224" i="55"/>
  <c r="D224"/>
  <c r="W223"/>
  <c r="J494" i="48" s="1"/>
  <c r="U223" i="55"/>
  <c r="I494" i="48" s="1"/>
  <c r="H223" i="55"/>
  <c r="F494" i="48" s="1"/>
  <c r="F223" i="55"/>
  <c r="D223"/>
  <c r="W222"/>
  <c r="J493" i="48" s="1"/>
  <c r="U222" i="55"/>
  <c r="I493" i="48" s="1"/>
  <c r="H222" i="55"/>
  <c r="F493" i="48" s="1"/>
  <c r="F222" i="55"/>
  <c r="D222"/>
  <c r="W221"/>
  <c r="J492" i="48" s="1"/>
  <c r="U221" i="55"/>
  <c r="I492" i="48" s="1"/>
  <c r="H221" i="55"/>
  <c r="F492" i="48" s="1"/>
  <c r="F221" i="55"/>
  <c r="D221"/>
  <c r="W220"/>
  <c r="J491" i="48" s="1"/>
  <c r="U220" i="55"/>
  <c r="I491" i="48" s="1"/>
  <c r="H220" i="55"/>
  <c r="F491" i="48" s="1"/>
  <c r="F220" i="55"/>
  <c r="D220"/>
  <c r="W219"/>
  <c r="J490" i="48" s="1"/>
  <c r="U219" i="55"/>
  <c r="I490" i="48" s="1"/>
  <c r="H219" i="55"/>
  <c r="F490" i="48" s="1"/>
  <c r="F219" i="55"/>
  <c r="D219"/>
  <c r="W218"/>
  <c r="J489" i="48" s="1"/>
  <c r="U218" i="55"/>
  <c r="I489" i="48" s="1"/>
  <c r="H218" i="55"/>
  <c r="F489" i="48" s="1"/>
  <c r="F218" i="55"/>
  <c r="D218"/>
  <c r="W217"/>
  <c r="J487" i="48" s="1"/>
  <c r="U217" i="55"/>
  <c r="I487" i="48" s="1"/>
  <c r="H217" i="55"/>
  <c r="F487" i="48" s="1"/>
  <c r="F217" i="55"/>
  <c r="D217"/>
  <c r="W216"/>
  <c r="J488" i="48" s="1"/>
  <c r="U216" i="55"/>
  <c r="I488" i="48" s="1"/>
  <c r="H216" i="55"/>
  <c r="F488" i="48" s="1"/>
  <c r="F216" i="55"/>
  <c r="D216"/>
  <c r="W215"/>
  <c r="J486" i="48" s="1"/>
  <c r="U215" i="55"/>
  <c r="I486" i="48" s="1"/>
  <c r="H215" i="55"/>
  <c r="F486" i="48" s="1"/>
  <c r="F215" i="55"/>
  <c r="D215"/>
  <c r="W214"/>
  <c r="J485" i="48" s="1"/>
  <c r="U214" i="55"/>
  <c r="I485" i="48" s="1"/>
  <c r="H214" i="55"/>
  <c r="F485" i="48" s="1"/>
  <c r="F214" i="55"/>
  <c r="D214"/>
  <c r="W213"/>
  <c r="J484" i="48" s="1"/>
  <c r="U213" i="55"/>
  <c r="I484" i="48" s="1"/>
  <c r="H213" i="55"/>
  <c r="F484" i="48" s="1"/>
  <c r="F213" i="55"/>
  <c r="D213"/>
  <c r="W212"/>
  <c r="J483" i="48" s="1"/>
  <c r="U212" i="55"/>
  <c r="I483" i="48" s="1"/>
  <c r="H212" i="55"/>
  <c r="F483" i="48" s="1"/>
  <c r="F212" i="55"/>
  <c r="D212"/>
  <c r="W211"/>
  <c r="J482" i="48" s="1"/>
  <c r="U211" i="55"/>
  <c r="I482" i="48" s="1"/>
  <c r="H211" i="55"/>
  <c r="F482" i="48" s="1"/>
  <c r="F211" i="55"/>
  <c r="D211"/>
  <c r="W210"/>
  <c r="J481" i="48" s="1"/>
  <c r="U210" i="55"/>
  <c r="I481" i="48" s="1"/>
  <c r="H210" i="55"/>
  <c r="F481" i="48" s="1"/>
  <c r="F210" i="55"/>
  <c r="D210"/>
  <c r="W209"/>
  <c r="J480" i="48" s="1"/>
  <c r="U209" i="55"/>
  <c r="I480" i="48" s="1"/>
  <c r="H209" i="55"/>
  <c r="F480" i="48" s="1"/>
  <c r="F209" i="55"/>
  <c r="D209"/>
  <c r="W208"/>
  <c r="J479" i="48" s="1"/>
  <c r="U208" i="55"/>
  <c r="I479" i="48" s="1"/>
  <c r="H208" i="55"/>
  <c r="F479" i="48" s="1"/>
  <c r="F208" i="55"/>
  <c r="D208"/>
  <c r="O98" i="48" l="1"/>
  <c r="I90"/>
  <c r="H90" s="1"/>
  <c r="D91"/>
  <c r="T96"/>
  <c r="S96" s="1"/>
  <c r="N98"/>
  <c r="T100"/>
  <c r="O100"/>
  <c r="H99"/>
  <c r="C92"/>
  <c r="J91"/>
  <c r="Y90"/>
  <c r="AF5" i="47"/>
  <c r="AG5" s="1"/>
  <c r="E94" i="48"/>
  <c r="I97"/>
  <c r="AF21" i="47"/>
  <c r="AG21" s="1"/>
  <c r="J93" i="48"/>
  <c r="R96"/>
  <c r="X23" i="47"/>
  <c r="Y23" s="1"/>
  <c r="P5"/>
  <c r="Q5" s="1"/>
  <c r="C88" i="48"/>
  <c r="H97"/>
  <c r="P10" i="47"/>
  <c r="Q10" s="1"/>
  <c r="S93" i="48"/>
  <c r="R93" s="1"/>
  <c r="T98"/>
  <c r="Y99"/>
  <c r="AF6" i="47"/>
  <c r="AG6" s="1"/>
  <c r="AF20"/>
  <c r="AG20" s="1"/>
  <c r="S88" i="48"/>
  <c r="R88" s="1"/>
  <c r="H6" i="47"/>
  <c r="I6" s="1"/>
  <c r="D96" i="48"/>
  <c r="D94"/>
  <c r="C94" s="1"/>
  <c r="Y93" s="1"/>
  <c r="H27" i="47"/>
  <c r="G100" i="48"/>
  <c r="C96"/>
  <c r="I93"/>
  <c r="U94"/>
  <c r="N88"/>
  <c r="M88" s="1"/>
  <c r="AF16" i="47"/>
  <c r="AG16" s="1"/>
  <c r="H98" i="48"/>
  <c r="G98" s="1"/>
  <c r="D97"/>
  <c r="C97" s="1"/>
  <c r="Y96" s="1"/>
  <c r="H5" i="47"/>
  <c r="I5" s="1"/>
  <c r="T89" i="48"/>
  <c r="S89" s="1"/>
  <c r="H93"/>
  <c r="D93"/>
  <c r="S98"/>
  <c r="D90"/>
  <c r="C90" s="1"/>
  <c r="Y89" s="1"/>
  <c r="H92"/>
  <c r="O96"/>
  <c r="N96" s="1"/>
  <c r="M96" s="1"/>
  <c r="I88"/>
  <c r="H88" s="1"/>
  <c r="N97"/>
  <c r="M97" s="1"/>
  <c r="H89"/>
  <c r="O89"/>
  <c r="N89" s="1"/>
  <c r="M98"/>
  <c r="D89"/>
  <c r="T94"/>
  <c r="S94" s="1"/>
  <c r="R94" s="1"/>
  <c r="P95"/>
  <c r="C89"/>
  <c r="H10" i="47"/>
  <c r="I10" s="1"/>
  <c r="C93" i="48"/>
  <c r="Y98"/>
  <c r="S97"/>
  <c r="R97" s="1"/>
  <c r="H96"/>
  <c r="R98"/>
  <c r="N90"/>
  <c r="M90" s="1"/>
  <c r="L90" s="1"/>
  <c r="AE20" i="47"/>
  <c r="H802" i="55"/>
  <c r="W92" i="48"/>
  <c r="AE16" i="47"/>
  <c r="AE27"/>
  <c r="AG27"/>
  <c r="AF7"/>
  <c r="E99" i="48"/>
  <c r="X20" i="47"/>
  <c r="R95" i="48"/>
  <c r="O7" i="47"/>
  <c r="Q7"/>
  <c r="O6"/>
  <c r="Q6"/>
  <c r="O92" i="48"/>
  <c r="N92" s="1"/>
  <c r="M92" s="1"/>
  <c r="P21" i="47"/>
  <c r="S91" i="48"/>
  <c r="G7" i="47"/>
  <c r="I7"/>
  <c r="O16"/>
  <c r="Q16"/>
  <c r="P20"/>
  <c r="R91" i="48"/>
  <c r="AF12" i="47"/>
  <c r="J99" i="48"/>
  <c r="H21" i="47"/>
  <c r="S87" i="48"/>
  <c r="O11" i="47"/>
  <c r="Q11"/>
  <c r="P15"/>
  <c r="M91" i="48"/>
  <c r="X6" i="47"/>
  <c r="D95" i="48"/>
  <c r="C95" s="1"/>
  <c r="Y94" s="1"/>
  <c r="G10" i="47"/>
  <c r="G6"/>
  <c r="W21"/>
  <c r="Y21"/>
  <c r="H16"/>
  <c r="N87" i="48"/>
  <c r="AE6" i="47"/>
  <c r="AF15"/>
  <c r="M99" i="48"/>
  <c r="AE5" i="47"/>
  <c r="AE21"/>
  <c r="X17"/>
  <c r="O95" i="48"/>
  <c r="AE11" i="47"/>
  <c r="AG11"/>
  <c r="G799" i="55"/>
  <c r="T90" i="48" s="1"/>
  <c r="S90" s="1"/>
  <c r="R90" s="1"/>
  <c r="P22" i="47"/>
  <c r="T91" i="48"/>
  <c r="X15" i="47"/>
  <c r="M95" i="48"/>
  <c r="O17" i="47"/>
  <c r="Q17"/>
  <c r="H23"/>
  <c r="U87" i="48"/>
  <c r="X7" i="47"/>
  <c r="E95" i="48"/>
  <c r="X22" i="47"/>
  <c r="T95" i="48"/>
  <c r="S95" s="1"/>
  <c r="O5" i="47"/>
  <c r="H22"/>
  <c r="T87" i="48"/>
  <c r="O12" i="47"/>
  <c r="Q12"/>
  <c r="W16"/>
  <c r="Y16"/>
  <c r="AF22"/>
  <c r="T99" i="48"/>
  <c r="H25" i="47"/>
  <c r="W87" i="48"/>
  <c r="AE10" i="47"/>
  <c r="AG10"/>
  <c r="O94" i="48"/>
  <c r="N94" s="1"/>
  <c r="M94" s="1"/>
  <c r="H18" i="47"/>
  <c r="P87" i="48"/>
  <c r="X11" i="47"/>
  <c r="I95" i="48"/>
  <c r="AE9" i="47"/>
  <c r="AG9"/>
  <c r="W23"/>
  <c r="H17"/>
  <c r="O87" i="48"/>
  <c r="K787" i="55"/>
  <c r="H94" i="48" s="1"/>
  <c r="X10" i="47"/>
  <c r="H95" i="48"/>
  <c r="X27" i="47"/>
  <c r="Y95" i="48"/>
  <c r="P23" i="47"/>
  <c r="Q23" s="1"/>
  <c r="U91" i="48"/>
  <c r="G27" i="47"/>
  <c r="I27"/>
  <c r="X25"/>
  <c r="W95" i="48"/>
  <c r="W18" i="47"/>
  <c r="Y18"/>
  <c r="O93" i="48"/>
  <c r="N93" s="1"/>
  <c r="M93" s="1"/>
  <c r="AF25" i="47"/>
  <c r="W99" i="48"/>
  <c r="G11" i="47"/>
  <c r="I11"/>
  <c r="AE18"/>
  <c r="AG18"/>
  <c r="G12"/>
  <c r="I12"/>
  <c r="AE23"/>
  <c r="AG23"/>
  <c r="P18"/>
  <c r="P91" i="48"/>
  <c r="O91" s="1"/>
  <c r="G5" i="47"/>
  <c r="H20"/>
  <c r="R87" i="48"/>
  <c r="X12" i="47"/>
  <c r="J95" i="48"/>
  <c r="R89"/>
  <c r="S100"/>
  <c r="R100" s="1"/>
  <c r="V27" i="47"/>
  <c r="U27"/>
  <c r="T27"/>
  <c r="O10"/>
  <c r="AF17"/>
  <c r="O99" i="48"/>
  <c r="H15" i="47"/>
  <c r="M87" i="48"/>
  <c r="M89"/>
  <c r="N100"/>
  <c r="M100" s="1"/>
  <c r="AD708" i="55"/>
  <c r="AB708"/>
  <c r="AA708"/>
  <c r="Z708" s="1"/>
  <c r="AD707"/>
  <c r="AB707"/>
  <c r="AA707"/>
  <c r="Z707"/>
  <c r="AD706"/>
  <c r="AB706"/>
  <c r="AA706"/>
  <c r="Z706"/>
  <c r="AI509" i="52"/>
  <c r="K27" i="47" l="1"/>
  <c r="AN27" s="1"/>
  <c r="AI27"/>
  <c r="AK27" s="1"/>
  <c r="W27"/>
  <c r="BT27" s="1"/>
  <c r="Y27"/>
  <c r="W7"/>
  <c r="Y7"/>
  <c r="O22"/>
  <c r="Q22"/>
  <c r="AE7"/>
  <c r="AG7"/>
  <c r="G20"/>
  <c r="I20"/>
  <c r="G16"/>
  <c r="I16"/>
  <c r="W6"/>
  <c r="Y6"/>
  <c r="AE12"/>
  <c r="AG12"/>
  <c r="O21"/>
  <c r="Q21"/>
  <c r="W22"/>
  <c r="Y22"/>
  <c r="W15"/>
  <c r="Y15"/>
  <c r="W20"/>
  <c r="Y20"/>
  <c r="P25"/>
  <c r="W91" i="48"/>
  <c r="W12" i="47"/>
  <c r="Y12"/>
  <c r="AE25"/>
  <c r="AG25"/>
  <c r="G17"/>
  <c r="I17"/>
  <c r="G18"/>
  <c r="I18"/>
  <c r="W17"/>
  <c r="Y17"/>
  <c r="G21"/>
  <c r="I21"/>
  <c r="AE22"/>
  <c r="AG22"/>
  <c r="AE17"/>
  <c r="AG17"/>
  <c r="O18"/>
  <c r="Q18"/>
  <c r="W11"/>
  <c r="Y11"/>
  <c r="AE15"/>
  <c r="AG15"/>
  <c r="G15"/>
  <c r="I15"/>
  <c r="W25"/>
  <c r="Y25"/>
  <c r="W10"/>
  <c r="Y10"/>
  <c r="G25"/>
  <c r="I25"/>
  <c r="G22"/>
  <c r="I22"/>
  <c r="G23"/>
  <c r="I23"/>
  <c r="O15"/>
  <c r="Q15"/>
  <c r="O20"/>
  <c r="Q20"/>
  <c r="L27" l="1"/>
  <c r="M27"/>
  <c r="AU27"/>
  <c r="HK27" i="38" s="1"/>
  <c r="HK64" s="1"/>
  <c r="BG27" i="47"/>
  <c r="CB27" i="38" s="1"/>
  <c r="AQ27" i="47"/>
  <c r="AL27"/>
  <c r="N27"/>
  <c r="AJ27"/>
  <c r="AA27"/>
  <c r="BS27"/>
  <c r="BR27"/>
  <c r="BQ27"/>
  <c r="DL27" i="38"/>
  <c r="PR27" s="1"/>
  <c r="O25" i="47"/>
  <c r="Q25"/>
  <c r="Z507" i="52"/>
  <c r="W507"/>
  <c r="V507"/>
  <c r="U507"/>
  <c r="BP27" i="38" l="1"/>
  <c r="AC27" i="47"/>
  <c r="AP27"/>
  <c r="AR27" s="1"/>
  <c r="HW27" i="38"/>
  <c r="HW64" s="1"/>
  <c r="BH27" i="47"/>
  <c r="HX27" i="38" s="1"/>
  <c r="OB27"/>
  <c r="DK27"/>
  <c r="PQ27" s="1"/>
  <c r="OA27"/>
  <c r="DJ27"/>
  <c r="PP27" s="1"/>
  <c r="NZ27"/>
  <c r="NY27" s="1"/>
  <c r="DI27"/>
  <c r="PO27" s="1"/>
  <c r="AB27" i="47"/>
  <c r="C27" s="1"/>
  <c r="BC27"/>
  <c r="BX27" i="38" s="1"/>
  <c r="AD27" i="47"/>
  <c r="AA490" i="52"/>
  <c r="X490"/>
  <c r="AA489"/>
  <c r="Z489"/>
  <c r="Y489"/>
  <c r="U489"/>
  <c r="C478"/>
  <c r="C462"/>
  <c r="C473"/>
  <c r="C477"/>
  <c r="C479"/>
  <c r="C465"/>
  <c r="C466"/>
  <c r="C476"/>
  <c r="C459"/>
  <c r="C475"/>
  <c r="C474"/>
  <c r="C463"/>
  <c r="C472"/>
  <c r="C469"/>
  <c r="C467"/>
  <c r="C464"/>
  <c r="C471"/>
  <c r="C480"/>
  <c r="C461"/>
  <c r="C468"/>
  <c r="C460"/>
  <c r="C470"/>
  <c r="C418"/>
  <c r="C417"/>
  <c r="C416"/>
  <c r="C415"/>
  <c r="C414"/>
  <c r="C413"/>
  <c r="C412"/>
  <c r="C411"/>
  <c r="C410"/>
  <c r="C409"/>
  <c r="C408"/>
  <c r="C407"/>
  <c r="C406"/>
  <c r="C405"/>
  <c r="C404"/>
  <c r="C403"/>
  <c r="C402"/>
  <c r="C401"/>
  <c r="C400"/>
  <c r="C399"/>
  <c r="C398"/>
  <c r="C397"/>
  <c r="AJ358"/>
  <c r="V327"/>
  <c r="U327"/>
  <c r="AF323"/>
  <c r="AF348" s="1"/>
  <c r="AE323"/>
  <c r="AJ317"/>
  <c r="N312"/>
  <c r="D312"/>
  <c r="O311"/>
  <c r="N309"/>
  <c r="O308"/>
  <c r="O307"/>
  <c r="O306"/>
  <c r="O305"/>
  <c r="O304"/>
  <c r="W491" l="1"/>
  <c r="W493" s="1"/>
  <c r="W494" s="1"/>
  <c r="V491"/>
  <c r="V493" s="1"/>
  <c r="V494" s="1"/>
  <c r="T327"/>
  <c r="Z491"/>
  <c r="Z493" s="1"/>
  <c r="Z494" s="1"/>
  <c r="Y491"/>
  <c r="Y493" s="1"/>
  <c r="Y494" s="1"/>
  <c r="IR27" i="38"/>
  <c r="HX64"/>
  <c r="T457" i="48"/>
  <c r="U457"/>
  <c r="P397" i="52"/>
  <c r="IQ27" i="38"/>
  <c r="BI27" i="47"/>
  <c r="HY27" i="38" s="1"/>
  <c r="CC27"/>
  <c r="BF27" i="47"/>
  <c r="CA27" i="38" s="1"/>
  <c r="KB27"/>
  <c r="KW27" s="1"/>
  <c r="EU27"/>
  <c r="BE27" i="47"/>
  <c r="HU27" i="38" s="1"/>
  <c r="BF27"/>
  <c r="HS27"/>
  <c r="HS64" s="1"/>
  <c r="BD27" i="47"/>
  <c r="G7" i="48"/>
  <c r="AC507" i="52"/>
  <c r="AC508" s="1"/>
  <c r="P7" i="48"/>
  <c r="Z514" i="52"/>
  <c r="AB491"/>
  <c r="AC491"/>
  <c r="AA491"/>
  <c r="AE348"/>
  <c r="X489"/>
  <c r="H7" i="48"/>
  <c r="AB507" i="52"/>
  <c r="Q7" i="48"/>
  <c r="Y514" i="52"/>
  <c r="S456" i="48"/>
  <c r="S458" s="1"/>
  <c r="S460" s="1"/>
  <c r="S461" s="1"/>
  <c r="U491" i="52"/>
  <c r="U493" s="1"/>
  <c r="U494" s="1"/>
  <c r="C11" i="48" s="1"/>
  <c r="AD323" i="52"/>
  <c r="O303"/>
  <c r="O302"/>
  <c r="O301"/>
  <c r="N300"/>
  <c r="AH495" l="1"/>
  <c r="E11" i="48"/>
  <c r="AH494" i="52"/>
  <c r="D11" i="48"/>
  <c r="AI495" i="52"/>
  <c r="N11" i="48"/>
  <c r="Q11"/>
  <c r="AI494" i="52"/>
  <c r="M11" i="48"/>
  <c r="P11"/>
  <c r="IO27" i="38"/>
  <c r="HU64"/>
  <c r="IS27"/>
  <c r="HY64"/>
  <c r="X514" i="52"/>
  <c r="HV27" i="38"/>
  <c r="BI27"/>
  <c r="CD27"/>
  <c r="CW27" s="1"/>
  <c r="CV27" s="1"/>
  <c r="CU27" s="1"/>
  <c r="MO27"/>
  <c r="MO64" s="1"/>
  <c r="BZ27"/>
  <c r="BH27"/>
  <c r="CT27"/>
  <c r="BG27"/>
  <c r="HT27"/>
  <c r="BY27"/>
  <c r="CR27" s="1"/>
  <c r="CQ27" s="1"/>
  <c r="Q407" i="48"/>
  <c r="F7"/>
  <c r="AJ323" i="52"/>
  <c r="AA507"/>
  <c r="AB508"/>
  <c r="G8" i="48"/>
  <c r="AD348" i="52"/>
  <c r="T407" i="48"/>
  <c r="O7"/>
  <c r="AJ322" i="52"/>
  <c r="AJ316"/>
  <c r="U456" i="48"/>
  <c r="U458" s="1"/>
  <c r="U460" s="1"/>
  <c r="U461" s="1"/>
  <c r="T456"/>
  <c r="T458" s="1"/>
  <c r="T460" s="1"/>
  <c r="T461" s="1"/>
  <c r="X491" i="52"/>
  <c r="X493" s="1"/>
  <c r="X494" s="1"/>
  <c r="N299"/>
  <c r="O297"/>
  <c r="O296"/>
  <c r="O295"/>
  <c r="O294"/>
  <c r="O291"/>
  <c r="N248"/>
  <c r="D248"/>
  <c r="O247"/>
  <c r="O246"/>
  <c r="O245"/>
  <c r="N244"/>
  <c r="O243"/>
  <c r="O242"/>
  <c r="N241"/>
  <c r="O239"/>
  <c r="O237"/>
  <c r="N236"/>
  <c r="O235"/>
  <c r="L11" i="48" l="1"/>
  <c r="O11"/>
  <c r="IN27" i="38"/>
  <c r="IM27" s="1"/>
  <c r="HT64"/>
  <c r="IP27"/>
  <c r="HV64"/>
  <c r="AA508" i="52"/>
  <c r="R462" i="48" s="1"/>
  <c r="CS27" i="38"/>
  <c r="Q408" i="48"/>
  <c r="F8"/>
  <c r="Z508" i="52"/>
  <c r="O234"/>
  <c r="O233"/>
  <c r="O231"/>
  <c r="O229"/>
  <c r="O228"/>
  <c r="O227"/>
  <c r="AG217"/>
  <c r="N217"/>
  <c r="AG216" l="1"/>
  <c r="N216"/>
  <c r="AG215"/>
  <c r="O215"/>
  <c r="AG214"/>
  <c r="N214"/>
  <c r="AG213"/>
  <c r="O213"/>
  <c r="AG212"/>
  <c r="N212"/>
  <c r="D212"/>
  <c r="AG211"/>
  <c r="O211"/>
  <c r="AG210"/>
  <c r="O210"/>
  <c r="AG209"/>
  <c r="O209"/>
  <c r="AG208"/>
  <c r="AG207"/>
  <c r="O207"/>
  <c r="AG206"/>
  <c r="O206"/>
  <c r="AG205"/>
  <c r="AG204"/>
  <c r="O204"/>
  <c r="AG203"/>
  <c r="O203"/>
  <c r="AG202"/>
  <c r="O202"/>
  <c r="AG201"/>
  <c r="O201"/>
  <c r="AG200"/>
  <c r="O200"/>
  <c r="AG199"/>
  <c r="AG198"/>
  <c r="O198"/>
  <c r="AG197"/>
  <c r="O197"/>
  <c r="AG196"/>
  <c r="O190"/>
  <c r="O189"/>
  <c r="O188"/>
  <c r="O187"/>
  <c r="O186" l="1"/>
  <c r="N186"/>
  <c r="O185"/>
  <c r="O184"/>
  <c r="O183"/>
  <c r="O182"/>
  <c r="O181"/>
  <c r="O180"/>
  <c r="O179"/>
  <c r="O175"/>
  <c r="O173"/>
  <c r="N173"/>
  <c r="D173"/>
  <c r="O172"/>
  <c r="N172"/>
  <c r="O171"/>
  <c r="O170" l="1"/>
  <c r="O169"/>
  <c r="N169"/>
  <c r="AK157"/>
  <c r="AJ157"/>
  <c r="AK154"/>
  <c r="AJ154"/>
  <c r="O115"/>
  <c r="O114"/>
  <c r="O113"/>
  <c r="AL154" l="1"/>
  <c r="AL157"/>
  <c r="O112"/>
  <c r="N111"/>
  <c r="O110"/>
  <c r="O109"/>
  <c r="O108"/>
  <c r="O107"/>
  <c r="O106"/>
  <c r="O105"/>
  <c r="O104"/>
  <c r="O100"/>
  <c r="N98"/>
  <c r="D98"/>
  <c r="N97"/>
  <c r="O96"/>
  <c r="O95"/>
  <c r="N94"/>
  <c r="O87"/>
  <c r="O86"/>
  <c r="O85"/>
  <c r="N84"/>
  <c r="D84"/>
  <c r="N83"/>
  <c r="O82"/>
  <c r="N81"/>
  <c r="N80"/>
  <c r="O79"/>
  <c r="O77"/>
  <c r="O76"/>
  <c r="O75"/>
  <c r="O74"/>
  <c r="O72"/>
  <c r="O71"/>
  <c r="O70"/>
  <c r="O69"/>
  <c r="O68"/>
  <c r="O57"/>
  <c r="O56"/>
  <c r="O55"/>
  <c r="N54"/>
  <c r="N53"/>
  <c r="D53"/>
  <c r="N52"/>
  <c r="O51"/>
  <c r="N50"/>
  <c r="O49"/>
  <c r="O47"/>
  <c r="O46"/>
  <c r="O45"/>
  <c r="O44"/>
  <c r="O42"/>
  <c r="O41"/>
  <c r="O40"/>
  <c r="O39"/>
  <c r="O38"/>
  <c r="AM28"/>
  <c r="AL28"/>
  <c r="J28"/>
  <c r="H28"/>
  <c r="K28" s="1"/>
  <c r="G28"/>
  <c r="G111" s="1"/>
  <c r="F28"/>
  <c r="F111" s="1"/>
  <c r="N27"/>
  <c r="N75" s="1"/>
  <c r="H27"/>
  <c r="H75" s="1"/>
  <c r="G27"/>
  <c r="F27"/>
  <c r="F46" s="1"/>
  <c r="J26"/>
  <c r="J83" s="1"/>
  <c r="H26"/>
  <c r="H83" s="1"/>
  <c r="G26"/>
  <c r="G83" s="1"/>
  <c r="F26"/>
  <c r="F83" s="1"/>
  <c r="N25"/>
  <c r="N99" s="1"/>
  <c r="H25"/>
  <c r="H99" s="1"/>
  <c r="G25"/>
  <c r="G99" s="1"/>
  <c r="F25"/>
  <c r="F99" s="1"/>
  <c r="N24"/>
  <c r="N76" s="1"/>
  <c r="H24"/>
  <c r="H48" s="1"/>
  <c r="G24"/>
  <c r="G76" s="1"/>
  <c r="F24"/>
  <c r="F110" s="1"/>
  <c r="N23"/>
  <c r="N79" s="1"/>
  <c r="H23"/>
  <c r="G23"/>
  <c r="G79" s="1"/>
  <c r="F23"/>
  <c r="F79" s="1"/>
  <c r="D23"/>
  <c r="N22"/>
  <c r="N37" s="1"/>
  <c r="H22"/>
  <c r="H37" s="1"/>
  <c r="G22"/>
  <c r="G103" s="1"/>
  <c r="F22"/>
  <c r="F67" s="1"/>
  <c r="N21"/>
  <c r="N95" s="1"/>
  <c r="H21"/>
  <c r="H95" s="1"/>
  <c r="G21"/>
  <c r="G95" s="1"/>
  <c r="F21"/>
  <c r="F95" s="1"/>
  <c r="N49" l="1"/>
  <c r="N67"/>
  <c r="N107"/>
  <c r="N310"/>
  <c r="N240"/>
  <c r="N208"/>
  <c r="N185"/>
  <c r="N48"/>
  <c r="N110"/>
  <c r="N47"/>
  <c r="N57"/>
  <c r="N78"/>
  <c r="N303"/>
  <c r="N235"/>
  <c r="N188"/>
  <c r="N215"/>
  <c r="N113"/>
  <c r="N308"/>
  <c r="N243"/>
  <c r="N204"/>
  <c r="N174"/>
  <c r="N306"/>
  <c r="N239"/>
  <c r="N201"/>
  <c r="N182"/>
  <c r="N46"/>
  <c r="N304"/>
  <c r="N246"/>
  <c r="N209"/>
  <c r="N170"/>
  <c r="N87"/>
  <c r="N292"/>
  <c r="N230"/>
  <c r="N199"/>
  <c r="N178"/>
  <c r="N103"/>
  <c r="K26"/>
  <c r="K83" s="1"/>
  <c r="I28"/>
  <c r="L28" s="1"/>
  <c r="L111" s="1"/>
  <c r="G80"/>
  <c r="F47"/>
  <c r="G50"/>
  <c r="G67"/>
  <c r="F94"/>
  <c r="G49"/>
  <c r="H52"/>
  <c r="F48"/>
  <c r="D303"/>
  <c r="D235"/>
  <c r="D188"/>
  <c r="D215"/>
  <c r="F87"/>
  <c r="F49"/>
  <c r="F50"/>
  <c r="G52"/>
  <c r="F80"/>
  <c r="K299"/>
  <c r="K236"/>
  <c r="K214"/>
  <c r="K186"/>
  <c r="G110"/>
  <c r="G37"/>
  <c r="D47"/>
  <c r="F52"/>
  <c r="H107"/>
  <c r="D113"/>
  <c r="G306"/>
  <c r="G239"/>
  <c r="G201"/>
  <c r="G182"/>
  <c r="J309"/>
  <c r="J244"/>
  <c r="J216"/>
  <c r="J169"/>
  <c r="D79"/>
  <c r="G107"/>
  <c r="F304"/>
  <c r="F246"/>
  <c r="F209"/>
  <c r="F170"/>
  <c r="H292"/>
  <c r="H230"/>
  <c r="H199"/>
  <c r="H178"/>
  <c r="F306"/>
  <c r="F239"/>
  <c r="F201"/>
  <c r="AH201" s="1"/>
  <c r="F182"/>
  <c r="F308"/>
  <c r="F243"/>
  <c r="F204"/>
  <c r="AH204" s="1"/>
  <c r="F174"/>
  <c r="K50"/>
  <c r="H76"/>
  <c r="K80"/>
  <c r="H103"/>
  <c r="F107"/>
  <c r="K111"/>
  <c r="H308"/>
  <c r="H243"/>
  <c r="H204"/>
  <c r="H174"/>
  <c r="J299"/>
  <c r="J236"/>
  <c r="J214"/>
  <c r="J186"/>
  <c r="F292"/>
  <c r="F230"/>
  <c r="F199"/>
  <c r="AH199" s="1"/>
  <c r="F178"/>
  <c r="H235"/>
  <c r="H188"/>
  <c r="H215"/>
  <c r="H113"/>
  <c r="H299"/>
  <c r="H236"/>
  <c r="H214"/>
  <c r="H186"/>
  <c r="G186" s="1"/>
  <c r="G303"/>
  <c r="G235"/>
  <c r="G188"/>
  <c r="G215"/>
  <c r="G113"/>
  <c r="H309"/>
  <c r="H216"/>
  <c r="H169"/>
  <c r="G299"/>
  <c r="G236"/>
  <c r="G214"/>
  <c r="I26"/>
  <c r="J50"/>
  <c r="G75"/>
  <c r="H78"/>
  <c r="J80"/>
  <c r="J94"/>
  <c r="J111"/>
  <c r="G310"/>
  <c r="G240"/>
  <c r="G208"/>
  <c r="G185"/>
  <c r="F310"/>
  <c r="F240"/>
  <c r="F208"/>
  <c r="AH208" s="1"/>
  <c r="F185"/>
  <c r="H306"/>
  <c r="H239"/>
  <c r="H201"/>
  <c r="H182"/>
  <c r="G292"/>
  <c r="G230"/>
  <c r="G199"/>
  <c r="G178"/>
  <c r="G308"/>
  <c r="G243"/>
  <c r="G204"/>
  <c r="G174"/>
  <c r="H246"/>
  <c r="H209"/>
  <c r="H170"/>
  <c r="F303"/>
  <c r="F235"/>
  <c r="F188"/>
  <c r="F215"/>
  <c r="AH215" s="1"/>
  <c r="F113"/>
  <c r="G309"/>
  <c r="G244"/>
  <c r="G216"/>
  <c r="G169"/>
  <c r="F236"/>
  <c r="F299"/>
  <c r="F214"/>
  <c r="F186"/>
  <c r="F37"/>
  <c r="H46"/>
  <c r="H47"/>
  <c r="J52"/>
  <c r="H57"/>
  <c r="F75"/>
  <c r="F76"/>
  <c r="G78"/>
  <c r="H87"/>
  <c r="H94"/>
  <c r="F103"/>
  <c r="G304"/>
  <c r="G246"/>
  <c r="G209"/>
  <c r="G170"/>
  <c r="H310"/>
  <c r="H240"/>
  <c r="H208"/>
  <c r="H185"/>
  <c r="F309"/>
  <c r="F244"/>
  <c r="F216"/>
  <c r="F169"/>
  <c r="F57"/>
  <c r="G46"/>
  <c r="G47"/>
  <c r="G48"/>
  <c r="H49"/>
  <c r="H50"/>
  <c r="G57"/>
  <c r="F78"/>
  <c r="H79"/>
  <c r="H80"/>
  <c r="G87"/>
  <c r="G94"/>
  <c r="H111"/>
  <c r="N20"/>
  <c r="H20"/>
  <c r="G20"/>
  <c r="F20"/>
  <c r="N19"/>
  <c r="H19"/>
  <c r="G19"/>
  <c r="F19"/>
  <c r="N18"/>
  <c r="H18"/>
  <c r="G18"/>
  <c r="F18"/>
  <c r="L299" l="1"/>
  <c r="L80"/>
  <c r="N291"/>
  <c r="N227"/>
  <c r="N187"/>
  <c r="N197"/>
  <c r="N112"/>
  <c r="N69"/>
  <c r="N38"/>
  <c r="N294"/>
  <c r="N231"/>
  <c r="N202"/>
  <c r="N183"/>
  <c r="N108"/>
  <c r="N41"/>
  <c r="N74"/>
  <c r="N311"/>
  <c r="N247"/>
  <c r="N213"/>
  <c r="N181"/>
  <c r="N55"/>
  <c r="N106"/>
  <c r="N86"/>
  <c r="I299"/>
  <c r="I111"/>
  <c r="I236"/>
  <c r="L236"/>
  <c r="I214"/>
  <c r="L214"/>
  <c r="I80"/>
  <c r="I186"/>
  <c r="L186"/>
  <c r="M28"/>
  <c r="M50" s="1"/>
  <c r="I50"/>
  <c r="L50"/>
  <c r="K244"/>
  <c r="K216"/>
  <c r="K94"/>
  <c r="K169"/>
  <c r="K52"/>
  <c r="K309"/>
  <c r="I94"/>
  <c r="H291"/>
  <c r="H227"/>
  <c r="H197"/>
  <c r="H187"/>
  <c r="H112"/>
  <c r="H38"/>
  <c r="H69"/>
  <c r="F294"/>
  <c r="F231"/>
  <c r="F202"/>
  <c r="F183"/>
  <c r="F74"/>
  <c r="F41"/>
  <c r="F108"/>
  <c r="F291"/>
  <c r="F227"/>
  <c r="F197"/>
  <c r="F187"/>
  <c r="F38"/>
  <c r="F69"/>
  <c r="F112"/>
  <c r="G311"/>
  <c r="G247"/>
  <c r="G213"/>
  <c r="G181"/>
  <c r="G86"/>
  <c r="G55"/>
  <c r="G106"/>
  <c r="F311"/>
  <c r="F247"/>
  <c r="F213"/>
  <c r="AH213" s="1"/>
  <c r="F181"/>
  <c r="F55"/>
  <c r="F106"/>
  <c r="F86"/>
  <c r="I309"/>
  <c r="I244"/>
  <c r="H244" s="1"/>
  <c r="I216"/>
  <c r="I169"/>
  <c r="I52"/>
  <c r="L26"/>
  <c r="I83"/>
  <c r="H247"/>
  <c r="H213"/>
  <c r="H181"/>
  <c r="H86"/>
  <c r="H55"/>
  <c r="H106"/>
  <c r="H294"/>
  <c r="H231"/>
  <c r="H202"/>
  <c r="H183"/>
  <c r="H74"/>
  <c r="H108"/>
  <c r="G291"/>
  <c r="G227"/>
  <c r="G187"/>
  <c r="G197"/>
  <c r="G112"/>
  <c r="G38"/>
  <c r="G69"/>
  <c r="G294"/>
  <c r="G231"/>
  <c r="G202"/>
  <c r="G183"/>
  <c r="G74"/>
  <c r="G41"/>
  <c r="G108"/>
  <c r="N17"/>
  <c r="H17"/>
  <c r="G17"/>
  <c r="F17"/>
  <c r="N16"/>
  <c r="H16"/>
  <c r="G16"/>
  <c r="F16"/>
  <c r="AM15"/>
  <c r="AL15"/>
  <c r="J15"/>
  <c r="H15"/>
  <c r="K15" s="1"/>
  <c r="G15"/>
  <c r="F15"/>
  <c r="I15" s="1"/>
  <c r="N14"/>
  <c r="H14"/>
  <c r="G14"/>
  <c r="F14"/>
  <c r="M236" l="1"/>
  <c r="M299"/>
  <c r="N293"/>
  <c r="N232"/>
  <c r="N205"/>
  <c r="N184"/>
  <c r="N109"/>
  <c r="N43"/>
  <c r="N71"/>
  <c r="N305"/>
  <c r="N242"/>
  <c r="N206"/>
  <c r="N175"/>
  <c r="N77"/>
  <c r="N51"/>
  <c r="N100"/>
  <c r="N301"/>
  <c r="N228"/>
  <c r="N200"/>
  <c r="N189"/>
  <c r="N114"/>
  <c r="N82"/>
  <c r="N45"/>
  <c r="M214"/>
  <c r="M186"/>
  <c r="M111"/>
  <c r="M80"/>
  <c r="I312"/>
  <c r="I248"/>
  <c r="I212"/>
  <c r="I173"/>
  <c r="I98"/>
  <c r="I84"/>
  <c r="I53"/>
  <c r="L15"/>
  <c r="H305"/>
  <c r="H242"/>
  <c r="H206"/>
  <c r="H175"/>
  <c r="H77"/>
  <c r="H51"/>
  <c r="H293"/>
  <c r="H232"/>
  <c r="H205"/>
  <c r="H184"/>
  <c r="H109"/>
  <c r="H43"/>
  <c r="H71"/>
  <c r="F305"/>
  <c r="F242"/>
  <c r="F206"/>
  <c r="F175"/>
  <c r="F77"/>
  <c r="F100"/>
  <c r="F51"/>
  <c r="J312"/>
  <c r="J248"/>
  <c r="J212"/>
  <c r="J173"/>
  <c r="J98"/>
  <c r="J84"/>
  <c r="J53"/>
  <c r="F293"/>
  <c r="F232"/>
  <c r="F205"/>
  <c r="AH205" s="1"/>
  <c r="F184"/>
  <c r="F43"/>
  <c r="F71"/>
  <c r="F109"/>
  <c r="G305"/>
  <c r="G242"/>
  <c r="G206"/>
  <c r="G175"/>
  <c r="G77"/>
  <c r="G100"/>
  <c r="G51"/>
  <c r="G293"/>
  <c r="G232"/>
  <c r="G205"/>
  <c r="G184"/>
  <c r="G43"/>
  <c r="G71"/>
  <c r="G109"/>
  <c r="H301"/>
  <c r="H228"/>
  <c r="H200"/>
  <c r="H189"/>
  <c r="H114"/>
  <c r="H45"/>
  <c r="H82"/>
  <c r="K312"/>
  <c r="K248"/>
  <c r="K212"/>
  <c r="K173"/>
  <c r="K98"/>
  <c r="K84"/>
  <c r="F312"/>
  <c r="F248"/>
  <c r="F212"/>
  <c r="AH212" s="1"/>
  <c r="F173"/>
  <c r="F84"/>
  <c r="F53"/>
  <c r="F98"/>
  <c r="H312"/>
  <c r="H248"/>
  <c r="H212"/>
  <c r="H173"/>
  <c r="H98"/>
  <c r="H84"/>
  <c r="H53"/>
  <c r="G301"/>
  <c r="G228"/>
  <c r="G200"/>
  <c r="G189"/>
  <c r="G114"/>
  <c r="G45"/>
  <c r="G82"/>
  <c r="G312"/>
  <c r="G248"/>
  <c r="G212"/>
  <c r="G173"/>
  <c r="G84"/>
  <c r="G53"/>
  <c r="G98"/>
  <c r="F301"/>
  <c r="F228"/>
  <c r="F200"/>
  <c r="F189"/>
  <c r="F114"/>
  <c r="F45"/>
  <c r="F82"/>
  <c r="L309"/>
  <c r="L244"/>
  <c r="L216"/>
  <c r="L169"/>
  <c r="L52"/>
  <c r="L94"/>
  <c r="M26"/>
  <c r="N13"/>
  <c r="H13"/>
  <c r="G13"/>
  <c r="F13"/>
  <c r="N12"/>
  <c r="H12"/>
  <c r="G12"/>
  <c r="F12"/>
  <c r="N297" l="1"/>
  <c r="N233"/>
  <c r="N203"/>
  <c r="N179"/>
  <c r="N104"/>
  <c r="N70"/>
  <c r="N39"/>
  <c r="N302"/>
  <c r="N237"/>
  <c r="N190"/>
  <c r="N211"/>
  <c r="N115"/>
  <c r="N72"/>
  <c r="N42"/>
  <c r="F297"/>
  <c r="F233"/>
  <c r="F203"/>
  <c r="AH203" s="1"/>
  <c r="F179"/>
  <c r="F104"/>
  <c r="F39"/>
  <c r="F70"/>
  <c r="H297"/>
  <c r="H233"/>
  <c r="H203"/>
  <c r="H179"/>
  <c r="H104"/>
  <c r="H39"/>
  <c r="H302"/>
  <c r="H237"/>
  <c r="H190"/>
  <c r="H211"/>
  <c r="H115"/>
  <c r="H42"/>
  <c r="H72"/>
  <c r="M309"/>
  <c r="M244"/>
  <c r="M216"/>
  <c r="M169"/>
  <c r="M83"/>
  <c r="L83" s="1"/>
  <c r="M52"/>
  <c r="M94"/>
  <c r="G297"/>
  <c r="G233"/>
  <c r="G203"/>
  <c r="G179"/>
  <c r="G104"/>
  <c r="G39"/>
  <c r="G70"/>
  <c r="G302"/>
  <c r="G237"/>
  <c r="G190"/>
  <c r="G211"/>
  <c r="G115"/>
  <c r="G42"/>
  <c r="G72"/>
  <c r="F302"/>
  <c r="F237"/>
  <c r="F190"/>
  <c r="F211"/>
  <c r="AH211" s="1"/>
  <c r="F115"/>
  <c r="F42"/>
  <c r="F72"/>
  <c r="L312"/>
  <c r="L248"/>
  <c r="L212"/>
  <c r="L53"/>
  <c r="K53" s="1"/>
  <c r="L98"/>
  <c r="L84"/>
  <c r="M15"/>
  <c r="M312" l="1"/>
  <c r="M248"/>
  <c r="M212"/>
  <c r="M173"/>
  <c r="L173" s="1"/>
  <c r="M84"/>
  <c r="M53"/>
  <c r="M98"/>
  <c r="N11"/>
  <c r="H11"/>
  <c r="G11"/>
  <c r="F11"/>
  <c r="AM10"/>
  <c r="AL10"/>
  <c r="J10"/>
  <c r="H10"/>
  <c r="K10" s="1"/>
  <c r="G10"/>
  <c r="F10"/>
  <c r="I10" s="1"/>
  <c r="N9"/>
  <c r="H9"/>
  <c r="G9"/>
  <c r="F9"/>
  <c r="N8"/>
  <c r="H8"/>
  <c r="G8"/>
  <c r="F8"/>
  <c r="N7"/>
  <c r="H7"/>
  <c r="G7"/>
  <c r="F7"/>
  <c r="D7"/>
  <c r="H6"/>
  <c r="F6"/>
  <c r="Q438" i="44"/>
  <c r="N438"/>
  <c r="Q437"/>
  <c r="N437"/>
  <c r="Q436"/>
  <c r="N436"/>
  <c r="Q435"/>
  <c r="N435"/>
  <c r="Q434"/>
  <c r="N434"/>
  <c r="Q433"/>
  <c r="N433"/>
  <c r="Q432"/>
  <c r="N432"/>
  <c r="Q431"/>
  <c r="N431"/>
  <c r="D431" s="1"/>
  <c r="Q430"/>
  <c r="N430"/>
  <c r="Q429"/>
  <c r="N429"/>
  <c r="N428"/>
  <c r="D436" s="1"/>
  <c r="N427"/>
  <c r="D437" s="1"/>
  <c r="N426"/>
  <c r="D438" s="1"/>
  <c r="N296" i="52" l="1"/>
  <c r="N229"/>
  <c r="N210"/>
  <c r="N180"/>
  <c r="N68"/>
  <c r="N105"/>
  <c r="N40"/>
  <c r="N307"/>
  <c r="N245"/>
  <c r="N207"/>
  <c r="N171"/>
  <c r="N56"/>
  <c r="N85"/>
  <c r="N96"/>
  <c r="N295"/>
  <c r="N234"/>
  <c r="N198"/>
  <c r="N176"/>
  <c r="N73"/>
  <c r="N101"/>
  <c r="N44"/>
  <c r="N298"/>
  <c r="N238"/>
  <c r="N196"/>
  <c r="N177"/>
  <c r="N36"/>
  <c r="N66"/>
  <c r="N102"/>
  <c r="F5"/>
  <c r="O436" i="44"/>
  <c r="O430"/>
  <c r="O429"/>
  <c r="D426"/>
  <c r="O433"/>
  <c r="O432"/>
  <c r="O435"/>
  <c r="D429"/>
  <c r="O428"/>
  <c r="J300" i="52"/>
  <c r="J241"/>
  <c r="J217"/>
  <c r="J172"/>
  <c r="J81"/>
  <c r="J97"/>
  <c r="J54"/>
  <c r="F298"/>
  <c r="F238"/>
  <c r="F196"/>
  <c r="F177"/>
  <c r="F66"/>
  <c r="F102"/>
  <c r="F36"/>
  <c r="G296"/>
  <c r="G229"/>
  <c r="G210"/>
  <c r="G180"/>
  <c r="G105"/>
  <c r="G40"/>
  <c r="G68"/>
  <c r="H300"/>
  <c r="H241"/>
  <c r="H217"/>
  <c r="H172"/>
  <c r="H97"/>
  <c r="H54"/>
  <c r="H81"/>
  <c r="O431" i="44"/>
  <c r="F4" i="52"/>
  <c r="O438" i="44"/>
  <c r="H307" i="52"/>
  <c r="H245"/>
  <c r="H171"/>
  <c r="H96"/>
  <c r="H85"/>
  <c r="H56"/>
  <c r="G298"/>
  <c r="G238"/>
  <c r="G196"/>
  <c r="G177"/>
  <c r="G66"/>
  <c r="G36"/>
  <c r="G102"/>
  <c r="H296"/>
  <c r="H229"/>
  <c r="H210"/>
  <c r="H180"/>
  <c r="H105"/>
  <c r="H40"/>
  <c r="H68"/>
  <c r="F307"/>
  <c r="F245"/>
  <c r="F207"/>
  <c r="AH207" s="1"/>
  <c r="F171"/>
  <c r="F56"/>
  <c r="F85"/>
  <c r="F96"/>
  <c r="F296"/>
  <c r="F229"/>
  <c r="F210"/>
  <c r="AH210" s="1"/>
  <c r="F180"/>
  <c r="F105"/>
  <c r="F40"/>
  <c r="F68"/>
  <c r="G300"/>
  <c r="G241"/>
  <c r="G217"/>
  <c r="G172"/>
  <c r="G97"/>
  <c r="G54"/>
  <c r="G81"/>
  <c r="D432" i="44"/>
  <c r="I300" i="52"/>
  <c r="I241"/>
  <c r="I217"/>
  <c r="I172"/>
  <c r="I97"/>
  <c r="I54"/>
  <c r="I81"/>
  <c r="H295"/>
  <c r="H234"/>
  <c r="H198"/>
  <c r="H176"/>
  <c r="H101"/>
  <c r="H44"/>
  <c r="H73"/>
  <c r="F300"/>
  <c r="F241"/>
  <c r="F217"/>
  <c r="AH217" s="1"/>
  <c r="F172"/>
  <c r="F54"/>
  <c r="F81"/>
  <c r="F97"/>
  <c r="O434" i="44"/>
  <c r="O427"/>
  <c r="O426"/>
  <c r="O437"/>
  <c r="X426" s="1"/>
  <c r="K300" i="52"/>
  <c r="AC323" s="1"/>
  <c r="K241"/>
  <c r="K217"/>
  <c r="K172"/>
  <c r="K81"/>
  <c r="K97"/>
  <c r="K54"/>
  <c r="D296"/>
  <c r="D229"/>
  <c r="D210"/>
  <c r="D180"/>
  <c r="D40"/>
  <c r="D105"/>
  <c r="D68"/>
  <c r="G295"/>
  <c r="G234"/>
  <c r="G198"/>
  <c r="G176"/>
  <c r="G44"/>
  <c r="G73"/>
  <c r="G101"/>
  <c r="G307"/>
  <c r="G245"/>
  <c r="G207"/>
  <c r="G171"/>
  <c r="G85"/>
  <c r="G56"/>
  <c r="G96"/>
  <c r="F295"/>
  <c r="F234"/>
  <c r="F198"/>
  <c r="F176"/>
  <c r="F44"/>
  <c r="F73"/>
  <c r="F101"/>
  <c r="H298"/>
  <c r="H238"/>
  <c r="H196"/>
  <c r="H177"/>
  <c r="H66"/>
  <c r="H36"/>
  <c r="H4"/>
  <c r="H5"/>
  <c r="L10"/>
  <c r="D424" i="44"/>
  <c r="L399"/>
  <c r="F399"/>
  <c r="D399"/>
  <c r="L398"/>
  <c r="D398"/>
  <c r="L397"/>
  <c r="L300" i="52" l="1"/>
  <c r="L241"/>
  <c r="L217"/>
  <c r="L172"/>
  <c r="L81"/>
  <c r="L54"/>
  <c r="L97"/>
  <c r="M10"/>
  <c r="N7" i="48"/>
  <c r="Y507" i="52"/>
  <c r="Y508" s="1"/>
  <c r="D397" i="44"/>
  <c r="L396"/>
  <c r="D396"/>
  <c r="L395"/>
  <c r="F395"/>
  <c r="D395"/>
  <c r="L394"/>
  <c r="F394"/>
  <c r="D394"/>
  <c r="L393"/>
  <c r="F393"/>
  <c r="D393"/>
  <c r="L392"/>
  <c r="F392"/>
  <c r="D392"/>
  <c r="L391"/>
  <c r="F391"/>
  <c r="D391"/>
  <c r="L390"/>
  <c r="D390"/>
  <c r="L389"/>
  <c r="F389"/>
  <c r="D389"/>
  <c r="L388"/>
  <c r="M300" i="52" l="1"/>
  <c r="M241"/>
  <c r="M217"/>
  <c r="M172"/>
  <c r="M54"/>
  <c r="M81"/>
  <c r="M97"/>
  <c r="F388" i="44"/>
  <c r="D388"/>
  <c r="L387"/>
  <c r="F387"/>
  <c r="D387"/>
  <c r="L386"/>
  <c r="F386"/>
  <c r="D386"/>
  <c r="L385"/>
  <c r="D385"/>
  <c r="L384"/>
  <c r="F384"/>
  <c r="D384"/>
  <c r="L383"/>
  <c r="D383"/>
  <c r="L382"/>
  <c r="F382"/>
  <c r="D382"/>
  <c r="L381"/>
  <c r="F381"/>
  <c r="D381"/>
  <c r="L380"/>
  <c r="F380"/>
  <c r="D380"/>
  <c r="L379" l="1"/>
  <c r="F379"/>
  <c r="D379"/>
  <c r="L378"/>
  <c r="F378"/>
  <c r="D378" l="1"/>
  <c r="AI367" s="1"/>
  <c r="K363"/>
  <c r="AH362"/>
  <c r="W362" s="1"/>
  <c r="J362"/>
  <c r="E362" s="1"/>
  <c r="AI346"/>
  <c r="W346" s="1"/>
  <c r="E346"/>
  <c r="D346"/>
  <c r="L241"/>
  <c r="B241"/>
  <c r="L235"/>
  <c r="B235"/>
  <c r="X234" s="1"/>
  <c r="L234"/>
  <c r="B234"/>
  <c r="X233" s="1"/>
  <c r="L233"/>
  <c r="B233"/>
  <c r="B230"/>
  <c r="AI225"/>
  <c r="AI224"/>
  <c r="AI223"/>
  <c r="AI222"/>
  <c r="AI221"/>
  <c r="AI220"/>
  <c r="AI218"/>
  <c r="AI217"/>
  <c r="AI216"/>
  <c r="AI215"/>
  <c r="AI214"/>
  <c r="AI213"/>
  <c r="AI211"/>
  <c r="AI210"/>
  <c r="AI209"/>
  <c r="AH220" l="1"/>
  <c r="X237"/>
  <c r="L237" s="1"/>
  <c r="B237" s="1"/>
  <c r="X235" s="1"/>
  <c r="AI207"/>
  <c r="AI206"/>
  <c r="AI205"/>
  <c r="D204"/>
  <c r="D134"/>
  <c r="H121"/>
  <c r="G121"/>
  <c r="F121"/>
  <c r="E121"/>
  <c r="D121"/>
  <c r="J225" s="1"/>
  <c r="G399" s="1"/>
  <c r="H119"/>
  <c r="G119" s="1"/>
  <c r="F119" s="1"/>
  <c r="E119"/>
  <c r="D119"/>
  <c r="N119" s="1"/>
  <c r="H118"/>
  <c r="G118"/>
  <c r="F118" s="1"/>
  <c r="E118"/>
  <c r="D118"/>
  <c r="J222" s="1"/>
  <c r="G396" s="1"/>
  <c r="D116"/>
  <c r="J220" s="1"/>
  <c r="G394" s="1"/>
  <c r="D114"/>
  <c r="J218" s="1"/>
  <c r="G392" s="1"/>
  <c r="H110"/>
  <c r="D110"/>
  <c r="J214" s="1"/>
  <c r="G388" s="1"/>
  <c r="D95"/>
  <c r="D93"/>
  <c r="G92"/>
  <c r="F92" s="1"/>
  <c r="E92"/>
  <c r="D92"/>
  <c r="J364" s="1"/>
  <c r="E364" s="1"/>
  <c r="E90"/>
  <c r="F90" s="1"/>
  <c r="G89"/>
  <c r="F89" s="1"/>
  <c r="E89" s="1"/>
  <c r="J361" s="1"/>
  <c r="E361" s="1"/>
  <c r="G88"/>
  <c r="F88"/>
  <c r="E88" s="1"/>
  <c r="D88"/>
  <c r="D85"/>
  <c r="H84"/>
  <c r="D84"/>
  <c r="J356" s="1"/>
  <c r="E356" s="1"/>
  <c r="H82"/>
  <c r="V354" s="1"/>
  <c r="K354" s="1"/>
  <c r="G82"/>
  <c r="F82"/>
  <c r="E82" s="1"/>
  <c r="E108" s="1"/>
  <c r="D82"/>
  <c r="J354" s="1"/>
  <c r="E354" s="1"/>
  <c r="D81"/>
  <c r="H80"/>
  <c r="V352" s="1"/>
  <c r="K352" s="1"/>
  <c r="G80"/>
  <c r="F80"/>
  <c r="E80"/>
  <c r="E106" s="1"/>
  <c r="D80"/>
  <c r="J352" s="1"/>
  <c r="E352" s="1"/>
  <c r="E79"/>
  <c r="D79" s="1"/>
  <c r="J351" s="1"/>
  <c r="E351" s="1"/>
  <c r="G78"/>
  <c r="F78" s="1"/>
  <c r="E78" s="1"/>
  <c r="D78" s="1"/>
  <c r="J350" s="1"/>
  <c r="E350" s="1"/>
  <c r="F75"/>
  <c r="E75" s="1"/>
  <c r="D75" s="1"/>
  <c r="D101" s="1"/>
  <c r="J205" s="1"/>
  <c r="G379" s="1"/>
  <c r="F74"/>
  <c r="E74"/>
  <c r="D74"/>
  <c r="M42"/>
  <c r="M41"/>
  <c r="M40"/>
  <c r="M39"/>
  <c r="M38"/>
  <c r="M37"/>
  <c r="J119" l="1"/>
  <c r="D223" s="1"/>
  <c r="E397" s="1"/>
  <c r="F186" i="48" s="1"/>
  <c r="N121" i="44"/>
  <c r="O28" i="51" s="1"/>
  <c r="P23"/>
  <c r="D34" i="48"/>
  <c r="E23" i="52"/>
  <c r="N394" i="44"/>
  <c r="N80"/>
  <c r="J147"/>
  <c r="E378"/>
  <c r="H106"/>
  <c r="N89"/>
  <c r="D106"/>
  <c r="J210" s="1"/>
  <c r="G384" s="1"/>
  <c r="N384" s="1"/>
  <c r="J89"/>
  <c r="H89" s="1"/>
  <c r="H115" s="1"/>
  <c r="G115" s="1"/>
  <c r="F115" s="1"/>
  <c r="E115" s="1"/>
  <c r="J219" s="1"/>
  <c r="G393" s="1"/>
  <c r="G90"/>
  <c r="J90" s="1"/>
  <c r="D362" s="1"/>
  <c r="AI361" s="1"/>
  <c r="F116"/>
  <c r="P21" i="51"/>
  <c r="D32" i="48"/>
  <c r="E21" i="52"/>
  <c r="N392" i="44"/>
  <c r="P8" i="51"/>
  <c r="D19" i="48"/>
  <c r="E8" i="52"/>
  <c r="N379" i="44"/>
  <c r="G84"/>
  <c r="V356"/>
  <c r="K356" s="1"/>
  <c r="P25" i="51"/>
  <c r="D36" i="48"/>
  <c r="E25" i="52"/>
  <c r="N396" i="44"/>
  <c r="P28" i="51"/>
  <c r="D39" i="48"/>
  <c r="E28" i="52"/>
  <c r="N399" i="44"/>
  <c r="D108"/>
  <c r="G104"/>
  <c r="F104" s="1"/>
  <c r="E104" s="1"/>
  <c r="D104"/>
  <c r="G110"/>
  <c r="F110" s="1"/>
  <c r="E110" s="1"/>
  <c r="J110" s="1"/>
  <c r="D214" s="1"/>
  <c r="E388" s="1"/>
  <c r="F193" i="48" s="1"/>
  <c r="V214" i="44"/>
  <c r="N118"/>
  <c r="J223"/>
  <c r="G397" s="1"/>
  <c r="G106"/>
  <c r="F106" s="1"/>
  <c r="P17" i="51"/>
  <c r="D28" i="48"/>
  <c r="E17" i="52"/>
  <c r="N388" i="44"/>
  <c r="J365"/>
  <c r="E365" s="1"/>
  <c r="E116"/>
  <c r="J82"/>
  <c r="D354" s="1"/>
  <c r="AI353" s="1"/>
  <c r="J118"/>
  <c r="D222" s="1"/>
  <c r="E396" s="1"/>
  <c r="F185" i="48" s="1"/>
  <c r="J80" i="44"/>
  <c r="D352" s="1"/>
  <c r="AI351" s="1"/>
  <c r="D105"/>
  <c r="J121"/>
  <c r="D225" s="1"/>
  <c r="E399" s="1"/>
  <c r="F183" i="48" s="1"/>
  <c r="O26" i="51"/>
  <c r="D26" i="52"/>
  <c r="H74" i="44"/>
  <c r="J347"/>
  <c r="E347" s="1"/>
  <c r="H108"/>
  <c r="G108" s="1"/>
  <c r="F108" s="1"/>
  <c r="M36"/>
  <c r="M35"/>
  <c r="M33" s="1"/>
  <c r="E29"/>
  <c r="D29"/>
  <c r="M28" s="1"/>
  <c r="S213" i="48" s="1"/>
  <c r="E28" i="44"/>
  <c r="D28"/>
  <c r="M27" s="1"/>
  <c r="S212" i="48" s="1"/>
  <c r="E27" i="44"/>
  <c r="D27"/>
  <c r="M26" s="1"/>
  <c r="S211" i="48" s="1"/>
  <c r="E26" i="44"/>
  <c r="D26"/>
  <c r="M25" s="1"/>
  <c r="S210" i="48" s="1"/>
  <c r="E25" i="44"/>
  <c r="D25"/>
  <c r="M24" s="1"/>
  <c r="S209" i="48" s="1"/>
  <c r="E24" i="44"/>
  <c r="D24" s="1"/>
  <c r="M23" s="1"/>
  <c r="S208" i="48" s="1"/>
  <c r="E23" i="44"/>
  <c r="D23" s="1"/>
  <c r="M22" s="1"/>
  <c r="S207" i="48" s="1"/>
  <c r="E22" i="44"/>
  <c r="D22" s="1"/>
  <c r="M21" s="1"/>
  <c r="E21"/>
  <c r="D21" s="1"/>
  <c r="M20" s="1"/>
  <c r="P212" i="48" s="1"/>
  <c r="E20" i="44"/>
  <c r="D20" s="1"/>
  <c r="M19" s="1"/>
  <c r="E19"/>
  <c r="D19" s="1"/>
  <c r="M18" s="1"/>
  <c r="P210" i="48" s="1"/>
  <c r="E18" i="44"/>
  <c r="D18" s="1"/>
  <c r="M17" s="1"/>
  <c r="P209" i="48" s="1"/>
  <c r="E17" i="44"/>
  <c r="D17" s="1"/>
  <c r="M16" s="1"/>
  <c r="P208" i="48" s="1"/>
  <c r="E16" i="44"/>
  <c r="D16" s="1"/>
  <c r="M15" s="1"/>
  <c r="P207" i="48" s="1"/>
  <c r="E15" i="44"/>
  <c r="D15" s="1"/>
  <c r="M14" s="1"/>
  <c r="M213" i="48" s="1"/>
  <c r="E14" i="44"/>
  <c r="D14"/>
  <c r="M13" s="1"/>
  <c r="M212" i="48" s="1"/>
  <c r="E13" i="44"/>
  <c r="D13"/>
  <c r="M12" s="1"/>
  <c r="E12"/>
  <c r="D12"/>
  <c r="M11" s="1"/>
  <c r="M210" i="48" s="1"/>
  <c r="E11" i="44"/>
  <c r="D11"/>
  <c r="M10" s="1"/>
  <c r="E10"/>
  <c r="D10"/>
  <c r="M9" s="1"/>
  <c r="M208" i="48" s="1"/>
  <c r="E9" i="44"/>
  <c r="D9"/>
  <c r="M8" s="1"/>
  <c r="E8"/>
  <c r="D8"/>
  <c r="N20" i="26"/>
  <c r="N19"/>
  <c r="J133" i="44" l="1"/>
  <c r="J106"/>
  <c r="D210" s="1"/>
  <c r="E384" s="1"/>
  <c r="F188" i="48" s="1"/>
  <c r="C26" i="52"/>
  <c r="C94" s="1"/>
  <c r="N110" i="44"/>
  <c r="D28" i="52"/>
  <c r="D50" s="1"/>
  <c r="N26" i="51"/>
  <c r="N386" s="1"/>
  <c r="C37" i="48"/>
  <c r="J397" i="44"/>
  <c r="M397"/>
  <c r="AH361"/>
  <c r="W361" s="1"/>
  <c r="V361" s="1"/>
  <c r="K361" s="1"/>
  <c r="P268" i="51"/>
  <c r="P47"/>
  <c r="P303"/>
  <c r="P92"/>
  <c r="P375"/>
  <c r="P132"/>
  <c r="P324"/>
  <c r="P149"/>
  <c r="P354"/>
  <c r="P187"/>
  <c r="P219"/>
  <c r="P212"/>
  <c r="P249"/>
  <c r="P69"/>
  <c r="O69" s="1"/>
  <c r="E13" i="52"/>
  <c r="E179" s="1"/>
  <c r="E79"/>
  <c r="E47"/>
  <c r="E215"/>
  <c r="E113"/>
  <c r="E188"/>
  <c r="E235"/>
  <c r="E303"/>
  <c r="F189" i="48"/>
  <c r="N7" i="51"/>
  <c r="C18" i="48"/>
  <c r="C7" i="52"/>
  <c r="J378" i="44"/>
  <c r="M378"/>
  <c r="P13" i="51"/>
  <c r="D361" i="44"/>
  <c r="AI360" s="1"/>
  <c r="D24" i="48"/>
  <c r="J139" i="44"/>
  <c r="N115"/>
  <c r="D22" i="52" s="1"/>
  <c r="N106" i="44"/>
  <c r="H12"/>
  <c r="G12" s="1"/>
  <c r="M211" i="48"/>
  <c r="H19" i="44"/>
  <c r="G19" s="1"/>
  <c r="P211" i="48"/>
  <c r="H8" i="44"/>
  <c r="G8" s="1"/>
  <c r="M207" i="48"/>
  <c r="H10" i="44"/>
  <c r="G10" s="1"/>
  <c r="M209" i="48"/>
  <c r="H21" i="44"/>
  <c r="G21" s="1"/>
  <c r="P213" i="48"/>
  <c r="E32" i="44"/>
  <c r="D32" s="1"/>
  <c r="E31"/>
  <c r="N25" i="51"/>
  <c r="C36" i="48"/>
  <c r="C25" i="52"/>
  <c r="J396" i="44"/>
  <c r="M396"/>
  <c r="G74"/>
  <c r="V346"/>
  <c r="K346" s="1"/>
  <c r="H100"/>
  <c r="P358" i="51"/>
  <c r="P326"/>
  <c r="P383"/>
  <c r="P283"/>
  <c r="P203"/>
  <c r="P160"/>
  <c r="P231"/>
  <c r="P178"/>
  <c r="P242"/>
  <c r="P137"/>
  <c r="P99"/>
  <c r="P81"/>
  <c r="P60"/>
  <c r="P301"/>
  <c r="J212" i="44"/>
  <c r="J108"/>
  <c r="D212" s="1"/>
  <c r="E386" s="1"/>
  <c r="F200" i="48" s="1"/>
  <c r="O355" i="51"/>
  <c r="O388"/>
  <c r="O330"/>
  <c r="O237"/>
  <c r="O299"/>
  <c r="O269"/>
  <c r="O250"/>
  <c r="O192"/>
  <c r="O168"/>
  <c r="O159"/>
  <c r="O136"/>
  <c r="O96"/>
  <c r="O62"/>
  <c r="D309" i="52"/>
  <c r="D244"/>
  <c r="D216"/>
  <c r="D169"/>
  <c r="D83"/>
  <c r="D52"/>
  <c r="D94"/>
  <c r="D299"/>
  <c r="N258" i="51"/>
  <c r="N267"/>
  <c r="N53"/>
  <c r="J144" i="44"/>
  <c r="J209"/>
  <c r="G383" s="1"/>
  <c r="J208"/>
  <c r="G382" s="1"/>
  <c r="E304" i="52"/>
  <c r="E246"/>
  <c r="E209"/>
  <c r="E170"/>
  <c r="E95"/>
  <c r="E87"/>
  <c r="E57"/>
  <c r="P22" i="51"/>
  <c r="D33" i="48"/>
  <c r="E22" i="52"/>
  <c r="N393" i="44"/>
  <c r="F84"/>
  <c r="E84" s="1"/>
  <c r="N84"/>
  <c r="P355" i="51"/>
  <c r="P388"/>
  <c r="P330"/>
  <c r="P237"/>
  <c r="P299"/>
  <c r="P269"/>
  <c r="P250"/>
  <c r="P192"/>
  <c r="P168"/>
  <c r="P159"/>
  <c r="P136"/>
  <c r="P96"/>
  <c r="P62"/>
  <c r="P87"/>
  <c r="O87" s="1"/>
  <c r="P308"/>
  <c r="P329"/>
  <c r="P369"/>
  <c r="P353"/>
  <c r="P257"/>
  <c r="P279"/>
  <c r="P195"/>
  <c r="P221"/>
  <c r="P170"/>
  <c r="P144"/>
  <c r="P118"/>
  <c r="P101"/>
  <c r="P45"/>
  <c r="P71"/>
  <c r="O386"/>
  <c r="O332"/>
  <c r="O309"/>
  <c r="O357"/>
  <c r="O267"/>
  <c r="O258"/>
  <c r="O198"/>
  <c r="O171"/>
  <c r="O230"/>
  <c r="O150"/>
  <c r="O103"/>
  <c r="O122"/>
  <c r="O53"/>
  <c r="P373"/>
  <c r="P362"/>
  <c r="P337"/>
  <c r="P274"/>
  <c r="P260"/>
  <c r="P304"/>
  <c r="P234"/>
  <c r="P180"/>
  <c r="P162"/>
  <c r="P205"/>
  <c r="P109"/>
  <c r="P135"/>
  <c r="P56"/>
  <c r="O13"/>
  <c r="D13" i="52"/>
  <c r="N17" i="51"/>
  <c r="C28" i="48"/>
  <c r="C17" i="52"/>
  <c r="J388" i="44"/>
  <c r="M388"/>
  <c r="O17" i="51"/>
  <c r="D17" i="52"/>
  <c r="P349" i="51"/>
  <c r="P377"/>
  <c r="P248"/>
  <c r="P325"/>
  <c r="P295"/>
  <c r="P285"/>
  <c r="P235"/>
  <c r="P158"/>
  <c r="P202"/>
  <c r="P175"/>
  <c r="P134"/>
  <c r="P107"/>
  <c r="P57"/>
  <c r="P85"/>
  <c r="J115" i="44"/>
  <c r="D219" s="1"/>
  <c r="E393" s="1"/>
  <c r="F194" i="48" s="1"/>
  <c r="P26" i="51"/>
  <c r="D37" i="48"/>
  <c r="E26" i="52"/>
  <c r="N397" i="44"/>
  <c r="P345" i="51"/>
  <c r="P378"/>
  <c r="P319"/>
  <c r="P297"/>
  <c r="P280"/>
  <c r="P247"/>
  <c r="P153"/>
  <c r="P217"/>
  <c r="P197"/>
  <c r="P173"/>
  <c r="P126"/>
  <c r="P105"/>
  <c r="P42"/>
  <c r="P67"/>
  <c r="E301" i="52"/>
  <c r="E228"/>
  <c r="E200"/>
  <c r="E189"/>
  <c r="E114"/>
  <c r="E82"/>
  <c r="E45"/>
  <c r="E299"/>
  <c r="E236"/>
  <c r="E214"/>
  <c r="E186"/>
  <c r="E111"/>
  <c r="E80"/>
  <c r="E50"/>
  <c r="E308"/>
  <c r="E243"/>
  <c r="E204"/>
  <c r="E174"/>
  <c r="E99"/>
  <c r="E49"/>
  <c r="E78"/>
  <c r="G116" i="44"/>
  <c r="H90"/>
  <c r="D31"/>
  <c r="M29" s="1"/>
  <c r="A32"/>
  <c r="N28" i="51"/>
  <c r="C39" i="48"/>
  <c r="C28" i="52"/>
  <c r="M399" i="44"/>
  <c r="O25" i="51"/>
  <c r="D25" i="52"/>
  <c r="E295"/>
  <c r="E234"/>
  <c r="E198"/>
  <c r="E176"/>
  <c r="E44"/>
  <c r="E73"/>
  <c r="E101"/>
  <c r="L19" i="26"/>
  <c r="K19"/>
  <c r="E104" i="52" l="1"/>
  <c r="E39"/>
  <c r="E70"/>
  <c r="E297"/>
  <c r="E233"/>
  <c r="E203"/>
  <c r="M384" i="44"/>
  <c r="O22" i="51"/>
  <c r="C309" i="52"/>
  <c r="D133" i="44"/>
  <c r="N13" i="51"/>
  <c r="C24" i="48"/>
  <c r="C13" i="52"/>
  <c r="J384" i="44"/>
  <c r="C244" i="52"/>
  <c r="C216"/>
  <c r="C169"/>
  <c r="C52"/>
  <c r="C83"/>
  <c r="N198" i="51"/>
  <c r="D214" i="52"/>
  <c r="N171" i="51"/>
  <c r="D186" i="52"/>
  <c r="N230" i="51"/>
  <c r="N332"/>
  <c r="D111" i="52"/>
  <c r="D236"/>
  <c r="N150" i="51"/>
  <c r="N309"/>
  <c r="D80" i="52"/>
  <c r="N103" i="51"/>
  <c r="N357"/>
  <c r="N122"/>
  <c r="C105" i="52"/>
  <c r="C68"/>
  <c r="C40"/>
  <c r="C180"/>
  <c r="C210"/>
  <c r="C229"/>
  <c r="C296"/>
  <c r="N343" i="51"/>
  <c r="N100"/>
  <c r="N371"/>
  <c r="N243"/>
  <c r="N199"/>
  <c r="N174"/>
  <c r="N218"/>
  <c r="N43"/>
  <c r="N273"/>
  <c r="N68"/>
  <c r="N296"/>
  <c r="N151"/>
  <c r="N320"/>
  <c r="N127"/>
  <c r="J84" i="44"/>
  <c r="D356" s="1"/>
  <c r="AI355" s="1"/>
  <c r="M31"/>
  <c r="S214" i="48"/>
  <c r="E309" i="52"/>
  <c r="E244"/>
  <c r="E216"/>
  <c r="E169"/>
  <c r="E83"/>
  <c r="E52"/>
  <c r="E94"/>
  <c r="D297"/>
  <c r="D233"/>
  <c r="D203"/>
  <c r="D179"/>
  <c r="D39"/>
  <c r="D70"/>
  <c r="D104"/>
  <c r="O308" i="51"/>
  <c r="O329"/>
  <c r="O369"/>
  <c r="O353"/>
  <c r="O279"/>
  <c r="O257"/>
  <c r="O195"/>
  <c r="O221"/>
  <c r="O170"/>
  <c r="O118"/>
  <c r="O101"/>
  <c r="O144"/>
  <c r="O45"/>
  <c r="P317"/>
  <c r="P342"/>
  <c r="P292"/>
  <c r="P381"/>
  <c r="P244"/>
  <c r="P179"/>
  <c r="P152"/>
  <c r="P204"/>
  <c r="P232"/>
  <c r="P123"/>
  <c r="P112"/>
  <c r="P82"/>
  <c r="P55"/>
  <c r="P284"/>
  <c r="O284" s="1"/>
  <c r="N345"/>
  <c r="N319"/>
  <c r="N378"/>
  <c r="N247"/>
  <c r="N297"/>
  <c r="N280"/>
  <c r="N153"/>
  <c r="N217"/>
  <c r="N197"/>
  <c r="N173"/>
  <c r="N126"/>
  <c r="N105"/>
  <c r="N67"/>
  <c r="N42"/>
  <c r="C308" i="52"/>
  <c r="C243"/>
  <c r="C204"/>
  <c r="C174"/>
  <c r="C99"/>
  <c r="C49"/>
  <c r="C78"/>
  <c r="D292"/>
  <c r="D230"/>
  <c r="D199"/>
  <c r="D178"/>
  <c r="D37"/>
  <c r="D103"/>
  <c r="D67"/>
  <c r="N329" i="51"/>
  <c r="N369"/>
  <c r="N353"/>
  <c r="N308"/>
  <c r="N279"/>
  <c r="N257"/>
  <c r="N195"/>
  <c r="N221"/>
  <c r="N170"/>
  <c r="N118"/>
  <c r="N101"/>
  <c r="N144"/>
  <c r="N45"/>
  <c r="N326"/>
  <c r="N383"/>
  <c r="N231"/>
  <c r="N242"/>
  <c r="N358"/>
  <c r="N301"/>
  <c r="N283"/>
  <c r="N178"/>
  <c r="N203"/>
  <c r="N160"/>
  <c r="N137"/>
  <c r="N99"/>
  <c r="N81"/>
  <c r="N60"/>
  <c r="C301" i="52"/>
  <c r="C228"/>
  <c r="C189"/>
  <c r="C200"/>
  <c r="C114"/>
  <c r="AF113" s="1"/>
  <c r="C45"/>
  <c r="C82"/>
  <c r="O71" i="51"/>
  <c r="N71" s="1"/>
  <c r="O81"/>
  <c r="O345"/>
  <c r="O319"/>
  <c r="O378"/>
  <c r="O247"/>
  <c r="O297"/>
  <c r="O280"/>
  <c r="O153"/>
  <c r="O217"/>
  <c r="O197"/>
  <c r="O173"/>
  <c r="O126"/>
  <c r="O105"/>
  <c r="O42"/>
  <c r="D308" i="52"/>
  <c r="D243"/>
  <c r="D204"/>
  <c r="D174"/>
  <c r="D99"/>
  <c r="D49"/>
  <c r="D78"/>
  <c r="E292"/>
  <c r="E230"/>
  <c r="E199"/>
  <c r="E178"/>
  <c r="E103"/>
  <c r="E37"/>
  <c r="E67"/>
  <c r="C297"/>
  <c r="C233"/>
  <c r="C203"/>
  <c r="C179"/>
  <c r="C39"/>
  <c r="C70"/>
  <c r="C104"/>
  <c r="D139" i="44"/>
  <c r="J138" s="1"/>
  <c r="D138" s="1"/>
  <c r="N15" i="51"/>
  <c r="C26" i="48"/>
  <c r="C15" i="52"/>
  <c r="M386" i="44"/>
  <c r="J386"/>
  <c r="C299" i="52"/>
  <c r="C236"/>
  <c r="C214"/>
  <c r="C186"/>
  <c r="C111"/>
  <c r="C80"/>
  <c r="C50"/>
  <c r="P11" i="51"/>
  <c r="D22" i="48"/>
  <c r="E11" i="52"/>
  <c r="AK491" s="1"/>
  <c r="N382" i="44"/>
  <c r="P386" i="51"/>
  <c r="P332"/>
  <c r="P309"/>
  <c r="P267"/>
  <c r="P357"/>
  <c r="P258"/>
  <c r="P198"/>
  <c r="P171"/>
  <c r="P230"/>
  <c r="P150"/>
  <c r="P103"/>
  <c r="P122"/>
  <c r="P53"/>
  <c r="P80"/>
  <c r="O80" s="1"/>
  <c r="N80" s="1"/>
  <c r="N22"/>
  <c r="C33" i="48"/>
  <c r="C22" i="52"/>
  <c r="M393" i="44"/>
  <c r="J393"/>
  <c r="O358" i="51"/>
  <c r="O326"/>
  <c r="O383"/>
  <c r="O301"/>
  <c r="O283"/>
  <c r="O242"/>
  <c r="O231"/>
  <c r="O178"/>
  <c r="O203"/>
  <c r="O160"/>
  <c r="O137"/>
  <c r="O99"/>
  <c r="O60"/>
  <c r="P12"/>
  <c r="D23" i="48"/>
  <c r="E12" i="52"/>
  <c r="N383" i="44"/>
  <c r="J346"/>
  <c r="G100"/>
  <c r="N87" i="51"/>
  <c r="V362" i="44"/>
  <c r="K362" s="1"/>
  <c r="H116"/>
  <c r="N355" i="51"/>
  <c r="N388"/>
  <c r="N330"/>
  <c r="N299"/>
  <c r="N269"/>
  <c r="N250"/>
  <c r="N192"/>
  <c r="N168"/>
  <c r="N237"/>
  <c r="N159"/>
  <c r="N136"/>
  <c r="N96"/>
  <c r="N62"/>
  <c r="M32" i="44"/>
  <c r="O342" i="51"/>
  <c r="O381"/>
  <c r="O292"/>
  <c r="O317"/>
  <c r="O244"/>
  <c r="O179"/>
  <c r="O152"/>
  <c r="O204"/>
  <c r="O232"/>
  <c r="O123"/>
  <c r="O112"/>
  <c r="O82"/>
  <c r="O55"/>
  <c r="D301" i="52"/>
  <c r="D228"/>
  <c r="D200"/>
  <c r="D189"/>
  <c r="D114"/>
  <c r="D82"/>
  <c r="D45"/>
  <c r="G386" i="44"/>
  <c r="O67" i="51"/>
  <c r="E302" i="52" l="1"/>
  <c r="E237"/>
  <c r="E190"/>
  <c r="E211"/>
  <c r="E115"/>
  <c r="E42"/>
  <c r="E72"/>
  <c r="P341" i="51"/>
  <c r="P382"/>
  <c r="P252"/>
  <c r="P298"/>
  <c r="P287"/>
  <c r="P316"/>
  <c r="P229"/>
  <c r="P186"/>
  <c r="P211"/>
  <c r="P142"/>
  <c r="P116"/>
  <c r="P93"/>
  <c r="P58"/>
  <c r="P79"/>
  <c r="P347"/>
  <c r="P321"/>
  <c r="P374"/>
  <c r="P302"/>
  <c r="P272"/>
  <c r="P251"/>
  <c r="P184"/>
  <c r="P210"/>
  <c r="P228"/>
  <c r="P148"/>
  <c r="P124"/>
  <c r="P102"/>
  <c r="P54"/>
  <c r="P78"/>
  <c r="N312"/>
  <c r="N359"/>
  <c r="N333"/>
  <c r="N385"/>
  <c r="N262"/>
  <c r="N271"/>
  <c r="N185"/>
  <c r="N225"/>
  <c r="N208"/>
  <c r="N141"/>
  <c r="N91"/>
  <c r="N117"/>
  <c r="N75"/>
  <c r="N52"/>
  <c r="F100" i="44"/>
  <c r="E100" s="1"/>
  <c r="D100" s="1"/>
  <c r="J134"/>
  <c r="J204"/>
  <c r="G378" s="1"/>
  <c r="N342" i="51"/>
  <c r="N381"/>
  <c r="N317"/>
  <c r="N284"/>
  <c r="N244"/>
  <c r="N232"/>
  <c r="N292"/>
  <c r="N204"/>
  <c r="N179"/>
  <c r="N152"/>
  <c r="N112"/>
  <c r="N123"/>
  <c r="N82"/>
  <c r="N55"/>
  <c r="E238" i="52"/>
  <c r="E298"/>
  <c r="AI323" s="1"/>
  <c r="AK324" s="1"/>
  <c r="E196"/>
  <c r="E177"/>
  <c r="E102"/>
  <c r="E36"/>
  <c r="E66"/>
  <c r="C292"/>
  <c r="C230"/>
  <c r="C199"/>
  <c r="C178"/>
  <c r="C37"/>
  <c r="C67"/>
  <c r="C103"/>
  <c r="C312"/>
  <c r="C248"/>
  <c r="C212"/>
  <c r="C173"/>
  <c r="C53"/>
  <c r="C98"/>
  <c r="AF97" s="1"/>
  <c r="C84"/>
  <c r="P15" i="51"/>
  <c r="D26" i="48"/>
  <c r="E15" i="52"/>
  <c r="N386" i="44"/>
  <c r="P312" i="51" l="1"/>
  <c r="P359"/>
  <c r="P333"/>
  <c r="P271"/>
  <c r="P385"/>
  <c r="P262"/>
  <c r="P185"/>
  <c r="P225"/>
  <c r="P208"/>
  <c r="P117"/>
  <c r="P141"/>
  <c r="P91"/>
  <c r="P52"/>
  <c r="P75"/>
  <c r="E312" i="52"/>
  <c r="E248"/>
  <c r="E212"/>
  <c r="E173"/>
  <c r="E53"/>
  <c r="E84"/>
  <c r="E98"/>
  <c r="AJ324"/>
  <c r="P7" i="51"/>
  <c r="D18" i="48"/>
  <c r="E7" i="52"/>
  <c r="N378" i="44"/>
  <c r="P320" i="51" l="1"/>
  <c r="P371"/>
  <c r="P243"/>
  <c r="P343"/>
  <c r="P296"/>
  <c r="P273"/>
  <c r="P218"/>
  <c r="P174"/>
  <c r="P199"/>
  <c r="P100"/>
  <c r="P127"/>
  <c r="P151"/>
  <c r="P43"/>
  <c r="P68"/>
  <c r="O68" s="1"/>
  <c r="E296" i="52"/>
  <c r="E229"/>
  <c r="E210"/>
  <c r="E180"/>
  <c r="E105"/>
  <c r="E40"/>
  <c r="E68"/>
  <c r="K6" i="47"/>
  <c r="S6"/>
  <c r="AA6"/>
  <c r="AI6"/>
  <c r="K10"/>
  <c r="S10"/>
  <c r="AA10"/>
  <c r="AI10"/>
  <c r="AK10" s="1"/>
  <c r="D77" i="44"/>
  <c r="BL13" i="38"/>
  <c r="BN13" s="1"/>
  <c r="AF102" i="52" s="1"/>
  <c r="K18" i="47"/>
  <c r="S18"/>
  <c r="AA18"/>
  <c r="AC18" s="1"/>
  <c r="AI18"/>
  <c r="AJ18" s="1"/>
  <c r="AH202" i="52"/>
  <c r="K11" i="47"/>
  <c r="S11"/>
  <c r="AA11"/>
  <c r="AI11"/>
  <c r="K17"/>
  <c r="L17" s="1"/>
  <c r="S17"/>
  <c r="U17" s="1"/>
  <c r="AA17"/>
  <c r="AC17" s="1"/>
  <c r="AI17"/>
  <c r="K20"/>
  <c r="S20"/>
  <c r="T20" s="1"/>
  <c r="AA20"/>
  <c r="AI20"/>
  <c r="E105" i="44"/>
  <c r="F79"/>
  <c r="F105" s="1"/>
  <c r="G79"/>
  <c r="H79"/>
  <c r="H105" s="1"/>
  <c r="V209" s="1"/>
  <c r="K9" i="47"/>
  <c r="L9" s="1"/>
  <c r="BL9"/>
  <c r="H78" i="44"/>
  <c r="H104" s="1"/>
  <c r="D83"/>
  <c r="G83"/>
  <c r="G109" s="1"/>
  <c r="H83"/>
  <c r="H109" s="1"/>
  <c r="V213" s="1"/>
  <c r="H87" i="51"/>
  <c r="H29" i="44" s="1"/>
  <c r="G29"/>
  <c r="K21" i="47"/>
  <c r="L21" s="1"/>
  <c r="S21"/>
  <c r="AA21"/>
  <c r="AI21"/>
  <c r="G75" i="44"/>
  <c r="G101" s="1"/>
  <c r="H75"/>
  <c r="H101" s="1"/>
  <c r="H73" i="51"/>
  <c r="H15" i="44" s="1"/>
  <c r="G15"/>
  <c r="H88"/>
  <c r="N88" s="1"/>
  <c r="AH360" s="1"/>
  <c r="AH218" s="1"/>
  <c r="H72" i="51"/>
  <c r="H14" i="44" s="1"/>
  <c r="G14"/>
  <c r="H81" i="51"/>
  <c r="H23" i="44" s="1"/>
  <c r="G23"/>
  <c r="H69" i="51"/>
  <c r="H11" i="44" s="1"/>
  <c r="G11"/>
  <c r="H85" i="51"/>
  <c r="H27" i="44" s="1"/>
  <c r="G27"/>
  <c r="H74" i="51"/>
  <c r="H16" i="44" s="1"/>
  <c r="G16"/>
  <c r="H84" i="51"/>
  <c r="H26" i="44" s="1"/>
  <c r="G26"/>
  <c r="H75" i="51"/>
  <c r="H17" i="44" s="1"/>
  <c r="G17"/>
  <c r="H83" i="51"/>
  <c r="H25" i="44" s="1"/>
  <c r="G25"/>
  <c r="H80" i="51"/>
  <c r="H22" i="44" s="1"/>
  <c r="G22"/>
  <c r="E93"/>
  <c r="F93"/>
  <c r="G93"/>
  <c r="H93"/>
  <c r="V365" s="1"/>
  <c r="AI364"/>
  <c r="H92"/>
  <c r="N92" s="1"/>
  <c r="AH364" s="1"/>
  <c r="AH222" s="1"/>
  <c r="H82" i="51"/>
  <c r="H24" i="44" s="1"/>
  <c r="G24"/>
  <c r="E81"/>
  <c r="E107" s="1"/>
  <c r="G81"/>
  <c r="G107" s="1"/>
  <c r="H81"/>
  <c r="H107" s="1"/>
  <c r="V211" s="1"/>
  <c r="G9"/>
  <c r="G13"/>
  <c r="G18"/>
  <c r="G20"/>
  <c r="G28"/>
  <c r="H67" i="51"/>
  <c r="H9" i="44" s="1"/>
  <c r="H86" i="51"/>
  <c r="H28" i="44" s="1"/>
  <c r="D76"/>
  <c r="D102" s="1"/>
  <c r="BP8" i="47"/>
  <c r="BO8" s="1"/>
  <c r="BT8"/>
  <c r="BX8"/>
  <c r="BP7"/>
  <c r="BR7" s="1"/>
  <c r="BT7"/>
  <c r="DL7" i="38"/>
  <c r="BX7" i="47"/>
  <c r="BW7" s="1"/>
  <c r="X515" i="52"/>
  <c r="U462" i="48" s="1"/>
  <c r="U463" s="1"/>
  <c r="H71" i="51"/>
  <c r="H13" i="44" s="1"/>
  <c r="H76" i="51"/>
  <c r="H18" i="44" s="1"/>
  <c r="H78" i="51"/>
  <c r="H20" i="44" s="1"/>
  <c r="E101"/>
  <c r="F101"/>
  <c r="G114"/>
  <c r="F114"/>
  <c r="E114"/>
  <c r="G77"/>
  <c r="G103" s="1"/>
  <c r="H77"/>
  <c r="H103" s="1"/>
  <c r="BL8" i="47"/>
  <c r="DD8" i="38"/>
  <c r="W349" i="44"/>
  <c r="BL6" i="47"/>
  <c r="DD6" i="38" s="1"/>
  <c r="PJ6" s="1"/>
  <c r="W347" i="44"/>
  <c r="G76"/>
  <c r="G102" s="1"/>
  <c r="H76"/>
  <c r="W348"/>
  <c r="K19" i="47"/>
  <c r="BL19"/>
  <c r="DD19" i="38" s="1"/>
  <c r="W360" i="44"/>
  <c r="E95"/>
  <c r="F95"/>
  <c r="G95"/>
  <c r="H95"/>
  <c r="V367" s="1"/>
  <c r="K12" i="47"/>
  <c r="N12" s="1"/>
  <c r="BL12"/>
  <c r="DD12" i="38" s="1"/>
  <c r="AI12" i="47"/>
  <c r="BX12"/>
  <c r="DP12" i="38" s="1"/>
  <c r="W353" i="44"/>
  <c r="E76"/>
  <c r="E102" s="1"/>
  <c r="BL26" i="47"/>
  <c r="V225" i="44"/>
  <c r="W367"/>
  <c r="AH356"/>
  <c r="AH214" s="1"/>
  <c r="K15" i="47"/>
  <c r="AU15" s="1"/>
  <c r="BL15"/>
  <c r="DD15" i="38" s="1"/>
  <c r="W356" i="44"/>
  <c r="E33" i="38"/>
  <c r="F33" s="1"/>
  <c r="X230" i="44" s="1"/>
  <c r="L230"/>
  <c r="D86"/>
  <c r="G86"/>
  <c r="G112" s="1"/>
  <c r="H86"/>
  <c r="V358" s="1"/>
  <c r="BL17" i="47"/>
  <c r="W358" i="44"/>
  <c r="K14" i="47"/>
  <c r="L14" s="1"/>
  <c r="BL14"/>
  <c r="NU14" i="38" s="1"/>
  <c r="W355" i="44"/>
  <c r="G87"/>
  <c r="G113" s="1"/>
  <c r="F87"/>
  <c r="F113" s="1"/>
  <c r="E85"/>
  <c r="G85"/>
  <c r="G111" s="1"/>
  <c r="H85"/>
  <c r="H111" s="1"/>
  <c r="V215" s="1"/>
  <c r="K16" i="47"/>
  <c r="BL16"/>
  <c r="DD16" i="38" s="1"/>
  <c r="AI16" i="47"/>
  <c r="BX16"/>
  <c r="DP16" i="38" s="1"/>
  <c r="W357" i="44"/>
  <c r="BL21" i="47"/>
  <c r="DD21" i="38" s="1"/>
  <c r="PJ21" s="1"/>
  <c r="V220" i="44"/>
  <c r="BP21" i="47"/>
  <c r="BT21"/>
  <c r="DL21" i="38" s="1"/>
  <c r="BX21" i="47"/>
  <c r="BY21" s="1"/>
  <c r="F76" i="44"/>
  <c r="F102" s="1"/>
  <c r="BL24" i="47"/>
  <c r="DD24" i="38" s="1"/>
  <c r="PJ24" s="1"/>
  <c r="V223" i="44"/>
  <c r="W365"/>
  <c r="BL10" i="47"/>
  <c r="DD10" i="38" s="1"/>
  <c r="W351" i="44"/>
  <c r="E77"/>
  <c r="E103" s="1"/>
  <c r="F77"/>
  <c r="F103" s="1"/>
  <c r="E87"/>
  <c r="E113" s="1"/>
  <c r="D87"/>
  <c r="D113" s="1"/>
  <c r="D94"/>
  <c r="D120" s="1"/>
  <c r="E94"/>
  <c r="E120" s="1"/>
  <c r="F94"/>
  <c r="F120" s="1"/>
  <c r="G94"/>
  <c r="G120" s="1"/>
  <c r="H94"/>
  <c r="H120" s="1"/>
  <c r="V224" s="1"/>
  <c r="H87"/>
  <c r="H113" s="1"/>
  <c r="V217" s="1"/>
  <c r="BL18" i="47"/>
  <c r="DD18" i="38" s="1"/>
  <c r="PJ18" s="1"/>
  <c r="W359" i="44"/>
  <c r="E91"/>
  <c r="E117" s="1"/>
  <c r="J221" s="1"/>
  <c r="G395" s="1"/>
  <c r="H91"/>
  <c r="H117" s="1"/>
  <c r="V221" s="1"/>
  <c r="K22" i="47"/>
  <c r="M22" s="1"/>
  <c r="BL22"/>
  <c r="AI22"/>
  <c r="AJ22" s="1"/>
  <c r="BX22"/>
  <c r="BY22" s="1"/>
  <c r="W363" i="44"/>
  <c r="AH352"/>
  <c r="AH210" s="1"/>
  <c r="BL11" i="47"/>
  <c r="V210" i="44"/>
  <c r="W352"/>
  <c r="K23" i="47"/>
  <c r="M23" s="1"/>
  <c r="BL23"/>
  <c r="DD23" i="38" s="1"/>
  <c r="PJ23" s="1"/>
  <c r="V222" i="44"/>
  <c r="W364"/>
  <c r="K25" i="47"/>
  <c r="BL25"/>
  <c r="DD25" i="38" s="1"/>
  <c r="PJ25" s="1"/>
  <c r="W366" i="44"/>
  <c r="K358"/>
  <c r="F86"/>
  <c r="F112" s="1"/>
  <c r="E86"/>
  <c r="E112" s="1"/>
  <c r="F81"/>
  <c r="AI352"/>
  <c r="F85"/>
  <c r="F111" s="1"/>
  <c r="J140"/>
  <c r="D111"/>
  <c r="K347"/>
  <c r="AI357"/>
  <c r="AI349"/>
  <c r="E83"/>
  <c r="E109" s="1"/>
  <c r="F83"/>
  <c r="F109" s="1"/>
  <c r="W354"/>
  <c r="K357"/>
  <c r="J92"/>
  <c r="D364" s="1"/>
  <c r="AI363"/>
  <c r="K367"/>
  <c r="J367"/>
  <c r="E367"/>
  <c r="AI366"/>
  <c r="E353"/>
  <c r="K5" i="47"/>
  <c r="BL5"/>
  <c r="V204" i="44"/>
  <c r="S5" i="47"/>
  <c r="BP5"/>
  <c r="DH5" i="38" s="1"/>
  <c r="K364" i="44"/>
  <c r="J131"/>
  <c r="D131"/>
  <c r="J130"/>
  <c r="D130"/>
  <c r="J128"/>
  <c r="D128"/>
  <c r="D107"/>
  <c r="J116"/>
  <c r="D147" s="1"/>
  <c r="J146"/>
  <c r="J145"/>
  <c r="D145"/>
  <c r="K349"/>
  <c r="E357"/>
  <c r="J88"/>
  <c r="D360" s="1"/>
  <c r="V360"/>
  <c r="K360"/>
  <c r="J360"/>
  <c r="E360"/>
  <c r="G91"/>
  <c r="G117" s="1"/>
  <c r="F91"/>
  <c r="F117" s="1"/>
  <c r="K366"/>
  <c r="E358"/>
  <c r="D109"/>
  <c r="J213" s="1"/>
  <c r="G387" s="1"/>
  <c r="J349"/>
  <c r="E349"/>
  <c r="AI356"/>
  <c r="AI359"/>
  <c r="E366"/>
  <c r="J135"/>
  <c r="E348"/>
  <c r="AI347"/>
  <c r="AI7" i="47"/>
  <c r="AK7" s="1"/>
  <c r="K7"/>
  <c r="N7" s="1"/>
  <c r="S7"/>
  <c r="U7" s="1"/>
  <c r="BL7"/>
  <c r="J355" i="44"/>
  <c r="E355"/>
  <c r="AI348"/>
  <c r="V351"/>
  <c r="K351"/>
  <c r="V359"/>
  <c r="K359"/>
  <c r="J363"/>
  <c r="E363"/>
  <c r="AI365"/>
  <c r="W350"/>
  <c r="N78"/>
  <c r="K350"/>
  <c r="V355"/>
  <c r="K355"/>
  <c r="V348"/>
  <c r="K348"/>
  <c r="K353"/>
  <c r="E359"/>
  <c r="AI358"/>
  <c r="AI362"/>
  <c r="K365"/>
  <c r="BL13" i="47"/>
  <c r="DD13" i="38" s="1"/>
  <c r="PJ13" s="1"/>
  <c r="V212" i="44"/>
  <c r="S19" i="47"/>
  <c r="T19" s="1"/>
  <c r="AA19"/>
  <c r="AI19"/>
  <c r="AJ19" s="1"/>
  <c r="AH209" i="52"/>
  <c r="X427" i="44"/>
  <c r="H279" i="48" s="1"/>
  <c r="BP11" i="47"/>
  <c r="DH11" i="38" s="1"/>
  <c r="BT11" i="47"/>
  <c r="BX11"/>
  <c r="BY11" s="1"/>
  <c r="AA7"/>
  <c r="V427" i="44"/>
  <c r="F438" s="1"/>
  <c r="X429"/>
  <c r="H274" i="48" s="1"/>
  <c r="BP6" i="47"/>
  <c r="BT6"/>
  <c r="BX6"/>
  <c r="OG6" i="38" s="1"/>
  <c r="X428" i="44"/>
  <c r="H278" i="48" s="1"/>
  <c r="AA5" i="47"/>
  <c r="BT5"/>
  <c r="AI5"/>
  <c r="BX5"/>
  <c r="DP5" i="38" s="1"/>
  <c r="V428" i="44"/>
  <c r="F437" s="1"/>
  <c r="BP10" i="47"/>
  <c r="DH10" i="38" s="1"/>
  <c r="BT10" i="47"/>
  <c r="BX10"/>
  <c r="DP10" i="38" s="1"/>
  <c r="S9" i="47"/>
  <c r="AA9"/>
  <c r="AI9"/>
  <c r="AJ9" s="1"/>
  <c r="S12"/>
  <c r="U12" s="1"/>
  <c r="AA12"/>
  <c r="S14"/>
  <c r="U14" s="1"/>
  <c r="AA14"/>
  <c r="AI14"/>
  <c r="S15"/>
  <c r="AY15" s="1"/>
  <c r="AA15"/>
  <c r="AI15"/>
  <c r="AK15" s="1"/>
  <c r="S16"/>
  <c r="U16" s="1"/>
  <c r="AA16"/>
  <c r="AD16" s="1"/>
  <c r="S22"/>
  <c r="T22" s="1"/>
  <c r="AA22"/>
  <c r="S23"/>
  <c r="AA23"/>
  <c r="AI23"/>
  <c r="S25"/>
  <c r="U25" s="1"/>
  <c r="AA25"/>
  <c r="AB25" s="1"/>
  <c r="AI25"/>
  <c r="BP25"/>
  <c r="BT25"/>
  <c r="DL25" i="38" s="1"/>
  <c r="BX25" i="47"/>
  <c r="BY25" s="1"/>
  <c r="X432" i="44"/>
  <c r="H275" i="48" s="1"/>
  <c r="BP15" i="47"/>
  <c r="BT15"/>
  <c r="BX15"/>
  <c r="DP15" i="38" s="1"/>
  <c r="V432" i="44"/>
  <c r="F434" s="1"/>
  <c r="BP12" i="47"/>
  <c r="DH12" i="38" s="1"/>
  <c r="BT12" i="47"/>
  <c r="DL12" i="38" s="1"/>
  <c r="BY12" i="47"/>
  <c r="DQ12" i="38" s="1"/>
  <c r="D435" i="44"/>
  <c r="X435"/>
  <c r="H267" i="48" s="1"/>
  <c r="BP9" i="47"/>
  <c r="BT9"/>
  <c r="BX9"/>
  <c r="DP9" i="38" s="1"/>
  <c r="X437" i="44"/>
  <c r="H273" i="48" s="1"/>
  <c r="X436" i="44"/>
  <c r="H270" i="48" s="1"/>
  <c r="BP16" i="47"/>
  <c r="BT16"/>
  <c r="BW16" s="1"/>
  <c r="BY16"/>
  <c r="BZ16" s="1"/>
  <c r="X433" i="44"/>
  <c r="H271" i="48" s="1"/>
  <c r="BL20" i="47"/>
  <c r="BP20"/>
  <c r="DH20" i="38" s="1"/>
  <c r="BT20" i="47"/>
  <c r="DL20" i="38" s="1"/>
  <c r="BX20" i="47"/>
  <c r="BY20" s="1"/>
  <c r="V433" i="44"/>
  <c r="F430" s="1"/>
  <c r="X434"/>
  <c r="H268" i="48" s="1"/>
  <c r="BP19" i="47"/>
  <c r="BO19" s="1"/>
  <c r="BT19"/>
  <c r="DL19" i="38" s="1"/>
  <c r="PR19" s="1"/>
  <c r="BX19" i="47"/>
  <c r="BY19" s="1"/>
  <c r="X431" i="44"/>
  <c r="H272" i="48" s="1"/>
  <c r="BP18" i="47"/>
  <c r="NY18" i="38" s="1"/>
  <c r="BT18" i="47"/>
  <c r="BX18"/>
  <c r="DP18" i="38" s="1"/>
  <c r="BP14" i="47"/>
  <c r="DH14" i="38" s="1"/>
  <c r="PN14" s="1"/>
  <c r="BT14" i="47"/>
  <c r="BX14"/>
  <c r="BY14" s="1"/>
  <c r="X438" i="44"/>
  <c r="H269" i="48" s="1"/>
  <c r="D430" i="44"/>
  <c r="X430"/>
  <c r="H277" i="48" s="1"/>
  <c r="BP13" i="47"/>
  <c r="BT13"/>
  <c r="BX13"/>
  <c r="DP13" i="38" s="1"/>
  <c r="PV13" s="1"/>
  <c r="BP17" i="47"/>
  <c r="DH17" i="38" s="1"/>
  <c r="BT17" i="47"/>
  <c r="BX17"/>
  <c r="BY17" s="1"/>
  <c r="CK24" i="38"/>
  <c r="CL24"/>
  <c r="CM24"/>
  <c r="CN24"/>
  <c r="CO24"/>
  <c r="CP24"/>
  <c r="CQ24"/>
  <c r="CR24"/>
  <c r="CS24"/>
  <c r="CT24"/>
  <c r="CU24"/>
  <c r="CV24"/>
  <c r="CW24"/>
  <c r="AM26" i="52" s="1"/>
  <c r="BL26" i="38"/>
  <c r="AZ26"/>
  <c r="BP22" i="47"/>
  <c r="DH22" i="38" s="1"/>
  <c r="BT22" i="47"/>
  <c r="DL22" i="38" s="1"/>
  <c r="BP24" i="47"/>
  <c r="DH24" i="38" s="1"/>
  <c r="BT24" i="47"/>
  <c r="BX24"/>
  <c r="DP24" i="38" s="1"/>
  <c r="BP26" i="47"/>
  <c r="DH26" i="38" s="1"/>
  <c r="BT26" i="47"/>
  <c r="DL26" i="38" s="1"/>
  <c r="BX26" i="47"/>
  <c r="DP26" i="38" s="1"/>
  <c r="PV26" s="1"/>
  <c r="BP23" i="47"/>
  <c r="BM23" s="1"/>
  <c r="NV23" i="38" s="1"/>
  <c r="BT23" i="47"/>
  <c r="OC23" i="38" s="1"/>
  <c r="BX23" i="47"/>
  <c r="BY23" s="1"/>
  <c r="Z348" i="52"/>
  <c r="E8" i="48" s="1"/>
  <c r="X348" i="52"/>
  <c r="AJ347" s="1"/>
  <c r="AH198"/>
  <c r="H207"/>
  <c r="AH197"/>
  <c r="U351"/>
  <c r="P8" i="48" s="1"/>
  <c r="V351" i="52"/>
  <c r="Q8" i="48" s="1"/>
  <c r="AK270" i="52"/>
  <c r="Q342" i="48" s="1"/>
  <c r="AK272" i="52"/>
  <c r="Q344" i="48" s="1"/>
  <c r="AJ270" i="52"/>
  <c r="P342" i="48" s="1"/>
  <c r="AJ272" i="52"/>
  <c r="P344" i="48" s="1"/>
  <c r="H41" i="52"/>
  <c r="H70"/>
  <c r="H67"/>
  <c r="H102"/>
  <c r="AJ216"/>
  <c r="AI216"/>
  <c r="AH216"/>
  <c r="AH196"/>
  <c r="AJ217"/>
  <c r="AI217"/>
  <c r="AJ353"/>
  <c r="AI353"/>
  <c r="AJ214"/>
  <c r="AI214"/>
  <c r="AH214"/>
  <c r="H303"/>
  <c r="H311"/>
  <c r="H110"/>
  <c r="AH200"/>
  <c r="AH206"/>
  <c r="AJ212"/>
  <c r="AI212"/>
  <c r="H304"/>
  <c r="H100"/>
  <c r="R457" i="48"/>
  <c r="JT8" i="38"/>
  <c r="MG8" s="1"/>
  <c r="MG45" s="1"/>
  <c r="MD8"/>
  <c r="X495" i="52"/>
  <c r="U495"/>
  <c r="G33" i="38"/>
  <c r="H33" s="1"/>
  <c r="P242" i="48" s="1"/>
  <c r="D433" i="44"/>
  <c r="D428"/>
  <c r="D427"/>
  <c r="H276" i="48"/>
  <c r="H266"/>
  <c r="D434" i="44"/>
  <c r="R456" i="48"/>
  <c r="H8"/>
  <c r="W508" i="52"/>
  <c r="V508"/>
  <c r="U508"/>
  <c r="S462" i="48" s="1"/>
  <c r="S463" s="1"/>
  <c r="AI15" i="51"/>
  <c r="AI13"/>
  <c r="AI17"/>
  <c r="AI22"/>
  <c r="AI20"/>
  <c r="AI10"/>
  <c r="J78"/>
  <c r="I78"/>
  <c r="S83"/>
  <c r="R83"/>
  <c r="J70"/>
  <c r="I70"/>
  <c r="S70"/>
  <c r="R70"/>
  <c r="J83"/>
  <c r="I83"/>
  <c r="S68"/>
  <c r="R68"/>
  <c r="S67"/>
  <c r="R67"/>
  <c r="J86"/>
  <c r="I86"/>
  <c r="J85"/>
  <c r="I85"/>
  <c r="S84"/>
  <c r="R84"/>
  <c r="Q84"/>
  <c r="P84"/>
  <c r="J68"/>
  <c r="S76"/>
  <c r="R76"/>
  <c r="S72"/>
  <c r="R72"/>
  <c r="J82"/>
  <c r="I82"/>
  <c r="J79"/>
  <c r="I79"/>
  <c r="S79"/>
  <c r="R79"/>
  <c r="S73"/>
  <c r="R73"/>
  <c r="J84"/>
  <c r="I84"/>
  <c r="S78"/>
  <c r="R78"/>
  <c r="J76"/>
  <c r="I76"/>
  <c r="S77"/>
  <c r="R77"/>
  <c r="J71"/>
  <c r="I71"/>
  <c r="S71"/>
  <c r="R71"/>
  <c r="J72"/>
  <c r="I72"/>
  <c r="S74"/>
  <c r="R74"/>
  <c r="J87"/>
  <c r="I87"/>
  <c r="J69"/>
  <c r="I69"/>
  <c r="S69"/>
  <c r="R69"/>
  <c r="S81"/>
  <c r="R81"/>
  <c r="J73"/>
  <c r="I73"/>
  <c r="J80"/>
  <c r="I80"/>
  <c r="J75"/>
  <c r="I75"/>
  <c r="S82"/>
  <c r="R82"/>
  <c r="J67"/>
  <c r="I67"/>
  <c r="J66"/>
  <c r="I66"/>
  <c r="S66"/>
  <c r="R66"/>
  <c r="J77"/>
  <c r="I77"/>
  <c r="S85"/>
  <c r="R85"/>
  <c r="J74"/>
  <c r="I74"/>
  <c r="J81"/>
  <c r="I81"/>
  <c r="HH18" i="38"/>
  <c r="HH21"/>
  <c r="EK20"/>
  <c r="EK31" s="1"/>
  <c r="AH219" i="44"/>
  <c r="DD20" i="38"/>
  <c r="V219" i="44"/>
  <c r="EJ20" i="38"/>
  <c r="AY27" i="47"/>
  <c r="BA27" s="1"/>
  <c r="BL27"/>
  <c r="BM27" s="1"/>
  <c r="BM13"/>
  <c r="DE13" i="38" s="1"/>
  <c r="PK13" s="1"/>
  <c r="OP36"/>
  <c r="OT36"/>
  <c r="OX36"/>
  <c r="PB36"/>
  <c r="PD36"/>
  <c r="OR36"/>
  <c r="EK36"/>
  <c r="BM5" i="47"/>
  <c r="DE5" i="38" s="1"/>
  <c r="LW5"/>
  <c r="MC5" s="1"/>
  <c r="OC6"/>
  <c r="OC7"/>
  <c r="NU7"/>
  <c r="OG8"/>
  <c r="OC8"/>
  <c r="NY8"/>
  <c r="OC9"/>
  <c r="LW10"/>
  <c r="LY10" s="1"/>
  <c r="LR24"/>
  <c r="LS24"/>
  <c r="LT24"/>
  <c r="LU24"/>
  <c r="LV24"/>
  <c r="LW24"/>
  <c r="LX24" s="1"/>
  <c r="CI27"/>
  <c r="BM8" i="47"/>
  <c r="DE8" i="38" s="1"/>
  <c r="PK8" s="1"/>
  <c r="LW11"/>
  <c r="MC11" s="1"/>
  <c r="LW12"/>
  <c r="LX12" s="1"/>
  <c r="BK26"/>
  <c r="BJ26"/>
  <c r="BI26"/>
  <c r="BH26"/>
  <c r="BG26"/>
  <c r="BF26"/>
  <c r="BE26"/>
  <c r="BD26"/>
  <c r="BC26"/>
  <c r="BB26"/>
  <c r="BA26"/>
  <c r="EI27"/>
  <c r="EJ27" s="1"/>
  <c r="LW9"/>
  <c r="LX9" s="1"/>
  <c r="OG11"/>
  <c r="NY11"/>
  <c r="IV24"/>
  <c r="IW24" s="1"/>
  <c r="F24" i="47" s="1"/>
  <c r="IV26" i="38"/>
  <c r="IW26" s="1"/>
  <c r="F26" i="47" s="1"/>
  <c r="OG10" i="38"/>
  <c r="DD7"/>
  <c r="NU10"/>
  <c r="OG12"/>
  <c r="OH12"/>
  <c r="NY12"/>
  <c r="BL27"/>
  <c r="BK27"/>
  <c r="BJ27"/>
  <c r="LW6"/>
  <c r="MC6" s="1"/>
  <c r="LW7"/>
  <c r="MC7" s="1"/>
  <c r="NU12"/>
  <c r="LS13"/>
  <c r="LT13"/>
  <c r="LU13"/>
  <c r="LV13"/>
  <c r="LW13"/>
  <c r="LX13" s="1"/>
  <c r="IT13"/>
  <c r="IV13" s="1"/>
  <c r="IW13" s="1"/>
  <c r="F13" i="47" s="1"/>
  <c r="IU13" i="38"/>
  <c r="BX27" i="47"/>
  <c r="BY27" s="1"/>
  <c r="FO27" i="38"/>
  <c r="OC5"/>
  <c r="NY5"/>
  <c r="NU5"/>
  <c r="Z515" i="52"/>
  <c r="Y515"/>
  <c r="NU6" i="38"/>
  <c r="NU8"/>
  <c r="OG13"/>
  <c r="LW16"/>
  <c r="MB16" s="1"/>
  <c r="MD16" s="1"/>
  <c r="LW22"/>
  <c r="MB22" s="1"/>
  <c r="MD22" s="1"/>
  <c r="LY14"/>
  <c r="LZ14" s="1"/>
  <c r="LX14"/>
  <c r="OG15"/>
  <c r="OC15"/>
  <c r="MD14"/>
  <c r="NU15"/>
  <c r="NY13"/>
  <c r="OC13"/>
  <c r="OG14"/>
  <c r="NY14"/>
  <c r="OC14"/>
  <c r="LW26"/>
  <c r="LX26" s="1"/>
  <c r="IE27"/>
  <c r="OG18"/>
  <c r="NU13"/>
  <c r="OG24"/>
  <c r="BM25" i="47"/>
  <c r="NV25" i="38" s="1"/>
  <c r="LW17"/>
  <c r="MB17" s="1"/>
  <c r="MD17" s="1"/>
  <c r="BM19" i="47"/>
  <c r="DE19" i="38" s="1"/>
  <c r="LW21"/>
  <c r="MB21" s="1"/>
  <c r="MD21" s="1"/>
  <c r="LW23"/>
  <c r="LY23" s="1"/>
  <c r="LZ23" s="1"/>
  <c r="OG23"/>
  <c r="LW25"/>
  <c r="MB25" s="1"/>
  <c r="MD25" s="1"/>
  <c r="OG19"/>
  <c r="NY19"/>
  <c r="OC19"/>
  <c r="LW20"/>
  <c r="MA20" s="1"/>
  <c r="NU23"/>
  <c r="CJ24"/>
  <c r="CI24"/>
  <c r="CG24"/>
  <c r="OG26"/>
  <c r="NY26"/>
  <c r="OC26"/>
  <c r="OG16"/>
  <c r="OH16"/>
  <c r="OC16"/>
  <c r="LW18"/>
  <c r="LY18" s="1"/>
  <c r="LZ18" s="1"/>
  <c r="NU19"/>
  <c r="NY21"/>
  <c r="OC21"/>
  <c r="LW15"/>
  <c r="LY15" s="1"/>
  <c r="LZ15" s="1"/>
  <c r="OG17"/>
  <c r="NY17"/>
  <c r="OC17"/>
  <c r="OG20"/>
  <c r="NU21"/>
  <c r="OG25"/>
  <c r="OC25"/>
  <c r="AY26"/>
  <c r="AX26"/>
  <c r="AX27"/>
  <c r="NU20"/>
  <c r="NY22"/>
  <c r="NY24"/>
  <c r="OC24"/>
  <c r="NU25"/>
  <c r="MD19"/>
  <c r="MC19"/>
  <c r="PD34"/>
  <c r="PF34" s="1"/>
  <c r="PC34"/>
  <c r="LW27"/>
  <c r="MC27" s="1"/>
  <c r="NU27"/>
  <c r="OC27"/>
  <c r="OP37"/>
  <c r="OT37"/>
  <c r="OX37"/>
  <c r="PB37"/>
  <c r="PD37"/>
  <c r="OR37"/>
  <c r="X241" i="44"/>
  <c r="OX38" i="38"/>
  <c r="PB38"/>
  <c r="PD38"/>
  <c r="PF38" s="1"/>
  <c r="OY38"/>
  <c r="OZ38"/>
  <c r="PA38"/>
  <c r="PC38"/>
  <c r="OX33"/>
  <c r="PB33"/>
  <c r="PD33"/>
  <c r="PF33" s="1"/>
  <c r="OY33"/>
  <c r="OZ33"/>
  <c r="PA33"/>
  <c r="PC33"/>
  <c r="HI5"/>
  <c r="HI6"/>
  <c r="HI7"/>
  <c r="HI9"/>
  <c r="HI10"/>
  <c r="HI11"/>
  <c r="HI12"/>
  <c r="HI14"/>
  <c r="HI15"/>
  <c r="HI16"/>
  <c r="HI17"/>
  <c r="HI18"/>
  <c r="HI19"/>
  <c r="HI20"/>
  <c r="HI21"/>
  <c r="HI22"/>
  <c r="HI23"/>
  <c r="HI25"/>
  <c r="OW43"/>
  <c r="OV43"/>
  <c r="OU43"/>
  <c r="OS43"/>
  <c r="OR43"/>
  <c r="OQ43"/>
  <c r="OS37"/>
  <c r="OU37"/>
  <c r="OV37"/>
  <c r="OW37"/>
  <c r="OY37"/>
  <c r="OZ37"/>
  <c r="PA37"/>
  <c r="PC37"/>
  <c r="OQ37"/>
  <c r="OS36"/>
  <c r="OU36"/>
  <c r="OV36"/>
  <c r="OW36"/>
  <c r="OY36"/>
  <c r="OZ36"/>
  <c r="PA36"/>
  <c r="PC36"/>
  <c r="OQ36"/>
  <c r="T5" i="47"/>
  <c r="AI2"/>
  <c r="AJ2" s="1"/>
  <c r="AK2" s="1"/>
  <c r="AL2" s="1"/>
  <c r="AH2"/>
  <c r="AG2"/>
  <c r="E13"/>
  <c r="V5"/>
  <c r="U5"/>
  <c r="E24"/>
  <c r="L18"/>
  <c r="AC6"/>
  <c r="AB6"/>
  <c r="AD6"/>
  <c r="AB10"/>
  <c r="L6"/>
  <c r="T6"/>
  <c r="AC12"/>
  <c r="L15"/>
  <c r="AJ15"/>
  <c r="AB20"/>
  <c r="AJ20"/>
  <c r="V21"/>
  <c r="T21"/>
  <c r="AB21"/>
  <c r="AJ21"/>
  <c r="AD10"/>
  <c r="AC10"/>
  <c r="AC20"/>
  <c r="AD20"/>
  <c r="AB17"/>
  <c r="AL20"/>
  <c r="AK20"/>
  <c r="E26"/>
  <c r="D26"/>
  <c r="N23"/>
  <c r="N6"/>
  <c r="M6"/>
  <c r="U6"/>
  <c r="V6"/>
  <c r="AL9"/>
  <c r="AK9"/>
  <c r="AB11"/>
  <c r="AJ11"/>
  <c r="AD11"/>
  <c r="AC11"/>
  <c r="AK11"/>
  <c r="AL11"/>
  <c r="M15"/>
  <c r="AL15"/>
  <c r="N18"/>
  <c r="M18"/>
  <c r="AD21"/>
  <c r="AC21"/>
  <c r="AK21"/>
  <c r="AL21"/>
  <c r="T25"/>
  <c r="V25"/>
  <c r="BS5" l="1"/>
  <c r="DG8" i="38"/>
  <c r="JW8" s="1"/>
  <c r="NX8"/>
  <c r="BO25" i="47"/>
  <c r="BN13"/>
  <c r="BQ8"/>
  <c r="DI8" i="38" s="1"/>
  <c r="PO8" s="1"/>
  <c r="DD27"/>
  <c r="PJ27" s="1"/>
  <c r="OC20"/>
  <c r="OG7"/>
  <c r="BM20" i="47"/>
  <c r="NV20" i="38" s="1"/>
  <c r="NY10"/>
  <c r="BU8" i="47"/>
  <c r="DP22" i="38"/>
  <c r="NU16"/>
  <c r="BM18" i="47"/>
  <c r="NV18" i="38" s="1"/>
  <c r="BM10" i="47"/>
  <c r="NV10" i="38" s="1"/>
  <c r="OG9"/>
  <c r="NY25"/>
  <c r="NU18"/>
  <c r="BM12" i="47"/>
  <c r="DE12" i="38" s="1"/>
  <c r="PK12" s="1"/>
  <c r="NY20"/>
  <c r="OG22"/>
  <c r="PN5"/>
  <c r="DH7"/>
  <c r="PN7" s="1"/>
  <c r="OG27"/>
  <c r="BN8" i="47"/>
  <c r="DH8" i="38"/>
  <c r="BO5" i="47"/>
  <c r="BV18"/>
  <c r="OE18" i="38" s="1"/>
  <c r="AL19" i="47"/>
  <c r="AK19"/>
  <c r="M21"/>
  <c r="N9"/>
  <c r="AJ10"/>
  <c r="M9"/>
  <c r="N21"/>
  <c r="AL10"/>
  <c r="AL18"/>
  <c r="AK18"/>
  <c r="AD17"/>
  <c r="AB18"/>
  <c r="T17"/>
  <c r="AD18"/>
  <c r="U22"/>
  <c r="V22"/>
  <c r="N14"/>
  <c r="M14"/>
  <c r="T7"/>
  <c r="V17"/>
  <c r="T14"/>
  <c r="V7"/>
  <c r="V14"/>
  <c r="R458" i="48"/>
  <c r="PK19" i="38"/>
  <c r="PR20"/>
  <c r="PN12"/>
  <c r="PN10"/>
  <c r="PN11"/>
  <c r="PR21"/>
  <c r="PN24"/>
  <c r="PR12"/>
  <c r="PR25"/>
  <c r="PJ16"/>
  <c r="PJ7"/>
  <c r="PV18"/>
  <c r="PW12"/>
  <c r="PV10"/>
  <c r="JT27"/>
  <c r="MG27" s="1"/>
  <c r="MG64" s="1"/>
  <c r="PV24"/>
  <c r="PV16"/>
  <c r="PK5"/>
  <c r="JX26"/>
  <c r="KS26" s="1"/>
  <c r="PN26"/>
  <c r="PN17"/>
  <c r="EU26"/>
  <c r="FO26" s="1"/>
  <c r="PR26"/>
  <c r="PJ12"/>
  <c r="EM8"/>
  <c r="FG8" s="1"/>
  <c r="W207" i="44" s="1"/>
  <c r="PJ8" i="38"/>
  <c r="PN22"/>
  <c r="PV15"/>
  <c r="PV5"/>
  <c r="PJ10"/>
  <c r="PJ19"/>
  <c r="PJ20"/>
  <c r="PR22"/>
  <c r="PN20"/>
  <c r="PV9"/>
  <c r="PJ15"/>
  <c r="PV12"/>
  <c r="PR7"/>
  <c r="H114" i="44"/>
  <c r="V218" s="1"/>
  <c r="N93"/>
  <c r="AH365" s="1"/>
  <c r="AH223" s="1"/>
  <c r="N79"/>
  <c r="AH351" s="1"/>
  <c r="AH209" s="1"/>
  <c r="V366"/>
  <c r="V350"/>
  <c r="J348"/>
  <c r="V357"/>
  <c r="N75"/>
  <c r="AH347" s="1"/>
  <c r="AH205" s="1"/>
  <c r="V349"/>
  <c r="H112"/>
  <c r="V216" s="1"/>
  <c r="V353"/>
  <c r="N95"/>
  <c r="AH367" s="1"/>
  <c r="AH225" s="1"/>
  <c r="J81"/>
  <c r="D353" s="1"/>
  <c r="J353"/>
  <c r="N87"/>
  <c r="AH359" s="1"/>
  <c r="AH217" s="1"/>
  <c r="N101"/>
  <c r="V205"/>
  <c r="J77"/>
  <c r="D349" s="1"/>
  <c r="V364"/>
  <c r="V347"/>
  <c r="N83"/>
  <c r="AH355" s="1"/>
  <c r="AH213" s="1"/>
  <c r="J79"/>
  <c r="D351" s="1"/>
  <c r="J101"/>
  <c r="D205" s="1"/>
  <c r="E379" s="1"/>
  <c r="J78"/>
  <c r="D350" s="1"/>
  <c r="N94"/>
  <c r="AH366" s="1"/>
  <c r="AH224" s="1"/>
  <c r="N91"/>
  <c r="AH363" s="1"/>
  <c r="AH221" s="1"/>
  <c r="J75"/>
  <c r="D347" s="1"/>
  <c r="G105"/>
  <c r="N105" s="1"/>
  <c r="D12" i="52" s="1"/>
  <c r="J94" i="44"/>
  <c r="D366" s="1"/>
  <c r="J85"/>
  <c r="D357" s="1"/>
  <c r="N86"/>
  <c r="AH358" s="1"/>
  <c r="AH216" s="1"/>
  <c r="N77"/>
  <c r="AH349" s="1"/>
  <c r="AH207" s="1"/>
  <c r="J366"/>
  <c r="N117"/>
  <c r="O24" i="51" s="1"/>
  <c r="V363" i="44"/>
  <c r="J104"/>
  <c r="N104"/>
  <c r="V208"/>
  <c r="J211"/>
  <c r="G385" s="1"/>
  <c r="J132"/>
  <c r="J206"/>
  <c r="G380" s="1"/>
  <c r="P9" i="51" s="1"/>
  <c r="J141" i="44"/>
  <c r="J113"/>
  <c r="D217" s="1"/>
  <c r="E391" s="1"/>
  <c r="J217"/>
  <c r="G391" s="1"/>
  <c r="N113"/>
  <c r="J137"/>
  <c r="J76"/>
  <c r="D348" s="1"/>
  <c r="J127"/>
  <c r="J358"/>
  <c r="D220"/>
  <c r="E394" s="1"/>
  <c r="N107"/>
  <c r="D14" i="52" s="1"/>
  <c r="J83" i="44"/>
  <c r="D355" s="1"/>
  <c r="N76"/>
  <c r="AH348" s="1"/>
  <c r="AH206" s="1"/>
  <c r="F107"/>
  <c r="J107" s="1"/>
  <c r="N85"/>
  <c r="AH357" s="1"/>
  <c r="AH215" s="1"/>
  <c r="J95"/>
  <c r="D367" s="1"/>
  <c r="N114"/>
  <c r="D21" i="52" s="1"/>
  <c r="N109" i="44"/>
  <c r="D16" i="52" s="1"/>
  <c r="J93" i="44"/>
  <c r="D365" s="1"/>
  <c r="J117"/>
  <c r="D221" s="1"/>
  <c r="E395" s="1"/>
  <c r="J357"/>
  <c r="J87"/>
  <c r="D359" s="1"/>
  <c r="J91"/>
  <c r="D363" s="1"/>
  <c r="N81"/>
  <c r="AH353" s="1"/>
  <c r="AH211" s="1"/>
  <c r="D103"/>
  <c r="J103" s="1"/>
  <c r="J359"/>
  <c r="D112"/>
  <c r="P24" i="51"/>
  <c r="P143" s="1"/>
  <c r="E24" i="52"/>
  <c r="E185" s="1"/>
  <c r="D35" i="48"/>
  <c r="N395" i="44"/>
  <c r="E16" i="52"/>
  <c r="E232" s="1"/>
  <c r="D27" i="48"/>
  <c r="N387" i="44"/>
  <c r="P16" i="51"/>
  <c r="P293" s="1"/>
  <c r="J120" i="44"/>
  <c r="J143"/>
  <c r="J224"/>
  <c r="G398" s="1"/>
  <c r="N120"/>
  <c r="V207"/>
  <c r="J86"/>
  <c r="D358" s="1"/>
  <c r="E111"/>
  <c r="H102"/>
  <c r="J102" s="1"/>
  <c r="J136"/>
  <c r="J109"/>
  <c r="L23" i="47"/>
  <c r="V20"/>
  <c r="V12"/>
  <c r="AD25"/>
  <c r="T12"/>
  <c r="T16"/>
  <c r="AC25"/>
  <c r="AL22"/>
  <c r="V16"/>
  <c r="AK22"/>
  <c r="V19"/>
  <c r="U19"/>
  <c r="MC21" i="38"/>
  <c r="BM13"/>
  <c r="HH31"/>
  <c r="AD712" i="55"/>
  <c r="N480" i="48" s="1"/>
  <c r="MA16" i="38"/>
  <c r="LY25"/>
  <c r="LZ25" s="1"/>
  <c r="LY16"/>
  <c r="LZ16" s="1"/>
  <c r="MC16"/>
  <c r="LX16"/>
  <c r="LX17"/>
  <c r="MC17"/>
  <c r="MC24"/>
  <c r="LY24"/>
  <c r="LZ24" s="1"/>
  <c r="MC13"/>
  <c r="LY21"/>
  <c r="LZ21" s="1"/>
  <c r="LX21"/>
  <c r="AI219" i="44"/>
  <c r="LY22" i="38"/>
  <c r="LZ22" s="1"/>
  <c r="LX11"/>
  <c r="LY12"/>
  <c r="LZ12" s="1"/>
  <c r="EK30"/>
  <c r="LX22"/>
  <c r="MA22"/>
  <c r="PF37"/>
  <c r="MC15"/>
  <c r="MA25"/>
  <c r="LY7"/>
  <c r="LZ7" s="1"/>
  <c r="PG36"/>
  <c r="MC25"/>
  <c r="LX25"/>
  <c r="MC22"/>
  <c r="MC12"/>
  <c r="EK29"/>
  <c r="PG38"/>
  <c r="PG37"/>
  <c r="MA21"/>
  <c r="LX15"/>
  <c r="LX20"/>
  <c r="MB13"/>
  <c r="MD13" s="1"/>
  <c r="LY13"/>
  <c r="LZ13" s="1"/>
  <c r="MB6"/>
  <c r="MD6" s="1"/>
  <c r="MA5"/>
  <c r="PE34"/>
  <c r="MB15"/>
  <c r="MD15" s="1"/>
  <c r="MA18"/>
  <c r="LY6"/>
  <c r="LZ6" s="1"/>
  <c r="LY9"/>
  <c r="LZ9" s="1"/>
  <c r="MB11"/>
  <c r="MD11" s="1"/>
  <c r="HH29"/>
  <c r="HI31"/>
  <c r="MA13"/>
  <c r="MC9"/>
  <c r="MA6"/>
  <c r="MB7"/>
  <c r="MD7" s="1"/>
  <c r="MB9"/>
  <c r="MD9" s="1"/>
  <c r="MB24"/>
  <c r="MD24" s="1"/>
  <c r="PF36"/>
  <c r="HH30"/>
  <c r="HI30"/>
  <c r="PE33"/>
  <c r="LY11"/>
  <c r="LZ11" s="1"/>
  <c r="MA9"/>
  <c r="LY5"/>
  <c r="LZ5" s="1"/>
  <c r="PE37"/>
  <c r="MA26"/>
  <c r="MA11"/>
  <c r="LX6"/>
  <c r="PE36"/>
  <c r="PG33"/>
  <c r="L20" i="26"/>
  <c r="C8" i="48"/>
  <c r="P216" i="51"/>
  <c r="P41"/>
  <c r="P254"/>
  <c r="E310" i="52"/>
  <c r="R408" i="48"/>
  <c r="T351" i="52"/>
  <c r="AJ346" s="1"/>
  <c r="LZ10" i="38"/>
  <c r="MA27"/>
  <c r="PE38"/>
  <c r="LY27"/>
  <c r="LZ27" s="1"/>
  <c r="MB27"/>
  <c r="MD27" s="1"/>
  <c r="MC23"/>
  <c r="LY17"/>
  <c r="LZ17" s="1"/>
  <c r="MA15"/>
  <c r="MC20"/>
  <c r="MB20"/>
  <c r="MD20" s="1"/>
  <c r="MB26"/>
  <c r="MD26" s="1"/>
  <c r="LX10"/>
  <c r="MB10"/>
  <c r="MD10" s="1"/>
  <c r="LX23"/>
  <c r="MA17"/>
  <c r="MC18"/>
  <c r="LX5"/>
  <c r="HI29"/>
  <c r="LX27"/>
  <c r="MA24"/>
  <c r="LX18"/>
  <c r="MC26"/>
  <c r="MA7"/>
  <c r="MA12"/>
  <c r="MB12"/>
  <c r="MD12" s="1"/>
  <c r="MC10"/>
  <c r="LY26"/>
  <c r="LZ26" s="1"/>
  <c r="LY20"/>
  <c r="LZ20" s="1"/>
  <c r="MA23"/>
  <c r="MB18"/>
  <c r="MD18" s="1"/>
  <c r="MB23"/>
  <c r="MD23" s="1"/>
  <c r="LX7"/>
  <c r="MA10"/>
  <c r="MB5"/>
  <c r="L22" i="47"/>
  <c r="N22"/>
  <c r="AJ7"/>
  <c r="AL7"/>
  <c r="DG5" i="38"/>
  <c r="NX5"/>
  <c r="BG23" i="47"/>
  <c r="BJ23" i="38" s="1"/>
  <c r="AQ23" i="47"/>
  <c r="BC15"/>
  <c r="BF15" i="38" s="1"/>
  <c r="AP15" i="47"/>
  <c r="BC9"/>
  <c r="AP9"/>
  <c r="BC19"/>
  <c r="BF19" i="38" s="1"/>
  <c r="AP19" i="47"/>
  <c r="AU5"/>
  <c r="HK5" i="38" s="1"/>
  <c r="AN5" i="47"/>
  <c r="BG17"/>
  <c r="BJ17" i="38" s="1"/>
  <c r="AQ17" i="47"/>
  <c r="BG6"/>
  <c r="CB6" i="38" s="1"/>
  <c r="CU6" s="1"/>
  <c r="AQ6" i="47"/>
  <c r="AY25"/>
  <c r="BT25" i="38" s="1"/>
  <c r="CM25" s="1"/>
  <c r="AO25" i="47"/>
  <c r="BG15"/>
  <c r="BJ15" i="38" s="1"/>
  <c r="AQ15" i="47"/>
  <c r="BG9"/>
  <c r="KF9" i="38" s="1"/>
  <c r="AQ9" i="47"/>
  <c r="BG5"/>
  <c r="HW5" i="38" s="1"/>
  <c r="AQ5" i="47"/>
  <c r="BG19"/>
  <c r="BJ19" i="38" s="1"/>
  <c r="AQ19" i="47"/>
  <c r="AU14"/>
  <c r="AN14"/>
  <c r="BG12"/>
  <c r="BH12" s="1"/>
  <c r="AQ12"/>
  <c r="AU20"/>
  <c r="AX20" i="38" s="1"/>
  <c r="AN20" i="47"/>
  <c r="AU11"/>
  <c r="HK11" i="38" s="1"/>
  <c r="AN11" i="47"/>
  <c r="AU10"/>
  <c r="BP10" i="38" s="1"/>
  <c r="CI10" s="1"/>
  <c r="AN10" i="47"/>
  <c r="BC25"/>
  <c r="KB25" i="38" s="1"/>
  <c r="AP25" i="47"/>
  <c r="AY16"/>
  <c r="BT16" i="38" s="1"/>
  <c r="CM16" s="1"/>
  <c r="AO16" i="47"/>
  <c r="AY12"/>
  <c r="BB12" i="38" s="1"/>
  <c r="AO12" i="47"/>
  <c r="BC7"/>
  <c r="HS7" i="38" s="1"/>
  <c r="AP7" i="47"/>
  <c r="AU25"/>
  <c r="AX25" i="38" s="1"/>
  <c r="AN25" i="47"/>
  <c r="AU22"/>
  <c r="AN22"/>
  <c r="AU19"/>
  <c r="BP19" i="38" s="1"/>
  <c r="CI19" s="1"/>
  <c r="AN19" i="47"/>
  <c r="AY20"/>
  <c r="BB20" i="38" s="1"/>
  <c r="AO20" i="47"/>
  <c r="AY11"/>
  <c r="EQ11" i="38" s="1"/>
  <c r="FK11" s="1"/>
  <c r="AO11" i="47"/>
  <c r="AY10"/>
  <c r="BB10" i="38" s="1"/>
  <c r="AO10" i="47"/>
  <c r="JX8" i="38"/>
  <c r="DD5"/>
  <c r="BV7" i="47"/>
  <c r="BG25"/>
  <c r="BJ25" i="38" s="1"/>
  <c r="AQ25" i="47"/>
  <c r="BC16"/>
  <c r="BF16" i="38" s="1"/>
  <c r="AP16" i="47"/>
  <c r="BC12"/>
  <c r="BF12" i="38" s="1"/>
  <c r="AP12" i="47"/>
  <c r="BG7"/>
  <c r="BJ7" i="38" s="1"/>
  <c r="AQ7" i="47"/>
  <c r="BG16"/>
  <c r="BJ16" i="38" s="1"/>
  <c r="AQ16" i="47"/>
  <c r="AU21"/>
  <c r="EM21" i="38" s="1"/>
  <c r="FG21" s="1"/>
  <c r="W220" i="44" s="1"/>
  <c r="AN21" i="47"/>
  <c r="BC20"/>
  <c r="BF20" i="38" s="1"/>
  <c r="AP20" i="47"/>
  <c r="BC11"/>
  <c r="AP11"/>
  <c r="BC10"/>
  <c r="BX10" i="38" s="1"/>
  <c r="CQ10" s="1"/>
  <c r="AP10" i="47"/>
  <c r="AY22"/>
  <c r="EQ22" i="38" s="1"/>
  <c r="FK22" s="1"/>
  <c r="AO22" i="47"/>
  <c r="AY14"/>
  <c r="JX14" i="38" s="1"/>
  <c r="AO14" i="47"/>
  <c r="AU7"/>
  <c r="AX7" i="38" s="1"/>
  <c r="AN7" i="47"/>
  <c r="AY5"/>
  <c r="AO5"/>
  <c r="AY21"/>
  <c r="BB21" i="38" s="1"/>
  <c r="AO21" i="47"/>
  <c r="BG20"/>
  <c r="BJ20" i="38" s="1"/>
  <c r="AQ20" i="47"/>
  <c r="BG11"/>
  <c r="AQ11"/>
  <c r="AU18"/>
  <c r="EM18" i="38" s="1"/>
  <c r="FG18" s="1"/>
  <c r="W217" i="44" s="1"/>
  <c r="AN18" i="47"/>
  <c r="BG10"/>
  <c r="BJ10" i="38" s="1"/>
  <c r="AQ10" i="47"/>
  <c r="BC22"/>
  <c r="BF22" i="38" s="1"/>
  <c r="AP22" i="47"/>
  <c r="BC14"/>
  <c r="BF14" i="38" s="1"/>
  <c r="AP14" i="47"/>
  <c r="AY7"/>
  <c r="BB7" i="38" s="1"/>
  <c r="AO7" i="47"/>
  <c r="AU12"/>
  <c r="JT12" i="38" s="1"/>
  <c r="KO12" s="1"/>
  <c r="AN12" i="47"/>
  <c r="BC21"/>
  <c r="BX21" i="38" s="1"/>
  <c r="CQ21" s="1"/>
  <c r="AP21" i="47"/>
  <c r="AU17"/>
  <c r="AX17" i="38" s="1"/>
  <c r="AN17" i="47"/>
  <c r="AY18"/>
  <c r="BT18" i="38" s="1"/>
  <c r="CM18" s="1"/>
  <c r="AO18" i="47"/>
  <c r="AU6"/>
  <c r="JT6" i="38" s="1"/>
  <c r="KO6" s="1"/>
  <c r="AN6" i="47"/>
  <c r="BO23"/>
  <c r="NX23" i="38" s="1"/>
  <c r="BN5" i="47"/>
  <c r="AY23"/>
  <c r="AO23"/>
  <c r="BG14"/>
  <c r="CB14" i="38" s="1"/>
  <c r="CU14" s="1"/>
  <c r="AQ14" i="47"/>
  <c r="BG22"/>
  <c r="AQ22"/>
  <c r="BG21"/>
  <c r="BJ21" i="38" s="1"/>
  <c r="AQ21" i="47"/>
  <c r="AY17"/>
  <c r="BB17" i="38" s="1"/>
  <c r="AO17" i="47"/>
  <c r="BC18"/>
  <c r="BX18" i="38" s="1"/>
  <c r="CQ18" s="1"/>
  <c r="AP18" i="47"/>
  <c r="AY6"/>
  <c r="HO6" i="38" s="1"/>
  <c r="AO6" i="47"/>
  <c r="BC23"/>
  <c r="AP23"/>
  <c r="AY9"/>
  <c r="AO9"/>
  <c r="BC5"/>
  <c r="BF5" i="38" s="1"/>
  <c r="AP5" i="47"/>
  <c r="AY19"/>
  <c r="BB19" i="38" s="1"/>
  <c r="AO19" i="47"/>
  <c r="AU23"/>
  <c r="JT23" i="38" s="1"/>
  <c r="MG23" s="1"/>
  <c r="MG60" s="1"/>
  <c r="AN23" i="47"/>
  <c r="AU16"/>
  <c r="JT16" i="38" s="1"/>
  <c r="MG16" s="1"/>
  <c r="MG53" s="1"/>
  <c r="AN16" i="47"/>
  <c r="AU9"/>
  <c r="AN9"/>
  <c r="BC17"/>
  <c r="BX17" i="38" s="1"/>
  <c r="CQ17" s="1"/>
  <c r="AP17" i="47"/>
  <c r="BG18"/>
  <c r="BJ18" i="38" s="1"/>
  <c r="AQ18" i="47"/>
  <c r="BC6"/>
  <c r="BF6" i="38" s="1"/>
  <c r="AP6" i="47"/>
  <c r="BO18"/>
  <c r="NX18" i="38" s="1"/>
  <c r="DQ17"/>
  <c r="OH17"/>
  <c r="DH13"/>
  <c r="BV15" i="47"/>
  <c r="OE15" i="38" s="1"/>
  <c r="BS13" i="47"/>
  <c r="BY18"/>
  <c r="DF13" i="38"/>
  <c r="NW13"/>
  <c r="BO13" i="47"/>
  <c r="DP25" i="38"/>
  <c r="BY26" i="47"/>
  <c r="BZ26" s="1"/>
  <c r="BS15"/>
  <c r="DQ16" i="38"/>
  <c r="DL15"/>
  <c r="DH25"/>
  <c r="BW17" i="47"/>
  <c r="DO17" i="38" s="1"/>
  <c r="BY15" i="47"/>
  <c r="DP17" i="38"/>
  <c r="DL5"/>
  <c r="BN27" i="47"/>
  <c r="NW27" i="38" s="1"/>
  <c r="BU27" i="47"/>
  <c r="BV26"/>
  <c r="DH18" i="38"/>
  <c r="BY9" i="47"/>
  <c r="DQ9" i="38" s="1"/>
  <c r="BO27" i="47"/>
  <c r="DG27" i="38" s="1"/>
  <c r="BU24" i="47"/>
  <c r="OD24" i="38" s="1"/>
  <c r="BU17" i="47"/>
  <c r="OD17" i="38" s="1"/>
  <c r="DP14"/>
  <c r="DH19"/>
  <c r="BN20" i="47"/>
  <c r="NW20" i="38" s="1"/>
  <c r="BS6" i="47"/>
  <c r="DK6" i="38" s="1"/>
  <c r="BZ11" i="47"/>
  <c r="DR11" i="38" s="1"/>
  <c r="OH11"/>
  <c r="DE27"/>
  <c r="NV27"/>
  <c r="BZ14" i="47"/>
  <c r="OH14" i="38"/>
  <c r="DE20"/>
  <c r="NV12"/>
  <c r="BV17" i="47"/>
  <c r="BY13"/>
  <c r="BV11"/>
  <c r="OE11" i="38" s="1"/>
  <c r="BS21" i="47"/>
  <c r="DK21" i="38" s="1"/>
  <c r="NV8"/>
  <c r="NV5"/>
  <c r="BS20" i="47"/>
  <c r="BR10"/>
  <c r="OA10" i="38" s="1"/>
  <c r="BW11" i="47"/>
  <c r="DO11" i="38" s="1"/>
  <c r="BO26" i="47"/>
  <c r="DG26" i="38" s="1"/>
  <c r="PM26" s="1"/>
  <c r="NV19"/>
  <c r="BV27" i="47"/>
  <c r="BZ17"/>
  <c r="BW14"/>
  <c r="BW18"/>
  <c r="DO18" i="38" s="1"/>
  <c r="BU20" i="47"/>
  <c r="BS16"/>
  <c r="DK16" i="38" s="1"/>
  <c r="DP11"/>
  <c r="DL17"/>
  <c r="DL13"/>
  <c r="DL14"/>
  <c r="DP19"/>
  <c r="BV20" i="47"/>
  <c r="OE20" i="38" s="1"/>
  <c r="BW25" i="47"/>
  <c r="DO25" i="38" s="1"/>
  <c r="BY10" i="47"/>
  <c r="BZ10" s="1"/>
  <c r="DR10" i="38" s="1"/>
  <c r="PX10" s="1"/>
  <c r="H471" i="52" s="1"/>
  <c r="BW6" i="47"/>
  <c r="OF6" i="38" s="1"/>
  <c r="BM22" i="47"/>
  <c r="NV22" i="38" s="1"/>
  <c r="BS26" i="47"/>
  <c r="BR20"/>
  <c r="DL16" i="38"/>
  <c r="BW15" i="47"/>
  <c r="BR24"/>
  <c r="OA24" i="38" s="1"/>
  <c r="BV13" i="47"/>
  <c r="BS9"/>
  <c r="OB9" i="38" s="1"/>
  <c r="DG19"/>
  <c r="NX19"/>
  <c r="DK15"/>
  <c r="OB15"/>
  <c r="OH20"/>
  <c r="BZ20" i="47"/>
  <c r="DQ20" i="38"/>
  <c r="BZ21" i="47"/>
  <c r="DR21" i="38" s="1"/>
  <c r="PX21" s="1"/>
  <c r="H465" i="52" s="1"/>
  <c r="DQ21" i="38"/>
  <c r="OH21"/>
  <c r="BZ19" i="47"/>
  <c r="OH19" i="38"/>
  <c r="DO16"/>
  <c r="OF16"/>
  <c r="DK5"/>
  <c r="OB5"/>
  <c r="BZ23" i="47"/>
  <c r="DR23" i="38" s="1"/>
  <c r="PX23" s="1"/>
  <c r="H477" i="52" s="1"/>
  <c r="OH23" i="38"/>
  <c r="DJ20"/>
  <c r="OA20"/>
  <c r="DQ25"/>
  <c r="BZ25" i="47"/>
  <c r="OH25" i="38"/>
  <c r="BM16" i="47"/>
  <c r="DE16" i="38" s="1"/>
  <c r="BM21" i="47"/>
  <c r="DH23" i="38"/>
  <c r="BQ18" i="47"/>
  <c r="BW20"/>
  <c r="BU16"/>
  <c r="BN16"/>
  <c r="NW16" i="38" s="1"/>
  <c r="DH9"/>
  <c r="BN15" i="47"/>
  <c r="NW15" i="38" s="1"/>
  <c r="BQ10" i="47"/>
  <c r="BU6"/>
  <c r="BN6"/>
  <c r="BQ11"/>
  <c r="NZ11" i="38" s="1"/>
  <c r="BO11" i="47"/>
  <c r="NX11" i="38" s="1"/>
  <c r="DD22"/>
  <c r="PJ22" s="1"/>
  <c r="BU21" i="47"/>
  <c r="BN21"/>
  <c r="DD14" i="38"/>
  <c r="DD26"/>
  <c r="PJ26" s="1"/>
  <c r="BU7" i="47"/>
  <c r="DM7" i="38" s="1"/>
  <c r="N25" i="47"/>
  <c r="AB14"/>
  <c r="NU22" i="38"/>
  <c r="NY15"/>
  <c r="BW23" i="47"/>
  <c r="DO23" i="38" s="1"/>
  <c r="BS24" i="47"/>
  <c r="BR18"/>
  <c r="OA18" i="38" s="1"/>
  <c r="BN19" i="47"/>
  <c r="DP20" i="38"/>
  <c r="BQ20" i="47"/>
  <c r="BO16"/>
  <c r="BW9"/>
  <c r="DO9" i="38" s="1"/>
  <c r="BU15" i="47"/>
  <c r="BO15"/>
  <c r="BS10"/>
  <c r="OB10" i="38" s="1"/>
  <c r="BO6" i="47"/>
  <c r="NX6" i="38" s="1"/>
  <c r="BQ7" i="47"/>
  <c r="BR11"/>
  <c r="BV21"/>
  <c r="DH21" i="38"/>
  <c r="BO9" i="47"/>
  <c r="NX9" i="38" s="1"/>
  <c r="NV13"/>
  <c r="BM24" i="47"/>
  <c r="NV24" i="38" s="1"/>
  <c r="OC10"/>
  <c r="NY9"/>
  <c r="NY7"/>
  <c r="DL23"/>
  <c r="BV24" i="47"/>
  <c r="DN24" i="38" s="1"/>
  <c r="PT24" s="1"/>
  <c r="BQ17" i="47"/>
  <c r="DQ18" i="38"/>
  <c r="BS18" i="47"/>
  <c r="BV16"/>
  <c r="DH16" i="38"/>
  <c r="DL9"/>
  <c r="BU12" i="47"/>
  <c r="OD12" i="38" s="1"/>
  <c r="DH15"/>
  <c r="DL10"/>
  <c r="DP6"/>
  <c r="DH6"/>
  <c r="DQ11"/>
  <c r="BS11" i="47"/>
  <c r="BW21"/>
  <c r="BR8"/>
  <c r="OA8" i="38" s="1"/>
  <c r="NU24"/>
  <c r="AD14" i="47"/>
  <c r="NU26" i="38"/>
  <c r="NY23"/>
  <c r="OC18"/>
  <c r="DP27"/>
  <c r="PV27" s="1"/>
  <c r="OC11"/>
  <c r="BM6" i="47"/>
  <c r="NY6" i="38"/>
  <c r="DL18"/>
  <c r="BY6" i="47"/>
  <c r="BR6"/>
  <c r="OA6" i="38" s="1"/>
  <c r="DL11"/>
  <c r="DP21"/>
  <c r="BQ21" i="47"/>
  <c r="BO17"/>
  <c r="DG17" i="38" s="1"/>
  <c r="AC14" i="47"/>
  <c r="OG21" i="38"/>
  <c r="BM14" i="47"/>
  <c r="NZ8" i="38"/>
  <c r="DP23"/>
  <c r="BW26" i="47"/>
  <c r="BQ26"/>
  <c r="NZ26" i="38" s="1"/>
  <c r="BW13" i="47"/>
  <c r="BQ13"/>
  <c r="DI13" i="38" s="1"/>
  <c r="PO13" s="1"/>
  <c r="BN18" i="47"/>
  <c r="NW18" i="38" s="1"/>
  <c r="BS19" i="47"/>
  <c r="DK19" i="38" s="1"/>
  <c r="BO20" i="47"/>
  <c r="NX20" i="38" s="1"/>
  <c r="BQ16" i="47"/>
  <c r="BZ12"/>
  <c r="DR12" i="38" s="1"/>
  <c r="BQ15" i="47"/>
  <c r="BU10"/>
  <c r="BN10"/>
  <c r="BQ5"/>
  <c r="NZ5" i="38" s="1"/>
  <c r="BQ6" i="47"/>
  <c r="BR21"/>
  <c r="OA21" i="38" s="1"/>
  <c r="DP7"/>
  <c r="DL8"/>
  <c r="PR8" s="1"/>
  <c r="M25" i="47"/>
  <c r="L25"/>
  <c r="AB19"/>
  <c r="AB22"/>
  <c r="BM26"/>
  <c r="BW27"/>
  <c r="BM7"/>
  <c r="BN26"/>
  <c r="BU18"/>
  <c r="BR16"/>
  <c r="OA16" i="38" s="1"/>
  <c r="BR15" i="47"/>
  <c r="OA15" i="38" s="1"/>
  <c r="BW10" i="47"/>
  <c r="DO10" i="38" s="1"/>
  <c r="BO10" i="47"/>
  <c r="NX10" i="38" s="1"/>
  <c r="BR5" i="47"/>
  <c r="BO7"/>
  <c r="BU11"/>
  <c r="OD11" i="38" s="1"/>
  <c r="BN7" i="47"/>
  <c r="BY7"/>
  <c r="BW8"/>
  <c r="DO8" i="38" s="1"/>
  <c r="PU8" s="1"/>
  <c r="NY16"/>
  <c r="BM15" i="47"/>
  <c r="EQ26" i="38"/>
  <c r="FK26" s="1"/>
  <c r="BO14" i="47"/>
  <c r="NX14" i="38" s="1"/>
  <c r="DL6"/>
  <c r="DP8"/>
  <c r="DG25"/>
  <c r="NX25"/>
  <c r="DG23"/>
  <c r="ER8"/>
  <c r="JY8"/>
  <c r="KT8" s="1"/>
  <c r="JT24"/>
  <c r="KO24" s="1"/>
  <c r="EM24"/>
  <c r="FG24" s="1"/>
  <c r="W223" i="44" s="1"/>
  <c r="DJ7" i="38"/>
  <c r="OA7"/>
  <c r="EN13"/>
  <c r="FH13" s="1"/>
  <c r="JU13"/>
  <c r="MH13" s="1"/>
  <c r="MH50" s="1"/>
  <c r="DK26"/>
  <c r="PQ26" s="1"/>
  <c r="OB26"/>
  <c r="DM24"/>
  <c r="PS24" s="1"/>
  <c r="OB13"/>
  <c r="DK13"/>
  <c r="PQ13" s="1"/>
  <c r="DO14"/>
  <c r="OF14"/>
  <c r="DR19"/>
  <c r="PX19" s="1"/>
  <c r="H476" i="52" s="1"/>
  <c r="OI19" i="38"/>
  <c r="OD7"/>
  <c r="OH27"/>
  <c r="BZ27" i="47"/>
  <c r="DQ27" i="38"/>
  <c r="PW27" s="1"/>
  <c r="KF26"/>
  <c r="LA26" s="1"/>
  <c r="EY26"/>
  <c r="FS26" s="1"/>
  <c r="KF13"/>
  <c r="LA13" s="1"/>
  <c r="EY13"/>
  <c r="FS13" s="1"/>
  <c r="EM13"/>
  <c r="FG13" s="1"/>
  <c r="W212" i="44" s="1"/>
  <c r="JT13" i="38"/>
  <c r="MG13" s="1"/>
  <c r="MG50" s="1"/>
  <c r="DO7"/>
  <c r="OF7"/>
  <c r="OD8"/>
  <c r="DM8"/>
  <c r="PS8" s="1"/>
  <c r="EN8"/>
  <c r="FH8" s="1"/>
  <c r="JU8"/>
  <c r="MH8" s="1"/>
  <c r="MH45" s="1"/>
  <c r="DR14"/>
  <c r="PX14" s="1"/>
  <c r="H472" i="52" s="1"/>
  <c r="OI14" i="38"/>
  <c r="BZ22" i="47"/>
  <c r="OH22" i="38"/>
  <c r="DQ22"/>
  <c r="OI23"/>
  <c r="OI16"/>
  <c r="DR16"/>
  <c r="PX16" s="1"/>
  <c r="H474" i="52" s="1"/>
  <c r="JT21" i="38"/>
  <c r="KO21" s="1"/>
  <c r="BM17" i="47"/>
  <c r="DF27" i="38"/>
  <c r="PL27" s="1"/>
  <c r="KB26"/>
  <c r="KF24"/>
  <c r="LA24" s="1"/>
  <c r="JX24"/>
  <c r="BQ22" i="47"/>
  <c r="DM17" i="38"/>
  <c r="DN18"/>
  <c r="DJ18"/>
  <c r="DF18"/>
  <c r="PL18" s="1"/>
  <c r="DF20"/>
  <c r="PL20" s="1"/>
  <c r="BQ12" i="47"/>
  <c r="DN15" i="38"/>
  <c r="DK10"/>
  <c r="BU5" i="47"/>
  <c r="DI5" i="38"/>
  <c r="DD11"/>
  <c r="DD17"/>
  <c r="BS7" i="47"/>
  <c r="BS8"/>
  <c r="DD9" i="38"/>
  <c r="DE18"/>
  <c r="DE25"/>
  <c r="DE23"/>
  <c r="EM27"/>
  <c r="FG27" s="1"/>
  <c r="OG5"/>
  <c r="BM9" i="47"/>
  <c r="BR26"/>
  <c r="EY24" i="38"/>
  <c r="FS24" s="1"/>
  <c r="EQ24"/>
  <c r="FK24" s="1"/>
  <c r="BY24" i="47"/>
  <c r="BN24"/>
  <c r="BV22"/>
  <c r="BR17"/>
  <c r="BN17"/>
  <c r="BR13"/>
  <c r="DQ19" i="38"/>
  <c r="BU19" i="47"/>
  <c r="BQ19"/>
  <c r="BV12"/>
  <c r="BN11"/>
  <c r="BO21"/>
  <c r="BY8"/>
  <c r="BV8"/>
  <c r="OC22" i="38"/>
  <c r="NU17"/>
  <c r="NU11"/>
  <c r="DQ23"/>
  <c r="BU23" i="47"/>
  <c r="BQ23"/>
  <c r="BU26"/>
  <c r="BQ24"/>
  <c r="BR22"/>
  <c r="BN22"/>
  <c r="BU13"/>
  <c r="DQ14" i="38"/>
  <c r="BU14" i="47"/>
  <c r="BQ14"/>
  <c r="BU9"/>
  <c r="BQ9"/>
  <c r="BR12"/>
  <c r="BN12"/>
  <c r="BU25"/>
  <c r="BQ25"/>
  <c r="BV5"/>
  <c r="BY5"/>
  <c r="NU9" i="38"/>
  <c r="BM11" i="47"/>
  <c r="DL24" i="38"/>
  <c r="PR24" s="1"/>
  <c r="BW22" i="47"/>
  <c r="BS17"/>
  <c r="BV19"/>
  <c r="BR19"/>
  <c r="BW12"/>
  <c r="BV23"/>
  <c r="BR23"/>
  <c r="BN23"/>
  <c r="BW24"/>
  <c r="BO24"/>
  <c r="BS22"/>
  <c r="BO22"/>
  <c r="BV14"/>
  <c r="BR14"/>
  <c r="BN14"/>
  <c r="BV9"/>
  <c r="BR9"/>
  <c r="BN9"/>
  <c r="BS12"/>
  <c r="BO12"/>
  <c r="BV25"/>
  <c r="BR25"/>
  <c r="BN25"/>
  <c r="BW5"/>
  <c r="BU22"/>
  <c r="OC12" i="38"/>
  <c r="BW19" i="47"/>
  <c r="BV10"/>
  <c r="BV6"/>
  <c r="BS23"/>
  <c r="BS14"/>
  <c r="BS25"/>
  <c r="AB15"/>
  <c r="AJ23"/>
  <c r="AD9"/>
  <c r="AC9"/>
  <c r="M5"/>
  <c r="AL23"/>
  <c r="AL12"/>
  <c r="N5"/>
  <c r="AK12"/>
  <c r="AD15"/>
  <c r="M19"/>
  <c r="L19"/>
  <c r="AC15"/>
  <c r="L20"/>
  <c r="C20" s="1"/>
  <c r="M12"/>
  <c r="N17"/>
  <c r="U18"/>
  <c r="AD19"/>
  <c r="L7"/>
  <c r="V18"/>
  <c r="M17"/>
  <c r="L12"/>
  <c r="N16"/>
  <c r="AL25"/>
  <c r="AC19"/>
  <c r="M16"/>
  <c r="AB12"/>
  <c r="AK25"/>
  <c r="AC16"/>
  <c r="AD12"/>
  <c r="T18"/>
  <c r="L16"/>
  <c r="AJ25"/>
  <c r="M7"/>
  <c r="U21"/>
  <c r="AB16"/>
  <c r="M11"/>
  <c r="T15"/>
  <c r="L11"/>
  <c r="AJ5"/>
  <c r="T9"/>
  <c r="KO8" i="38"/>
  <c r="V23" i="47"/>
  <c r="AK5"/>
  <c r="AK23"/>
  <c r="AL5"/>
  <c r="AC23"/>
  <c r="N19"/>
  <c r="U15"/>
  <c r="U23"/>
  <c r="N11"/>
  <c r="AL17"/>
  <c r="V10"/>
  <c r="AB9"/>
  <c r="V11"/>
  <c r="AK16"/>
  <c r="L10"/>
  <c r="N20"/>
  <c r="U10"/>
  <c r="U11"/>
  <c r="AL16"/>
  <c r="AJ12"/>
  <c r="T10"/>
  <c r="AJ16"/>
  <c r="AD23"/>
  <c r="AL14"/>
  <c r="M20"/>
  <c r="N10"/>
  <c r="V9"/>
  <c r="T11"/>
  <c r="L5"/>
  <c r="T23"/>
  <c r="U20"/>
  <c r="M10"/>
  <c r="U9"/>
  <c r="AB23"/>
  <c r="BT15" i="38"/>
  <c r="CM15" s="1"/>
  <c r="BB15"/>
  <c r="AD5" i="47"/>
  <c r="AJ14"/>
  <c r="AB7"/>
  <c r="AC5"/>
  <c r="AD7"/>
  <c r="AK17"/>
  <c r="AJ6"/>
  <c r="C6" s="1"/>
  <c r="AJ17"/>
  <c r="AL6"/>
  <c r="AD22"/>
  <c r="AB5"/>
  <c r="JX27" i="38"/>
  <c r="KS27" s="1"/>
  <c r="AC7" i="47"/>
  <c r="AK14"/>
  <c r="AK6"/>
  <c r="AC22"/>
  <c r="BB27" i="38"/>
  <c r="EQ27"/>
  <c r="FK27" s="1"/>
  <c r="BN26"/>
  <c r="AF115" i="52" s="1"/>
  <c r="EM15" i="38"/>
  <c r="FG15" s="1"/>
  <c r="W214" i="44" s="1"/>
  <c r="JT15" i="38"/>
  <c r="MG15" s="1"/>
  <c r="MG52" s="1"/>
  <c r="HK15"/>
  <c r="AV15" i="47"/>
  <c r="BP15" i="38"/>
  <c r="CI15" s="1"/>
  <c r="AX15"/>
  <c r="AX15" i="47"/>
  <c r="BA15" i="38" s="1"/>
  <c r="G31" i="44"/>
  <c r="CX24" i="38"/>
  <c r="AL26" i="52" s="1"/>
  <c r="HO15" i="38"/>
  <c r="HO27"/>
  <c r="AZ27" i="47"/>
  <c r="HP27" i="38" s="1"/>
  <c r="BM26"/>
  <c r="AW27" i="47"/>
  <c r="HM27" i="38" s="1"/>
  <c r="HM64" s="1"/>
  <c r="C21" i="47"/>
  <c r="G32" i="44"/>
  <c r="JZ27" i="38"/>
  <c r="BV27"/>
  <c r="CO27" s="1"/>
  <c r="ES27"/>
  <c r="FM27" s="1"/>
  <c r="BD27"/>
  <c r="HQ27"/>
  <c r="BB27" i="47"/>
  <c r="AV27"/>
  <c r="BT27" i="38"/>
  <c r="CM27" s="1"/>
  <c r="AX27" i="47"/>
  <c r="H31" i="44"/>
  <c r="H32"/>
  <c r="AW15" i="47"/>
  <c r="EP8" i="38" l="1"/>
  <c r="FJ8" s="1"/>
  <c r="PM8"/>
  <c r="EQ8"/>
  <c r="FK8" s="1"/>
  <c r="PN8"/>
  <c r="AB713" i="55"/>
  <c r="O481" i="48" s="1"/>
  <c r="EY22" i="38"/>
  <c r="FS22" s="1"/>
  <c r="OI21"/>
  <c r="OF9"/>
  <c r="NV16"/>
  <c r="DF15"/>
  <c r="PL15" s="1"/>
  <c r="NZ13"/>
  <c r="PV22"/>
  <c r="DM11"/>
  <c r="PS11" s="1"/>
  <c r="OE24"/>
  <c r="OF18"/>
  <c r="DJ8"/>
  <c r="PP8" s="1"/>
  <c r="DE10"/>
  <c r="NX17"/>
  <c r="OF25"/>
  <c r="OI10"/>
  <c r="M218" i="55" s="1"/>
  <c r="DG18" i="38"/>
  <c r="PM18" s="1"/>
  <c r="DG10"/>
  <c r="DJ10"/>
  <c r="PP10" s="1"/>
  <c r="DN20"/>
  <c r="PT20" s="1"/>
  <c r="DG14"/>
  <c r="PM14" s="1"/>
  <c r="DJ24"/>
  <c r="PP24" s="1"/>
  <c r="OF17"/>
  <c r="DM12"/>
  <c r="PS12" s="1"/>
  <c r="OB19"/>
  <c r="DK9"/>
  <c r="DF8"/>
  <c r="NW8"/>
  <c r="OI11"/>
  <c r="M220" i="55" s="1"/>
  <c r="DE22" i="38"/>
  <c r="OF10"/>
  <c r="DG20"/>
  <c r="PM20" s="1"/>
  <c r="OF11"/>
  <c r="DQ10"/>
  <c r="OB6"/>
  <c r="OH10"/>
  <c r="NX27"/>
  <c r="DN11"/>
  <c r="DF16"/>
  <c r="PL16" s="1"/>
  <c r="NX26"/>
  <c r="DJ21"/>
  <c r="PP21" s="1"/>
  <c r="OB16"/>
  <c r="E110" i="52"/>
  <c r="E76"/>
  <c r="HS17" i="38"/>
  <c r="HS54" s="1"/>
  <c r="BB22"/>
  <c r="AX21" i="47"/>
  <c r="HN21" i="38" s="1"/>
  <c r="AW6" i="47"/>
  <c r="AZ6" i="38" s="1"/>
  <c r="KF10"/>
  <c r="MS10" s="1"/>
  <c r="MS47" s="1"/>
  <c r="BB6"/>
  <c r="EM6"/>
  <c r="FG6" s="1"/>
  <c r="W205" i="44" s="1"/>
  <c r="AW21" i="47"/>
  <c r="AZ21" i="38" s="1"/>
  <c r="BT22"/>
  <c r="CM22" s="1"/>
  <c r="BT19"/>
  <c r="CM19" s="1"/>
  <c r="BT21"/>
  <c r="CM21" s="1"/>
  <c r="JX22"/>
  <c r="KS22" s="1"/>
  <c r="HO19"/>
  <c r="II19" s="1"/>
  <c r="HW10"/>
  <c r="HW47" s="1"/>
  <c r="BH10" i="47"/>
  <c r="EZ10" i="38" s="1"/>
  <c r="FT10" s="1"/>
  <c r="EQ19"/>
  <c r="FK19" s="1"/>
  <c r="CB10"/>
  <c r="CU10" s="1"/>
  <c r="HS16"/>
  <c r="HS53" s="1"/>
  <c r="BH22" i="47"/>
  <c r="BK22" i="38" s="1"/>
  <c r="JX19"/>
  <c r="MK19" s="1"/>
  <c r="MK56" s="1"/>
  <c r="EY10"/>
  <c r="FS10" s="1"/>
  <c r="BX16"/>
  <c r="CQ16" s="1"/>
  <c r="CB22"/>
  <c r="CU22" s="1"/>
  <c r="HO22"/>
  <c r="II22" s="1"/>
  <c r="BT6"/>
  <c r="CM6" s="1"/>
  <c r="BH9" i="47"/>
  <c r="HX9" i="38" s="1"/>
  <c r="HX46" s="1"/>
  <c r="MK26"/>
  <c r="MK63" s="1"/>
  <c r="KB7"/>
  <c r="KW7" s="1"/>
  <c r="BT11"/>
  <c r="CM11" s="1"/>
  <c r="C17" i="47"/>
  <c r="C18"/>
  <c r="HS15" i="38"/>
  <c r="IM15" s="1"/>
  <c r="KF22"/>
  <c r="MS22" s="1"/>
  <c r="MS59" s="1"/>
  <c r="HW22"/>
  <c r="IQ22" s="1"/>
  <c r="BJ22"/>
  <c r="BF17"/>
  <c r="JX6"/>
  <c r="KS6" s="1"/>
  <c r="EU16"/>
  <c r="FO16" s="1"/>
  <c r="KO27"/>
  <c r="HO14"/>
  <c r="HO51" s="1"/>
  <c r="II15"/>
  <c r="HO52"/>
  <c r="II27"/>
  <c r="HO64"/>
  <c r="IK27"/>
  <c r="HQ64"/>
  <c r="II6"/>
  <c r="HO43"/>
  <c r="IJ27"/>
  <c r="HP64"/>
  <c r="IQ5"/>
  <c r="HW42"/>
  <c r="IE11"/>
  <c r="HK48"/>
  <c r="IE15"/>
  <c r="HK52"/>
  <c r="IM7"/>
  <c r="HS44"/>
  <c r="IE5"/>
  <c r="HK42"/>
  <c r="D135" i="44"/>
  <c r="J105"/>
  <c r="D144" s="1"/>
  <c r="PW14" i="38"/>
  <c r="PW23"/>
  <c r="PT15"/>
  <c r="PT18"/>
  <c r="PU10"/>
  <c r="PX12"/>
  <c r="H467" i="52" s="1"/>
  <c r="PN15" i="38"/>
  <c r="PN21"/>
  <c r="PK16"/>
  <c r="PR17"/>
  <c r="PQ21"/>
  <c r="PM5"/>
  <c r="PJ17"/>
  <c r="PP18"/>
  <c r="PU9"/>
  <c r="PU25"/>
  <c r="PP7"/>
  <c r="PM25"/>
  <c r="PM17"/>
  <c r="PR10"/>
  <c r="PU23"/>
  <c r="PW10"/>
  <c r="PW20"/>
  <c r="KB13"/>
  <c r="MO13" s="1"/>
  <c r="MO50" s="1"/>
  <c r="PR13"/>
  <c r="PV14"/>
  <c r="PW16"/>
  <c r="PJ5"/>
  <c r="PQ10"/>
  <c r="PV6"/>
  <c r="PW18"/>
  <c r="AD711" i="55"/>
  <c r="N479" i="48" s="1"/>
  <c r="PJ14" i="38"/>
  <c r="PN23"/>
  <c r="PU16"/>
  <c r="PM19"/>
  <c r="AB711" i="55"/>
  <c r="O479" i="48" s="1"/>
  <c r="PR14" i="38"/>
  <c r="AD713" i="55"/>
  <c r="N481" i="48" s="1"/>
  <c r="PN19" i="38"/>
  <c r="PR15"/>
  <c r="EM14"/>
  <c r="FG14" s="1"/>
  <c r="W213" i="44" s="1"/>
  <c r="PW9" i="38"/>
  <c r="PM10"/>
  <c r="PR18"/>
  <c r="PN6"/>
  <c r="PP20"/>
  <c r="PW21"/>
  <c r="PR16"/>
  <c r="AA713" i="55"/>
  <c r="P481" i="48" s="1"/>
  <c r="PV19" i="38"/>
  <c r="PK20"/>
  <c r="PN18"/>
  <c r="PN25"/>
  <c r="EO13"/>
  <c r="FI13" s="1"/>
  <c r="PL13"/>
  <c r="PW19"/>
  <c r="PJ9"/>
  <c r="PW22"/>
  <c r="PS7"/>
  <c r="PU14"/>
  <c r="PM23"/>
  <c r="PW11"/>
  <c r="PQ5"/>
  <c r="PT11"/>
  <c r="PU18"/>
  <c r="PQ6"/>
  <c r="PU17"/>
  <c r="PK18"/>
  <c r="PO5"/>
  <c r="PQ9"/>
  <c r="PR6"/>
  <c r="PQ19"/>
  <c r="PN16"/>
  <c r="PV20"/>
  <c r="PW25"/>
  <c r="PQ15"/>
  <c r="PX11"/>
  <c r="H464" i="52" s="1"/>
  <c r="PW17" i="38"/>
  <c r="PK25"/>
  <c r="PU7"/>
  <c r="EY8"/>
  <c r="FS8" s="1"/>
  <c r="PV8"/>
  <c r="PR11"/>
  <c r="PR9"/>
  <c r="PQ16"/>
  <c r="PU11"/>
  <c r="PM27"/>
  <c r="PV17"/>
  <c r="PV25"/>
  <c r="PK23"/>
  <c r="PJ11"/>
  <c r="PS17"/>
  <c r="PV7"/>
  <c r="PV23"/>
  <c r="PV21"/>
  <c r="PR23"/>
  <c r="PN9"/>
  <c r="PK22"/>
  <c r="PV11"/>
  <c r="PK27"/>
  <c r="PR5"/>
  <c r="EQ13"/>
  <c r="FK13" s="1"/>
  <c r="PN13"/>
  <c r="E208" i="52"/>
  <c r="J114" i="44"/>
  <c r="D140" s="1"/>
  <c r="O21" i="51"/>
  <c r="O304" s="1"/>
  <c r="P167"/>
  <c r="P275"/>
  <c r="P119"/>
  <c r="E48" i="52"/>
  <c r="P310" i="51"/>
  <c r="D232" i="52"/>
  <c r="D205"/>
  <c r="D293"/>
  <c r="D184"/>
  <c r="D71"/>
  <c r="D109"/>
  <c r="O16" i="51"/>
  <c r="O222" s="1"/>
  <c r="N103" i="44"/>
  <c r="O10" i="51" s="1"/>
  <c r="E184" i="52"/>
  <c r="D43"/>
  <c r="O373" i="51"/>
  <c r="E240" i="52"/>
  <c r="E205"/>
  <c r="P66" i="51"/>
  <c r="P97"/>
  <c r="E293" i="52"/>
  <c r="P350" i="51"/>
  <c r="P328"/>
  <c r="E109" i="52"/>
  <c r="E71"/>
  <c r="P370" i="51"/>
  <c r="E43" i="52"/>
  <c r="O346" i="51"/>
  <c r="D127" i="44"/>
  <c r="O162" i="51"/>
  <c r="P246"/>
  <c r="P372"/>
  <c r="P44"/>
  <c r="P176"/>
  <c r="P72"/>
  <c r="O56"/>
  <c r="P278"/>
  <c r="O260"/>
  <c r="P108"/>
  <c r="D87" i="52"/>
  <c r="D209"/>
  <c r="D302"/>
  <c r="D211"/>
  <c r="D237"/>
  <c r="D115"/>
  <c r="D42"/>
  <c r="D72"/>
  <c r="D190"/>
  <c r="O278" i="51"/>
  <c r="O14"/>
  <c r="O233" s="1"/>
  <c r="D137" i="44"/>
  <c r="E9" i="52"/>
  <c r="AH491" s="1"/>
  <c r="O12" i="51"/>
  <c r="P193"/>
  <c r="O41"/>
  <c r="O370"/>
  <c r="O275"/>
  <c r="O350"/>
  <c r="O254"/>
  <c r="O97"/>
  <c r="O310"/>
  <c r="O66"/>
  <c r="O216"/>
  <c r="O119"/>
  <c r="O328"/>
  <c r="O143"/>
  <c r="O167"/>
  <c r="O193"/>
  <c r="D8" i="52"/>
  <c r="O8" i="51"/>
  <c r="D24" i="52"/>
  <c r="P207" i="51"/>
  <c r="P77"/>
  <c r="P181"/>
  <c r="P227"/>
  <c r="P51"/>
  <c r="P130"/>
  <c r="P336"/>
  <c r="P259"/>
  <c r="P307"/>
  <c r="P276"/>
  <c r="P366"/>
  <c r="D207" i="44"/>
  <c r="E381" s="1"/>
  <c r="C21" i="48" s="1"/>
  <c r="D126" i="44"/>
  <c r="D242" i="52"/>
  <c r="D175"/>
  <c r="D305"/>
  <c r="D206"/>
  <c r="D100"/>
  <c r="D132" i="44"/>
  <c r="D211"/>
  <c r="E385" s="1"/>
  <c r="N14" i="51" s="1"/>
  <c r="N112" i="44"/>
  <c r="J129"/>
  <c r="J216"/>
  <c r="G390" s="1"/>
  <c r="D146"/>
  <c r="D208"/>
  <c r="E382" s="1"/>
  <c r="J112"/>
  <c r="D11" i="52"/>
  <c r="O11" i="51"/>
  <c r="O155"/>
  <c r="O293"/>
  <c r="D209" i="44"/>
  <c r="E383" s="1"/>
  <c r="C12" i="52" s="1"/>
  <c r="D20" i="48"/>
  <c r="F202"/>
  <c r="C34"/>
  <c r="N23" i="51"/>
  <c r="M394" i="44"/>
  <c r="C23" i="52"/>
  <c r="J394" i="44"/>
  <c r="P14" i="51"/>
  <c r="D25" i="48"/>
  <c r="N385" i="44"/>
  <c r="E14" i="52"/>
  <c r="N380" i="44"/>
  <c r="J207"/>
  <c r="G381" s="1"/>
  <c r="J126"/>
  <c r="D31" i="48"/>
  <c r="E20" i="52"/>
  <c r="N391" i="44"/>
  <c r="P20" i="51"/>
  <c r="D20" i="52"/>
  <c r="O20" i="51"/>
  <c r="D206" i="44"/>
  <c r="E380" s="1"/>
  <c r="D141"/>
  <c r="D136"/>
  <c r="D213"/>
  <c r="E387" s="1"/>
  <c r="D38" i="48"/>
  <c r="E27" i="52"/>
  <c r="N398" i="44"/>
  <c r="P27" i="51"/>
  <c r="O135"/>
  <c r="O109"/>
  <c r="D51" i="52"/>
  <c r="D77"/>
  <c r="F190" i="48"/>
  <c r="C19"/>
  <c r="N8" i="51"/>
  <c r="M379" i="44"/>
  <c r="J379"/>
  <c r="C8" i="52"/>
  <c r="O27" i="51"/>
  <c r="D27" i="52"/>
  <c r="F199" i="48"/>
  <c r="C23"/>
  <c r="F192"/>
  <c r="J391" i="44"/>
  <c r="N20" i="51"/>
  <c r="C20" i="52"/>
  <c r="C31" i="48"/>
  <c r="M391" i="44"/>
  <c r="D170" i="52"/>
  <c r="D57"/>
  <c r="P131" i="51"/>
  <c r="P346"/>
  <c r="P323"/>
  <c r="P155"/>
  <c r="P222"/>
  <c r="P200"/>
  <c r="D304" i="52"/>
  <c r="D246"/>
  <c r="O176" i="51"/>
  <c r="O323"/>
  <c r="O72"/>
  <c r="O200"/>
  <c r="P104"/>
  <c r="P360"/>
  <c r="P154"/>
  <c r="J142" i="44"/>
  <c r="J111"/>
  <c r="J215"/>
  <c r="G389" s="1"/>
  <c r="N111"/>
  <c r="F182" i="48"/>
  <c r="N24" i="51"/>
  <c r="C24" i="52"/>
  <c r="J395" i="44"/>
  <c r="C35" i="48"/>
  <c r="M395" i="44"/>
  <c r="D95" i="52"/>
  <c r="N102" i="44"/>
  <c r="V206"/>
  <c r="D143"/>
  <c r="D224"/>
  <c r="E398" s="1"/>
  <c r="KF5" i="38"/>
  <c r="MS5" s="1"/>
  <c r="MS42" s="1"/>
  <c r="BH6" i="47"/>
  <c r="BI6" s="1"/>
  <c r="HK20" i="38"/>
  <c r="HO10"/>
  <c r="AX12"/>
  <c r="HK12"/>
  <c r="AV6" i="47"/>
  <c r="BQ6" i="38" s="1"/>
  <c r="CJ6" s="1"/>
  <c r="AV21" i="47"/>
  <c r="BQ21" i="38" s="1"/>
  <c r="CJ21" s="1"/>
  <c r="BP12"/>
  <c r="CI12" s="1"/>
  <c r="BF17" i="47"/>
  <c r="BI17" i="38" s="1"/>
  <c r="AX6" i="47"/>
  <c r="BS6" i="38" s="1"/>
  <c r="CL6" s="1"/>
  <c r="HO21"/>
  <c r="EM12"/>
  <c r="FG12" s="1"/>
  <c r="W211" i="44" s="1"/>
  <c r="AZ19" i="47"/>
  <c r="BC19" i="38" s="1"/>
  <c r="BH19" i="47"/>
  <c r="EZ19" i="38" s="1"/>
  <c r="FT19" s="1"/>
  <c r="EQ12"/>
  <c r="FK12" s="1"/>
  <c r="BX12"/>
  <c r="CQ12" s="1"/>
  <c r="KF18"/>
  <c r="LA18" s="1"/>
  <c r="KB20"/>
  <c r="KW20" s="1"/>
  <c r="CB20"/>
  <c r="CU20" s="1"/>
  <c r="KB22"/>
  <c r="MO22" s="1"/>
  <c r="MO59" s="1"/>
  <c r="EM5"/>
  <c r="FG5" s="1"/>
  <c r="W204" i="44" s="1"/>
  <c r="HO20" i="38"/>
  <c r="C19" i="47"/>
  <c r="HW23" i="38"/>
  <c r="JX20"/>
  <c r="MK20" s="1"/>
  <c r="MK57" s="1"/>
  <c r="BH23" i="47"/>
  <c r="BI23" s="1"/>
  <c r="BT20" i="38"/>
  <c r="CM20" s="1"/>
  <c r="BP5"/>
  <c r="CI5" s="1"/>
  <c r="EU7"/>
  <c r="FO7" s="1"/>
  <c r="EQ20"/>
  <c r="FK20" s="1"/>
  <c r="HW15"/>
  <c r="BF7"/>
  <c r="EY15"/>
  <c r="FS15" s="1"/>
  <c r="CB23"/>
  <c r="CU23" s="1"/>
  <c r="BD23" i="47"/>
  <c r="BG23" i="38" s="1"/>
  <c r="BF21" i="47"/>
  <c r="CA21" i="38" s="1"/>
  <c r="CT21" s="1"/>
  <c r="BX7"/>
  <c r="CQ7" s="1"/>
  <c r="BH15" i="47"/>
  <c r="BK15" i="38" s="1"/>
  <c r="HK10"/>
  <c r="AX5"/>
  <c r="EM10"/>
  <c r="FG10" s="1"/>
  <c r="W209" i="44" s="1"/>
  <c r="CB15" i="38"/>
  <c r="CU15" s="1"/>
  <c r="AX10"/>
  <c r="BD21" i="47"/>
  <c r="BG21" i="38" s="1"/>
  <c r="EQ14"/>
  <c r="FK14" s="1"/>
  <c r="AW5" i="47"/>
  <c r="AZ5" i="38" s="1"/>
  <c r="EM23"/>
  <c r="FG23" s="1"/>
  <c r="W222" i="44" s="1"/>
  <c r="BF22" i="47"/>
  <c r="BI22" i="38" s="1"/>
  <c r="BH18" i="47"/>
  <c r="HX18" i="38" s="1"/>
  <c r="AV14" i="47"/>
  <c r="BQ14" i="38" s="1"/>
  <c r="CJ14" s="1"/>
  <c r="BB22" i="47"/>
  <c r="BW22" i="38" s="1"/>
  <c r="CP22" s="1"/>
  <c r="HW21"/>
  <c r="AZ20" i="47"/>
  <c r="BC20" i="38" s="1"/>
  <c r="BB21" i="47"/>
  <c r="BE21" i="38" s="1"/>
  <c r="HW18"/>
  <c r="BX23"/>
  <c r="CQ23" s="1"/>
  <c r="KB21"/>
  <c r="KW21" s="1"/>
  <c r="BB14"/>
  <c r="MS26"/>
  <c r="MS63" s="1"/>
  <c r="HS22"/>
  <c r="BD20" i="47"/>
  <c r="BG20" i="38" s="1"/>
  <c r="HS23"/>
  <c r="BA22" i="47"/>
  <c r="HQ22" i="38" s="1"/>
  <c r="BA14" i="47"/>
  <c r="BD14" i="38" s="1"/>
  <c r="BE22" i="47"/>
  <c r="BH22" i="38" s="1"/>
  <c r="BH21" i="47"/>
  <c r="KG21" i="38" s="1"/>
  <c r="HS20"/>
  <c r="EU12"/>
  <c r="FO12" s="1"/>
  <c r="BA21" i="47"/>
  <c r="JZ21" i="38" s="1"/>
  <c r="EY18"/>
  <c r="FS18" s="1"/>
  <c r="BF23" i="47"/>
  <c r="BI23" i="38" s="1"/>
  <c r="HW20"/>
  <c r="BF23"/>
  <c r="BF21"/>
  <c r="AW14" i="47"/>
  <c r="BA20"/>
  <c r="BV20" i="38" s="1"/>
  <c r="CO20" s="1"/>
  <c r="EU22"/>
  <c r="FO22" s="1"/>
  <c r="BX20"/>
  <c r="CQ20" s="1"/>
  <c r="HS21"/>
  <c r="BE21" i="47"/>
  <c r="BH21" i="38" s="1"/>
  <c r="BB20" i="47"/>
  <c r="BE20" i="38" s="1"/>
  <c r="BE23" i="47"/>
  <c r="BH23" i="38" s="1"/>
  <c r="AZ22" i="47"/>
  <c r="HP22" i="38" s="1"/>
  <c r="CB21"/>
  <c r="CU21" s="1"/>
  <c r="BF20" i="47"/>
  <c r="BI20" i="38" s="1"/>
  <c r="HS12"/>
  <c r="AZ21" i="47"/>
  <c r="BC21" i="38" s="1"/>
  <c r="JX7"/>
  <c r="KS7" s="1"/>
  <c r="CB18"/>
  <c r="CU18" s="1"/>
  <c r="BH20" i="47"/>
  <c r="HX20" i="38" s="1"/>
  <c r="KF15"/>
  <c r="MS15" s="1"/>
  <c r="MS52" s="1"/>
  <c r="EU21"/>
  <c r="FO21" s="1"/>
  <c r="JT10"/>
  <c r="KO10" s="1"/>
  <c r="BD22" i="47"/>
  <c r="BG22" i="38" s="1"/>
  <c r="EU20"/>
  <c r="FO20" s="1"/>
  <c r="KB12"/>
  <c r="MO12" s="1"/>
  <c r="MO49" s="1"/>
  <c r="BT14"/>
  <c r="CM14" s="1"/>
  <c r="BX22"/>
  <c r="CQ22" s="1"/>
  <c r="BE20" i="47"/>
  <c r="BH20" i="38" s="1"/>
  <c r="AX14" i="47"/>
  <c r="HN14" i="38" s="1"/>
  <c r="AV23" i="47"/>
  <c r="AY23" i="38" s="1"/>
  <c r="BE5" i="47"/>
  <c r="BH5" i="38" s="1"/>
  <c r="HO18"/>
  <c r="AV10" i="47"/>
  <c r="BQ10" i="38" s="1"/>
  <c r="CJ10" s="1"/>
  <c r="BF18"/>
  <c r="AZ5" i="47"/>
  <c r="HP5" i="38" s="1"/>
  <c r="AR9" i="47"/>
  <c r="EQ6" i="38"/>
  <c r="FK6" s="1"/>
  <c r="JV13"/>
  <c r="KQ13" s="1"/>
  <c r="KB16"/>
  <c r="MO16" s="1"/>
  <c r="MO53" s="1"/>
  <c r="KP8"/>
  <c r="JX15"/>
  <c r="MK15" s="1"/>
  <c r="MK52" s="1"/>
  <c r="KB17"/>
  <c r="MO17" s="1"/>
  <c r="MO54" s="1"/>
  <c r="EY21"/>
  <c r="FS21" s="1"/>
  <c r="JT5"/>
  <c r="KO5" s="1"/>
  <c r="EQ16"/>
  <c r="FK16" s="1"/>
  <c r="EY14"/>
  <c r="FS14" s="1"/>
  <c r="EU13"/>
  <c r="FO13" s="1"/>
  <c r="KF21"/>
  <c r="LA21" s="1"/>
  <c r="KF23"/>
  <c r="MS23" s="1"/>
  <c r="MS60" s="1"/>
  <c r="MG6"/>
  <c r="MG43" s="1"/>
  <c r="KF8"/>
  <c r="MS8" s="1"/>
  <c r="MS45" s="1"/>
  <c r="KF20"/>
  <c r="LA20" s="1"/>
  <c r="EY20"/>
  <c r="FS20" s="1"/>
  <c r="K219" i="44" s="1"/>
  <c r="EY23" i="38"/>
  <c r="FS23" s="1"/>
  <c r="AA712" i="55"/>
  <c r="P480" i="48" s="1"/>
  <c r="EQ21" i="38"/>
  <c r="FK21" s="1"/>
  <c r="JX21"/>
  <c r="MK21" s="1"/>
  <c r="MK58" s="1"/>
  <c r="EU17"/>
  <c r="FO17" s="1"/>
  <c r="EQ15"/>
  <c r="FK15" s="1"/>
  <c r="KB23"/>
  <c r="KW23" s="1"/>
  <c r="OJ19"/>
  <c r="KF11"/>
  <c r="LA11" s="1"/>
  <c r="MC29"/>
  <c r="KB5"/>
  <c r="MO5" s="1"/>
  <c r="MO42" s="1"/>
  <c r="EU23"/>
  <c r="FO23" s="1"/>
  <c r="KR8"/>
  <c r="MJ8"/>
  <c r="MJ45" s="1"/>
  <c r="FL8"/>
  <c r="KP13"/>
  <c r="T408" i="48"/>
  <c r="O8"/>
  <c r="AJ352" i="52"/>
  <c r="AK354" s="1"/>
  <c r="AJ354" s="1"/>
  <c r="K20" i="26"/>
  <c r="MB30" i="38"/>
  <c r="MB31"/>
  <c r="MB29"/>
  <c r="MD5"/>
  <c r="JX25"/>
  <c r="MK25" s="1"/>
  <c r="MK62" s="1"/>
  <c r="LY29"/>
  <c r="JX9"/>
  <c r="KS9" s="1"/>
  <c r="EM17"/>
  <c r="FG17" s="1"/>
  <c r="W216" i="44" s="1"/>
  <c r="KB11" i="38"/>
  <c r="MO11" s="1"/>
  <c r="MO48" s="1"/>
  <c r="MC30"/>
  <c r="MC31"/>
  <c r="LZ30"/>
  <c r="LZ29"/>
  <c r="LZ31"/>
  <c r="JT9"/>
  <c r="MG9" s="1"/>
  <c r="LY30"/>
  <c r="LY31"/>
  <c r="LX29"/>
  <c r="LX30"/>
  <c r="LX31"/>
  <c r="AX17" i="47"/>
  <c r="BS17" i="38" s="1"/>
  <c r="CL17" s="1"/>
  <c r="BA6" i="47"/>
  <c r="HQ6" i="38" s="1"/>
  <c r="JX17"/>
  <c r="MK17" s="1"/>
  <c r="MK54" s="1"/>
  <c r="BA9" i="47"/>
  <c r="HQ9" i="38" s="1"/>
  <c r="AV22" i="47"/>
  <c r="JU22" i="38" s="1"/>
  <c r="KP22" s="1"/>
  <c r="HW7"/>
  <c r="BF11"/>
  <c r="AZ23" i="47"/>
  <c r="HP23" i="38" s="1"/>
  <c r="C22" i="47"/>
  <c r="BB23"/>
  <c r="BD7"/>
  <c r="HT7" i="38" s="1"/>
  <c r="BT17"/>
  <c r="CM17" s="1"/>
  <c r="AW17" i="47"/>
  <c r="AZ17" i="38" s="1"/>
  <c r="AZ14" i="47"/>
  <c r="BC14" i="38" s="1"/>
  <c r="BX6"/>
  <c r="CQ6" s="1"/>
  <c r="HW11"/>
  <c r="BX11"/>
  <c r="CQ11" s="1"/>
  <c r="BT23"/>
  <c r="CM23" s="1"/>
  <c r="AV17" i="47"/>
  <c r="BQ17" i="38" s="1"/>
  <c r="CJ17" s="1"/>
  <c r="EM7"/>
  <c r="FG7" s="1"/>
  <c r="W206" i="44" s="1"/>
  <c r="BF11" i="47"/>
  <c r="BI11" i="38" s="1"/>
  <c r="KF7"/>
  <c r="MS7" s="1"/>
  <c r="MS44" s="1"/>
  <c r="HS14"/>
  <c r="AZ6" i="47"/>
  <c r="BC6" i="38" s="1"/>
  <c r="BH11" i="47"/>
  <c r="HX11" i="38" s="1"/>
  <c r="HO9"/>
  <c r="JX23"/>
  <c r="KS23" s="1"/>
  <c r="HK7"/>
  <c r="AX9" i="47"/>
  <c r="BA9" i="38" s="1"/>
  <c r="HO17"/>
  <c r="EU14"/>
  <c r="FO14" s="1"/>
  <c r="CB11"/>
  <c r="CU11" s="1"/>
  <c r="BB9"/>
  <c r="BB23"/>
  <c r="JT7"/>
  <c r="MG7" s="1"/>
  <c r="MG44" s="1"/>
  <c r="BD12" i="47"/>
  <c r="BG12" i="38" s="1"/>
  <c r="BF7" i="47"/>
  <c r="BI7" i="38" s="1"/>
  <c r="AX23" i="47"/>
  <c r="BA23" i="38" s="1"/>
  <c r="BB17" i="47"/>
  <c r="HR17" i="38" s="1"/>
  <c r="EM16"/>
  <c r="FG16" s="1"/>
  <c r="W215" i="44" s="1"/>
  <c r="BX14" i="38"/>
  <c r="CQ14" s="1"/>
  <c r="HS6"/>
  <c r="BJ11"/>
  <c r="BT9"/>
  <c r="CM9" s="1"/>
  <c r="EQ23"/>
  <c r="FK23" s="1"/>
  <c r="BA23" i="47"/>
  <c r="BV23" i="38" s="1"/>
  <c r="CO23" s="1"/>
  <c r="BB14" i="47"/>
  <c r="HR14" i="38" s="1"/>
  <c r="BB9" i="47"/>
  <c r="BE9" i="38" s="1"/>
  <c r="AW23" i="47"/>
  <c r="BH7"/>
  <c r="BK7" i="38" s="1"/>
  <c r="EQ17"/>
  <c r="FK17" s="1"/>
  <c r="KB14"/>
  <c r="MO14" s="1"/>
  <c r="MO51" s="1"/>
  <c r="BB6" i="47"/>
  <c r="BE6" i="38" s="1"/>
  <c r="EY11"/>
  <c r="FS11" s="1"/>
  <c r="BD11" i="47"/>
  <c r="BG11" i="38" s="1"/>
  <c r="EQ9"/>
  <c r="FK9" s="1"/>
  <c r="BP7"/>
  <c r="CI7" s="1"/>
  <c r="AR19" i="47"/>
  <c r="HS11" i="38"/>
  <c r="CB7"/>
  <c r="BA17" i="47"/>
  <c r="BD17" i="38" s="1"/>
  <c r="EU6"/>
  <c r="FO6" s="1"/>
  <c r="BE7" i="47"/>
  <c r="BH7" i="38" s="1"/>
  <c r="EU11"/>
  <c r="FO11" s="1"/>
  <c r="HO23"/>
  <c r="MG24"/>
  <c r="MG61" s="1"/>
  <c r="BP16"/>
  <c r="CI16" s="1"/>
  <c r="BE11" i="47"/>
  <c r="HU11" i="38" s="1"/>
  <c r="EY7"/>
  <c r="FS7" s="1"/>
  <c r="AZ17" i="47"/>
  <c r="BC17" i="38" s="1"/>
  <c r="KB6"/>
  <c r="MO6" s="1"/>
  <c r="MO43" s="1"/>
  <c r="AV7" i="47"/>
  <c r="HL7" i="38" s="1"/>
  <c r="AZ15" i="47"/>
  <c r="BU15" i="38" s="1"/>
  <c r="CN15" s="1"/>
  <c r="EY12"/>
  <c r="FS12" s="1"/>
  <c r="K211" i="44" s="1"/>
  <c r="JX11" i="38"/>
  <c r="MK11" s="1"/>
  <c r="MK48" s="1"/>
  <c r="BJ9"/>
  <c r="BB15" i="47"/>
  <c r="BE15" i="38" s="1"/>
  <c r="BF12" i="47"/>
  <c r="CA12" i="38" s="1"/>
  <c r="CT12" s="1"/>
  <c r="EU15"/>
  <c r="FO15" s="1"/>
  <c r="EU25"/>
  <c r="FO25" s="1"/>
  <c r="HW12"/>
  <c r="BB11"/>
  <c r="EY9"/>
  <c r="FS9" s="1"/>
  <c r="HS25"/>
  <c r="BB11" i="47"/>
  <c r="BE11" i="38" s="1"/>
  <c r="BE17" i="47"/>
  <c r="BZ17" i="38" s="1"/>
  <c r="CS17" s="1"/>
  <c r="EY17"/>
  <c r="FS17" s="1"/>
  <c r="BF15" i="47"/>
  <c r="BI15" i="38" s="1"/>
  <c r="BE15" i="47"/>
  <c r="EW15" i="38" s="1"/>
  <c r="FQ15" s="1"/>
  <c r="BA11" i="47"/>
  <c r="BD11" i="38" s="1"/>
  <c r="KF12"/>
  <c r="LA12" s="1"/>
  <c r="BF25"/>
  <c r="HO11"/>
  <c r="BH17" i="47"/>
  <c r="BK17" i="38" s="1"/>
  <c r="EM25"/>
  <c r="FG25" s="1"/>
  <c r="W224" i="44" s="1"/>
  <c r="BA15" i="47"/>
  <c r="BD15" i="38" s="1"/>
  <c r="CB12"/>
  <c r="CU12" s="1"/>
  <c r="BX25"/>
  <c r="CQ25" s="1"/>
  <c r="HW17"/>
  <c r="BD17" i="47"/>
  <c r="HT17" i="38" s="1"/>
  <c r="BE12" i="47"/>
  <c r="BH12" i="38" s="1"/>
  <c r="KB15"/>
  <c r="MO15" s="1"/>
  <c r="MO52" s="1"/>
  <c r="BJ12"/>
  <c r="HW9"/>
  <c r="KF17"/>
  <c r="LA17" s="1"/>
  <c r="BD15" i="47"/>
  <c r="HT15" i="38" s="1"/>
  <c r="CB9"/>
  <c r="CU9" s="1"/>
  <c r="BD9" i="47"/>
  <c r="BG9" i="38" s="1"/>
  <c r="CB17"/>
  <c r="CU17" s="1"/>
  <c r="BX15"/>
  <c r="CQ15" s="1"/>
  <c r="AZ11" i="47"/>
  <c r="BC11" i="38" s="1"/>
  <c r="BF9" i="47"/>
  <c r="BI9" i="38" s="1"/>
  <c r="EU5"/>
  <c r="FO5" s="1"/>
  <c r="BA5" i="47"/>
  <c r="BD5" i="38" s="1"/>
  <c r="BB18" i="47"/>
  <c r="BE18" i="38" s="1"/>
  <c r="EQ7"/>
  <c r="FK7" s="1"/>
  <c r="BF14" i="47"/>
  <c r="BI14" i="38" s="1"/>
  <c r="BE14" i="47"/>
  <c r="BH14" i="38" s="1"/>
  <c r="BF16" i="47"/>
  <c r="BI16" i="38" s="1"/>
  <c r="EU18"/>
  <c r="FO18" s="1"/>
  <c r="EY16"/>
  <c r="FS16" s="1"/>
  <c r="K215" i="44" s="1"/>
  <c r="BE25" i="47"/>
  <c r="BH25" i="38" s="1"/>
  <c r="EM9"/>
  <c r="FG9" s="1"/>
  <c r="W208" i="44" s="1"/>
  <c r="MS13" i="38"/>
  <c r="MS50" s="1"/>
  <c r="BB18"/>
  <c r="JT18"/>
  <c r="AR7" i="47"/>
  <c r="HS18" i="38"/>
  <c r="HS5"/>
  <c r="HO5"/>
  <c r="JX18"/>
  <c r="MK18" s="1"/>
  <c r="MK55" s="1"/>
  <c r="AW7" i="47"/>
  <c r="BR7" i="38" s="1"/>
  <c r="KB18"/>
  <c r="MO18" s="1"/>
  <c r="MO55" s="1"/>
  <c r="BH16" i="47"/>
  <c r="HX16" i="38" s="1"/>
  <c r="BH25" i="47"/>
  <c r="KG25" i="38" s="1"/>
  <c r="HK9"/>
  <c r="BD10" i="47"/>
  <c r="BG10" i="38" s="1"/>
  <c r="KO23"/>
  <c r="AV18" i="47"/>
  <c r="AY18" i="38" s="1"/>
  <c r="BX5"/>
  <c r="CQ5" s="1"/>
  <c r="BT5"/>
  <c r="CM5" s="1"/>
  <c r="BF10" i="47"/>
  <c r="CA10" i="38" s="1"/>
  <c r="CT10" s="1"/>
  <c r="BT7"/>
  <c r="BD14" i="47"/>
  <c r="BE16"/>
  <c r="AX7"/>
  <c r="BS7" i="38" s="1"/>
  <c r="CB16"/>
  <c r="CU16" s="1"/>
  <c r="HW14"/>
  <c r="CB25"/>
  <c r="CU25" s="1"/>
  <c r="BP9"/>
  <c r="CI9" s="1"/>
  <c r="KB10"/>
  <c r="MO10" s="1"/>
  <c r="MO47" s="1"/>
  <c r="AZ9" i="47"/>
  <c r="HP9" i="38" s="1"/>
  <c r="HS10"/>
  <c r="BD18" i="47"/>
  <c r="BG18" i="38" s="1"/>
  <c r="BA18" i="47"/>
  <c r="ES18" i="38" s="1"/>
  <c r="FM18" s="1"/>
  <c r="AW18" i="47"/>
  <c r="AZ18" i="38" s="1"/>
  <c r="AZ7" i="47"/>
  <c r="BC7" i="38" s="1"/>
  <c r="BD16" i="47"/>
  <c r="BG16" i="38" s="1"/>
  <c r="BD25" i="47"/>
  <c r="HT25" i="38" s="1"/>
  <c r="HW16"/>
  <c r="KF14"/>
  <c r="MS14" s="1"/>
  <c r="MS51" s="1"/>
  <c r="KF25"/>
  <c r="MS25" s="1"/>
  <c r="MS62" s="1"/>
  <c r="AX9"/>
  <c r="EU10"/>
  <c r="FO10" s="1"/>
  <c r="BF18" i="47"/>
  <c r="BI18" i="38" s="1"/>
  <c r="BE18" i="47"/>
  <c r="KD18" i="38" s="1"/>
  <c r="HW25"/>
  <c r="AZ18" i="47"/>
  <c r="BU18" i="38" s="1"/>
  <c r="CN18" s="1"/>
  <c r="AX18" i="47"/>
  <c r="BA18" i="38" s="1"/>
  <c r="BE10" i="47"/>
  <c r="BZ10" i="38" s="1"/>
  <c r="CS10" s="1"/>
  <c r="BB7" i="47"/>
  <c r="BE7" i="38" s="1"/>
  <c r="BF25" i="47"/>
  <c r="BI25" i="38" s="1"/>
  <c r="KF16"/>
  <c r="MS16" s="1"/>
  <c r="MS53" s="1"/>
  <c r="BJ14"/>
  <c r="EY25"/>
  <c r="FS25" s="1"/>
  <c r="AV9" i="47"/>
  <c r="AY9" i="38" s="1"/>
  <c r="BF10"/>
  <c r="AV5" i="47"/>
  <c r="AY5" i="38" s="1"/>
  <c r="AW9" i="47"/>
  <c r="AZ9" i="38" s="1"/>
  <c r="EQ5"/>
  <c r="FK5" s="1"/>
  <c r="K204" i="44" s="1"/>
  <c r="EQ18" i="38"/>
  <c r="FK18" s="1"/>
  <c r="AX5" i="47"/>
  <c r="BA5" i="38" s="1"/>
  <c r="HO7"/>
  <c r="BH14" i="47"/>
  <c r="CC14" i="38" s="1"/>
  <c r="CV14" s="1"/>
  <c r="BB5" i="47"/>
  <c r="BE5" i="38" s="1"/>
  <c r="BA7" i="47"/>
  <c r="HQ7" i="38" s="1"/>
  <c r="BB10" i="47"/>
  <c r="BE10" i="38" s="1"/>
  <c r="AX16" i="47"/>
  <c r="BA16" i="38" s="1"/>
  <c r="BA16" i="47"/>
  <c r="BD16" i="38" s="1"/>
  <c r="KF6"/>
  <c r="LA6" s="1"/>
  <c r="BF9"/>
  <c r="BJ5"/>
  <c r="HO16"/>
  <c r="JT25"/>
  <c r="AW10" i="47"/>
  <c r="BR10" i="38" s="1"/>
  <c r="EM22"/>
  <c r="FG22" s="1"/>
  <c r="W221" i="44" s="1"/>
  <c r="AW16" i="47"/>
  <c r="AZ16" i="38" s="1"/>
  <c r="EY5"/>
  <c r="FS5" s="1"/>
  <c r="EY6"/>
  <c r="FS6" s="1"/>
  <c r="BX9"/>
  <c r="AX20" i="47"/>
  <c r="BA20" i="38" s="1"/>
  <c r="CB5"/>
  <c r="CU5" s="1"/>
  <c r="BB16"/>
  <c r="AR14" i="47"/>
  <c r="HS9" i="38"/>
  <c r="EQ10"/>
  <c r="FK10" s="1"/>
  <c r="BE9" i="47"/>
  <c r="BH9" i="38" s="1"/>
  <c r="JX10"/>
  <c r="MK10" s="1"/>
  <c r="MK47" s="1"/>
  <c r="BF5" i="47"/>
  <c r="BI5" i="38" s="1"/>
  <c r="AX22" i="47"/>
  <c r="BA22" i="38" s="1"/>
  <c r="BE6" i="47"/>
  <c r="BH6" i="38" s="1"/>
  <c r="BJ6"/>
  <c r="EU9"/>
  <c r="FO9" s="1"/>
  <c r="EM20"/>
  <c r="FG20" s="1"/>
  <c r="W219" i="44" s="1"/>
  <c r="AV16" i="47"/>
  <c r="AY16" i="38" s="1"/>
  <c r="C25" i="47"/>
  <c r="AR25"/>
  <c r="BB16"/>
  <c r="BE16" i="38" s="1"/>
  <c r="BD5" i="47"/>
  <c r="HT5" i="38" s="1"/>
  <c r="AX10" i="47"/>
  <c r="EP10" i="38" s="1"/>
  <c r="FJ10" s="1"/>
  <c r="AW22" i="47"/>
  <c r="AZ22" i="38" s="1"/>
  <c r="AZ16" i="47"/>
  <c r="BC16" i="38" s="1"/>
  <c r="BH5" i="47"/>
  <c r="BI5" s="1"/>
  <c r="CD5" i="38" s="1"/>
  <c r="KB9"/>
  <c r="MO9" s="1"/>
  <c r="BP20"/>
  <c r="CI20" s="1"/>
  <c r="JX16"/>
  <c r="KS16" s="1"/>
  <c r="AR17" i="47"/>
  <c r="AW20"/>
  <c r="HM20" i="38" s="1"/>
  <c r="HM57" s="1"/>
  <c r="BA10" i="47"/>
  <c r="BD10" i="38" s="1"/>
  <c r="JT20"/>
  <c r="MG20" s="1"/>
  <c r="MG57" s="1"/>
  <c r="C14" i="47"/>
  <c r="HW6" i="38"/>
  <c r="AV20" i="47"/>
  <c r="EN20" i="38" s="1"/>
  <c r="FH20" s="1"/>
  <c r="AZ10" i="47"/>
  <c r="BC10" i="38" s="1"/>
  <c r="BD6" i="47"/>
  <c r="HT6" i="38" s="1"/>
  <c r="BT10"/>
  <c r="CM10" s="1"/>
  <c r="BF6" i="47"/>
  <c r="CA6" i="38" s="1"/>
  <c r="CT6" s="1"/>
  <c r="AV19" i="47"/>
  <c r="BQ19" i="38" s="1"/>
  <c r="CJ19" s="1"/>
  <c r="HW19"/>
  <c r="BE19" i="47"/>
  <c r="BZ19" i="38" s="1"/>
  <c r="CS19" s="1"/>
  <c r="JX12"/>
  <c r="MK12" s="1"/>
  <c r="MK49" s="1"/>
  <c r="JT19"/>
  <c r="KO19" s="1"/>
  <c r="BB25"/>
  <c r="ML8"/>
  <c r="ML45" s="1"/>
  <c r="BA25" i="47"/>
  <c r="BD25" i="38" s="1"/>
  <c r="BB12" i="47"/>
  <c r="BE12" i="38" s="1"/>
  <c r="KF19"/>
  <c r="MS19" s="1"/>
  <c r="MS56" s="1"/>
  <c r="KB19"/>
  <c r="MO19" s="1"/>
  <c r="MO56" s="1"/>
  <c r="BB25" i="47"/>
  <c r="BE25" i="38" s="1"/>
  <c r="AV12" i="47"/>
  <c r="HL12" i="38" s="1"/>
  <c r="AV25" i="47"/>
  <c r="BQ25" i="38" s="1"/>
  <c r="CJ25" s="1"/>
  <c r="BP11"/>
  <c r="CI11" s="1"/>
  <c r="BB19" i="47"/>
  <c r="BE19" i="38" s="1"/>
  <c r="AW11" i="47"/>
  <c r="BR11" i="38" s="1"/>
  <c r="EY19"/>
  <c r="FS19" s="1"/>
  <c r="AW12" i="47"/>
  <c r="BR12" i="38" s="1"/>
  <c r="BD19" i="47"/>
  <c r="BG19" i="38" s="1"/>
  <c r="BT12"/>
  <c r="CM12" s="1"/>
  <c r="BA12" i="47"/>
  <c r="HQ12" i="38" s="1"/>
  <c r="AX19" i="47"/>
  <c r="JW19" i="38" s="1"/>
  <c r="AX11" i="47"/>
  <c r="BA11" i="38" s="1"/>
  <c r="AX12" i="47"/>
  <c r="BX19" i="38"/>
  <c r="CQ19" s="1"/>
  <c r="HO25"/>
  <c r="EQ25"/>
  <c r="FK25" s="1"/>
  <c r="EM19"/>
  <c r="FG19" s="1"/>
  <c r="W218" i="44" s="1"/>
  <c r="BA19" i="47"/>
  <c r="BV19" i="38" s="1"/>
  <c r="CO19" s="1"/>
  <c r="AZ12" i="47"/>
  <c r="BU12" i="38" s="1"/>
  <c r="CN12" s="1"/>
  <c r="HS19"/>
  <c r="HK19"/>
  <c r="AV11" i="47"/>
  <c r="BQ11" i="38" s="1"/>
  <c r="CJ11" s="1"/>
  <c r="AW19" i="47"/>
  <c r="BR19" i="38" s="1"/>
  <c r="AX25" i="47"/>
  <c r="HN25" i="38" s="1"/>
  <c r="BF19" i="47"/>
  <c r="BI19" i="38" s="1"/>
  <c r="HO12"/>
  <c r="AX19"/>
  <c r="AW25" i="47"/>
  <c r="CB19" i="38"/>
  <c r="CU19" s="1"/>
  <c r="EU19"/>
  <c r="FO19" s="1"/>
  <c r="AZ25" i="47"/>
  <c r="BC25" i="38" s="1"/>
  <c r="AX11"/>
  <c r="DF5"/>
  <c r="NW5"/>
  <c r="KS8"/>
  <c r="MK8"/>
  <c r="MK45" s="1"/>
  <c r="AX16"/>
  <c r="HK16"/>
  <c r="HK17"/>
  <c r="BP17"/>
  <c r="CI17" s="1"/>
  <c r="AR12" i="47"/>
  <c r="DN7" i="38"/>
  <c r="OE7"/>
  <c r="HK14"/>
  <c r="AX14"/>
  <c r="BP14"/>
  <c r="CI14" s="1"/>
  <c r="AR23" i="47"/>
  <c r="BP18" i="38"/>
  <c r="CI18" s="1"/>
  <c r="HK18"/>
  <c r="AX18"/>
  <c r="BB5"/>
  <c r="JX5"/>
  <c r="AR20" i="47"/>
  <c r="BP25" i="38"/>
  <c r="CI25" s="1"/>
  <c r="HK25"/>
  <c r="AR18" i="47"/>
  <c r="AR5"/>
  <c r="BP6" i="38"/>
  <c r="CI6" s="1"/>
  <c r="AX6"/>
  <c r="HK6"/>
  <c r="AX21"/>
  <c r="HK21"/>
  <c r="BP21"/>
  <c r="CI21" s="1"/>
  <c r="OB21"/>
  <c r="AR11" i="47"/>
  <c r="AR15"/>
  <c r="BP22" i="38"/>
  <c r="CI22" s="1"/>
  <c r="AX22"/>
  <c r="HK22"/>
  <c r="AR6" i="47"/>
  <c r="AR21"/>
  <c r="AR22"/>
  <c r="AX23" i="38"/>
  <c r="HK23"/>
  <c r="BP23"/>
  <c r="CI23" s="1"/>
  <c r="AR10" i="47"/>
  <c r="AR16"/>
  <c r="JW26" i="38"/>
  <c r="KR26" s="1"/>
  <c r="EP26"/>
  <c r="FJ26" s="1"/>
  <c r="DG9"/>
  <c r="DO6"/>
  <c r="DJ15"/>
  <c r="DI26"/>
  <c r="OF8"/>
  <c r="JX13"/>
  <c r="BZ18" i="47"/>
  <c r="OH18" i="38"/>
  <c r="DG13"/>
  <c r="PM13" s="1"/>
  <c r="NX13"/>
  <c r="DJ6"/>
  <c r="BZ15" i="47"/>
  <c r="OH15" i="38"/>
  <c r="DQ26"/>
  <c r="PW26" s="1"/>
  <c r="OH26"/>
  <c r="DQ15"/>
  <c r="JT11"/>
  <c r="MG11" s="1"/>
  <c r="MG48" s="1"/>
  <c r="MS24"/>
  <c r="MS61" s="1"/>
  <c r="DM27"/>
  <c r="PS27" s="1"/>
  <c r="OD27"/>
  <c r="DN26"/>
  <c r="PT26" s="1"/>
  <c r="OE26"/>
  <c r="BZ9" i="47"/>
  <c r="OH9" i="38"/>
  <c r="EM11"/>
  <c r="FG11" s="1"/>
  <c r="W210" i="44" s="1"/>
  <c r="DO15" i="38"/>
  <c r="OF15"/>
  <c r="DR26"/>
  <c r="PX26" s="1"/>
  <c r="H478" i="52" s="1"/>
  <c r="OI26" i="38"/>
  <c r="DM20"/>
  <c r="OD20"/>
  <c r="DN17"/>
  <c r="OE17"/>
  <c r="DN13"/>
  <c r="PT13" s="1"/>
  <c r="OE13"/>
  <c r="DQ13"/>
  <c r="PW13" s="1"/>
  <c r="OH13"/>
  <c r="BZ13" i="47"/>
  <c r="DN27" i="38"/>
  <c r="PT27" s="1"/>
  <c r="OE27"/>
  <c r="AA711" i="55"/>
  <c r="P479" i="48" s="1"/>
  <c r="DR17" i="38"/>
  <c r="OI17"/>
  <c r="DK20"/>
  <c r="OB20"/>
  <c r="NV7"/>
  <c r="DE7"/>
  <c r="DF10"/>
  <c r="NW10"/>
  <c r="DK11"/>
  <c r="OB11"/>
  <c r="DN21"/>
  <c r="OE21"/>
  <c r="DG16"/>
  <c r="NX16"/>
  <c r="DF21"/>
  <c r="NW21"/>
  <c r="OM21" s="1"/>
  <c r="DE21"/>
  <c r="NV21"/>
  <c r="MG12"/>
  <c r="MG49" s="1"/>
  <c r="DI11"/>
  <c r="OF23"/>
  <c r="OK23" s="1"/>
  <c r="K211" i="55" s="1"/>
  <c r="NV15" i="38"/>
  <c r="DE15"/>
  <c r="EN15" s="1"/>
  <c r="FH15" s="1"/>
  <c r="DJ5"/>
  <c r="OA5"/>
  <c r="DE14"/>
  <c r="NV14"/>
  <c r="BZ6" i="47"/>
  <c r="OH6" i="38"/>
  <c r="DQ6"/>
  <c r="EY27"/>
  <c r="FS27" s="1"/>
  <c r="KF27"/>
  <c r="DO21"/>
  <c r="OF21"/>
  <c r="OK21" s="1"/>
  <c r="K217" i="55" s="1"/>
  <c r="JT14" i="38"/>
  <c r="DI10"/>
  <c r="NZ10"/>
  <c r="DE24"/>
  <c r="DG7"/>
  <c r="NX7"/>
  <c r="DF26"/>
  <c r="PL26" s="1"/>
  <c r="NW26"/>
  <c r="DI6"/>
  <c r="NZ6"/>
  <c r="DM15"/>
  <c r="OD15"/>
  <c r="EM26"/>
  <c r="FG26" s="1"/>
  <c r="W225" i="44" s="1"/>
  <c r="JT26" i="38"/>
  <c r="DM6"/>
  <c r="OD6"/>
  <c r="DI18"/>
  <c r="NZ18"/>
  <c r="DR25"/>
  <c r="OI25"/>
  <c r="M209" i="55" s="1"/>
  <c r="DM18" i="38"/>
  <c r="OD18"/>
  <c r="DE6"/>
  <c r="NV6"/>
  <c r="DG15"/>
  <c r="NX15"/>
  <c r="DK24"/>
  <c r="PQ24" s="1"/>
  <c r="OB24"/>
  <c r="DF6"/>
  <c r="NW6"/>
  <c r="DO20"/>
  <c r="OF20"/>
  <c r="DR20"/>
  <c r="OI20"/>
  <c r="DJ16"/>
  <c r="OI12"/>
  <c r="OJ12" s="1"/>
  <c r="DF7"/>
  <c r="NW7"/>
  <c r="DI16"/>
  <c r="NZ16"/>
  <c r="DI17"/>
  <c r="NZ17"/>
  <c r="OD16"/>
  <c r="DM16"/>
  <c r="BZ7" i="47"/>
  <c r="OH7" i="38"/>
  <c r="DE26"/>
  <c r="PK26" s="1"/>
  <c r="NV26"/>
  <c r="AB712" i="55"/>
  <c r="O480" i="48" s="1"/>
  <c r="KB8" i="38"/>
  <c r="EU8"/>
  <c r="FO8" s="1"/>
  <c r="DO26"/>
  <c r="PU26" s="1"/>
  <c r="OF26"/>
  <c r="DI21"/>
  <c r="NZ21"/>
  <c r="DF19"/>
  <c r="NW19"/>
  <c r="OM19" s="1"/>
  <c r="DO27"/>
  <c r="PU27" s="1"/>
  <c r="OF27"/>
  <c r="DI15"/>
  <c r="NZ15"/>
  <c r="DK18"/>
  <c r="OB18"/>
  <c r="DI7"/>
  <c r="NZ7"/>
  <c r="JT22"/>
  <c r="DQ7"/>
  <c r="DG6"/>
  <c r="DG11"/>
  <c r="DM10"/>
  <c r="OD10"/>
  <c r="DO13"/>
  <c r="PU13" s="1"/>
  <c r="OF13"/>
  <c r="DN16"/>
  <c r="OE16"/>
  <c r="DJ11"/>
  <c r="OA11"/>
  <c r="DI20"/>
  <c r="NZ20"/>
  <c r="DM21"/>
  <c r="OD21"/>
  <c r="DF25"/>
  <c r="PL25" s="1"/>
  <c r="NW25"/>
  <c r="DN5"/>
  <c r="OE5"/>
  <c r="BZ24" i="47"/>
  <c r="DQ24" i="38"/>
  <c r="PW24" s="1"/>
  <c r="OH24"/>
  <c r="DM5"/>
  <c r="OD5"/>
  <c r="KC8"/>
  <c r="EV8"/>
  <c r="FP8" s="1"/>
  <c r="OB23"/>
  <c r="DK23"/>
  <c r="DO5"/>
  <c r="OF5"/>
  <c r="OE9"/>
  <c r="DN9"/>
  <c r="DF23"/>
  <c r="NW23"/>
  <c r="OM23" s="1"/>
  <c r="EU24"/>
  <c r="FO24" s="1"/>
  <c r="KB24"/>
  <c r="OD26"/>
  <c r="DM26"/>
  <c r="PS26" s="1"/>
  <c r="NW24"/>
  <c r="DF24"/>
  <c r="PL24" s="1"/>
  <c r="OJ16"/>
  <c r="OM16"/>
  <c r="M221" i="55"/>
  <c r="JT17" i="38"/>
  <c r="KO17" s="1"/>
  <c r="OK16"/>
  <c r="K221" i="55" s="1"/>
  <c r="OK14" i="38"/>
  <c r="K214" i="55" s="1"/>
  <c r="DK14" i="38"/>
  <c r="OB14"/>
  <c r="OD22"/>
  <c r="DM22"/>
  <c r="DJ9"/>
  <c r="OA9"/>
  <c r="DO24"/>
  <c r="PU24" s="1"/>
  <c r="OF24"/>
  <c r="DO22"/>
  <c r="OF22"/>
  <c r="OD9"/>
  <c r="DM9"/>
  <c r="DI24"/>
  <c r="PO24" s="1"/>
  <c r="NZ24"/>
  <c r="OE12"/>
  <c r="DN12"/>
  <c r="OE22"/>
  <c r="DN22"/>
  <c r="DK8"/>
  <c r="PQ8" s="1"/>
  <c r="OB8"/>
  <c r="NZ12"/>
  <c r="DI12"/>
  <c r="M211" i="55"/>
  <c r="OJ23" i="38"/>
  <c r="OJ21"/>
  <c r="M217" i="55"/>
  <c r="KA26" i="38"/>
  <c r="ET26"/>
  <c r="FN26" s="1"/>
  <c r="OB25"/>
  <c r="DK25"/>
  <c r="NW9"/>
  <c r="DF9"/>
  <c r="PL9" s="1"/>
  <c r="DG24"/>
  <c r="PM24" s="1"/>
  <c r="NX24"/>
  <c r="DK17"/>
  <c r="OB17"/>
  <c r="DI9"/>
  <c r="NZ9"/>
  <c r="DJ22"/>
  <c r="OA22"/>
  <c r="DF11"/>
  <c r="NW11"/>
  <c r="DJ17"/>
  <c r="OA17"/>
  <c r="DE9"/>
  <c r="NV9"/>
  <c r="EX8"/>
  <c r="FR8" s="1"/>
  <c r="KE8"/>
  <c r="EW24"/>
  <c r="FQ24" s="1"/>
  <c r="KD24"/>
  <c r="M215" i="55"/>
  <c r="MG21" i="38"/>
  <c r="MG58" s="1"/>
  <c r="NW14"/>
  <c r="OM14" s="1"/>
  <c r="DF14"/>
  <c r="DI14"/>
  <c r="NZ14"/>
  <c r="NZ19"/>
  <c r="DI19"/>
  <c r="OB7"/>
  <c r="DK7"/>
  <c r="PQ7" s="1"/>
  <c r="DK12"/>
  <c r="OB12"/>
  <c r="DK22"/>
  <c r="OB22"/>
  <c r="DN19"/>
  <c r="OE19"/>
  <c r="OH5"/>
  <c r="BZ5" i="47"/>
  <c r="DQ5" i="38"/>
  <c r="DJ12"/>
  <c r="OA12"/>
  <c r="NW22"/>
  <c r="DF22"/>
  <c r="PL22" s="1"/>
  <c r="DG21"/>
  <c r="NX21"/>
  <c r="NW17"/>
  <c r="DF17"/>
  <c r="PL17" s="1"/>
  <c r="KW26"/>
  <c r="MO26"/>
  <c r="MO63" s="1"/>
  <c r="NV17"/>
  <c r="DE17"/>
  <c r="PK17" s="1"/>
  <c r="JY13"/>
  <c r="ER13"/>
  <c r="EV24"/>
  <c r="FP24" s="1"/>
  <c r="KC24"/>
  <c r="JZ24"/>
  <c r="ES24"/>
  <c r="FM24" s="1"/>
  <c r="DN6"/>
  <c r="PT6" s="1"/>
  <c r="OE6"/>
  <c r="DJ23"/>
  <c r="OA23"/>
  <c r="NZ23"/>
  <c r="DI23"/>
  <c r="DG12"/>
  <c r="NX12"/>
  <c r="DG22"/>
  <c r="NX22"/>
  <c r="OA19"/>
  <c r="DJ19"/>
  <c r="NW12"/>
  <c r="DF12"/>
  <c r="PL12" s="1"/>
  <c r="DM13"/>
  <c r="PS13" s="1"/>
  <c r="OD13"/>
  <c r="BZ8" i="47"/>
  <c r="DQ8" i="38"/>
  <c r="PW8" s="1"/>
  <c r="OH8"/>
  <c r="OA13"/>
  <c r="DJ13"/>
  <c r="PP13" s="1"/>
  <c r="OA26"/>
  <c r="DJ26"/>
  <c r="PP26" s="1"/>
  <c r="DO19"/>
  <c r="OF19"/>
  <c r="OK19" s="1"/>
  <c r="K215" i="55" s="1"/>
  <c r="DN25" i="38"/>
  <c r="OE25"/>
  <c r="OE14"/>
  <c r="DN14"/>
  <c r="DO12"/>
  <c r="OF12"/>
  <c r="DM25"/>
  <c r="OD25"/>
  <c r="OE8"/>
  <c r="DN8"/>
  <c r="PT8" s="1"/>
  <c r="KS24"/>
  <c r="MK24"/>
  <c r="MK61" s="1"/>
  <c r="OJ14"/>
  <c r="M214" i="55"/>
  <c r="OI27" i="38"/>
  <c r="DR27"/>
  <c r="PX27" s="1"/>
  <c r="DN10"/>
  <c r="OE10"/>
  <c r="DJ25"/>
  <c r="OA25"/>
  <c r="DJ14"/>
  <c r="OA14"/>
  <c r="DN23"/>
  <c r="OE23"/>
  <c r="DE11"/>
  <c r="NV11"/>
  <c r="NZ25"/>
  <c r="DI25"/>
  <c r="OD14"/>
  <c r="DM14"/>
  <c r="DM23"/>
  <c r="OD23"/>
  <c r="DM19"/>
  <c r="OD19"/>
  <c r="NZ22"/>
  <c r="DI22"/>
  <c r="OI22"/>
  <c r="OJ22" s="1"/>
  <c r="DR22"/>
  <c r="PX22" s="1"/>
  <c r="H479" i="52" s="1"/>
  <c r="KG27" i="38"/>
  <c r="EZ27"/>
  <c r="FT27" s="1"/>
  <c r="ET13"/>
  <c r="FN13" s="1"/>
  <c r="KA13"/>
  <c r="KO13"/>
  <c r="C15" i="47"/>
  <c r="C7"/>
  <c r="C12"/>
  <c r="C16"/>
  <c r="KO16" i="38"/>
  <c r="C9" i="47"/>
  <c r="MK27" i="38"/>
  <c r="MK64" s="1"/>
  <c r="C5" i="47"/>
  <c r="C11"/>
  <c r="C10"/>
  <c r="JY27" i="38"/>
  <c r="ML27" s="1"/>
  <c r="ML64" s="1"/>
  <c r="BU27"/>
  <c r="CN27" s="1"/>
  <c r="KO15"/>
  <c r="EO27"/>
  <c r="AZ27"/>
  <c r="BN27" s="1"/>
  <c r="BR27"/>
  <c r="CK27" s="1"/>
  <c r="JV27"/>
  <c r="KQ27" s="1"/>
  <c r="C23" i="47"/>
  <c r="ER27" i="38"/>
  <c r="FL27" s="1"/>
  <c r="BS15"/>
  <c r="CL15" s="1"/>
  <c r="BC27"/>
  <c r="HN15"/>
  <c r="KS14"/>
  <c r="MK14"/>
  <c r="MK51" s="1"/>
  <c r="MO25"/>
  <c r="MO62" s="1"/>
  <c r="KW25"/>
  <c r="HL15"/>
  <c r="AY15"/>
  <c r="BQ15"/>
  <c r="CJ15" s="1"/>
  <c r="LA9"/>
  <c r="MS9"/>
  <c r="HX12"/>
  <c r="BI12" i="47"/>
  <c r="EZ12" i="38"/>
  <c r="FT12" s="1"/>
  <c r="KG12"/>
  <c r="CC12"/>
  <c r="CV12" s="1"/>
  <c r="BK12"/>
  <c r="IG27"/>
  <c r="IA27"/>
  <c r="HR27"/>
  <c r="BE27"/>
  <c r="BW27"/>
  <c r="CP27" s="1"/>
  <c r="ET27"/>
  <c r="FN27" s="1"/>
  <c r="KA27"/>
  <c r="KU27"/>
  <c r="MM27"/>
  <c r="MM64" s="1"/>
  <c r="HN27"/>
  <c r="BS27"/>
  <c r="CL27" s="1"/>
  <c r="JW27"/>
  <c r="EP27"/>
  <c r="FJ27" s="1"/>
  <c r="BA27"/>
  <c r="HM15"/>
  <c r="HM52" s="1"/>
  <c r="BR15"/>
  <c r="AZ15"/>
  <c r="JU27"/>
  <c r="HL27"/>
  <c r="BQ27"/>
  <c r="CJ27" s="1"/>
  <c r="AY27"/>
  <c r="EN27"/>
  <c r="FH27" s="1"/>
  <c r="O234" i="51" l="1"/>
  <c r="O274"/>
  <c r="O84"/>
  <c r="O337"/>
  <c r="O362"/>
  <c r="O180"/>
  <c r="O205"/>
  <c r="MK22" i="38"/>
  <c r="MK59" s="1"/>
  <c r="DT16"/>
  <c r="OM10"/>
  <c r="KS19"/>
  <c r="OJ11"/>
  <c r="JV15"/>
  <c r="EO15"/>
  <c r="FI15" s="1"/>
  <c r="OK10"/>
  <c r="K218" i="55" s="1"/>
  <c r="PK10" i="38"/>
  <c r="JZ8"/>
  <c r="MM8" s="1"/>
  <c r="MM45" s="1"/>
  <c r="OJ10"/>
  <c r="ES8"/>
  <c r="OK11"/>
  <c r="K220" i="55" s="1"/>
  <c r="PL8" i="38"/>
  <c r="EO8"/>
  <c r="FI8" s="1"/>
  <c r="JV8"/>
  <c r="OK12"/>
  <c r="K216" i="55" s="1"/>
  <c r="PV28" i="38"/>
  <c r="PR28"/>
  <c r="PN28"/>
  <c r="PJ28"/>
  <c r="JW12"/>
  <c r="MJ12" s="1"/>
  <c r="MJ49" s="1"/>
  <c r="KE21"/>
  <c r="KZ21" s="1"/>
  <c r="BA14"/>
  <c r="BR21"/>
  <c r="CK21" s="1"/>
  <c r="HM21"/>
  <c r="HM58" s="1"/>
  <c r="IQ10"/>
  <c r="CC10"/>
  <c r="CV10" s="1"/>
  <c r="KG10"/>
  <c r="MT10" s="1"/>
  <c r="MT47" s="1"/>
  <c r="BK10"/>
  <c r="BI10" i="47"/>
  <c r="BL10" i="38" s="1"/>
  <c r="HX10"/>
  <c r="HX47" s="1"/>
  <c r="HO59"/>
  <c r="IM17"/>
  <c r="JW21"/>
  <c r="MJ21" s="1"/>
  <c r="MJ58" s="1"/>
  <c r="BS21"/>
  <c r="CL21" s="1"/>
  <c r="JV6"/>
  <c r="MI6" s="1"/>
  <c r="MI43" s="1"/>
  <c r="BA21"/>
  <c r="BE22"/>
  <c r="HU19"/>
  <c r="IO19" s="1"/>
  <c r="LA10"/>
  <c r="BR6"/>
  <c r="CK6" s="1"/>
  <c r="CC22"/>
  <c r="CV22" s="1"/>
  <c r="HO56"/>
  <c r="BV6"/>
  <c r="CO6" s="1"/>
  <c r="EO6"/>
  <c r="FI6" s="1"/>
  <c r="BI22" i="47"/>
  <c r="HY22" i="38" s="1"/>
  <c r="HY59" s="1"/>
  <c r="HM6"/>
  <c r="HM43" s="1"/>
  <c r="HR9"/>
  <c r="HR46" s="1"/>
  <c r="EZ22"/>
  <c r="FT22" s="1"/>
  <c r="K221" i="44" s="1"/>
  <c r="BU22" i="38"/>
  <c r="CN22" s="1"/>
  <c r="IM16"/>
  <c r="HX22"/>
  <c r="HX59" s="1"/>
  <c r="KG22"/>
  <c r="MT22" s="1"/>
  <c r="MT59" s="1"/>
  <c r="ER5"/>
  <c r="FL5" s="1"/>
  <c r="EN14"/>
  <c r="FH14" s="1"/>
  <c r="BI21" i="47"/>
  <c r="BL21" i="38" s="1"/>
  <c r="BN21" s="1"/>
  <c r="AF110" i="52" s="1"/>
  <c r="BK23" i="38"/>
  <c r="BK21"/>
  <c r="KG23"/>
  <c r="LB23" s="1"/>
  <c r="BA6"/>
  <c r="MO20"/>
  <c r="MO57" s="1"/>
  <c r="BK20"/>
  <c r="BH17"/>
  <c r="KG9"/>
  <c r="MT9" s="1"/>
  <c r="JY5"/>
  <c r="ML5" s="1"/>
  <c r="ML42" s="1"/>
  <c r="KG20"/>
  <c r="LB20" s="1"/>
  <c r="EZ23"/>
  <c r="FT23" s="1"/>
  <c r="AY14"/>
  <c r="HN6"/>
  <c r="IH6" s="1"/>
  <c r="BC5"/>
  <c r="HX23"/>
  <c r="HX60" s="1"/>
  <c r="BI9" i="47"/>
  <c r="HY9" i="38" s="1"/>
  <c r="HY46" s="1"/>
  <c r="HL14"/>
  <c r="IF14" s="1"/>
  <c r="CC21"/>
  <c r="CV21" s="1"/>
  <c r="BW17"/>
  <c r="CP17" s="1"/>
  <c r="CC23"/>
  <c r="CV23" s="1"/>
  <c r="CC9"/>
  <c r="CV9" s="1"/>
  <c r="IR9"/>
  <c r="EZ21"/>
  <c r="FT21" s="1"/>
  <c r="HU23"/>
  <c r="HU60" s="1"/>
  <c r="BI20" i="47"/>
  <c r="FA20" i="38" s="1"/>
  <c r="EZ9"/>
  <c r="FT9" s="1"/>
  <c r="HX21"/>
  <c r="HX58" s="1"/>
  <c r="BZ23"/>
  <c r="CS23" s="1"/>
  <c r="BU5"/>
  <c r="CN5" s="1"/>
  <c r="EZ20"/>
  <c r="FT20" s="1"/>
  <c r="BK9"/>
  <c r="CC20"/>
  <c r="CV20" s="1"/>
  <c r="JU14"/>
  <c r="KP14" s="1"/>
  <c r="BC15"/>
  <c r="KW22"/>
  <c r="HQ20"/>
  <c r="HQ57" s="1"/>
  <c r="BI21"/>
  <c r="EP14"/>
  <c r="FJ14" s="1"/>
  <c r="JZ20"/>
  <c r="KU20" s="1"/>
  <c r="JW14"/>
  <c r="MJ14" s="1"/>
  <c r="MJ51" s="1"/>
  <c r="BD20"/>
  <c r="BY21"/>
  <c r="CR21" s="1"/>
  <c r="BS14"/>
  <c r="CL14" s="1"/>
  <c r="HT21"/>
  <c r="HT58" s="1"/>
  <c r="HV21"/>
  <c r="HV58" s="1"/>
  <c r="BI11" i="47"/>
  <c r="HY11" i="38" s="1"/>
  <c r="ES20"/>
  <c r="FM20" s="1"/>
  <c r="BA17"/>
  <c r="EX21"/>
  <c r="FR21" s="1"/>
  <c r="BD6"/>
  <c r="JZ7"/>
  <c r="MM7" s="1"/>
  <c r="MM44" s="1"/>
  <c r="BY15"/>
  <c r="CR15" s="1"/>
  <c r="HN7"/>
  <c r="IH7" s="1"/>
  <c r="LA22"/>
  <c r="EN5"/>
  <c r="FH5" s="1"/>
  <c r="HU25"/>
  <c r="IO25" s="1"/>
  <c r="EW18"/>
  <c r="FQ18" s="1"/>
  <c r="KG16"/>
  <c r="LB16" s="1"/>
  <c r="BS12"/>
  <c r="CL12" s="1"/>
  <c r="HV10"/>
  <c r="HV47" s="1"/>
  <c r="MO7"/>
  <c r="MO44" s="1"/>
  <c r="BI10"/>
  <c r="HU18"/>
  <c r="HU55" s="1"/>
  <c r="HN23"/>
  <c r="HN60" s="1"/>
  <c r="BD23"/>
  <c r="BK16"/>
  <c r="BZ18"/>
  <c r="CS18" s="1"/>
  <c r="BS23"/>
  <c r="CL23" s="1"/>
  <c r="CC17"/>
  <c r="CV17" s="1"/>
  <c r="BH18"/>
  <c r="JW23"/>
  <c r="MJ23" s="1"/>
  <c r="MJ60" s="1"/>
  <c r="EZ17"/>
  <c r="FT17" s="1"/>
  <c r="BU17"/>
  <c r="CN17" s="1"/>
  <c r="BI12"/>
  <c r="BS5"/>
  <c r="CL5" s="1"/>
  <c r="HX6"/>
  <c r="HX43" s="1"/>
  <c r="EP23"/>
  <c r="FJ23" s="1"/>
  <c r="BI17" i="47"/>
  <c r="HY17" i="38" s="1"/>
  <c r="HY54" s="1"/>
  <c r="HP17"/>
  <c r="HP54" s="1"/>
  <c r="HP16"/>
  <c r="IJ16" s="1"/>
  <c r="KE10"/>
  <c r="KZ10" s="1"/>
  <c r="KG17"/>
  <c r="MT17" s="1"/>
  <c r="MT54" s="1"/>
  <c r="BU16"/>
  <c r="CN16" s="1"/>
  <c r="EP12"/>
  <c r="FJ12" s="1"/>
  <c r="EX10"/>
  <c r="FR10" s="1"/>
  <c r="CC18"/>
  <c r="CV18" s="1"/>
  <c r="HX17"/>
  <c r="HX54" s="1"/>
  <c r="KC16"/>
  <c r="MP16" s="1"/>
  <c r="MP53" s="1"/>
  <c r="AY19"/>
  <c r="HN12"/>
  <c r="IH12" s="1"/>
  <c r="CC16"/>
  <c r="CV16" s="1"/>
  <c r="HW59"/>
  <c r="HS52"/>
  <c r="BK19"/>
  <c r="KG19"/>
  <c r="LB19" s="1"/>
  <c r="MK6"/>
  <c r="MK43" s="1"/>
  <c r="KG18"/>
  <c r="LB18" s="1"/>
  <c r="KE17"/>
  <c r="MR17" s="1"/>
  <c r="MR54" s="1"/>
  <c r="KS20"/>
  <c r="CC6"/>
  <c r="CV6" s="1"/>
  <c r="EZ18"/>
  <c r="FT18" s="1"/>
  <c r="EX17"/>
  <c r="FR17" s="1"/>
  <c r="BK6"/>
  <c r="BK18"/>
  <c r="CA17"/>
  <c r="CT17" s="1"/>
  <c r="MO21"/>
  <c r="MO58" s="1"/>
  <c r="HR20"/>
  <c r="HR57" s="1"/>
  <c r="HV17"/>
  <c r="IP17" s="1"/>
  <c r="BW20"/>
  <c r="CP20" s="1"/>
  <c r="BZ22"/>
  <c r="CS22" s="1"/>
  <c r="MS18"/>
  <c r="MS55" s="1"/>
  <c r="BI18" i="47"/>
  <c r="HU22" i="38"/>
  <c r="HU59" s="1"/>
  <c r="KW13"/>
  <c r="JZ18"/>
  <c r="KU18" s="1"/>
  <c r="BV22"/>
  <c r="CO22" s="1"/>
  <c r="ES22"/>
  <c r="FM22" s="1"/>
  <c r="JZ22"/>
  <c r="MM22" s="1"/>
  <c r="MM59" s="1"/>
  <c r="BD22"/>
  <c r="BU21"/>
  <c r="CN21" s="1"/>
  <c r="HV23"/>
  <c r="HV60" s="1"/>
  <c r="HL21"/>
  <c r="HL58" s="1"/>
  <c r="HP21"/>
  <c r="IJ21" s="1"/>
  <c r="CA23"/>
  <c r="CT23" s="1"/>
  <c r="AY21"/>
  <c r="ES9"/>
  <c r="FM9" s="1"/>
  <c r="KE23"/>
  <c r="MR23" s="1"/>
  <c r="MR60" s="1"/>
  <c r="EX23"/>
  <c r="FR23" s="1"/>
  <c r="BA12"/>
  <c r="EV16"/>
  <c r="FP16" s="1"/>
  <c r="HV12"/>
  <c r="HV49" s="1"/>
  <c r="HR12"/>
  <c r="HR49" s="1"/>
  <c r="EP5"/>
  <c r="FJ5" s="1"/>
  <c r="HQ23"/>
  <c r="IK23" s="1"/>
  <c r="EZ16"/>
  <c r="FT16" s="1"/>
  <c r="JU19"/>
  <c r="KP19" s="1"/>
  <c r="HT16"/>
  <c r="HT53" s="1"/>
  <c r="BW12"/>
  <c r="CP12" s="1"/>
  <c r="BZ14"/>
  <c r="CS14" s="1"/>
  <c r="HN5"/>
  <c r="HN42" s="1"/>
  <c r="HM11"/>
  <c r="HM48" s="1"/>
  <c r="HL19"/>
  <c r="IF19" s="1"/>
  <c r="BY16"/>
  <c r="CR16" s="1"/>
  <c r="HU14"/>
  <c r="HU51" s="1"/>
  <c r="JW5"/>
  <c r="MJ5" s="1"/>
  <c r="MJ42" s="1"/>
  <c r="AZ11"/>
  <c r="EN19"/>
  <c r="FH19" s="1"/>
  <c r="HU17"/>
  <c r="IO17" s="1"/>
  <c r="KW15"/>
  <c r="BI16" i="47"/>
  <c r="CD16" i="38" s="1"/>
  <c r="II14"/>
  <c r="IE12"/>
  <c r="HK49"/>
  <c r="IE18"/>
  <c r="HK55"/>
  <c r="IF12"/>
  <c r="HL49"/>
  <c r="IK7"/>
  <c r="HQ44"/>
  <c r="II5"/>
  <c r="HO42"/>
  <c r="IN15"/>
  <c r="HT52"/>
  <c r="IM6"/>
  <c r="HS43"/>
  <c r="IN7"/>
  <c r="HT44"/>
  <c r="IM12"/>
  <c r="HS49"/>
  <c r="IM23"/>
  <c r="HS60"/>
  <c r="II20"/>
  <c r="HO57"/>
  <c r="IM10"/>
  <c r="HS47"/>
  <c r="II23"/>
  <c r="HO60"/>
  <c r="IH27"/>
  <c r="HN64"/>
  <c r="IL27"/>
  <c r="HR64"/>
  <c r="IR12"/>
  <c r="HX49"/>
  <c r="IF15"/>
  <c r="HL52"/>
  <c r="IE23"/>
  <c r="HK60"/>
  <c r="II12"/>
  <c r="HO49"/>
  <c r="IK12"/>
  <c r="HQ49"/>
  <c r="IN6"/>
  <c r="HT43"/>
  <c r="IN5"/>
  <c r="HT42"/>
  <c r="IQ17"/>
  <c r="HW54"/>
  <c r="IM11"/>
  <c r="HS48"/>
  <c r="IE7"/>
  <c r="HK44"/>
  <c r="IK9"/>
  <c r="HQ46"/>
  <c r="II18"/>
  <c r="HO55"/>
  <c r="IM21"/>
  <c r="HS58"/>
  <c r="IQ18"/>
  <c r="HW55"/>
  <c r="IE10"/>
  <c r="HK47"/>
  <c r="IQ15"/>
  <c r="HW52"/>
  <c r="IQ14"/>
  <c r="HW51"/>
  <c r="IN17"/>
  <c r="HT54"/>
  <c r="IM25"/>
  <c r="HS62"/>
  <c r="IO11"/>
  <c r="HU48"/>
  <c r="IQ20"/>
  <c r="HW57"/>
  <c r="IQ23"/>
  <c r="HW60"/>
  <c r="IF27"/>
  <c r="HL64"/>
  <c r="IQ12"/>
  <c r="HW49"/>
  <c r="IR18"/>
  <c r="HX55"/>
  <c r="IH14"/>
  <c r="HN51"/>
  <c r="IK6"/>
  <c r="HQ43"/>
  <c r="IE6"/>
  <c r="HK43"/>
  <c r="IE14"/>
  <c r="HK51"/>
  <c r="IM19"/>
  <c r="HS56"/>
  <c r="IM9"/>
  <c r="HS46"/>
  <c r="II11"/>
  <c r="HO48"/>
  <c r="IQ7"/>
  <c r="HW44"/>
  <c r="PZ26"/>
  <c r="Q478" i="52" s="1"/>
  <c r="IK22" i="38"/>
  <c r="HQ59"/>
  <c r="IJ5"/>
  <c r="HP42"/>
  <c r="IE22"/>
  <c r="HK59"/>
  <c r="IE19"/>
  <c r="HK56"/>
  <c r="IR16"/>
  <c r="HX53"/>
  <c r="II17"/>
  <c r="HO54"/>
  <c r="IM14"/>
  <c r="HS51"/>
  <c r="IR20"/>
  <c r="HX57"/>
  <c r="IE20"/>
  <c r="HK57"/>
  <c r="IE21"/>
  <c r="HK58"/>
  <c r="IE16"/>
  <c r="HK53"/>
  <c r="IQ19"/>
  <c r="HW56"/>
  <c r="II7"/>
  <c r="HO44"/>
  <c r="IQ25"/>
  <c r="HW62"/>
  <c r="IN25"/>
  <c r="HT62"/>
  <c r="IL14"/>
  <c r="HR51"/>
  <c r="IL17"/>
  <c r="HR54"/>
  <c r="IQ11"/>
  <c r="HW48"/>
  <c r="IJ23"/>
  <c r="HP60"/>
  <c r="IJ22"/>
  <c r="HP59"/>
  <c r="IM20"/>
  <c r="HS57"/>
  <c r="II21"/>
  <c r="HO58"/>
  <c r="II10"/>
  <c r="HO47"/>
  <c r="IH25"/>
  <c r="HN62"/>
  <c r="II16"/>
  <c r="HO53"/>
  <c r="IM5"/>
  <c r="HS42"/>
  <c r="II9"/>
  <c r="HO46"/>
  <c r="IH21"/>
  <c r="HN58"/>
  <c r="IH15"/>
  <c r="HN52"/>
  <c r="IE25"/>
  <c r="HK62"/>
  <c r="IE17"/>
  <c r="HK54"/>
  <c r="II25"/>
  <c r="HO62"/>
  <c r="IQ6"/>
  <c r="HW43"/>
  <c r="IQ16"/>
  <c r="HW53"/>
  <c r="IJ9"/>
  <c r="HP46"/>
  <c r="IE9"/>
  <c r="HK46"/>
  <c r="IM18"/>
  <c r="HS55"/>
  <c r="IQ9"/>
  <c r="HW46"/>
  <c r="IF7"/>
  <c r="HL44"/>
  <c r="IR11"/>
  <c r="HX48"/>
  <c r="IM22"/>
  <c r="HS59"/>
  <c r="IQ21"/>
  <c r="HW58"/>
  <c r="O246" i="51"/>
  <c r="O44"/>
  <c r="O131"/>
  <c r="C25" i="48"/>
  <c r="D10" i="52"/>
  <c r="D54" s="1"/>
  <c r="M381" i="44"/>
  <c r="M385"/>
  <c r="PY27" i="38"/>
  <c r="PP25"/>
  <c r="PP23"/>
  <c r="PQ22"/>
  <c r="PO14"/>
  <c r="PT9"/>
  <c r="PT5"/>
  <c r="PP11"/>
  <c r="PM6"/>
  <c r="PT21"/>
  <c r="PQ20"/>
  <c r="PS20"/>
  <c r="PO22"/>
  <c r="PO25"/>
  <c r="PT25"/>
  <c r="PP19"/>
  <c r="PP17"/>
  <c r="PQ17"/>
  <c r="PT12"/>
  <c r="DT23"/>
  <c r="PL23"/>
  <c r="PM11"/>
  <c r="PQ18"/>
  <c r="PO21"/>
  <c r="PO16"/>
  <c r="PU20"/>
  <c r="PK6"/>
  <c r="PS6"/>
  <c r="PO11"/>
  <c r="PM9"/>
  <c r="PL5"/>
  <c r="MG46"/>
  <c r="MG34"/>
  <c r="PP14"/>
  <c r="PT19"/>
  <c r="PU22"/>
  <c r="PQ14"/>
  <c r="PO20"/>
  <c r="PS10"/>
  <c r="PO6"/>
  <c r="PM16"/>
  <c r="PT17"/>
  <c r="PW15"/>
  <c r="PU6"/>
  <c r="PT7"/>
  <c r="OM12"/>
  <c r="JV9"/>
  <c r="MI9" s="1"/>
  <c r="PS14"/>
  <c r="PO23"/>
  <c r="EP21"/>
  <c r="FJ21" s="1"/>
  <c r="PM21"/>
  <c r="JY19"/>
  <c r="ML19" s="1"/>
  <c r="ML56" s="1"/>
  <c r="PO19"/>
  <c r="PK9"/>
  <c r="PO9"/>
  <c r="PT22"/>
  <c r="PO7"/>
  <c r="PL19"/>
  <c r="PO17"/>
  <c r="PX20"/>
  <c r="H466" i="52" s="1"/>
  <c r="PM15" i="38"/>
  <c r="PO18"/>
  <c r="PO10"/>
  <c r="PW6"/>
  <c r="PK7"/>
  <c r="PP15"/>
  <c r="PS23"/>
  <c r="PT23"/>
  <c r="PT14"/>
  <c r="PM12"/>
  <c r="PQ25"/>
  <c r="PQ23"/>
  <c r="PS21"/>
  <c r="PS15"/>
  <c r="PK15"/>
  <c r="PL21"/>
  <c r="PL10"/>
  <c r="PU15"/>
  <c r="ER26"/>
  <c r="FL26" s="1"/>
  <c r="PO26"/>
  <c r="PY26" s="1"/>
  <c r="F478" i="52" s="1"/>
  <c r="EO25" i="38"/>
  <c r="FI25" s="1"/>
  <c r="PU12"/>
  <c r="PP22"/>
  <c r="PS9"/>
  <c r="PS22"/>
  <c r="PU5"/>
  <c r="PS5"/>
  <c r="PP16"/>
  <c r="PX25"/>
  <c r="H462" i="52" s="1"/>
  <c r="PK24" i="38"/>
  <c r="PP5"/>
  <c r="PP6"/>
  <c r="PZ27"/>
  <c r="PK11"/>
  <c r="PT10"/>
  <c r="PM22"/>
  <c r="PW5"/>
  <c r="PQ12"/>
  <c r="PP9"/>
  <c r="PT16"/>
  <c r="PS16"/>
  <c r="PM7"/>
  <c r="JU21"/>
  <c r="KP21" s="1"/>
  <c r="PK21"/>
  <c r="PQ11"/>
  <c r="PX17"/>
  <c r="EO14"/>
  <c r="FI14" s="1"/>
  <c r="PS19"/>
  <c r="Y587" i="55"/>
  <c r="MS46" i="38"/>
  <c r="MS34"/>
  <c r="PS25"/>
  <c r="PU19"/>
  <c r="PP12"/>
  <c r="DT14"/>
  <c r="PL14"/>
  <c r="JV11"/>
  <c r="MI11" s="1"/>
  <c r="MI48" s="1"/>
  <c r="PL11"/>
  <c r="PO12"/>
  <c r="PW7"/>
  <c r="PO15"/>
  <c r="PL7"/>
  <c r="PL6"/>
  <c r="PS18"/>
  <c r="PU21"/>
  <c r="PK14"/>
  <c r="MO46"/>
  <c r="MO34"/>
  <c r="E96" i="52"/>
  <c r="D218" i="44"/>
  <c r="E392" s="1"/>
  <c r="O372" i="51"/>
  <c r="C10" i="52"/>
  <c r="C97" s="1"/>
  <c r="F187" i="48"/>
  <c r="O108" i="51"/>
  <c r="O196"/>
  <c r="O83"/>
  <c r="O98"/>
  <c r="O256"/>
  <c r="O376"/>
  <c r="O305"/>
  <c r="O121"/>
  <c r="O331"/>
  <c r="O146"/>
  <c r="O172"/>
  <c r="F181" i="48"/>
  <c r="M383" i="44"/>
  <c r="O277" i="51"/>
  <c r="O59"/>
  <c r="O352"/>
  <c r="E171" i="52"/>
  <c r="E307"/>
  <c r="E207"/>
  <c r="E56"/>
  <c r="E85"/>
  <c r="E245"/>
  <c r="N12" i="51"/>
  <c r="N251" s="1"/>
  <c r="O124"/>
  <c r="O210"/>
  <c r="O54"/>
  <c r="O148"/>
  <c r="O321"/>
  <c r="O272"/>
  <c r="O184"/>
  <c r="O374"/>
  <c r="O228"/>
  <c r="O102"/>
  <c r="O347"/>
  <c r="O78"/>
  <c r="O302"/>
  <c r="O251"/>
  <c r="D185" i="52"/>
  <c r="D110"/>
  <c r="D310"/>
  <c r="D76"/>
  <c r="D48"/>
  <c r="D208"/>
  <c r="D240"/>
  <c r="D295"/>
  <c r="D101"/>
  <c r="D44"/>
  <c r="D73"/>
  <c r="D234"/>
  <c r="D176"/>
  <c r="D198"/>
  <c r="O202" i="51"/>
  <c r="O248"/>
  <c r="O158"/>
  <c r="O235"/>
  <c r="O107"/>
  <c r="O349"/>
  <c r="O57"/>
  <c r="O295"/>
  <c r="O134"/>
  <c r="O175"/>
  <c r="O285"/>
  <c r="O325"/>
  <c r="O377"/>
  <c r="O85"/>
  <c r="P201"/>
  <c r="P177"/>
  <c r="P156"/>
  <c r="P379"/>
  <c r="P226"/>
  <c r="P348"/>
  <c r="P129"/>
  <c r="P322"/>
  <c r="P110"/>
  <c r="P245"/>
  <c r="P50"/>
  <c r="P281"/>
  <c r="P76"/>
  <c r="P294"/>
  <c r="F201" i="48"/>
  <c r="N11" i="51"/>
  <c r="C22" i="48"/>
  <c r="M382" i="44"/>
  <c r="C11" i="52"/>
  <c r="C14"/>
  <c r="C77" s="1"/>
  <c r="J381" i="44"/>
  <c r="D231" i="52"/>
  <c r="D74"/>
  <c r="D108"/>
  <c r="D202"/>
  <c r="D183"/>
  <c r="D294"/>
  <c r="D41"/>
  <c r="E242"/>
  <c r="E51"/>
  <c r="E175"/>
  <c r="E305"/>
  <c r="E100"/>
  <c r="E206"/>
  <c r="E77"/>
  <c r="D129" i="44"/>
  <c r="D216"/>
  <c r="E390" s="1"/>
  <c r="O110" i="51"/>
  <c r="O281"/>
  <c r="O129"/>
  <c r="O348"/>
  <c r="O294"/>
  <c r="O76"/>
  <c r="O201"/>
  <c r="O156"/>
  <c r="O379"/>
  <c r="O322"/>
  <c r="O245"/>
  <c r="O226"/>
  <c r="O177"/>
  <c r="O50"/>
  <c r="N212"/>
  <c r="N187"/>
  <c r="N268"/>
  <c r="N69"/>
  <c r="N303"/>
  <c r="N47"/>
  <c r="N219"/>
  <c r="N249"/>
  <c r="N132"/>
  <c r="N149"/>
  <c r="N92"/>
  <c r="N354"/>
  <c r="N375"/>
  <c r="N324"/>
  <c r="D196" i="52"/>
  <c r="D102"/>
  <c r="D298"/>
  <c r="D238"/>
  <c r="D177"/>
  <c r="D66"/>
  <c r="D36"/>
  <c r="D21" i="48"/>
  <c r="N381" i="44"/>
  <c r="P10" i="51"/>
  <c r="E10" i="52"/>
  <c r="AI491" s="1"/>
  <c r="O211" i="51"/>
  <c r="O229"/>
  <c r="O341"/>
  <c r="O142"/>
  <c r="O382"/>
  <c r="O116"/>
  <c r="O316"/>
  <c r="O93"/>
  <c r="O252"/>
  <c r="O58"/>
  <c r="O298"/>
  <c r="O79"/>
  <c r="O287"/>
  <c r="O186"/>
  <c r="C215" i="52"/>
  <c r="C188"/>
  <c r="C79"/>
  <c r="C113"/>
  <c r="C303"/>
  <c r="C47"/>
  <c r="C235"/>
  <c r="D19"/>
  <c r="O19" i="51"/>
  <c r="N10"/>
  <c r="N356" s="1"/>
  <c r="E231" i="52"/>
  <c r="E294"/>
  <c r="E108"/>
  <c r="E41"/>
  <c r="E202"/>
  <c r="E74"/>
  <c r="E183"/>
  <c r="P233" i="51"/>
  <c r="P256"/>
  <c r="P172"/>
  <c r="P83"/>
  <c r="P305"/>
  <c r="P196"/>
  <c r="P331"/>
  <c r="P59"/>
  <c r="P146"/>
  <c r="P352"/>
  <c r="P98"/>
  <c r="P277"/>
  <c r="P376"/>
  <c r="P121"/>
  <c r="P19"/>
  <c r="D30" i="48"/>
  <c r="N390" i="44"/>
  <c r="E19" i="52"/>
  <c r="F196" i="48"/>
  <c r="C20"/>
  <c r="M380" i="44"/>
  <c r="N9" i="51"/>
  <c r="J380" i="44"/>
  <c r="C9" i="52"/>
  <c r="N41" i="51"/>
  <c r="N143"/>
  <c r="N370"/>
  <c r="N167"/>
  <c r="N275"/>
  <c r="N66"/>
  <c r="N350"/>
  <c r="N119"/>
  <c r="N97"/>
  <c r="N310"/>
  <c r="N216"/>
  <c r="N254"/>
  <c r="N328"/>
  <c r="N193"/>
  <c r="C198" i="52"/>
  <c r="C73"/>
  <c r="C295"/>
  <c r="C234"/>
  <c r="C101"/>
  <c r="C44"/>
  <c r="C176"/>
  <c r="C310"/>
  <c r="C240"/>
  <c r="C208"/>
  <c r="C185"/>
  <c r="C110"/>
  <c r="C48"/>
  <c r="C76"/>
  <c r="O223" i="51"/>
  <c r="O183"/>
  <c r="O282"/>
  <c r="O120"/>
  <c r="O95"/>
  <c r="O327"/>
  <c r="O367"/>
  <c r="O306"/>
  <c r="O209"/>
  <c r="O48"/>
  <c r="O253"/>
  <c r="O351"/>
  <c r="O145"/>
  <c r="O73"/>
  <c r="P95"/>
  <c r="P253"/>
  <c r="P145"/>
  <c r="P367"/>
  <c r="P48"/>
  <c r="P282"/>
  <c r="P73"/>
  <c r="P223"/>
  <c r="P209"/>
  <c r="P351"/>
  <c r="P183"/>
  <c r="P120"/>
  <c r="P306"/>
  <c r="P327"/>
  <c r="E107" i="52"/>
  <c r="E182"/>
  <c r="E75"/>
  <c r="E201"/>
  <c r="E306"/>
  <c r="E239"/>
  <c r="E46"/>
  <c r="D142" i="44"/>
  <c r="D215"/>
  <c r="E389" s="1"/>
  <c r="D201" i="52"/>
  <c r="D182"/>
  <c r="D46"/>
  <c r="D107"/>
  <c r="D75"/>
  <c r="D239"/>
  <c r="D306"/>
  <c r="F191" i="48"/>
  <c r="C16" i="52"/>
  <c r="C27" i="48"/>
  <c r="M387" i="44"/>
  <c r="J387"/>
  <c r="N16" i="51"/>
  <c r="F198" i="48"/>
  <c r="J398" i="44"/>
  <c r="C27" i="52"/>
  <c r="C38" i="48"/>
  <c r="N27" i="51"/>
  <c r="M398" i="44"/>
  <c r="N389"/>
  <c r="P18" i="51"/>
  <c r="E18" i="52"/>
  <c r="D29" i="48"/>
  <c r="O9" i="51"/>
  <c r="D9" i="52"/>
  <c r="D18"/>
  <c r="O18" i="51"/>
  <c r="V426" i="44"/>
  <c r="N331" i="51"/>
  <c r="N196"/>
  <c r="N121"/>
  <c r="N352"/>
  <c r="N277"/>
  <c r="N256"/>
  <c r="N305"/>
  <c r="N83"/>
  <c r="N59"/>
  <c r="N376"/>
  <c r="N233"/>
  <c r="N172"/>
  <c r="N146"/>
  <c r="N98"/>
  <c r="N50"/>
  <c r="N245"/>
  <c r="N201"/>
  <c r="N177"/>
  <c r="N156"/>
  <c r="N379"/>
  <c r="N226"/>
  <c r="N348"/>
  <c r="N129"/>
  <c r="N322"/>
  <c r="V431" i="44"/>
  <c r="N110" i="51"/>
  <c r="N281"/>
  <c r="N76"/>
  <c r="N294"/>
  <c r="C302" i="52"/>
  <c r="C72"/>
  <c r="C115"/>
  <c r="C237"/>
  <c r="C190"/>
  <c r="C42"/>
  <c r="C211"/>
  <c r="V429" i="44"/>
  <c r="N248" i="51"/>
  <c r="N158"/>
  <c r="N202"/>
  <c r="N377"/>
  <c r="N175"/>
  <c r="N349"/>
  <c r="N107"/>
  <c r="N325"/>
  <c r="N134"/>
  <c r="N295"/>
  <c r="N85"/>
  <c r="N285"/>
  <c r="N57"/>
  <c r="N235"/>
  <c r="O128"/>
  <c r="O161"/>
  <c r="O334"/>
  <c r="O86"/>
  <c r="O266"/>
  <c r="O356"/>
  <c r="O191"/>
  <c r="O166"/>
  <c r="O236"/>
  <c r="O255"/>
  <c r="O300"/>
  <c r="O61"/>
  <c r="O111"/>
  <c r="O387"/>
  <c r="C108" i="52"/>
  <c r="C294"/>
  <c r="C41"/>
  <c r="C202"/>
  <c r="C183"/>
  <c r="C231"/>
  <c r="C74"/>
  <c r="LA5" i="38"/>
  <c r="BE14"/>
  <c r="MK7"/>
  <c r="MK44" s="1"/>
  <c r="BU23"/>
  <c r="CN23" s="1"/>
  <c r="BC22"/>
  <c r="BA7"/>
  <c r="BG15"/>
  <c r="ES7"/>
  <c r="FM7" s="1"/>
  <c r="HL5"/>
  <c r="HM14"/>
  <c r="HM51" s="1"/>
  <c r="BV7"/>
  <c r="CO7" s="1"/>
  <c r="BR14"/>
  <c r="CK14" s="1"/>
  <c r="HT23"/>
  <c r="KD20"/>
  <c r="MQ20" s="1"/>
  <c r="MQ57" s="1"/>
  <c r="HP10"/>
  <c r="BD7"/>
  <c r="JV14"/>
  <c r="MI14" s="1"/>
  <c r="MI51" s="1"/>
  <c r="EW20"/>
  <c r="FQ20" s="1"/>
  <c r="BY7"/>
  <c r="BU10"/>
  <c r="CN10" s="1"/>
  <c r="HN22"/>
  <c r="BY23"/>
  <c r="CR23" s="1"/>
  <c r="AZ14"/>
  <c r="BZ20"/>
  <c r="CS20" s="1"/>
  <c r="BG7"/>
  <c r="BV5"/>
  <c r="CO5" s="1"/>
  <c r="HT18"/>
  <c r="HV19"/>
  <c r="ET16"/>
  <c r="FN16" s="1"/>
  <c r="AY17"/>
  <c r="HU20"/>
  <c r="KC15"/>
  <c r="MP15" s="1"/>
  <c r="MP52" s="1"/>
  <c r="HQ5"/>
  <c r="EV18"/>
  <c r="FP18" s="1"/>
  <c r="HX7"/>
  <c r="BH10"/>
  <c r="HR16"/>
  <c r="LA15"/>
  <c r="BZ25"/>
  <c r="CS25" s="1"/>
  <c r="HR22"/>
  <c r="HL6"/>
  <c r="HQ17"/>
  <c r="BW11"/>
  <c r="CP11" s="1"/>
  <c r="AY6"/>
  <c r="BW6"/>
  <c r="CP6" s="1"/>
  <c r="KE18"/>
  <c r="KZ18" s="1"/>
  <c r="ET15"/>
  <c r="FN15" s="1"/>
  <c r="HM16"/>
  <c r="HR6"/>
  <c r="BR16"/>
  <c r="CK16" s="1"/>
  <c r="CA7"/>
  <c r="CT7" s="1"/>
  <c r="EX14"/>
  <c r="FR14" s="1"/>
  <c r="HP7"/>
  <c r="BU7"/>
  <c r="CN7" s="1"/>
  <c r="BI6"/>
  <c r="CA16"/>
  <c r="CT16" s="1"/>
  <c r="HQ14"/>
  <c r="BE17"/>
  <c r="BC23"/>
  <c r="BY11"/>
  <c r="CR11" s="1"/>
  <c r="HT11"/>
  <c r="JU10"/>
  <c r="MH10" s="1"/>
  <c r="MH47" s="1"/>
  <c r="BZ7"/>
  <c r="CS7" s="1"/>
  <c r="HU21"/>
  <c r="BL5"/>
  <c r="BN5" s="1"/>
  <c r="AF94" i="52" s="1"/>
  <c r="CA22" i="38"/>
  <c r="CT22" s="1"/>
  <c r="BV14"/>
  <c r="CO14" s="1"/>
  <c r="KC11"/>
  <c r="MP11" s="1"/>
  <c r="MP48" s="1"/>
  <c r="HU7"/>
  <c r="HP6"/>
  <c r="BZ21"/>
  <c r="CS21" s="1"/>
  <c r="HV22"/>
  <c r="KW16"/>
  <c r="KW10"/>
  <c r="HL10"/>
  <c r="BU6"/>
  <c r="CN6" s="1"/>
  <c r="EV11"/>
  <c r="FP11" s="1"/>
  <c r="KW12"/>
  <c r="MS20"/>
  <c r="MS57" s="1"/>
  <c r="BI25" i="47"/>
  <c r="CD25" i="38" s="1"/>
  <c r="BW14"/>
  <c r="CP14" s="1"/>
  <c r="AY10"/>
  <c r="MG5"/>
  <c r="MG42" s="1"/>
  <c r="EN10"/>
  <c r="FH10" s="1"/>
  <c r="BS16"/>
  <c r="CL16" s="1"/>
  <c r="ET19"/>
  <c r="FN19" s="1"/>
  <c r="HV18"/>
  <c r="BR25"/>
  <c r="CK25" s="1"/>
  <c r="BV25"/>
  <c r="CO25" s="1"/>
  <c r="HP14"/>
  <c r="BW15"/>
  <c r="CP15" s="1"/>
  <c r="BV17"/>
  <c r="CO17" s="1"/>
  <c r="HR11"/>
  <c r="EO16"/>
  <c r="FI16" s="1"/>
  <c r="KE14"/>
  <c r="KZ14" s="1"/>
  <c r="ES10"/>
  <c r="FM10" s="1"/>
  <c r="HV7"/>
  <c r="KA6"/>
  <c r="MN6" s="1"/>
  <c r="MN43" s="1"/>
  <c r="ET6"/>
  <c r="FN6" s="1"/>
  <c r="KA19"/>
  <c r="MN19" s="1"/>
  <c r="MN56" s="1"/>
  <c r="CA18"/>
  <c r="CT18" s="1"/>
  <c r="JV25"/>
  <c r="MI25" s="1"/>
  <c r="MI62" s="1"/>
  <c r="HQ25"/>
  <c r="BU14"/>
  <c r="CN14" s="1"/>
  <c r="KA15"/>
  <c r="MN15" s="1"/>
  <c r="MN52" s="1"/>
  <c r="BU19"/>
  <c r="CN19" s="1"/>
  <c r="JV16"/>
  <c r="MI16" s="1"/>
  <c r="MI53" s="1"/>
  <c r="CA14"/>
  <c r="CT14" s="1"/>
  <c r="JZ10"/>
  <c r="MM10" s="1"/>
  <c r="MM47" s="1"/>
  <c r="HQ16"/>
  <c r="BD21"/>
  <c r="EX7"/>
  <c r="FR7" s="1"/>
  <c r="CC15"/>
  <c r="CV15" s="1"/>
  <c r="BW19"/>
  <c r="CP19" s="1"/>
  <c r="EX18"/>
  <c r="FR18" s="1"/>
  <c r="AZ25"/>
  <c r="HR15"/>
  <c r="CC19"/>
  <c r="CV19" s="1"/>
  <c r="HP19"/>
  <c r="HV14"/>
  <c r="HQ10"/>
  <c r="BV16"/>
  <c r="CO16" s="1"/>
  <c r="HM5"/>
  <c r="HM42" s="1"/>
  <c r="KE7"/>
  <c r="MR7" s="1"/>
  <c r="MR44" s="1"/>
  <c r="LA16"/>
  <c r="HR19"/>
  <c r="HM25"/>
  <c r="HU12"/>
  <c r="BI19" i="47"/>
  <c r="FA19" i="38" s="1"/>
  <c r="HN9"/>
  <c r="BS11"/>
  <c r="CL11" s="1"/>
  <c r="BR22"/>
  <c r="CK22" s="1"/>
  <c r="BV10"/>
  <c r="CO10" s="1"/>
  <c r="JZ16"/>
  <c r="MM16" s="1"/>
  <c r="MM53" s="1"/>
  <c r="HV6"/>
  <c r="BZ12"/>
  <c r="CS12" s="1"/>
  <c r="HX19"/>
  <c r="BS9"/>
  <c r="BS46" s="1"/>
  <c r="HN11"/>
  <c r="HM22"/>
  <c r="HM59" s="1"/>
  <c r="ES16"/>
  <c r="FM16" s="1"/>
  <c r="EO22"/>
  <c r="FI22" s="1"/>
  <c r="BV12"/>
  <c r="CO12" s="1"/>
  <c r="BV18"/>
  <c r="CO18" s="1"/>
  <c r="EV17"/>
  <c r="FP17" s="1"/>
  <c r="BR9"/>
  <c r="BR44" s="1"/>
  <c r="BV9"/>
  <c r="BV46" s="1"/>
  <c r="HN19"/>
  <c r="ET7"/>
  <c r="FN7" s="1"/>
  <c r="BR5"/>
  <c r="CK5" s="1"/>
  <c r="JU23"/>
  <c r="MH23" s="1"/>
  <c r="MH60" s="1"/>
  <c r="LA23"/>
  <c r="BY20"/>
  <c r="CR20" s="1"/>
  <c r="BD18"/>
  <c r="KS18"/>
  <c r="HR18"/>
  <c r="EO9"/>
  <c r="FI9" s="1"/>
  <c r="BD9"/>
  <c r="HR21"/>
  <c r="HV20"/>
  <c r="HR7"/>
  <c r="HM17"/>
  <c r="HM54" s="1"/>
  <c r="BY22"/>
  <c r="CR22" s="1"/>
  <c r="HL23"/>
  <c r="HL22"/>
  <c r="BQ23"/>
  <c r="CJ23" s="1"/>
  <c r="HT20"/>
  <c r="BH11"/>
  <c r="BW18"/>
  <c r="CP18" s="1"/>
  <c r="HT9"/>
  <c r="KA21"/>
  <c r="MN21" s="1"/>
  <c r="MN58" s="1"/>
  <c r="CA20"/>
  <c r="CT20" s="1"/>
  <c r="KA7"/>
  <c r="MN7" s="1"/>
  <c r="ES21"/>
  <c r="FM21" s="1"/>
  <c r="BU20"/>
  <c r="CN20" s="1"/>
  <c r="HT22"/>
  <c r="EN23"/>
  <c r="FH23" s="1"/>
  <c r="BQ18"/>
  <c r="CJ18" s="1"/>
  <c r="MG10"/>
  <c r="MG47" s="1"/>
  <c r="HQ18"/>
  <c r="HM9"/>
  <c r="ER12"/>
  <c r="FL12" s="1"/>
  <c r="AZ20"/>
  <c r="BW21"/>
  <c r="CP21" s="1"/>
  <c r="BW7"/>
  <c r="CP7" s="1"/>
  <c r="BV21"/>
  <c r="CO21" s="1"/>
  <c r="HP20"/>
  <c r="HX15"/>
  <c r="EN18"/>
  <c r="FH18" s="1"/>
  <c r="BX45"/>
  <c r="BY5"/>
  <c r="CR5" s="1"/>
  <c r="ET21"/>
  <c r="FN21" s="1"/>
  <c r="AZ7"/>
  <c r="HQ21"/>
  <c r="BI15" i="47"/>
  <c r="BL15" i="38" s="1"/>
  <c r="EX25"/>
  <c r="FR25" s="1"/>
  <c r="JU25"/>
  <c r="MH25" s="1"/>
  <c r="MH62" s="1"/>
  <c r="HL18"/>
  <c r="JZ9"/>
  <c r="MM9" s="1"/>
  <c r="BS10"/>
  <c r="CL10" s="1"/>
  <c r="JU18"/>
  <c r="KP18" s="1"/>
  <c r="BY18"/>
  <c r="CR18" s="1"/>
  <c r="BW16"/>
  <c r="CP16" s="1"/>
  <c r="KC18"/>
  <c r="MP18" s="1"/>
  <c r="MP55" s="1"/>
  <c r="KA16"/>
  <c r="MN16" s="1"/>
  <c r="MN53" s="1"/>
  <c r="JU17"/>
  <c r="KP17" s="1"/>
  <c r="JU12"/>
  <c r="MH12" s="1"/>
  <c r="MH49" s="1"/>
  <c r="BQ5"/>
  <c r="CJ5" s="1"/>
  <c r="HU10"/>
  <c r="AY12"/>
  <c r="BQ12"/>
  <c r="CJ12" s="1"/>
  <c r="CA19"/>
  <c r="CT19" s="1"/>
  <c r="BS22"/>
  <c r="CL22" s="1"/>
  <c r="EN12"/>
  <c r="FH12" s="1"/>
  <c r="JU5"/>
  <c r="MH5" s="1"/>
  <c r="MH42" s="1"/>
  <c r="BC12"/>
  <c r="KC17"/>
  <c r="MP17" s="1"/>
  <c r="MP54" s="1"/>
  <c r="HN10"/>
  <c r="JV20"/>
  <c r="MI20" s="1"/>
  <c r="MI57" s="1"/>
  <c r="BY9"/>
  <c r="CR9" s="1"/>
  <c r="BA19"/>
  <c r="HM7"/>
  <c r="HN16"/>
  <c r="BR17"/>
  <c r="CK17" s="1"/>
  <c r="CA25"/>
  <c r="CT25" s="1"/>
  <c r="EN22"/>
  <c r="FH22" s="1"/>
  <c r="BG17"/>
  <c r="BA10"/>
  <c r="EO20"/>
  <c r="FI20" s="1"/>
  <c r="HT12"/>
  <c r="HU5"/>
  <c r="BQ22"/>
  <c r="CJ22" s="1"/>
  <c r="HM18"/>
  <c r="BR20"/>
  <c r="CK20" s="1"/>
  <c r="CA11"/>
  <c r="CT11" s="1"/>
  <c r="BY12"/>
  <c r="CR12" s="1"/>
  <c r="BZ5"/>
  <c r="CS5" s="1"/>
  <c r="MI13"/>
  <c r="MI50" s="1"/>
  <c r="EO17"/>
  <c r="FI17" s="1"/>
  <c r="EW11"/>
  <c r="FQ11" s="1"/>
  <c r="JV18"/>
  <c r="MI18" s="1"/>
  <c r="MI55" s="1"/>
  <c r="HV11"/>
  <c r="EV12"/>
  <c r="FP12" s="1"/>
  <c r="HP12"/>
  <c r="BZ11"/>
  <c r="CS11" s="1"/>
  <c r="EO18"/>
  <c r="FI18" s="1"/>
  <c r="EX11"/>
  <c r="FR11" s="1"/>
  <c r="KC12"/>
  <c r="KX12" s="1"/>
  <c r="EP19"/>
  <c r="FJ19" s="1"/>
  <c r="HV25"/>
  <c r="BY17"/>
  <c r="CR17" s="1"/>
  <c r="KD11"/>
  <c r="MQ11" s="1"/>
  <c r="MQ48" s="1"/>
  <c r="BR18"/>
  <c r="CK18" s="1"/>
  <c r="JW10"/>
  <c r="MJ10" s="1"/>
  <c r="MJ47" s="1"/>
  <c r="KE11"/>
  <c r="KZ11" s="1"/>
  <c r="BS19"/>
  <c r="CL19" s="1"/>
  <c r="KE25"/>
  <c r="MR25" s="1"/>
  <c r="MR62" s="1"/>
  <c r="JY12"/>
  <c r="KT12" s="1"/>
  <c r="AY22"/>
  <c r="KD23"/>
  <c r="MQ23" s="1"/>
  <c r="MQ60" s="1"/>
  <c r="MS12"/>
  <c r="MS49" s="1"/>
  <c r="KE22"/>
  <c r="KZ22" s="1"/>
  <c r="KA17"/>
  <c r="MN17" s="1"/>
  <c r="MN54" s="1"/>
  <c r="JV23"/>
  <c r="MI23" s="1"/>
  <c r="MI60" s="1"/>
  <c r="KS17"/>
  <c r="ER16"/>
  <c r="FL16" s="1"/>
  <c r="MK9"/>
  <c r="KA18"/>
  <c r="MN18" s="1"/>
  <c r="MN55" s="1"/>
  <c r="ES17"/>
  <c r="FM17" s="1"/>
  <c r="JY16"/>
  <c r="ML16" s="1"/>
  <c r="ML53" s="1"/>
  <c r="ER21"/>
  <c r="FL21" s="1"/>
  <c r="ET17"/>
  <c r="FN17" s="1"/>
  <c r="KW17"/>
  <c r="MK23"/>
  <c r="MK60" s="1"/>
  <c r="EV6"/>
  <c r="FP6" s="1"/>
  <c r="ET18"/>
  <c r="FN18" s="1"/>
  <c r="JZ17"/>
  <c r="MM17" s="1"/>
  <c r="MM54" s="1"/>
  <c r="JY21"/>
  <c r="KT21" s="1"/>
  <c r="EW12"/>
  <c r="FQ12" s="1"/>
  <c r="KD12"/>
  <c r="MQ12" s="1"/>
  <c r="MQ49" s="1"/>
  <c r="MS21"/>
  <c r="MS58" s="1"/>
  <c r="EP11"/>
  <c r="FJ11" s="1"/>
  <c r="KO9"/>
  <c r="JW11"/>
  <c r="MJ11" s="1"/>
  <c r="MJ48" s="1"/>
  <c r="EV20"/>
  <c r="FP20" s="1"/>
  <c r="JW6"/>
  <c r="MJ6" s="1"/>
  <c r="MJ43" s="1"/>
  <c r="ER14"/>
  <c r="FL14" s="1"/>
  <c r="JY14"/>
  <c r="ML14" s="1"/>
  <c r="ML51" s="1"/>
  <c r="KS15"/>
  <c r="KD21"/>
  <c r="MQ21" s="1"/>
  <c r="MQ58" s="1"/>
  <c r="KA20"/>
  <c r="MN20" s="1"/>
  <c r="MN57" s="1"/>
  <c r="ET20"/>
  <c r="FN20" s="1"/>
  <c r="ET22"/>
  <c r="FN22" s="1"/>
  <c r="KC20"/>
  <c r="MP20" s="1"/>
  <c r="MP57" s="1"/>
  <c r="KA22"/>
  <c r="MN22" s="1"/>
  <c r="MN59" s="1"/>
  <c r="MS17"/>
  <c r="MS54" s="1"/>
  <c r="EW21"/>
  <c r="FQ21" s="1"/>
  <c r="LA14"/>
  <c r="KA14"/>
  <c r="MN14" s="1"/>
  <c r="MN51" s="1"/>
  <c r="EX6"/>
  <c r="FR6" s="1"/>
  <c r="EZ6"/>
  <c r="FT6" s="1"/>
  <c r="KD7"/>
  <c r="KY7" s="1"/>
  <c r="JW16"/>
  <c r="KR16" s="1"/>
  <c r="EX22"/>
  <c r="FR22" s="1"/>
  <c r="KG15"/>
  <c r="MT15" s="1"/>
  <c r="MT52" s="1"/>
  <c r="ET14"/>
  <c r="FN14" s="1"/>
  <c r="ER20"/>
  <c r="FL20" s="1"/>
  <c r="EW7"/>
  <c r="FQ7" s="1"/>
  <c r="JY20"/>
  <c r="KT20" s="1"/>
  <c r="KE6"/>
  <c r="MR6" s="1"/>
  <c r="MR43" s="1"/>
  <c r="ET12"/>
  <c r="FN12" s="1"/>
  <c r="ER18"/>
  <c r="FL18" s="1"/>
  <c r="EZ15"/>
  <c r="FT15" s="1"/>
  <c r="JZ23"/>
  <c r="MM23" s="1"/>
  <c r="MM60" s="1"/>
  <c r="CB46"/>
  <c r="MH22"/>
  <c r="MH59" s="1"/>
  <c r="CU7"/>
  <c r="KG6"/>
  <c r="LB6" s="1"/>
  <c r="ER17"/>
  <c r="FL17" s="1"/>
  <c r="CB45"/>
  <c r="EP15"/>
  <c r="FJ15" s="1"/>
  <c r="CB44"/>
  <c r="KW14"/>
  <c r="JW15"/>
  <c r="MJ15" s="1"/>
  <c r="MJ52" s="1"/>
  <c r="KW11"/>
  <c r="JY23"/>
  <c r="KT23" s="1"/>
  <c r="ER10"/>
  <c r="FL10" s="1"/>
  <c r="KS21"/>
  <c r="ER19"/>
  <c r="FL19" s="1"/>
  <c r="EW10"/>
  <c r="FQ10" s="1"/>
  <c r="ES23"/>
  <c r="FM23" s="1"/>
  <c r="JY10"/>
  <c r="KT10" s="1"/>
  <c r="ER23"/>
  <c r="FL23" s="1"/>
  <c r="KD10"/>
  <c r="KY10" s="1"/>
  <c r="JY17"/>
  <c r="ML17" s="1"/>
  <c r="ML54" s="1"/>
  <c r="JY7"/>
  <c r="ML7" s="1"/>
  <c r="ML44" s="1"/>
  <c r="KW18"/>
  <c r="LA8"/>
  <c r="ER7"/>
  <c r="FL7" s="1"/>
  <c r="EV23"/>
  <c r="FP23" s="1"/>
  <c r="LA7"/>
  <c r="JV21"/>
  <c r="MI21" s="1"/>
  <c r="MI58" s="1"/>
  <c r="KW5"/>
  <c r="JY26"/>
  <c r="ML26" s="1"/>
  <c r="ML63" s="1"/>
  <c r="EX19"/>
  <c r="FR19" s="1"/>
  <c r="DT19"/>
  <c r="EO21"/>
  <c r="FI21" s="1"/>
  <c r="DT21"/>
  <c r="EW23"/>
  <c r="FQ23" s="1"/>
  <c r="EV15"/>
  <c r="FP15" s="1"/>
  <c r="KE19"/>
  <c r="KZ19" s="1"/>
  <c r="KC23"/>
  <c r="MP23" s="1"/>
  <c r="MP60" s="1"/>
  <c r="JU15"/>
  <c r="KP15" s="1"/>
  <c r="KD25"/>
  <c r="KY25" s="1"/>
  <c r="EW25"/>
  <c r="FQ25" s="1"/>
  <c r="FS41"/>
  <c r="KD9"/>
  <c r="MQ9" s="1"/>
  <c r="JW9"/>
  <c r="MJ9" s="1"/>
  <c r="JV5"/>
  <c r="MI5" s="1"/>
  <c r="MI42" s="1"/>
  <c r="KA12"/>
  <c r="MN12" s="1"/>
  <c r="MN49" s="1"/>
  <c r="LA25"/>
  <c r="EZ5"/>
  <c r="FT5" s="1"/>
  <c r="FS40"/>
  <c r="EP6"/>
  <c r="FJ6" s="1"/>
  <c r="EW5"/>
  <c r="FQ5" s="1"/>
  <c r="ER22"/>
  <c r="FL22" s="1"/>
  <c r="KD5"/>
  <c r="MQ5" s="1"/>
  <c r="MQ42" s="1"/>
  <c r="EO11"/>
  <c r="FI11" s="1"/>
  <c r="MK16"/>
  <c r="MK53" s="1"/>
  <c r="MG19"/>
  <c r="MG56" s="1"/>
  <c r="JY22"/>
  <c r="ML22" s="1"/>
  <c r="ML59" s="1"/>
  <c r="JV17"/>
  <c r="MI17" s="1"/>
  <c r="MI54" s="1"/>
  <c r="MS11"/>
  <c r="MS48" s="1"/>
  <c r="KO7"/>
  <c r="KD14"/>
  <c r="MQ14" s="1"/>
  <c r="MQ51" s="1"/>
  <c r="KS11"/>
  <c r="JZ11"/>
  <c r="MM11" s="1"/>
  <c r="MM48" s="1"/>
  <c r="EP9"/>
  <c r="FJ9" s="1"/>
  <c r="EW14"/>
  <c r="FQ14" s="1"/>
  <c r="EO5"/>
  <c r="FI5" s="1"/>
  <c r="KW6"/>
  <c r="KO20"/>
  <c r="MS6"/>
  <c r="MS43" s="1"/>
  <c r="ES6"/>
  <c r="FM6" s="1"/>
  <c r="ES5"/>
  <c r="FM5" s="1"/>
  <c r="JZ6"/>
  <c r="MM6" s="1"/>
  <c r="MM43" s="1"/>
  <c r="OL10"/>
  <c r="I218" i="55" s="1"/>
  <c r="EN24" i="38"/>
  <c r="FH24" s="1"/>
  <c r="JZ5"/>
  <c r="MM5" s="1"/>
  <c r="MM42" s="1"/>
  <c r="ER9"/>
  <c r="FL9" s="1"/>
  <c r="JU24"/>
  <c r="MH24" s="1"/>
  <c r="MH61" s="1"/>
  <c r="ET11"/>
  <c r="FN11" s="1"/>
  <c r="EV21"/>
  <c r="FP21" s="1"/>
  <c r="KE12"/>
  <c r="MR12" s="1"/>
  <c r="MR49" s="1"/>
  <c r="MO23"/>
  <c r="MO60" s="1"/>
  <c r="KC21"/>
  <c r="MP21" s="1"/>
  <c r="MP58" s="1"/>
  <c r="EP7"/>
  <c r="FJ7" s="1"/>
  <c r="EX12"/>
  <c r="FR12" s="1"/>
  <c r="LA19"/>
  <c r="ES14"/>
  <c r="FM14" s="1"/>
  <c r="JZ14"/>
  <c r="MM14" s="1"/>
  <c r="MM51" s="1"/>
  <c r="KS25"/>
  <c r="JW7"/>
  <c r="KR7" s="1"/>
  <c r="KA11"/>
  <c r="MN11" s="1"/>
  <c r="MN48" s="1"/>
  <c r="FO41"/>
  <c r="FO40"/>
  <c r="FG40"/>
  <c r="FG41"/>
  <c r="ES19"/>
  <c r="FM19" s="1"/>
  <c r="MD30"/>
  <c r="MD29"/>
  <c r="MD31"/>
  <c r="EN11"/>
  <c r="FH11" s="1"/>
  <c r="BT45"/>
  <c r="JY11"/>
  <c r="ML11" s="1"/>
  <c r="ML48" s="1"/>
  <c r="FK41"/>
  <c r="EO19"/>
  <c r="FI19" s="1"/>
  <c r="EV14"/>
  <c r="FP14" s="1"/>
  <c r="EO23"/>
  <c r="FI23" s="1"/>
  <c r="KA23"/>
  <c r="MN23" s="1"/>
  <c r="MN60" s="1"/>
  <c r="EW16"/>
  <c r="FQ16" s="1"/>
  <c r="OJ25"/>
  <c r="HU9"/>
  <c r="EX16"/>
  <c r="FR16" s="1"/>
  <c r="BW9"/>
  <c r="EX15"/>
  <c r="FR15" s="1"/>
  <c r="ER11"/>
  <c r="CC25"/>
  <c r="CV25" s="1"/>
  <c r="EZ11"/>
  <c r="FT11" s="1"/>
  <c r="HX5"/>
  <c r="EV25"/>
  <c r="FP25" s="1"/>
  <c r="BZ9"/>
  <c r="KE16"/>
  <c r="MR16" s="1"/>
  <c r="MR53" s="1"/>
  <c r="KA9"/>
  <c r="KV9" s="1"/>
  <c r="CA15"/>
  <c r="CT15" s="1"/>
  <c r="BK25"/>
  <c r="CC11"/>
  <c r="CV11" s="1"/>
  <c r="KG5"/>
  <c r="MT5" s="1"/>
  <c r="MT42" s="1"/>
  <c r="KC25"/>
  <c r="KX25" s="1"/>
  <c r="JU16"/>
  <c r="MH16" s="1"/>
  <c r="MH53" s="1"/>
  <c r="AY7"/>
  <c r="EW9"/>
  <c r="FQ9" s="1"/>
  <c r="HV16"/>
  <c r="ET9"/>
  <c r="FN9" s="1"/>
  <c r="HV15"/>
  <c r="EZ25"/>
  <c r="FT25" s="1"/>
  <c r="BK11"/>
  <c r="CC5"/>
  <c r="CV5" s="1"/>
  <c r="BY25"/>
  <c r="CR25" s="1"/>
  <c r="BQ16"/>
  <c r="CJ16" s="1"/>
  <c r="CM7"/>
  <c r="HQ15"/>
  <c r="KE15"/>
  <c r="MR15" s="1"/>
  <c r="MR52" s="1"/>
  <c r="JW17"/>
  <c r="MJ17" s="1"/>
  <c r="MJ54" s="1"/>
  <c r="HX25"/>
  <c r="KG11"/>
  <c r="LB11" s="1"/>
  <c r="BK5"/>
  <c r="BG25"/>
  <c r="HL16"/>
  <c r="AY11"/>
  <c r="BT44"/>
  <c r="BV15"/>
  <c r="CO15" s="1"/>
  <c r="HN17"/>
  <c r="HP11"/>
  <c r="EN16"/>
  <c r="FH16" s="1"/>
  <c r="FK40"/>
  <c r="HY5"/>
  <c r="BT46"/>
  <c r="EP17"/>
  <c r="FJ17" s="1"/>
  <c r="BU11"/>
  <c r="CN11" s="1"/>
  <c r="EN7"/>
  <c r="FH7" s="1"/>
  <c r="HL11"/>
  <c r="JU7"/>
  <c r="MH7" s="1"/>
  <c r="MH44" s="1"/>
  <c r="BQ7"/>
  <c r="CJ7" s="1"/>
  <c r="CQ9"/>
  <c r="AZ12"/>
  <c r="KW19"/>
  <c r="HR23"/>
  <c r="HT14"/>
  <c r="BC18"/>
  <c r="BI7" i="47"/>
  <c r="BL7" i="38" s="1"/>
  <c r="BZ15"/>
  <c r="CS15" s="1"/>
  <c r="KW9"/>
  <c r="BX46"/>
  <c r="KG14"/>
  <c r="LB14" s="1"/>
  <c r="BU9"/>
  <c r="CN9" s="1"/>
  <c r="HV9"/>
  <c r="BV11"/>
  <c r="CO11" s="1"/>
  <c r="HL17"/>
  <c r="JV12"/>
  <c r="MI12" s="1"/>
  <c r="MI49" s="1"/>
  <c r="ET23"/>
  <c r="FN23" s="1"/>
  <c r="KC14"/>
  <c r="KX14" s="1"/>
  <c r="CC7"/>
  <c r="HU15"/>
  <c r="BK14"/>
  <c r="JU9"/>
  <c r="KP9" s="1"/>
  <c r="BQ20"/>
  <c r="CJ20" s="1"/>
  <c r="BU25"/>
  <c r="CN25" s="1"/>
  <c r="HQ11"/>
  <c r="BP44"/>
  <c r="JV19"/>
  <c r="MI19" s="1"/>
  <c r="MI56" s="1"/>
  <c r="HM12"/>
  <c r="BW23"/>
  <c r="CP23" s="1"/>
  <c r="BY14"/>
  <c r="CR14" s="1"/>
  <c r="AZ23"/>
  <c r="KD15"/>
  <c r="KY15" s="1"/>
  <c r="BP46"/>
  <c r="BI14" i="47"/>
  <c r="FA14" i="38" s="1"/>
  <c r="BQ9"/>
  <c r="CJ9" s="1"/>
  <c r="EO12"/>
  <c r="FI12" s="1"/>
  <c r="BH19"/>
  <c r="JY18"/>
  <c r="ML18" s="1"/>
  <c r="ML55" s="1"/>
  <c r="HX14"/>
  <c r="HP15"/>
  <c r="KC7"/>
  <c r="MP7" s="1"/>
  <c r="MP44" s="1"/>
  <c r="BE23"/>
  <c r="BG14"/>
  <c r="KS10"/>
  <c r="HM19"/>
  <c r="HM23"/>
  <c r="HM60" s="1"/>
  <c r="BH15"/>
  <c r="BX44"/>
  <c r="EZ14"/>
  <c r="FT14" s="1"/>
  <c r="HL9"/>
  <c r="KE9"/>
  <c r="MR9" s="1"/>
  <c r="HP25"/>
  <c r="JY15"/>
  <c r="KT15" s="1"/>
  <c r="EV7"/>
  <c r="FP7" s="1"/>
  <c r="AZ19"/>
  <c r="HP18"/>
  <c r="BR23"/>
  <c r="CK23" s="1"/>
  <c r="ER25"/>
  <c r="BC9"/>
  <c r="EP25"/>
  <c r="FJ25" s="1"/>
  <c r="KD16"/>
  <c r="MQ16" s="1"/>
  <c r="MQ53" s="1"/>
  <c r="EX9"/>
  <c r="FR9" s="1"/>
  <c r="ES11"/>
  <c r="FM11" s="1"/>
  <c r="BP45"/>
  <c r="CA9"/>
  <c r="CT9" s="1"/>
  <c r="BS25"/>
  <c r="CL25" s="1"/>
  <c r="KC19"/>
  <c r="MP19" s="1"/>
  <c r="MP56" s="1"/>
  <c r="CA5"/>
  <c r="CT5" s="1"/>
  <c r="BH16"/>
  <c r="AY20"/>
  <c r="EP20"/>
  <c r="FJ20" s="1"/>
  <c r="BW25"/>
  <c r="CP25" s="1"/>
  <c r="HT10"/>
  <c r="BY19"/>
  <c r="CR19" s="1"/>
  <c r="HV5"/>
  <c r="JW25"/>
  <c r="MJ25" s="1"/>
  <c r="MJ62" s="1"/>
  <c r="BA25"/>
  <c r="HT19"/>
  <c r="KE5"/>
  <c r="MR5" s="1"/>
  <c r="MR42" s="1"/>
  <c r="JW18"/>
  <c r="KR18" s="1"/>
  <c r="HR5"/>
  <c r="HN20"/>
  <c r="HR25"/>
  <c r="EV19"/>
  <c r="FP19" s="1"/>
  <c r="BS18"/>
  <c r="CL18" s="1"/>
  <c r="ET5"/>
  <c r="FN5" s="1"/>
  <c r="KS12"/>
  <c r="EV10"/>
  <c r="FP10" s="1"/>
  <c r="KO18"/>
  <c r="MG18"/>
  <c r="MG55" s="1"/>
  <c r="HN18"/>
  <c r="HU16"/>
  <c r="BW5"/>
  <c r="CP5" s="1"/>
  <c r="EP18"/>
  <c r="FJ18" s="1"/>
  <c r="BZ16"/>
  <c r="CS16" s="1"/>
  <c r="KA5"/>
  <c r="MN5" s="1"/>
  <c r="MN42" s="1"/>
  <c r="JU20"/>
  <c r="MH20" s="1"/>
  <c r="MH57" s="1"/>
  <c r="JW20"/>
  <c r="MJ20" s="1"/>
  <c r="MJ57" s="1"/>
  <c r="BS20"/>
  <c r="CL20" s="1"/>
  <c r="KC10"/>
  <c r="MP10" s="1"/>
  <c r="MP47" s="1"/>
  <c r="ET25"/>
  <c r="FN25" s="1"/>
  <c r="HL20"/>
  <c r="BY10"/>
  <c r="CR10" s="1"/>
  <c r="BD12"/>
  <c r="EV5"/>
  <c r="FP5" s="1"/>
  <c r="BY6"/>
  <c r="CR6" s="1"/>
  <c r="BZ6"/>
  <c r="CS6" s="1"/>
  <c r="BD19"/>
  <c r="KC5"/>
  <c r="KX5" s="1"/>
  <c r="ET10"/>
  <c r="FN10" s="1"/>
  <c r="BG6"/>
  <c r="HU6"/>
  <c r="EN25"/>
  <c r="FH25" s="1"/>
  <c r="MG17"/>
  <c r="MG54" s="1"/>
  <c r="KD6"/>
  <c r="MQ6" s="1"/>
  <c r="MQ43" s="1"/>
  <c r="BG5"/>
  <c r="BW10"/>
  <c r="CP10" s="1"/>
  <c r="HM10"/>
  <c r="AY25"/>
  <c r="KA10"/>
  <c r="MN10" s="1"/>
  <c r="MN47" s="1"/>
  <c r="JV10"/>
  <c r="MI10" s="1"/>
  <c r="MI47" s="1"/>
  <c r="ES12"/>
  <c r="FM12" s="1"/>
  <c r="HR10"/>
  <c r="EO10"/>
  <c r="FI10" s="1"/>
  <c r="HQ19"/>
  <c r="HL25"/>
  <c r="JZ12"/>
  <c r="MM12" s="1"/>
  <c r="MM49" s="1"/>
  <c r="KC6"/>
  <c r="MP6" s="1"/>
  <c r="MP43" s="1"/>
  <c r="AZ10"/>
  <c r="JZ19"/>
  <c r="MM19" s="1"/>
  <c r="MM56" s="1"/>
  <c r="MG25"/>
  <c r="MG62" s="1"/>
  <c r="KO25"/>
  <c r="MJ26"/>
  <c r="MJ63" s="1"/>
  <c r="AR28" i="47"/>
  <c r="OL26" i="38"/>
  <c r="I228" i="55" s="1"/>
  <c r="KS5" i="38"/>
  <c r="MK5"/>
  <c r="MK42" s="1"/>
  <c r="M216" i="55"/>
  <c r="KD19" i="38"/>
  <c r="MQ19" s="1"/>
  <c r="MQ56" s="1"/>
  <c r="EX20"/>
  <c r="FR20" s="1"/>
  <c r="JV22"/>
  <c r="MI22" s="1"/>
  <c r="MI59" s="1"/>
  <c r="EZ7"/>
  <c r="FT7" s="1"/>
  <c r="KC22"/>
  <c r="KX22" s="1"/>
  <c r="JV7"/>
  <c r="KQ7" s="1"/>
  <c r="JZ15"/>
  <c r="MM15" s="1"/>
  <c r="MM52" s="1"/>
  <c r="JY25"/>
  <c r="ML25" s="1"/>
  <c r="ML62" s="1"/>
  <c r="EN6"/>
  <c r="FH6" s="1"/>
  <c r="EV9"/>
  <c r="FP9" s="1"/>
  <c r="ES15"/>
  <c r="FM15" s="1"/>
  <c r="KG7"/>
  <c r="MT7" s="1"/>
  <c r="MT44" s="1"/>
  <c r="EV22"/>
  <c r="FP22" s="1"/>
  <c r="KO11"/>
  <c r="OL20"/>
  <c r="I223" i="55" s="1"/>
  <c r="KS13" i="38"/>
  <c r="MK13"/>
  <c r="MK50" s="1"/>
  <c r="ER6"/>
  <c r="JY6"/>
  <c r="ML6" s="1"/>
  <c r="ML43" s="1"/>
  <c r="EX5"/>
  <c r="FR5" s="1"/>
  <c r="KD17"/>
  <c r="MQ17" s="1"/>
  <c r="MQ54" s="1"/>
  <c r="KC9"/>
  <c r="MP9" s="1"/>
  <c r="OI18"/>
  <c r="OL18" s="1"/>
  <c r="I222" i="55" s="1"/>
  <c r="DR18" i="38"/>
  <c r="ER15"/>
  <c r="EW17"/>
  <c r="FQ17" s="1"/>
  <c r="EP16"/>
  <c r="FJ16" s="1"/>
  <c r="EW19"/>
  <c r="FQ19" s="1"/>
  <c r="EO7"/>
  <c r="FI7" s="1"/>
  <c r="KE20"/>
  <c r="MR20" s="1"/>
  <c r="MR57" s="1"/>
  <c r="JU6"/>
  <c r="MH6" s="1"/>
  <c r="MH43" s="1"/>
  <c r="KA25"/>
  <c r="MN25" s="1"/>
  <c r="MN62" s="1"/>
  <c r="JW13"/>
  <c r="EP13"/>
  <c r="FJ13" s="1"/>
  <c r="DR15"/>
  <c r="PX15" s="1"/>
  <c r="H463" i="52" s="1"/>
  <c r="OI15" i="38"/>
  <c r="OK15" s="1"/>
  <c r="K225" i="55" s="1"/>
  <c r="EZ26" i="38"/>
  <c r="FT26" s="1"/>
  <c r="KG26"/>
  <c r="KC27"/>
  <c r="EV27"/>
  <c r="FP27" s="1"/>
  <c r="KD26"/>
  <c r="EW26"/>
  <c r="FQ26" s="1"/>
  <c r="OI9"/>
  <c r="OL9" s="1"/>
  <c r="I224" i="55" s="1"/>
  <c r="DR9" i="38"/>
  <c r="DS20"/>
  <c r="DU20" s="1"/>
  <c r="OL21"/>
  <c r="I217" i="55" s="1"/>
  <c r="DT10" i="38"/>
  <c r="KD27"/>
  <c r="EW27"/>
  <c r="FQ27" s="1"/>
  <c r="KD13"/>
  <c r="EW13"/>
  <c r="FQ13" s="1"/>
  <c r="OL16"/>
  <c r="I221" i="55" s="1"/>
  <c r="FA26" i="38"/>
  <c r="KH26"/>
  <c r="OK26"/>
  <c r="K228" i="55" s="1"/>
  <c r="EZ13" i="38"/>
  <c r="FT13" s="1"/>
  <c r="KG13"/>
  <c r="M228" i="55"/>
  <c r="OJ26" i="38"/>
  <c r="M210" i="55"/>
  <c r="OJ17" i="38"/>
  <c r="DR13"/>
  <c r="OI13"/>
  <c r="OJ13" s="1"/>
  <c r="OM26"/>
  <c r="OK17"/>
  <c r="K210" i="55" s="1"/>
  <c r="KA24" i="38"/>
  <c r="ET24"/>
  <c r="FN24" s="1"/>
  <c r="MG26"/>
  <c r="MG63" s="1"/>
  <c r="KO26"/>
  <c r="JV26"/>
  <c r="EO26"/>
  <c r="DT26"/>
  <c r="Z713" i="55"/>
  <c r="Q481" i="48" s="1"/>
  <c r="DS16" i="38"/>
  <c r="DU16" s="1"/>
  <c r="DT20"/>
  <c r="OI6"/>
  <c r="OK6" s="1"/>
  <c r="K219" i="55" s="1"/>
  <c r="DR6" i="38"/>
  <c r="OK22"/>
  <c r="K212" i="55" s="1"/>
  <c r="EX13" i="38"/>
  <c r="FR13" s="1"/>
  <c r="KE13"/>
  <c r="MO8"/>
  <c r="MO45" s="1"/>
  <c r="KW8"/>
  <c r="MG14"/>
  <c r="MG51" s="1"/>
  <c r="KO14"/>
  <c r="Z711" i="55"/>
  <c r="Q479" i="48" s="1"/>
  <c r="OK25" i="38"/>
  <c r="K209" i="55" s="1"/>
  <c r="KO22" i="38"/>
  <c r="MG22"/>
  <c r="MG59" s="1"/>
  <c r="EX27"/>
  <c r="FR27" s="1"/>
  <c r="KE27"/>
  <c r="KE26"/>
  <c r="EX26"/>
  <c r="FR26" s="1"/>
  <c r="OI7"/>
  <c r="OL7" s="1"/>
  <c r="I208" i="55" s="1"/>
  <c r="DR7" i="38"/>
  <c r="LA27"/>
  <c r="MS27"/>
  <c r="MS64" s="1"/>
  <c r="EN21"/>
  <c r="FH21" s="1"/>
  <c r="OK20"/>
  <c r="K223" i="55" s="1"/>
  <c r="EN26" i="38"/>
  <c r="FH26" s="1"/>
  <c r="JU26"/>
  <c r="M223" i="55"/>
  <c r="OJ20" i="38"/>
  <c r="OM20"/>
  <c r="EZ8"/>
  <c r="FT8" s="1"/>
  <c r="KG8"/>
  <c r="FL13"/>
  <c r="DS22"/>
  <c r="DU22" s="1"/>
  <c r="KA8"/>
  <c r="ET8"/>
  <c r="FN8" s="1"/>
  <c r="KC26"/>
  <c r="EV26"/>
  <c r="FP26" s="1"/>
  <c r="DR24"/>
  <c r="OI24"/>
  <c r="OL24" s="1"/>
  <c r="I229" i="55" s="1"/>
  <c r="EW22" i="38"/>
  <c r="FQ22" s="1"/>
  <c r="JU11"/>
  <c r="OL19"/>
  <c r="I215" i="55" s="1"/>
  <c r="MT27" i="38"/>
  <c r="MT64" s="1"/>
  <c r="LB27"/>
  <c r="FM8"/>
  <c r="DS21"/>
  <c r="DU21" s="1"/>
  <c r="DS19"/>
  <c r="DU19" s="1"/>
  <c r="KV26"/>
  <c r="MN26"/>
  <c r="MN63" s="1"/>
  <c r="KG24"/>
  <c r="EZ24"/>
  <c r="FT24" s="1"/>
  <c r="JZ25"/>
  <c r="MM25" s="1"/>
  <c r="MM62" s="1"/>
  <c r="DS10"/>
  <c r="DU10" s="1"/>
  <c r="OM27"/>
  <c r="OL27"/>
  <c r="EN17"/>
  <c r="FH17" s="1"/>
  <c r="JY24"/>
  <c r="ER24"/>
  <c r="JV24"/>
  <c r="EO24"/>
  <c r="DS23"/>
  <c r="DU23" s="1"/>
  <c r="OL22"/>
  <c r="I212" i="55" s="1"/>
  <c r="KD22" i="38"/>
  <c r="KY22" s="1"/>
  <c r="ES25"/>
  <c r="FM25" s="1"/>
  <c r="EW6"/>
  <c r="FQ6" s="1"/>
  <c r="JY9"/>
  <c r="ML9" s="1"/>
  <c r="KX8"/>
  <c r="MP8"/>
  <c r="MP45" s="1"/>
  <c r="KV13"/>
  <c r="MN13"/>
  <c r="MN50" s="1"/>
  <c r="OM22"/>
  <c r="M212" i="55"/>
  <c r="FA27" i="38"/>
  <c r="FU27" s="1"/>
  <c r="DT27"/>
  <c r="KH27"/>
  <c r="KL27" s="1"/>
  <c r="ES13"/>
  <c r="FM13" s="1"/>
  <c r="JZ13"/>
  <c r="KX24"/>
  <c r="MP24"/>
  <c r="MP61" s="1"/>
  <c r="OM17"/>
  <c r="OL17"/>
  <c r="I210" i="55" s="1"/>
  <c r="OI5" i="38"/>
  <c r="OJ5" s="1"/>
  <c r="DR5"/>
  <c r="PX5" s="1"/>
  <c r="KY24"/>
  <c r="MQ24"/>
  <c r="MQ61" s="1"/>
  <c r="KZ8"/>
  <c r="MR8"/>
  <c r="MR45" s="1"/>
  <c r="DT11"/>
  <c r="DS11"/>
  <c r="DU11" s="1"/>
  <c r="JW24"/>
  <c r="EP24"/>
  <c r="FJ24" s="1"/>
  <c r="OL12"/>
  <c r="I216" i="55" s="1"/>
  <c r="OL23" i="38"/>
  <c r="I211" i="55" s="1"/>
  <c r="DR8" i="38"/>
  <c r="OI8"/>
  <c r="OK8" s="1"/>
  <c r="K227" i="55" s="1"/>
  <c r="DT22" i="38"/>
  <c r="DS12"/>
  <c r="DU12" s="1"/>
  <c r="DT12"/>
  <c r="KU24"/>
  <c r="MM24"/>
  <c r="MM61" s="1"/>
  <c r="DS17"/>
  <c r="DU17" s="1"/>
  <c r="DT17"/>
  <c r="OM11"/>
  <c r="OL11"/>
  <c r="I220" i="55" s="1"/>
  <c r="KE24" i="38"/>
  <c r="EX24"/>
  <c r="FR24" s="1"/>
  <c r="DS25"/>
  <c r="DU25" s="1"/>
  <c r="DT25"/>
  <c r="DS27"/>
  <c r="DU27" s="1"/>
  <c r="OL14"/>
  <c r="I214" i="55" s="1"/>
  <c r="JZ26" i="38"/>
  <c r="ES26"/>
  <c r="FM26" s="1"/>
  <c r="DS26"/>
  <c r="DU26" s="1"/>
  <c r="EV13"/>
  <c r="FP13" s="1"/>
  <c r="KC13"/>
  <c r="DS14"/>
  <c r="DU14" s="1"/>
  <c r="OM25"/>
  <c r="OL25"/>
  <c r="I209" i="55" s="1"/>
  <c r="JW22" i="38"/>
  <c r="KR22" s="1"/>
  <c r="OK27"/>
  <c r="EW8"/>
  <c r="FQ8" s="1"/>
  <c r="KD8"/>
  <c r="KT13"/>
  <c r="ML13"/>
  <c r="ML50" s="1"/>
  <c r="MO24"/>
  <c r="MO61" s="1"/>
  <c r="KW24"/>
  <c r="EP22"/>
  <c r="FJ22" s="1"/>
  <c r="EN9"/>
  <c r="FH9" s="1"/>
  <c r="OJ27"/>
  <c r="CF27"/>
  <c r="FI27"/>
  <c r="KT27"/>
  <c r="MI27"/>
  <c r="MI64" s="1"/>
  <c r="BM27"/>
  <c r="KH23"/>
  <c r="CD23"/>
  <c r="CW23" s="1"/>
  <c r="AM25" i="52" s="1"/>
  <c r="HY23" i="38"/>
  <c r="HY60" s="1"/>
  <c r="FA23"/>
  <c r="BL23"/>
  <c r="LB25"/>
  <c r="MT25"/>
  <c r="MT62" s="1"/>
  <c r="HY12"/>
  <c r="HY49" s="1"/>
  <c r="KH12"/>
  <c r="BL12"/>
  <c r="CD12"/>
  <c r="CW12" s="1"/>
  <c r="AM14" i="52" s="1"/>
  <c r="FA12" i="38"/>
  <c r="CX27"/>
  <c r="HY6"/>
  <c r="CD6"/>
  <c r="CW6" s="1"/>
  <c r="AM8" i="52" s="1"/>
  <c r="BL6" i="38"/>
  <c r="BN6" s="1"/>
  <c r="AF95" i="52" s="1"/>
  <c r="LB12" i="38"/>
  <c r="MT12"/>
  <c r="MT49" s="1"/>
  <c r="CK15"/>
  <c r="CK11"/>
  <c r="MH27"/>
  <c r="MH64" s="1"/>
  <c r="KP27"/>
  <c r="KQ15"/>
  <c r="MI15"/>
  <c r="MI52" s="1"/>
  <c r="IG20"/>
  <c r="CK19"/>
  <c r="HZ27"/>
  <c r="IB27" s="1"/>
  <c r="LB21"/>
  <c r="MT21"/>
  <c r="MT58" s="1"/>
  <c r="CK7"/>
  <c r="CE27"/>
  <c r="CG27" s="1"/>
  <c r="CW5"/>
  <c r="AM7" i="52" s="1"/>
  <c r="KR27" i="38"/>
  <c r="MJ27"/>
  <c r="MJ64" s="1"/>
  <c r="CK10"/>
  <c r="KU21"/>
  <c r="MM21"/>
  <c r="MM58" s="1"/>
  <c r="KY18"/>
  <c r="MQ18"/>
  <c r="MQ55" s="1"/>
  <c r="IG15"/>
  <c r="CL7"/>
  <c r="CK12"/>
  <c r="KR19"/>
  <c r="MJ19"/>
  <c r="MJ56" s="1"/>
  <c r="KV27"/>
  <c r="MN27"/>
  <c r="MN64" s="1"/>
  <c r="IU27"/>
  <c r="PZ21" l="1"/>
  <c r="Q465" i="52" s="1"/>
  <c r="KU8" i="38"/>
  <c r="PQ28"/>
  <c r="PZ20"/>
  <c r="Q466" i="52" s="1"/>
  <c r="CC44" i="38"/>
  <c r="KR12"/>
  <c r="OM9"/>
  <c r="LB22"/>
  <c r="PM28"/>
  <c r="KQ8"/>
  <c r="MI8"/>
  <c r="MI45" s="1"/>
  <c r="PO28"/>
  <c r="PZ10"/>
  <c r="Q471" i="52" s="1"/>
  <c r="PP28" i="38"/>
  <c r="PS28"/>
  <c r="PT28"/>
  <c r="KH18"/>
  <c r="LC18" s="1"/>
  <c r="LE18" s="1"/>
  <c r="PU28"/>
  <c r="H470" i="52"/>
  <c r="PY17" i="38"/>
  <c r="F475" i="52" s="1"/>
  <c r="H475"/>
  <c r="PW28" i="38"/>
  <c r="PL28"/>
  <c r="PK28"/>
  <c r="HN43"/>
  <c r="IG6"/>
  <c r="K24" i="52"/>
  <c r="K76" s="1"/>
  <c r="FA22" i="38"/>
  <c r="FU22" s="1"/>
  <c r="IS22"/>
  <c r="BL22"/>
  <c r="BN22" s="1"/>
  <c r="AF111" i="52" s="1"/>
  <c r="CD10" i="38"/>
  <c r="CF10" s="1"/>
  <c r="FA10"/>
  <c r="FC10" s="1"/>
  <c r="MR21"/>
  <c r="MR58" s="1"/>
  <c r="KH10"/>
  <c r="KI10" s="1"/>
  <c r="HY10"/>
  <c r="HY47" s="1"/>
  <c r="KH22"/>
  <c r="KI22" s="1"/>
  <c r="V24" i="51"/>
  <c r="V41" s="1"/>
  <c r="CD22" i="38"/>
  <c r="CW22" s="1"/>
  <c r="AM24" i="52" s="1"/>
  <c r="IG21" i="38"/>
  <c r="IR10"/>
  <c r="LB10"/>
  <c r="KQ6"/>
  <c r="HU56"/>
  <c r="IL9"/>
  <c r="FA21"/>
  <c r="BL20"/>
  <c r="BN20" s="1"/>
  <c r="AF109" i="52" s="1"/>
  <c r="MT20" i="38"/>
  <c r="MT57" s="1"/>
  <c r="KR21"/>
  <c r="IK20"/>
  <c r="IR22"/>
  <c r="MT23"/>
  <c r="MT60" s="1"/>
  <c r="IP21"/>
  <c r="BL11"/>
  <c r="BN11" s="1"/>
  <c r="AF100" i="52" s="1"/>
  <c r="CD17" i="38"/>
  <c r="CE17" s="1"/>
  <c r="CG17" s="1"/>
  <c r="CD11"/>
  <c r="CW11" s="1"/>
  <c r="AM13" i="52" s="1"/>
  <c r="HY21" i="38"/>
  <c r="HY58" s="1"/>
  <c r="CD21"/>
  <c r="CF21" s="1"/>
  <c r="KH11"/>
  <c r="KK11" s="1"/>
  <c r="KM11" s="1"/>
  <c r="AH13" i="52" s="1"/>
  <c r="KH21" i="38"/>
  <c r="KJ21" s="1"/>
  <c r="FA11"/>
  <c r="FU11" s="1"/>
  <c r="IO14"/>
  <c r="HY18"/>
  <c r="HY55" s="1"/>
  <c r="MH19"/>
  <c r="MH56" s="1"/>
  <c r="IR21"/>
  <c r="HL51"/>
  <c r="KZ23"/>
  <c r="IR23"/>
  <c r="CD9"/>
  <c r="CW9" s="1"/>
  <c r="AM11" i="52" s="1"/>
  <c r="BL9" i="38"/>
  <c r="BN9" s="1"/>
  <c r="AF98" i="52" s="1"/>
  <c r="IO23" i="38"/>
  <c r="KX16"/>
  <c r="KR14"/>
  <c r="BL18"/>
  <c r="BN18" s="1"/>
  <c r="AF107" i="52" s="1"/>
  <c r="CD18" i="38"/>
  <c r="CF18" s="1"/>
  <c r="FA18"/>
  <c r="FE18" s="1"/>
  <c r="LB9"/>
  <c r="KH20"/>
  <c r="AI22" i="52" s="1"/>
  <c r="KT5" i="38"/>
  <c r="HY20"/>
  <c r="HY57" s="1"/>
  <c r="CD20"/>
  <c r="CW20" s="1"/>
  <c r="AM22" i="52" s="1"/>
  <c r="MH14" i="38"/>
  <c r="MH51" s="1"/>
  <c r="HU62"/>
  <c r="IP10"/>
  <c r="IN21"/>
  <c r="MT19"/>
  <c r="MT56" s="1"/>
  <c r="MM20"/>
  <c r="MM57" s="1"/>
  <c r="KR23"/>
  <c r="HN44"/>
  <c r="IH23"/>
  <c r="MR18"/>
  <c r="MR55" s="1"/>
  <c r="HP53"/>
  <c r="KZ7"/>
  <c r="HQ60"/>
  <c r="KU7"/>
  <c r="IR6"/>
  <c r="HV54"/>
  <c r="LB17"/>
  <c r="KY11"/>
  <c r="KX11"/>
  <c r="IG22"/>
  <c r="MP5"/>
  <c r="MP42" s="1"/>
  <c r="KY23"/>
  <c r="KZ17"/>
  <c r="HN49"/>
  <c r="KX18"/>
  <c r="IA22"/>
  <c r="J24" i="52" s="1"/>
  <c r="KV19" i="38"/>
  <c r="MR10"/>
  <c r="MR47" s="1"/>
  <c r="FC14"/>
  <c r="IO22"/>
  <c r="MT18"/>
  <c r="MT55" s="1"/>
  <c r="MT16"/>
  <c r="MT53" s="1"/>
  <c r="KQ11"/>
  <c r="KR5"/>
  <c r="BZ44"/>
  <c r="IP23"/>
  <c r="FA25"/>
  <c r="FB25" s="1"/>
  <c r="FD25" s="1"/>
  <c r="AJ27" i="52" s="1"/>
  <c r="KP10" i="38"/>
  <c r="KY20"/>
  <c r="IR17"/>
  <c r="IL12"/>
  <c r="IO18"/>
  <c r="KP16"/>
  <c r="IJ17"/>
  <c r="IT27"/>
  <c r="IV27" s="1"/>
  <c r="IW27" s="1"/>
  <c r="F27" i="47" s="1"/>
  <c r="BL17" i="38"/>
  <c r="BN17" s="1"/>
  <c r="AF106" i="52" s="1"/>
  <c r="KH17" i="38"/>
  <c r="KJ17" s="1"/>
  <c r="FA16"/>
  <c r="FB16" s="1"/>
  <c r="FD16" s="1"/>
  <c r="AJ18" i="52" s="1"/>
  <c r="FA17" i="38"/>
  <c r="FE17" s="1"/>
  <c r="HY16"/>
  <c r="HY53" s="1"/>
  <c r="BL16"/>
  <c r="BN16" s="1"/>
  <c r="AF105" i="52" s="1"/>
  <c r="KU22" i="38"/>
  <c r="KH16"/>
  <c r="KI16" s="1"/>
  <c r="HL56"/>
  <c r="IL20"/>
  <c r="BY44"/>
  <c r="IF21"/>
  <c r="KQ9"/>
  <c r="KQ20"/>
  <c r="MM18"/>
  <c r="MM55" s="1"/>
  <c r="IG5"/>
  <c r="BY46"/>
  <c r="CR7"/>
  <c r="KQ16"/>
  <c r="BY45"/>
  <c r="CD15"/>
  <c r="CW15" s="1"/>
  <c r="AM17" i="52" s="1"/>
  <c r="HY19" i="38"/>
  <c r="HY56" s="1"/>
  <c r="KH19"/>
  <c r="KJ19" s="1"/>
  <c r="KY5"/>
  <c r="CD19"/>
  <c r="CF19" s="1"/>
  <c r="BL19"/>
  <c r="BN19" s="1"/>
  <c r="AF108" i="52" s="1"/>
  <c r="LB15" i="38"/>
  <c r="KX23"/>
  <c r="KH14"/>
  <c r="KJ14" s="1"/>
  <c r="BN7"/>
  <c r="AF96" i="52" s="1"/>
  <c r="BW45" i="38"/>
  <c r="KV15"/>
  <c r="KQ14"/>
  <c r="BL14"/>
  <c r="BM14" s="1"/>
  <c r="MH18"/>
  <c r="MH55" s="1"/>
  <c r="HP58"/>
  <c r="IP12"/>
  <c r="MH9"/>
  <c r="MH46" s="1"/>
  <c r="MT11"/>
  <c r="MT48" s="1"/>
  <c r="CS9"/>
  <c r="KT18"/>
  <c r="IG23"/>
  <c r="ML12"/>
  <c r="ML49" s="1"/>
  <c r="IH5"/>
  <c r="IG11"/>
  <c r="BR46"/>
  <c r="CL9"/>
  <c r="MH15"/>
  <c r="MH52" s="1"/>
  <c r="HU54"/>
  <c r="BS45"/>
  <c r="IG14"/>
  <c r="IG17"/>
  <c r="KU23"/>
  <c r="BS44"/>
  <c r="KT19"/>
  <c r="KV21"/>
  <c r="KV6"/>
  <c r="KY21"/>
  <c r="BR45"/>
  <c r="IN16"/>
  <c r="CK9"/>
  <c r="HY15"/>
  <c r="HY52" s="1"/>
  <c r="AJ494" i="52"/>
  <c r="AJ495"/>
  <c r="D217"/>
  <c r="PZ12" i="38"/>
  <c r="Q467" i="52" s="1"/>
  <c r="PY14" i="38"/>
  <c r="F472" i="52" s="1"/>
  <c r="IO16" i="38"/>
  <c r="HU53"/>
  <c r="IJ25"/>
  <c r="HP62"/>
  <c r="IG12"/>
  <c r="HM49"/>
  <c r="IO15"/>
  <c r="HU52"/>
  <c r="IL23"/>
  <c r="HR60"/>
  <c r="IR5"/>
  <c r="HX42"/>
  <c r="IJ20"/>
  <c r="HP57"/>
  <c r="IH11"/>
  <c r="HN48"/>
  <c r="IF10"/>
  <c r="HL47"/>
  <c r="IR7"/>
  <c r="HX44"/>
  <c r="IN18"/>
  <c r="HT55"/>
  <c r="IA11"/>
  <c r="U13" i="51" s="1"/>
  <c r="U345" s="1"/>
  <c r="HY48" i="38"/>
  <c r="IK19"/>
  <c r="HQ56"/>
  <c r="IG19"/>
  <c r="HM56"/>
  <c r="IP9"/>
  <c r="HV46"/>
  <c r="IN14"/>
  <c r="HT51"/>
  <c r="IH17"/>
  <c r="HN54"/>
  <c r="IR25"/>
  <c r="HX62"/>
  <c r="IO9"/>
  <c r="HU46"/>
  <c r="IJ12"/>
  <c r="HP49"/>
  <c r="IR15"/>
  <c r="HX52"/>
  <c r="IK18"/>
  <c r="HQ55"/>
  <c r="IF23"/>
  <c r="HL60"/>
  <c r="IL18"/>
  <c r="HR55"/>
  <c r="IH19"/>
  <c r="HN56"/>
  <c r="IP19"/>
  <c r="HV56"/>
  <c r="IF25"/>
  <c r="HL62"/>
  <c r="IG10"/>
  <c r="HM47"/>
  <c r="IF20"/>
  <c r="HL57"/>
  <c r="IN19"/>
  <c r="HT56"/>
  <c r="IF11"/>
  <c r="HL48"/>
  <c r="IJ11"/>
  <c r="HP48"/>
  <c r="IG9"/>
  <c r="HM46"/>
  <c r="IF22"/>
  <c r="HL59"/>
  <c r="IL15"/>
  <c r="HR52"/>
  <c r="IL11"/>
  <c r="HR48"/>
  <c r="IO7"/>
  <c r="HU44"/>
  <c r="IN11"/>
  <c r="HT48"/>
  <c r="IJ7"/>
  <c r="HP44"/>
  <c r="IL16"/>
  <c r="HR53"/>
  <c r="IH22"/>
  <c r="HN59"/>
  <c r="IN23"/>
  <c r="HT60"/>
  <c r="IA6"/>
  <c r="U8" i="51" s="1"/>
  <c r="HY43" i="38"/>
  <c r="IR14"/>
  <c r="HX51"/>
  <c r="IF17"/>
  <c r="HL54"/>
  <c r="IN12"/>
  <c r="HT49"/>
  <c r="IG7"/>
  <c r="HM44"/>
  <c r="IF18"/>
  <c r="HL55"/>
  <c r="IL19"/>
  <c r="HR56"/>
  <c r="IK16"/>
  <c r="HQ53"/>
  <c r="IJ6"/>
  <c r="HP43"/>
  <c r="PY25"/>
  <c r="F462" i="52" s="1"/>
  <c r="IO6" i="38"/>
  <c r="HU43"/>
  <c r="IJ18"/>
  <c r="HP55"/>
  <c r="IJ15"/>
  <c r="HP52"/>
  <c r="IO5"/>
  <c r="HU42"/>
  <c r="IH16"/>
  <c r="HN53"/>
  <c r="IN20"/>
  <c r="HT57"/>
  <c r="IL21"/>
  <c r="HR58"/>
  <c r="IP6"/>
  <c r="HV43"/>
  <c r="IG25"/>
  <c r="HM62"/>
  <c r="IJ19"/>
  <c r="HP56"/>
  <c r="IK25"/>
  <c r="HQ62"/>
  <c r="IP18"/>
  <c r="HV55"/>
  <c r="IO20"/>
  <c r="HU57"/>
  <c r="IJ10"/>
  <c r="HP47"/>
  <c r="IL5"/>
  <c r="HR42"/>
  <c r="IN10"/>
  <c r="HT47"/>
  <c r="IK11"/>
  <c r="HQ48"/>
  <c r="IS5"/>
  <c r="HY42"/>
  <c r="IF16"/>
  <c r="HL53"/>
  <c r="IP16"/>
  <c r="HV53"/>
  <c r="IN22"/>
  <c r="HT59"/>
  <c r="IP20"/>
  <c r="HV57"/>
  <c r="IO12"/>
  <c r="HU49"/>
  <c r="IP14"/>
  <c r="HV51"/>
  <c r="IP22"/>
  <c r="HV59"/>
  <c r="IO21"/>
  <c r="HU58"/>
  <c r="IG16"/>
  <c r="HM53"/>
  <c r="IL22"/>
  <c r="HR59"/>
  <c r="IH20"/>
  <c r="HN57"/>
  <c r="IF9"/>
  <c r="HL46"/>
  <c r="IK15"/>
  <c r="HQ52"/>
  <c r="IG18"/>
  <c r="HM55"/>
  <c r="IO10"/>
  <c r="HU47"/>
  <c r="IL7"/>
  <c r="HR44"/>
  <c r="IR19"/>
  <c r="HX56"/>
  <c r="IK10"/>
  <c r="HQ47"/>
  <c r="IP7"/>
  <c r="HV44"/>
  <c r="IK14"/>
  <c r="HQ51"/>
  <c r="IL6"/>
  <c r="HR43"/>
  <c r="IF6"/>
  <c r="HL43"/>
  <c r="IK5"/>
  <c r="HQ42"/>
  <c r="IF5"/>
  <c r="HL42"/>
  <c r="IL10"/>
  <c r="HR47"/>
  <c r="IH18"/>
  <c r="HN55"/>
  <c r="IL25"/>
  <c r="HR62"/>
  <c r="IP5"/>
  <c r="HV42"/>
  <c r="IP15"/>
  <c r="HV52"/>
  <c r="IP25"/>
  <c r="HV62"/>
  <c r="IP11"/>
  <c r="HV48"/>
  <c r="IH10"/>
  <c r="HN47"/>
  <c r="IK21"/>
  <c r="HQ58"/>
  <c r="IN9"/>
  <c r="HT46"/>
  <c r="IH9"/>
  <c r="HN46"/>
  <c r="IJ14"/>
  <c r="HP51"/>
  <c r="IK17"/>
  <c r="HQ54"/>
  <c r="HZ64"/>
  <c r="N228" i="51"/>
  <c r="N148"/>
  <c r="C241" i="52"/>
  <c r="N210" i="51"/>
  <c r="N124"/>
  <c r="C81" i="52"/>
  <c r="N102" i="51"/>
  <c r="V438" i="44"/>
  <c r="F428" s="1"/>
  <c r="C54" i="52"/>
  <c r="N347" i="51"/>
  <c r="N321"/>
  <c r="C300" i="52"/>
  <c r="N272" i="51"/>
  <c r="N302"/>
  <c r="C172" i="52"/>
  <c r="N78" i="51"/>
  <c r="N374"/>
  <c r="N184"/>
  <c r="N54"/>
  <c r="C217" i="52"/>
  <c r="FX27" i="38"/>
  <c r="D97" i="52"/>
  <c r="D300"/>
  <c r="D81"/>
  <c r="D172"/>
  <c r="D241"/>
  <c r="FX22" i="38"/>
  <c r="PZ5"/>
  <c r="PY12"/>
  <c r="F467" i="52" s="1"/>
  <c r="PZ16" i="38"/>
  <c r="Q474" i="52" s="1"/>
  <c r="PZ11" i="38"/>
  <c r="Q464" i="52" s="1"/>
  <c r="PZ19" i="38"/>
  <c r="Q476" i="52" s="1"/>
  <c r="KH6" i="38"/>
  <c r="KJ6" s="1"/>
  <c r="PX6"/>
  <c r="PX9"/>
  <c r="MQ46"/>
  <c r="MQ34"/>
  <c r="PZ22"/>
  <c r="Q479" i="52" s="1"/>
  <c r="PZ15" i="38"/>
  <c r="Q463" i="52" s="1"/>
  <c r="PY19" i="38"/>
  <c r="F476" i="52" s="1"/>
  <c r="KV22" i="38"/>
  <c r="MH21"/>
  <c r="MH58" s="1"/>
  <c r="PY23"/>
  <c r="F477" i="52" s="1"/>
  <c r="PY16" i="38"/>
  <c r="F474" i="52" s="1"/>
  <c r="DS7" i="38"/>
  <c r="DU7" s="1"/>
  <c r="PX7"/>
  <c r="PY7" s="1"/>
  <c r="F468" i="52" s="1"/>
  <c r="MP46" i="38"/>
  <c r="MP34"/>
  <c r="MR46"/>
  <c r="MR34"/>
  <c r="KX15"/>
  <c r="PZ25"/>
  <c r="Q462" i="52" s="1"/>
  <c r="PY5" i="38"/>
  <c r="PY22"/>
  <c r="F479" i="52" s="1"/>
  <c r="PY11" i="38"/>
  <c r="F464" i="52" s="1"/>
  <c r="PZ17" i="38"/>
  <c r="Q475" i="52" s="1"/>
  <c r="MJ46" i="38"/>
  <c r="MJ34"/>
  <c r="MK46"/>
  <c r="MK34"/>
  <c r="BZ45"/>
  <c r="PY21"/>
  <c r="F465" i="52" s="1"/>
  <c r="PY20" i="38"/>
  <c r="F466" i="52" s="1"/>
  <c r="PZ14" i="38"/>
  <c r="Q472" i="52" s="1"/>
  <c r="DS8" i="38"/>
  <c r="DU8" s="1"/>
  <c r="PX8"/>
  <c r="H461" i="52" s="1"/>
  <c r="MM46" i="38"/>
  <c r="MM34"/>
  <c r="ML46"/>
  <c r="ML34"/>
  <c r="DS24"/>
  <c r="DU24" s="1"/>
  <c r="PX24"/>
  <c r="H473" i="52" s="1"/>
  <c r="PZ23" i="38"/>
  <c r="Q477" i="52" s="1"/>
  <c r="MI46" i="38"/>
  <c r="MI34"/>
  <c r="MT46"/>
  <c r="MT34"/>
  <c r="DS13"/>
  <c r="DU13" s="1"/>
  <c r="PX13"/>
  <c r="H469" i="52" s="1"/>
  <c r="DS18" i="38"/>
  <c r="DU18" s="1"/>
  <c r="PX18"/>
  <c r="Y516" i="55"/>
  <c r="MN44" i="38"/>
  <c r="PY15"/>
  <c r="F463" i="52" s="1"/>
  <c r="BZ46" i="38"/>
  <c r="PY10"/>
  <c r="F471" i="52" s="1"/>
  <c r="N86" i="51"/>
  <c r="N128"/>
  <c r="C305" i="52"/>
  <c r="C242"/>
  <c r="C21"/>
  <c r="N21" i="51"/>
  <c r="M392" i="44"/>
  <c r="C32" i="48"/>
  <c r="F195"/>
  <c r="C206" i="52"/>
  <c r="N334" i="51"/>
  <c r="N161"/>
  <c r="C175" i="52"/>
  <c r="N111" i="51"/>
  <c r="N236"/>
  <c r="C100" i="52"/>
  <c r="N255" i="51"/>
  <c r="N191"/>
  <c r="C51" i="52"/>
  <c r="N61" i="51"/>
  <c r="N387"/>
  <c r="N300"/>
  <c r="N166"/>
  <c r="N266"/>
  <c r="FP40" i="38"/>
  <c r="FM41"/>
  <c r="AI332" i="52"/>
  <c r="AK333" s="1"/>
  <c r="AJ333" s="1"/>
  <c r="AI358"/>
  <c r="AK359" s="1"/>
  <c r="AJ359" s="1"/>
  <c r="AI317"/>
  <c r="P147" i="51"/>
  <c r="P311"/>
  <c r="P94"/>
  <c r="P125"/>
  <c r="P368"/>
  <c r="P46"/>
  <c r="P261"/>
  <c r="P70"/>
  <c r="P270"/>
  <c r="P220"/>
  <c r="P169"/>
  <c r="P361"/>
  <c r="P194"/>
  <c r="P335"/>
  <c r="D247" i="52"/>
  <c r="D311"/>
  <c r="D181"/>
  <c r="D55"/>
  <c r="D106"/>
  <c r="D86"/>
  <c r="D213"/>
  <c r="O220" i="51"/>
  <c r="O368"/>
  <c r="O70"/>
  <c r="O46"/>
  <c r="O270"/>
  <c r="O169"/>
  <c r="O311"/>
  <c r="O194"/>
  <c r="O94"/>
  <c r="O361"/>
  <c r="O125"/>
  <c r="O147"/>
  <c r="O261"/>
  <c r="O335"/>
  <c r="P266"/>
  <c r="P300"/>
  <c r="P191"/>
  <c r="P61"/>
  <c r="P161"/>
  <c r="P255"/>
  <c r="P356"/>
  <c r="P111"/>
  <c r="P236"/>
  <c r="P128"/>
  <c r="P334"/>
  <c r="P86"/>
  <c r="P166"/>
  <c r="P387"/>
  <c r="C66" i="52"/>
  <c r="C102"/>
  <c r="C298"/>
  <c r="C36"/>
  <c r="C238"/>
  <c r="C177"/>
  <c r="C196"/>
  <c r="E81"/>
  <c r="E172"/>
  <c r="E97"/>
  <c r="E241"/>
  <c r="E54"/>
  <c r="E217"/>
  <c r="E300"/>
  <c r="E181"/>
  <c r="E247"/>
  <c r="E213"/>
  <c r="E106"/>
  <c r="E55"/>
  <c r="E86"/>
  <c r="E311"/>
  <c r="M390" i="44"/>
  <c r="C30" i="48"/>
  <c r="C19" i="52"/>
  <c r="J390" i="44"/>
  <c r="N19" i="51"/>
  <c r="F184" i="48"/>
  <c r="N58" i="51"/>
  <c r="N298"/>
  <c r="N93"/>
  <c r="N116"/>
  <c r="N229"/>
  <c r="N287"/>
  <c r="N252"/>
  <c r="N382"/>
  <c r="N186"/>
  <c r="N341"/>
  <c r="N316"/>
  <c r="N79"/>
  <c r="N211"/>
  <c r="N142"/>
  <c r="F431" i="44"/>
  <c r="D207" i="52"/>
  <c r="D56"/>
  <c r="D171"/>
  <c r="D85"/>
  <c r="D307"/>
  <c r="D96"/>
  <c r="D245"/>
  <c r="C232"/>
  <c r="C205"/>
  <c r="C184"/>
  <c r="C71"/>
  <c r="C109"/>
  <c r="C43"/>
  <c r="C293"/>
  <c r="C182"/>
  <c r="C107"/>
  <c r="C46"/>
  <c r="C75"/>
  <c r="C306"/>
  <c r="C239"/>
  <c r="C201"/>
  <c r="D227"/>
  <c r="D112"/>
  <c r="D38"/>
  <c r="D291"/>
  <c r="D69"/>
  <c r="D187"/>
  <c r="D197"/>
  <c r="V437" i="44"/>
  <c r="F432" s="1"/>
  <c r="N120" i="51"/>
  <c r="N253"/>
  <c r="N73"/>
  <c r="N306"/>
  <c r="N48"/>
  <c r="N282"/>
  <c r="N183"/>
  <c r="N223"/>
  <c r="N209"/>
  <c r="N327"/>
  <c r="N145"/>
  <c r="N351"/>
  <c r="N95"/>
  <c r="N367"/>
  <c r="F197" i="48"/>
  <c r="C29"/>
  <c r="J389" i="44"/>
  <c r="M389"/>
  <c r="N18" i="51"/>
  <c r="C18" i="52"/>
  <c r="O133" i="51"/>
  <c r="O380"/>
  <c r="O106"/>
  <c r="O286"/>
  <c r="O224"/>
  <c r="O344"/>
  <c r="O206"/>
  <c r="O49"/>
  <c r="O291"/>
  <c r="O318"/>
  <c r="O74"/>
  <c r="O241"/>
  <c r="O157"/>
  <c r="O182"/>
  <c r="N104"/>
  <c r="N366"/>
  <c r="V435" i="44"/>
  <c r="W431" s="1"/>
  <c r="G272" i="48" s="1"/>
  <c r="N130" i="51"/>
  <c r="N307"/>
  <c r="N77"/>
  <c r="N259"/>
  <c r="N51"/>
  <c r="N276"/>
  <c r="N227"/>
  <c r="N207"/>
  <c r="N181"/>
  <c r="N336"/>
  <c r="N154"/>
  <c r="N360"/>
  <c r="F435" i="44"/>
  <c r="O207" i="51"/>
  <c r="O227"/>
  <c r="O276"/>
  <c r="O51"/>
  <c r="O77"/>
  <c r="O259"/>
  <c r="O181"/>
  <c r="O130"/>
  <c r="O104"/>
  <c r="O154"/>
  <c r="O336"/>
  <c r="O307"/>
  <c r="O366"/>
  <c r="O360"/>
  <c r="F433" i="44"/>
  <c r="N131" i="51"/>
  <c r="N323"/>
  <c r="N293"/>
  <c r="N155"/>
  <c r="N72"/>
  <c r="N108"/>
  <c r="N176"/>
  <c r="N200"/>
  <c r="N246"/>
  <c r="N278"/>
  <c r="N346"/>
  <c r="N372"/>
  <c r="V430" i="44"/>
  <c r="N222" i="51"/>
  <c r="N44"/>
  <c r="C85" i="52"/>
  <c r="C171"/>
  <c r="C96"/>
  <c r="C207"/>
  <c r="C56"/>
  <c r="C307"/>
  <c r="C245"/>
  <c r="P224" i="51"/>
  <c r="P344"/>
  <c r="P182"/>
  <c r="P133"/>
  <c r="P6"/>
  <c r="E6" i="52" s="1"/>
  <c r="P74" i="51"/>
  <c r="P286"/>
  <c r="P157"/>
  <c r="P4"/>
  <c r="P291"/>
  <c r="P49"/>
  <c r="P318"/>
  <c r="P206"/>
  <c r="P241"/>
  <c r="P106"/>
  <c r="P5"/>
  <c r="P380"/>
  <c r="E227" i="52"/>
  <c r="E291"/>
  <c r="E69"/>
  <c r="E187"/>
  <c r="E38"/>
  <c r="E197"/>
  <c r="E112"/>
  <c r="E5"/>
  <c r="E4"/>
  <c r="FR41" i="38"/>
  <c r="BL25"/>
  <c r="BN25" s="1"/>
  <c r="AF114" i="52" s="1"/>
  <c r="HY25" i="38"/>
  <c r="IS25" s="1"/>
  <c r="CP9"/>
  <c r="KZ16"/>
  <c r="KH25"/>
  <c r="KL25" s="1"/>
  <c r="FR40"/>
  <c r="HY7"/>
  <c r="IS7" s="1"/>
  <c r="BW44"/>
  <c r="MJ7"/>
  <c r="MJ44" s="1"/>
  <c r="MQ10"/>
  <c r="MQ47" s="1"/>
  <c r="KT16"/>
  <c r="FP41"/>
  <c r="FS42"/>
  <c r="KV7"/>
  <c r="KP25"/>
  <c r="ML20"/>
  <c r="ML57" s="1"/>
  <c r="KV16"/>
  <c r="KU17"/>
  <c r="KU10"/>
  <c r="KP7"/>
  <c r="ML21"/>
  <c r="ML58" s="1"/>
  <c r="KR6"/>
  <c r="MT6"/>
  <c r="MT43" s="1"/>
  <c r="KZ6"/>
  <c r="MQ7"/>
  <c r="MQ44" s="1"/>
  <c r="KU16"/>
  <c r="MR14"/>
  <c r="MR51" s="1"/>
  <c r="ML23"/>
  <c r="ML60" s="1"/>
  <c r="KQ25"/>
  <c r="MR22"/>
  <c r="MR59" s="1"/>
  <c r="CF5"/>
  <c r="MH17"/>
  <c r="MH54" s="1"/>
  <c r="MJ16"/>
  <c r="MJ53" s="1"/>
  <c r="KR10"/>
  <c r="KX20"/>
  <c r="BM15"/>
  <c r="BW46"/>
  <c r="MR11"/>
  <c r="MR48" s="1"/>
  <c r="KV20"/>
  <c r="MT14"/>
  <c r="KP5"/>
  <c r="CD7"/>
  <c r="CW7" s="1"/>
  <c r="AM9" i="52" s="1"/>
  <c r="KV17" i="38"/>
  <c r="KP23"/>
  <c r="KP12"/>
  <c r="KL23"/>
  <c r="BV44"/>
  <c r="CO9"/>
  <c r="KU9"/>
  <c r="KU5"/>
  <c r="KV14"/>
  <c r="BV45"/>
  <c r="HZ22"/>
  <c r="IB22" s="1"/>
  <c r="BN23"/>
  <c r="AF112" i="52" s="1"/>
  <c r="KU11" i="38"/>
  <c r="MQ25"/>
  <c r="MQ62" s="1"/>
  <c r="KH15"/>
  <c r="KK15" s="1"/>
  <c r="KM15" s="1"/>
  <c r="AH17" i="52" s="1"/>
  <c r="KT14" i="38"/>
  <c r="MP12"/>
  <c r="MP49" s="1"/>
  <c r="KY14"/>
  <c r="KZ25"/>
  <c r="KQ18"/>
  <c r="MR19"/>
  <c r="MR56" s="1"/>
  <c r="KT7"/>
  <c r="KQ23"/>
  <c r="KX17"/>
  <c r="KY12"/>
  <c r="KV12"/>
  <c r="KQ5"/>
  <c r="KT26"/>
  <c r="KQ19"/>
  <c r="KV18"/>
  <c r="KR11"/>
  <c r="KT11"/>
  <c r="KT22"/>
  <c r="ML15"/>
  <c r="ML52" s="1"/>
  <c r="KU6"/>
  <c r="KZ9"/>
  <c r="KZ15"/>
  <c r="CV7"/>
  <c r="FA15"/>
  <c r="AK17" i="52" s="1"/>
  <c r="ML10" i="38"/>
  <c r="ML47" s="1"/>
  <c r="CC46"/>
  <c r="MP14"/>
  <c r="MP51" s="1"/>
  <c r="CC45"/>
  <c r="MI7"/>
  <c r="MI44" s="1"/>
  <c r="KR20"/>
  <c r="KR15"/>
  <c r="KX21"/>
  <c r="FB21"/>
  <c r="FD21" s="1"/>
  <c r="AJ23" i="52" s="1"/>
  <c r="KQ21" i="38"/>
  <c r="KT17"/>
  <c r="KR9"/>
  <c r="KY6"/>
  <c r="KU15"/>
  <c r="OL15"/>
  <c r="I225" i="55" s="1"/>
  <c r="FJ41" i="38"/>
  <c r="BM5"/>
  <c r="MJ22"/>
  <c r="MJ59" s="1"/>
  <c r="FJ40"/>
  <c r="KY9"/>
  <c r="Z600" i="55"/>
  <c r="KQ17" i="38"/>
  <c r="KP20"/>
  <c r="FL40"/>
  <c r="FL41"/>
  <c r="MJ18"/>
  <c r="MJ55" s="1"/>
  <c r="MN9"/>
  <c r="KU14"/>
  <c r="MQ15"/>
  <c r="MQ52" s="1"/>
  <c r="KQ22"/>
  <c r="KP24"/>
  <c r="CE16"/>
  <c r="CG16" s="1"/>
  <c r="V7" i="51"/>
  <c r="V371" s="1"/>
  <c r="KZ12" i="38"/>
  <c r="FA6"/>
  <c r="FC6" s="1"/>
  <c r="BQ44"/>
  <c r="FK42"/>
  <c r="KV11"/>
  <c r="KH9"/>
  <c r="KL9" s="1"/>
  <c r="FQ40"/>
  <c r="CA44"/>
  <c r="KV23"/>
  <c r="K7" i="52"/>
  <c r="K40" s="1"/>
  <c r="KU12" i="38"/>
  <c r="BQ45"/>
  <c r="FE22"/>
  <c r="BQ46"/>
  <c r="FA9"/>
  <c r="FC9" s="1"/>
  <c r="IA5"/>
  <c r="U7" i="51" s="1"/>
  <c r="KZ5" i="38"/>
  <c r="KQ12"/>
  <c r="KT6"/>
  <c r="DS9"/>
  <c r="DU9" s="1"/>
  <c r="DT9"/>
  <c r="KK12"/>
  <c r="KM12" s="1"/>
  <c r="AH14" i="52" s="1"/>
  <c r="FB20" i="38"/>
  <c r="FD20" s="1"/>
  <c r="AJ22" i="52" s="1"/>
  <c r="KR17" i="38"/>
  <c r="IA12"/>
  <c r="U14" i="51" s="1"/>
  <c r="HZ23" i="38"/>
  <c r="IB23" s="1"/>
  <c r="FE23"/>
  <c r="FE20"/>
  <c r="FE12"/>
  <c r="FL15"/>
  <c r="FL6"/>
  <c r="KH7"/>
  <c r="KI7" s="1"/>
  <c r="BU45"/>
  <c r="FE26"/>
  <c r="FE19"/>
  <c r="FL11"/>
  <c r="BU44"/>
  <c r="FA7"/>
  <c r="FE7" s="1"/>
  <c r="BU46"/>
  <c r="KZ20"/>
  <c r="FL24"/>
  <c r="FL25"/>
  <c r="KX19"/>
  <c r="LB5"/>
  <c r="FC12"/>
  <c r="FE14"/>
  <c r="FE21"/>
  <c r="KT9"/>
  <c r="FE10"/>
  <c r="FN40"/>
  <c r="FN41"/>
  <c r="FG42"/>
  <c r="KR25"/>
  <c r="CE5"/>
  <c r="CG5" s="1"/>
  <c r="KP6"/>
  <c r="KY16"/>
  <c r="MP25"/>
  <c r="MP62" s="1"/>
  <c r="KX10"/>
  <c r="HZ17"/>
  <c r="IB17" s="1"/>
  <c r="FH40"/>
  <c r="FO42"/>
  <c r="HZ9"/>
  <c r="IB9" s="1"/>
  <c r="KT25"/>
  <c r="FT40"/>
  <c r="FM40"/>
  <c r="CD14"/>
  <c r="CW14" s="1"/>
  <c r="AM16" i="52" s="1"/>
  <c r="HZ5" i="38"/>
  <c r="IB5" s="1"/>
  <c r="MQ22"/>
  <c r="MQ59" s="1"/>
  <c r="KV5"/>
  <c r="BN10"/>
  <c r="AF99" i="52" s="1"/>
  <c r="KX6" i="38"/>
  <c r="KX7"/>
  <c r="CA46"/>
  <c r="FB23"/>
  <c r="FD23" s="1"/>
  <c r="AJ25" i="52" s="1"/>
  <c r="HY14" i="38"/>
  <c r="CA45"/>
  <c r="KV10"/>
  <c r="KU25"/>
  <c r="CE25"/>
  <c r="CG25" s="1"/>
  <c r="KU19"/>
  <c r="KX9"/>
  <c r="FT41"/>
  <c r="FQ41"/>
  <c r="LB7"/>
  <c r="MP22"/>
  <c r="MP59" s="1"/>
  <c r="KQ10"/>
  <c r="KY17"/>
  <c r="BM12"/>
  <c r="KY19"/>
  <c r="KV25"/>
  <c r="FH41"/>
  <c r="KK27"/>
  <c r="KM27" s="1"/>
  <c r="OK18"/>
  <c r="K222" i="55" s="1"/>
  <c r="OM18" i="38"/>
  <c r="OJ18"/>
  <c r="M222" i="55"/>
  <c r="DT18" i="38"/>
  <c r="FB27"/>
  <c r="FD27" s="1"/>
  <c r="KR13"/>
  <c r="MJ13"/>
  <c r="MJ50" s="1"/>
  <c r="DS15"/>
  <c r="DU15" s="1"/>
  <c r="DT15"/>
  <c r="OM15"/>
  <c r="M225" i="55"/>
  <c r="OJ15" i="38"/>
  <c r="LB26"/>
  <c r="MT26"/>
  <c r="MT63" s="1"/>
  <c r="OK13"/>
  <c r="K226" i="55" s="1"/>
  <c r="MP27" i="38"/>
  <c r="MP64" s="1"/>
  <c r="KX27"/>
  <c r="KY26"/>
  <c r="MQ26"/>
  <c r="MQ63" s="1"/>
  <c r="OK9"/>
  <c r="K224" i="55" s="1"/>
  <c r="M224"/>
  <c r="OJ9" i="38"/>
  <c r="MQ27"/>
  <c r="MQ64" s="1"/>
  <c r="KY27"/>
  <c r="AK28" i="52"/>
  <c r="FU26" i="38"/>
  <c r="FX26" s="1"/>
  <c r="LC26"/>
  <c r="MU26"/>
  <c r="MU63" s="1"/>
  <c r="AI28" i="52"/>
  <c r="KI26" i="38"/>
  <c r="MQ13"/>
  <c r="MQ50" s="1"/>
  <c r="KY13"/>
  <c r="FA13"/>
  <c r="FB13" s="1"/>
  <c r="FD13" s="1"/>
  <c r="AJ15" i="52" s="1"/>
  <c r="KH13" i="38"/>
  <c r="KI13" s="1"/>
  <c r="DT13"/>
  <c r="M226" i="55"/>
  <c r="OM13" i="38"/>
  <c r="LB13"/>
  <c r="MT13"/>
  <c r="MT50" s="1"/>
  <c r="OL13"/>
  <c r="I226" i="55" s="1"/>
  <c r="KZ26" i="38"/>
  <c r="KJ26"/>
  <c r="MR26"/>
  <c r="MR63" s="1"/>
  <c r="KV24"/>
  <c r="MN24"/>
  <c r="MN61" s="1"/>
  <c r="FB26"/>
  <c r="FD26" s="1"/>
  <c r="AJ28" i="52" s="1"/>
  <c r="KZ13" i="38"/>
  <c r="MR13"/>
  <c r="MR50" s="1"/>
  <c r="M208" i="55"/>
  <c r="OM7" i="38"/>
  <c r="OJ7"/>
  <c r="OK7"/>
  <c r="K208" i="55" s="1"/>
  <c r="DT7" i="38"/>
  <c r="OM6"/>
  <c r="M219" i="55"/>
  <c r="KP26" i="38"/>
  <c r="MH26"/>
  <c r="MH63" s="1"/>
  <c r="DT6"/>
  <c r="KQ26"/>
  <c r="MI26"/>
  <c r="MI63" s="1"/>
  <c r="KL26"/>
  <c r="DS6"/>
  <c r="DU6" s="1"/>
  <c r="OL6"/>
  <c r="I219" i="55" s="1"/>
  <c r="KZ27" i="38"/>
  <c r="MR27"/>
  <c r="MR64" s="1"/>
  <c r="FI26"/>
  <c r="FC26"/>
  <c r="OL5"/>
  <c r="I213" i="55" s="1"/>
  <c r="OJ6" i="38"/>
  <c r="KU26"/>
  <c r="MM26"/>
  <c r="MM63" s="1"/>
  <c r="LB24"/>
  <c r="MT24"/>
  <c r="MT61" s="1"/>
  <c r="KK26"/>
  <c r="KM26" s="1"/>
  <c r="AH28" i="52" s="1"/>
  <c r="OJ24" i="38"/>
  <c r="OK5"/>
  <c r="K213" i="55" s="1"/>
  <c r="KY8" i="38"/>
  <c r="MQ8"/>
  <c r="MQ45" s="1"/>
  <c r="MR24"/>
  <c r="MR61" s="1"/>
  <c r="KZ24"/>
  <c r="KH8"/>
  <c r="KK8" s="1"/>
  <c r="KM8" s="1"/>
  <c r="AH10" i="52" s="1"/>
  <c r="DT8" i="38"/>
  <c r="Z712" i="55"/>
  <c r="Q480" i="48" s="1"/>
  <c r="FA8" i="38"/>
  <c r="FE8" s="1"/>
  <c r="KR24"/>
  <c r="MJ24"/>
  <c r="MJ61" s="1"/>
  <c r="OM8"/>
  <c r="M227" i="55"/>
  <c r="OM34" i="38"/>
  <c r="MU27"/>
  <c r="LC27"/>
  <c r="LG27" s="1"/>
  <c r="KQ24"/>
  <c r="MI24"/>
  <c r="MI61" s="1"/>
  <c r="MT8"/>
  <c r="MT45" s="1"/>
  <c r="LB8"/>
  <c r="KI27"/>
  <c r="KU13"/>
  <c r="MM13"/>
  <c r="MM50" s="1"/>
  <c r="FI24"/>
  <c r="KX26"/>
  <c r="MP26"/>
  <c r="MP63" s="1"/>
  <c r="KJ27"/>
  <c r="OL8"/>
  <c r="I227" i="55" s="1"/>
  <c r="OM24" i="38"/>
  <c r="M229" i="55"/>
  <c r="KX13" i="38"/>
  <c r="MP13"/>
  <c r="MP50" s="1"/>
  <c r="KV8"/>
  <c r="MN8"/>
  <c r="MN45" s="1"/>
  <c r="OM5"/>
  <c r="M213" i="55"/>
  <c r="DT5" i="38"/>
  <c r="FA5"/>
  <c r="FE5" s="1"/>
  <c r="DS5"/>
  <c r="DU5" s="1"/>
  <c r="KH5"/>
  <c r="ML24"/>
  <c r="ML61" s="1"/>
  <c r="KT24"/>
  <c r="KP11"/>
  <c r="MH11"/>
  <c r="MH48" s="1"/>
  <c r="KH24"/>
  <c r="DT24"/>
  <c r="FA24"/>
  <c r="FB24" s="1"/>
  <c r="FD24" s="1"/>
  <c r="AJ26" i="52" s="1"/>
  <c r="FW27" i="38"/>
  <c r="OK24"/>
  <c r="K229" i="55" s="1"/>
  <c r="FC27" i="38"/>
  <c r="OJ8"/>
  <c r="BM22"/>
  <c r="FV27"/>
  <c r="BM23"/>
  <c r="CX6"/>
  <c r="AL8" i="52" s="1"/>
  <c r="CF6" i="38"/>
  <c r="CE6"/>
  <c r="CG6" s="1"/>
  <c r="LC22"/>
  <c r="MU22"/>
  <c r="KJ22"/>
  <c r="AI24" i="52"/>
  <c r="KL22" i="38"/>
  <c r="KK22"/>
  <c r="KM22" s="1"/>
  <c r="AH24" i="52" s="1"/>
  <c r="KK23" i="38"/>
  <c r="KM23" s="1"/>
  <c r="AH25" i="52" s="1"/>
  <c r="FC22" i="38"/>
  <c r="CE22"/>
  <c r="CG22" s="1"/>
  <c r="KJ12"/>
  <c r="KL12"/>
  <c r="HZ11"/>
  <c r="IB11" s="1"/>
  <c r="BM6"/>
  <c r="CF12"/>
  <c r="CX12"/>
  <c r="AL14" i="52" s="1"/>
  <c r="CE12" i="38"/>
  <c r="CG12" s="1"/>
  <c r="BM21"/>
  <c r="AK24" i="52"/>
  <c r="CE23" i="38"/>
  <c r="CG23" s="1"/>
  <c r="CF22"/>
  <c r="FB22"/>
  <c r="FD22" s="1"/>
  <c r="AJ24" i="52" s="1"/>
  <c r="BN15" i="38"/>
  <c r="AF104" i="52" s="1"/>
  <c r="FB14" i="38"/>
  <c r="FD14" s="1"/>
  <c r="AJ16" i="52" s="1"/>
  <c r="FB12" i="38"/>
  <c r="FD12" s="1"/>
  <c r="AJ14" i="52" s="1"/>
  <c r="HZ12" i="38"/>
  <c r="IB12" s="1"/>
  <c r="FV22"/>
  <c r="D284" i="44" s="1"/>
  <c r="CF23" i="38"/>
  <c r="CX23"/>
  <c r="AL25" i="52" s="1"/>
  <c r="HZ6" i="38"/>
  <c r="IB6" s="1"/>
  <c r="BN12"/>
  <c r="AF101" i="52" s="1"/>
  <c r="IA9" i="38"/>
  <c r="IS9"/>
  <c r="K11" i="52"/>
  <c r="V11" i="51"/>
  <c r="CW25" i="38"/>
  <c r="AM27" i="52" s="1"/>
  <c r="CF25" i="38"/>
  <c r="V8" i="51"/>
  <c r="K8" i="52"/>
  <c r="IS6" i="38"/>
  <c r="IA23"/>
  <c r="K25" i="52"/>
  <c r="V25" i="51"/>
  <c r="IS23" i="38"/>
  <c r="IS11"/>
  <c r="K13" i="52"/>
  <c r="V13" i="51"/>
  <c r="AK22" i="52"/>
  <c r="FC20" i="38"/>
  <c r="FU20"/>
  <c r="FW20" s="1"/>
  <c r="V14" i="51"/>
  <c r="IS12" i="38"/>
  <c r="K14" i="52"/>
  <c r="AK25"/>
  <c r="FC23" i="38"/>
  <c r="FU23"/>
  <c r="FV23" s="1"/>
  <c r="MU12"/>
  <c r="AI14" i="52"/>
  <c r="LC12" i="38"/>
  <c r="LD12" s="1"/>
  <c r="KI12"/>
  <c r="FU14"/>
  <c r="FV14" s="1"/>
  <c r="AK16" i="52"/>
  <c r="FU12" i="38"/>
  <c r="FV12" s="1"/>
  <c r="AK14" i="52"/>
  <c r="CF16" i="38"/>
  <c r="CW16"/>
  <c r="AM18" i="52" s="1"/>
  <c r="AI25"/>
  <c r="KI23" i="38"/>
  <c r="LC23"/>
  <c r="MU23"/>
  <c r="MU60" s="1"/>
  <c r="KJ23"/>
  <c r="FU19"/>
  <c r="FV19" s="1"/>
  <c r="FC19"/>
  <c r="AK21" i="52"/>
  <c r="BM7" i="38"/>
  <c r="CX22"/>
  <c r="AL24" i="52" s="1"/>
  <c r="FI40" i="38"/>
  <c r="FI41"/>
  <c r="BM10"/>
  <c r="CX5"/>
  <c r="AL7" i="52" s="1"/>
  <c r="V19" i="51"/>
  <c r="IA17" i="38"/>
  <c r="K19" i="52"/>
  <c r="IS17" i="38"/>
  <c r="V119" i="51"/>
  <c r="V216"/>
  <c r="IC27" i="38"/>
  <c r="E27" i="47" s="1"/>
  <c r="D27"/>
  <c r="FU21" i="38"/>
  <c r="FX21" s="1"/>
  <c r="FC21"/>
  <c r="AK23" i="52"/>
  <c r="FW22" i="38"/>
  <c r="M24" i="51"/>
  <c r="E284" i="44"/>
  <c r="FB19" i="38"/>
  <c r="FD19" s="1"/>
  <c r="AJ21" i="52" s="1"/>
  <c r="AI20" l="1"/>
  <c r="KL18" i="38"/>
  <c r="KK18"/>
  <c r="KM18" s="1"/>
  <c r="AH20" i="52" s="1"/>
  <c r="KI18" i="38"/>
  <c r="LD22"/>
  <c r="CE10"/>
  <c r="CG10" s="1"/>
  <c r="CW10"/>
  <c r="AM12" i="52" s="1"/>
  <c r="FB10" i="38"/>
  <c r="FD10" s="1"/>
  <c r="AJ12" i="52" s="1"/>
  <c r="FU10" i="38"/>
  <c r="FV10" s="1"/>
  <c r="D272" i="44" s="1"/>
  <c r="AK12" i="52"/>
  <c r="MU18" i="38"/>
  <c r="MU55" s="1"/>
  <c r="KJ18"/>
  <c r="PZ18"/>
  <c r="Q459" i="52" s="1"/>
  <c r="H459"/>
  <c r="PY6" i="38"/>
  <c r="F460" i="52" s="1"/>
  <c r="H460"/>
  <c r="PY9" i="38"/>
  <c r="F480" i="52" s="1"/>
  <c r="H480"/>
  <c r="PZ7" i="38"/>
  <c r="Q468" i="52" s="1"/>
  <c r="AD457" s="1"/>
  <c r="H468"/>
  <c r="F470"/>
  <c r="Q470"/>
  <c r="PX28" i="38"/>
  <c r="K240" i="52"/>
  <c r="K310"/>
  <c r="IS10" i="38"/>
  <c r="IU10" s="1"/>
  <c r="MU10"/>
  <c r="MU47" s="1"/>
  <c r="K208" i="52"/>
  <c r="LC10" i="38"/>
  <c r="AC12" i="51" s="1"/>
  <c r="KL10" i="38"/>
  <c r="K185" i="52"/>
  <c r="AI12"/>
  <c r="K110"/>
  <c r="V12" i="51"/>
  <c r="V124" s="1"/>
  <c r="KJ10" i="38"/>
  <c r="K48" i="52"/>
  <c r="K12"/>
  <c r="K211" s="1"/>
  <c r="IU6" i="38"/>
  <c r="IA10"/>
  <c r="KK10"/>
  <c r="KM10" s="1"/>
  <c r="AH12" i="52" s="1"/>
  <c r="HZ10" i="38"/>
  <c r="IB10" s="1"/>
  <c r="IC10" s="1"/>
  <c r="E10" i="47" s="1"/>
  <c r="V370" i="51"/>
  <c r="N212" i="55"/>
  <c r="G483" i="48" s="1"/>
  <c r="V193" i="51"/>
  <c r="V97"/>
  <c r="V167"/>
  <c r="V328"/>
  <c r="V350"/>
  <c r="V275"/>
  <c r="IU22" i="38"/>
  <c r="V143" i="51"/>
  <c r="V66"/>
  <c r="V310"/>
  <c r="V254"/>
  <c r="CF20" i="38"/>
  <c r="BM20"/>
  <c r="CE11"/>
  <c r="CG11" s="1"/>
  <c r="KL11"/>
  <c r="AI13" i="52"/>
  <c r="KI11" i="38"/>
  <c r="CE21"/>
  <c r="CG21" s="1"/>
  <c r="KJ11"/>
  <c r="CW21"/>
  <c r="AM23" i="52" s="1"/>
  <c r="MU11" i="38"/>
  <c r="MU48" s="1"/>
  <c r="LC11"/>
  <c r="AC13" i="51" s="1"/>
  <c r="KK21" i="38"/>
  <c r="KM21" s="1"/>
  <c r="AH23" i="52" s="1"/>
  <c r="LC21" i="38"/>
  <c r="LE21" s="1"/>
  <c r="MU21"/>
  <c r="MU58" s="1"/>
  <c r="AI23" i="52"/>
  <c r="KL21" i="38"/>
  <c r="KI21"/>
  <c r="IA21"/>
  <c r="J23" i="52" s="1"/>
  <c r="V23" i="51"/>
  <c r="V303" s="1"/>
  <c r="K23" i="52"/>
  <c r="K303" s="1"/>
  <c r="IS21" i="38"/>
  <c r="IU21" s="1"/>
  <c r="HZ21"/>
  <c r="IB21" s="1"/>
  <c r="IC21" s="1"/>
  <c r="E21" i="47" s="1"/>
  <c r="CF9" i="38"/>
  <c r="FC11"/>
  <c r="AK13" i="52"/>
  <c r="FE11" i="38"/>
  <c r="FB11"/>
  <c r="FD11" s="1"/>
  <c r="AJ13" i="52" s="1"/>
  <c r="CE9" i="38"/>
  <c r="CG9" s="1"/>
  <c r="BM11"/>
  <c r="CW17"/>
  <c r="AM19" i="52" s="1"/>
  <c r="KI20" i="38"/>
  <c r="CF17"/>
  <c r="CF11"/>
  <c r="BM9"/>
  <c r="K20" i="52"/>
  <c r="K183" s="1"/>
  <c r="V20" i="51"/>
  <c r="V129" s="1"/>
  <c r="IA18" i="38"/>
  <c r="J20" i="52" s="1"/>
  <c r="IS18" i="38"/>
  <c r="IT18" s="1"/>
  <c r="IV18" s="1"/>
  <c r="IW18" s="1"/>
  <c r="F18" i="47" s="1"/>
  <c r="HZ18" i="38"/>
  <c r="IB18" s="1"/>
  <c r="D18" i="47" s="1"/>
  <c r="IA20" i="38"/>
  <c r="J22" i="52" s="1"/>
  <c r="IS20" i="38"/>
  <c r="IU20" s="1"/>
  <c r="K22" i="52"/>
  <c r="K103" s="1"/>
  <c r="HZ20" i="38"/>
  <c r="IB20" s="1"/>
  <c r="IC20" s="1"/>
  <c r="E20" i="47" s="1"/>
  <c r="V22" i="51"/>
  <c r="V284" s="1"/>
  <c r="CX20" i="38"/>
  <c r="AL22" i="52" s="1"/>
  <c r="CE20" i="38"/>
  <c r="CG20" s="1"/>
  <c r="LC17"/>
  <c r="LD17" s="1"/>
  <c r="KK17"/>
  <c r="KM17" s="1"/>
  <c r="AH19" i="52" s="1"/>
  <c r="BM18" i="38"/>
  <c r="CE18"/>
  <c r="CG18" s="1"/>
  <c r="CW18"/>
  <c r="AM20" i="52" s="1"/>
  <c r="FU18" i="38"/>
  <c r="FX18" s="1"/>
  <c r="FB18"/>
  <c r="FD18" s="1"/>
  <c r="AJ20" i="52" s="1"/>
  <c r="FC18" i="38"/>
  <c r="AK20" i="52"/>
  <c r="KK20" i="38"/>
  <c r="KM20" s="1"/>
  <c r="AH22" i="52" s="1"/>
  <c r="KL20" i="38"/>
  <c r="KJ20"/>
  <c r="MU20"/>
  <c r="MU57" s="1"/>
  <c r="LC20"/>
  <c r="LF20" s="1"/>
  <c r="MU17"/>
  <c r="MU54" s="1"/>
  <c r="AI19" i="52"/>
  <c r="KL17" i="38"/>
  <c r="KI17"/>
  <c r="BM19"/>
  <c r="BN14"/>
  <c r="AF103" i="52" s="1"/>
  <c r="AK18"/>
  <c r="U173" i="51"/>
  <c r="U24"/>
  <c r="U328" s="1"/>
  <c r="FB17" i="38"/>
  <c r="FD17" s="1"/>
  <c r="AJ19" i="52" s="1"/>
  <c r="FU17" i="38"/>
  <c r="FV17" s="1"/>
  <c r="D279" i="44" s="1"/>
  <c r="FC17" i="38"/>
  <c r="AK19" i="52"/>
  <c r="MU19" i="38"/>
  <c r="MU56" s="1"/>
  <c r="MU6"/>
  <c r="MU43" s="1"/>
  <c r="FE25"/>
  <c r="AI8" i="52"/>
  <c r="KI6" i="38"/>
  <c r="KL16"/>
  <c r="AK27" i="52"/>
  <c r="FC25" i="38"/>
  <c r="AI18" i="52"/>
  <c r="FU25" i="38"/>
  <c r="FW25" s="1"/>
  <c r="KK16"/>
  <c r="KM16" s="1"/>
  <c r="AH18" i="52" s="1"/>
  <c r="KK6" i="38"/>
  <c r="KM6" s="1"/>
  <c r="AH8" i="52" s="1"/>
  <c r="LC16" i="38"/>
  <c r="LF16" s="1"/>
  <c r="AA18" i="51" s="1"/>
  <c r="MU16" i="38"/>
  <c r="MY16" s="1"/>
  <c r="KJ16"/>
  <c r="LC6"/>
  <c r="LG6" s="1"/>
  <c r="AB8" i="51" s="1"/>
  <c r="KL6" i="38"/>
  <c r="U297" i="51"/>
  <c r="FC16" i="38"/>
  <c r="FU16"/>
  <c r="FV16" s="1"/>
  <c r="K18" i="51" s="1"/>
  <c r="K133" s="1"/>
  <c r="FE16" i="38"/>
  <c r="J13" i="52"/>
  <c r="J39" s="1"/>
  <c r="FP42" i="38"/>
  <c r="LC19"/>
  <c r="LD19" s="1"/>
  <c r="V27" i="51"/>
  <c r="V73" s="1"/>
  <c r="KL19" i="38"/>
  <c r="K27" i="52"/>
  <c r="K75" s="1"/>
  <c r="IA25" i="38"/>
  <c r="J27" i="52" s="1"/>
  <c r="J75" s="1"/>
  <c r="KK19" i="38"/>
  <c r="KM19" s="1"/>
  <c r="AH21" i="52" s="1"/>
  <c r="AI21"/>
  <c r="KI19" i="38"/>
  <c r="FQ42"/>
  <c r="BM17"/>
  <c r="BM16"/>
  <c r="CE19"/>
  <c r="CG19" s="1"/>
  <c r="IU7"/>
  <c r="CD45"/>
  <c r="CW19"/>
  <c r="AM21" i="52" s="1"/>
  <c r="IU5" i="38"/>
  <c r="K18" i="52"/>
  <c r="K291" s="1"/>
  <c r="AK271" s="1"/>
  <c r="Q343" i="48" s="1"/>
  <c r="V18" i="51"/>
  <c r="V241" s="1"/>
  <c r="IA16" i="38"/>
  <c r="J18" i="52" s="1"/>
  <c r="J197" s="1"/>
  <c r="IS16" i="38"/>
  <c r="IU16" s="1"/>
  <c r="HZ16"/>
  <c r="T18" i="51" s="1"/>
  <c r="T344" s="1"/>
  <c r="CF7" i="38"/>
  <c r="LC25"/>
  <c r="LG25" s="1"/>
  <c r="Q27" i="52" s="1"/>
  <c r="KI25" i="38"/>
  <c r="IU23"/>
  <c r="FJ42"/>
  <c r="AI27" i="52"/>
  <c r="KK25" i="38"/>
  <c r="KM25" s="1"/>
  <c r="AH27" i="52" s="1"/>
  <c r="KJ25" i="38"/>
  <c r="IU18"/>
  <c r="MU25"/>
  <c r="MU62" s="1"/>
  <c r="IT22"/>
  <c r="IV22" s="1"/>
  <c r="IW22" s="1"/>
  <c r="F22" i="47" s="1"/>
  <c r="IU17" i="38"/>
  <c r="IU25"/>
  <c r="LC14"/>
  <c r="LD14" s="1"/>
  <c r="IU11"/>
  <c r="KL14"/>
  <c r="KK14"/>
  <c r="KM14" s="1"/>
  <c r="AH16" i="52" s="1"/>
  <c r="MU14" i="38"/>
  <c r="MU51" s="1"/>
  <c r="CE15"/>
  <c r="CG15" s="1"/>
  <c r="KI14"/>
  <c r="AI16" i="52"/>
  <c r="CF15" i="38"/>
  <c r="CX15"/>
  <c r="AL17" i="52" s="1"/>
  <c r="IU9" i="38"/>
  <c r="HZ19"/>
  <c r="IB19" s="1"/>
  <c r="D19" i="47" s="1"/>
  <c r="K21" i="52"/>
  <c r="K87" s="1"/>
  <c r="IA19" i="38"/>
  <c r="J21" i="52" s="1"/>
  <c r="IS19" i="38"/>
  <c r="IU19" s="1"/>
  <c r="V21" i="51"/>
  <c r="V162" s="1"/>
  <c r="MH34" i="38"/>
  <c r="IT5"/>
  <c r="IV5" s="1"/>
  <c r="IW5" s="1"/>
  <c r="F5" i="47" s="1"/>
  <c r="V17" i="51"/>
  <c r="V242" s="1"/>
  <c r="K17" i="52"/>
  <c r="K114" s="1"/>
  <c r="HZ7" i="38"/>
  <c r="IB7" s="1"/>
  <c r="IS15"/>
  <c r="IU15" s="1"/>
  <c r="FM42"/>
  <c r="FI42"/>
  <c r="IA15"/>
  <c r="U17" i="51" s="1"/>
  <c r="U358" s="1"/>
  <c r="HZ15" i="38"/>
  <c r="T17" i="51" s="1"/>
  <c r="T242" s="1"/>
  <c r="U280"/>
  <c r="U319"/>
  <c r="IT12" i="38"/>
  <c r="IV12" s="1"/>
  <c r="IW12" s="1"/>
  <c r="F12" i="47" s="1"/>
  <c r="U153" i="51"/>
  <c r="U105"/>
  <c r="U378"/>
  <c r="U126"/>
  <c r="T24"/>
  <c r="W24" s="1"/>
  <c r="U247"/>
  <c r="U217"/>
  <c r="I24" i="52"/>
  <c r="I48" s="1"/>
  <c r="U67" i="51"/>
  <c r="U197"/>
  <c r="U42"/>
  <c r="AL494" i="52"/>
  <c r="AK494"/>
  <c r="AL495"/>
  <c r="AK495"/>
  <c r="HZ54" i="38"/>
  <c r="HZ58"/>
  <c r="HZ60"/>
  <c r="HZ53"/>
  <c r="HZ42"/>
  <c r="HZ48"/>
  <c r="HZ52"/>
  <c r="J8" i="52"/>
  <c r="J295" s="1"/>
  <c r="HZ57" i="38"/>
  <c r="HZ59"/>
  <c r="PZ6"/>
  <c r="Q460" i="52" s="1"/>
  <c r="HZ43" i="38"/>
  <c r="HZ55"/>
  <c r="HZ47"/>
  <c r="IA14"/>
  <c r="J16" i="52" s="1"/>
  <c r="J109" s="1"/>
  <c r="HY51" i="38"/>
  <c r="HZ51" s="1"/>
  <c r="IA7"/>
  <c r="J9" i="52" s="1"/>
  <c r="HY44" i="38"/>
  <c r="HZ44" s="1"/>
  <c r="HZ46"/>
  <c r="HZ25"/>
  <c r="I27" i="52" s="1"/>
  <c r="I107" s="1"/>
  <c r="HY62" i="38"/>
  <c r="HZ62" s="1"/>
  <c r="HZ56"/>
  <c r="HZ49"/>
  <c r="K68" i="52"/>
  <c r="K105"/>
  <c r="K296"/>
  <c r="K229"/>
  <c r="K210"/>
  <c r="K180"/>
  <c r="C5"/>
  <c r="FX19" i="38"/>
  <c r="FX23"/>
  <c r="FX20"/>
  <c r="FX12"/>
  <c r="FX11"/>
  <c r="FX14"/>
  <c r="CX9"/>
  <c r="AL11" i="52" s="1"/>
  <c r="KJ7" i="38"/>
  <c r="MW22"/>
  <c r="MU59"/>
  <c r="MN46"/>
  <c r="MN34"/>
  <c r="PZ13"/>
  <c r="Q469" i="52" s="1"/>
  <c r="PY13" i="38"/>
  <c r="F469" i="52" s="1"/>
  <c r="PY24" i="38"/>
  <c r="F473" i="52" s="1"/>
  <c r="PZ24" i="38"/>
  <c r="Q473" i="52" s="1"/>
  <c r="PY8" i="38"/>
  <c r="F461" i="52" s="1"/>
  <c r="PZ8" i="38"/>
  <c r="Q461" i="52" s="1"/>
  <c r="AB468" s="1"/>
  <c r="PY18" i="38"/>
  <c r="F459" i="52" s="1"/>
  <c r="PZ9" i="38"/>
  <c r="Q480" i="52" s="1"/>
  <c r="MW12" i="38"/>
  <c r="MW49" s="1"/>
  <c r="MU49"/>
  <c r="Y643" i="55"/>
  <c r="MT51" i="38"/>
  <c r="MV27"/>
  <c r="MU64"/>
  <c r="C87" i="52"/>
  <c r="C170"/>
  <c r="C246"/>
  <c r="C95"/>
  <c r="C209"/>
  <c r="C57"/>
  <c r="C304"/>
  <c r="N135" i="51"/>
  <c r="N162"/>
  <c r="N362"/>
  <c r="N337"/>
  <c r="N180"/>
  <c r="N109"/>
  <c r="N373"/>
  <c r="V434" i="44"/>
  <c r="F427" s="1"/>
  <c r="N260" i="51"/>
  <c r="N56"/>
  <c r="N234"/>
  <c r="N274"/>
  <c r="N304"/>
  <c r="N84"/>
  <c r="N205"/>
  <c r="V563" i="55"/>
  <c r="AD490" i="52"/>
  <c r="Q457" i="48" s="1"/>
  <c r="W429" i="44"/>
  <c r="G274" i="48" s="1"/>
  <c r="B3" i="52"/>
  <c r="AI347"/>
  <c r="AK348" s="1"/>
  <c r="AJ348" s="1"/>
  <c r="T348" s="1"/>
  <c r="J20" i="26" s="1"/>
  <c r="AK318" i="52"/>
  <c r="AJ318" s="1"/>
  <c r="T323" s="1"/>
  <c r="U323" s="1"/>
  <c r="C4"/>
  <c r="W426" i="44"/>
  <c r="G276" i="48" s="1"/>
  <c r="C106" i="52"/>
  <c r="C86"/>
  <c r="C311"/>
  <c r="C247"/>
  <c r="C55"/>
  <c r="C181"/>
  <c r="C213"/>
  <c r="N361" i="51"/>
  <c r="N270"/>
  <c r="N94"/>
  <c r="N261"/>
  <c r="N368"/>
  <c r="N46"/>
  <c r="N220"/>
  <c r="N311"/>
  <c r="N194"/>
  <c r="N147"/>
  <c r="N335"/>
  <c r="N125"/>
  <c r="N70"/>
  <c r="N169"/>
  <c r="W438" i="44"/>
  <c r="G269" i="48" s="1"/>
  <c r="AI319" i="52"/>
  <c r="AI349"/>
  <c r="AI325"/>
  <c r="AJ325" s="1"/>
  <c r="J400" i="44"/>
  <c r="J401"/>
  <c r="V436"/>
  <c r="F429" s="1"/>
  <c r="N224" i="51"/>
  <c r="N157"/>
  <c r="N344"/>
  <c r="N206"/>
  <c r="N318"/>
  <c r="N106"/>
  <c r="N380"/>
  <c r="N133"/>
  <c r="N241"/>
  <c r="N74"/>
  <c r="N291"/>
  <c r="N49"/>
  <c r="N286"/>
  <c r="N182"/>
  <c r="N5"/>
  <c r="N6"/>
  <c r="C6" i="52" s="1"/>
  <c r="N4" i="51"/>
  <c r="C187" i="52"/>
  <c r="C69"/>
  <c r="C291"/>
  <c r="C112"/>
  <c r="C227"/>
  <c r="C38"/>
  <c r="C197"/>
  <c r="F436" i="44"/>
  <c r="W430"/>
  <c r="G277" i="48" s="1"/>
  <c r="W435" i="44"/>
  <c r="G267" i="48" s="1"/>
  <c r="W428" i="44"/>
  <c r="G278" i="48" s="1"/>
  <c r="W437" i="44"/>
  <c r="G273" i="48" s="1"/>
  <c r="W427" i="44"/>
  <c r="G279" i="48" s="1"/>
  <c r="F426" i="44"/>
  <c r="W432"/>
  <c r="G275" i="48" s="1"/>
  <c r="W433" i="44"/>
  <c r="G271" i="48" s="1"/>
  <c r="V9" i="51"/>
  <c r="V259" s="1"/>
  <c r="K9" i="52"/>
  <c r="K245" s="1"/>
  <c r="BM25" i="38"/>
  <c r="LC15"/>
  <c r="LF15" s="1"/>
  <c r="AI17" i="52"/>
  <c r="KL15" i="38"/>
  <c r="FN42"/>
  <c r="CE7"/>
  <c r="CG7" s="1"/>
  <c r="CD46"/>
  <c r="MZ23"/>
  <c r="MZ60" s="1"/>
  <c r="CD44"/>
  <c r="MU15"/>
  <c r="NA15" s="1"/>
  <c r="KI15"/>
  <c r="KJ15"/>
  <c r="V151" i="51"/>
  <c r="FT42" i="38"/>
  <c r="MU7"/>
  <c r="MU44" s="1"/>
  <c r="LC7"/>
  <c r="LG7" s="1"/>
  <c r="KL7"/>
  <c r="T7" i="51"/>
  <c r="T320" s="1"/>
  <c r="KK7" i="38"/>
  <c r="KM7" s="1"/>
  <c r="AH9" i="52" s="1"/>
  <c r="AI9"/>
  <c r="I7"/>
  <c r="I296" s="1"/>
  <c r="FE15" i="38"/>
  <c r="FB15"/>
  <c r="FD15" s="1"/>
  <c r="AJ17" i="52" s="1"/>
  <c r="FC15" i="38"/>
  <c r="FU9"/>
  <c r="AK11" i="52"/>
  <c r="J7"/>
  <c r="J105" s="1"/>
  <c r="FU15" i="38"/>
  <c r="FW15" s="1"/>
  <c r="L17" i="51" s="1"/>
  <c r="FB9" i="38"/>
  <c r="FD9" s="1"/>
  <c r="AJ11" i="52" s="1"/>
  <c r="FR42" i="38"/>
  <c r="N213" i="55"/>
  <c r="G484" i="48" s="1"/>
  <c r="V68" i="51"/>
  <c r="V100"/>
  <c r="V218"/>
  <c r="V16"/>
  <c r="V176" s="1"/>
  <c r="V243"/>
  <c r="V320"/>
  <c r="V43"/>
  <c r="MZ18" i="38"/>
  <c r="K16" i="52"/>
  <c r="K232" s="1"/>
  <c r="V343" i="51"/>
  <c r="V127"/>
  <c r="V174"/>
  <c r="IS14" i="38"/>
  <c r="IU14" s="1"/>
  <c r="HZ14"/>
  <c r="IB14" s="1"/>
  <c r="D14" i="47" s="1"/>
  <c r="V296" i="51"/>
  <c r="V199"/>
  <c r="V273"/>
  <c r="FL42" i="38"/>
  <c r="FU7"/>
  <c r="FX7" s="1"/>
  <c r="K293" i="44" s="1"/>
  <c r="KI9" i="38"/>
  <c r="FC7"/>
  <c r="AI11" i="52"/>
  <c r="AK9"/>
  <c r="T25" i="51"/>
  <c r="T329" s="1"/>
  <c r="Z589" i="55"/>
  <c r="I25" i="52"/>
  <c r="I49" s="1"/>
  <c r="MU9" i="38"/>
  <c r="MU34" s="1"/>
  <c r="KJ9"/>
  <c r="LC9"/>
  <c r="LF9" s="1"/>
  <c r="KK9"/>
  <c r="KM9" s="1"/>
  <c r="AH11" i="52" s="1"/>
  <c r="FH42" i="38"/>
  <c r="FU6"/>
  <c r="FV6" s="1"/>
  <c r="E205" i="44" s="1"/>
  <c r="FB6" i="38"/>
  <c r="FD6" s="1"/>
  <c r="AJ8" i="52" s="1"/>
  <c r="AK8"/>
  <c r="LF23" i="38"/>
  <c r="AA25" i="51" s="1"/>
  <c r="T11"/>
  <c r="T142" s="1"/>
  <c r="FE6" i="38"/>
  <c r="I11" i="52"/>
  <c r="I298" s="1"/>
  <c r="FB7" i="38"/>
  <c r="FD7" s="1"/>
  <c r="AJ9" i="52" s="1"/>
  <c r="FV11" i="38"/>
  <c r="E210" i="44" s="1"/>
  <c r="J14" i="52"/>
  <c r="J305" s="1"/>
  <c r="FE9" i="38"/>
  <c r="FE13"/>
  <c r="OJ31"/>
  <c r="FE24"/>
  <c r="OL31"/>
  <c r="KK13"/>
  <c r="KM13" s="1"/>
  <c r="AH15" i="52" s="1"/>
  <c r="I19"/>
  <c r="I213" s="1"/>
  <c r="AI213" s="1"/>
  <c r="CE14" i="38"/>
  <c r="CG14" s="1"/>
  <c r="T19" i="51"/>
  <c r="T169" s="1"/>
  <c r="FV26" i="38"/>
  <c r="E225" i="44" s="1"/>
  <c r="CX14" i="38"/>
  <c r="AL16" i="52" s="1"/>
  <c r="CF14" i="38"/>
  <c r="LF27"/>
  <c r="MZ27"/>
  <c r="OL30"/>
  <c r="LE26"/>
  <c r="LG26"/>
  <c r="AB28" i="51" s="1"/>
  <c r="LF26" i="38"/>
  <c r="AA28" i="51" s="1"/>
  <c r="NA26" i="38"/>
  <c r="OL29"/>
  <c r="KJ8"/>
  <c r="MY26"/>
  <c r="FU13"/>
  <c r="FX13" s="1"/>
  <c r="AK15" i="52"/>
  <c r="FC13" i="38"/>
  <c r="K225" i="44"/>
  <c r="M28" i="51"/>
  <c r="E288" i="44"/>
  <c r="LD26" i="38"/>
  <c r="AC28" i="51"/>
  <c r="R28" i="52"/>
  <c r="FW26" i="38"/>
  <c r="F288" i="44" s="1"/>
  <c r="MU13" i="38"/>
  <c r="LC13"/>
  <c r="LF13" s="1"/>
  <c r="KL13"/>
  <c r="AI15" i="52"/>
  <c r="MV26" i="38"/>
  <c r="MW26"/>
  <c r="S228" i="55"/>
  <c r="H500" i="48" s="1"/>
  <c r="KJ13" i="38"/>
  <c r="KI8"/>
  <c r="NA27"/>
  <c r="OJ29"/>
  <c r="V509" i="52"/>
  <c r="MU24" i="38"/>
  <c r="KL24"/>
  <c r="AI26" i="52"/>
  <c r="LC24" i="38"/>
  <c r="LE24" s="1"/>
  <c r="FC5"/>
  <c r="AK7" i="52"/>
  <c r="FU5" i="38"/>
  <c r="FX5" s="1"/>
  <c r="FB5"/>
  <c r="FD5" s="1"/>
  <c r="FU8"/>
  <c r="FX8" s="1"/>
  <c r="AK10" i="52"/>
  <c r="FC8" i="38"/>
  <c r="FB8"/>
  <c r="FD8" s="1"/>
  <c r="AJ10" i="52" s="1"/>
  <c r="MW27" i="38"/>
  <c r="OJ30"/>
  <c r="MY27"/>
  <c r="MY64" s="1"/>
  <c r="MZ26"/>
  <c r="MZ63" s="1"/>
  <c r="FU24"/>
  <c r="FV24" s="1"/>
  <c r="AK26" i="52"/>
  <c r="FC24" i="38"/>
  <c r="KK5"/>
  <c r="KM5" s="1"/>
  <c r="AH7" i="52" s="1"/>
  <c r="MU5" i="38"/>
  <c r="MU42" s="1"/>
  <c r="KJ5"/>
  <c r="LC5"/>
  <c r="AI7" i="52"/>
  <c r="KL5" i="38"/>
  <c r="KI5"/>
  <c r="KJ24"/>
  <c r="OM29"/>
  <c r="OM30"/>
  <c r="OM31"/>
  <c r="LE27"/>
  <c r="AI492" i="52"/>
  <c r="KK24" i="38"/>
  <c r="KM24" s="1"/>
  <c r="AH26" i="52" s="1"/>
  <c r="LD27" i="38"/>
  <c r="KI24"/>
  <c r="LC8"/>
  <c r="LE8" s="1"/>
  <c r="AI10" i="52"/>
  <c r="MU8" i="38"/>
  <c r="MU45" s="1"/>
  <c r="KL8"/>
  <c r="KL34"/>
  <c r="NA22"/>
  <c r="T13" i="51"/>
  <c r="T217" s="1"/>
  <c r="S212" i="55"/>
  <c r="H483" i="48" s="1"/>
  <c r="R24" i="52"/>
  <c r="R76" s="1"/>
  <c r="LG22" i="38"/>
  <c r="AB24" i="51" s="1"/>
  <c r="LF22" i="38"/>
  <c r="P24" i="52" s="1"/>
  <c r="LE22" i="38"/>
  <c r="AC24" i="51"/>
  <c r="AC193" s="1"/>
  <c r="FW14" i="38"/>
  <c r="F276" i="44" s="1"/>
  <c r="I13" i="52"/>
  <c r="I233" s="1"/>
  <c r="MY22" i="38"/>
  <c r="MZ22"/>
  <c r="MV22"/>
  <c r="CX25"/>
  <c r="AL27" i="52" s="1"/>
  <c r="IT9" i="38"/>
  <c r="IV9" s="1"/>
  <c r="IW9" s="1"/>
  <c r="F9" i="47" s="1"/>
  <c r="FW23" i="38"/>
  <c r="F285" i="44" s="1"/>
  <c r="CX11" i="38"/>
  <c r="AL13" i="52" s="1"/>
  <c r="T14" i="51"/>
  <c r="T277" s="1"/>
  <c r="LF12" i="38"/>
  <c r="AA14" i="51" s="1"/>
  <c r="LG12" i="38"/>
  <c r="Q14" i="52" s="1"/>
  <c r="E221" i="44"/>
  <c r="K24" i="51"/>
  <c r="K143" s="1"/>
  <c r="CX10" i="38"/>
  <c r="AL12" i="52" s="1"/>
  <c r="IT11" i="38"/>
  <c r="IV11" s="1"/>
  <c r="IW11" s="1"/>
  <c r="F11" i="47" s="1"/>
  <c r="I14" i="52"/>
  <c r="I51" s="1"/>
  <c r="IU12" i="38"/>
  <c r="FW12"/>
  <c r="AJ14" i="51" s="1"/>
  <c r="LF18" i="38"/>
  <c r="P20" i="52" s="1"/>
  <c r="LE12" i="38"/>
  <c r="T8" i="51"/>
  <c r="T85" s="1"/>
  <c r="IT6" i="38"/>
  <c r="IV6" s="1"/>
  <c r="IW6" s="1"/>
  <c r="F6" i="47" s="1"/>
  <c r="I8" i="52"/>
  <c r="L8" s="1"/>
  <c r="D285" i="44"/>
  <c r="E222"/>
  <c r="K25" i="51"/>
  <c r="K71" s="1"/>
  <c r="J11" i="52"/>
  <c r="U11" i="51"/>
  <c r="K102" i="52"/>
  <c r="K238"/>
  <c r="K36"/>
  <c r="K177"/>
  <c r="K66"/>
  <c r="K196"/>
  <c r="K298"/>
  <c r="FV20" i="38"/>
  <c r="V287" i="51"/>
  <c r="V382"/>
  <c r="V341"/>
  <c r="V142"/>
  <c r="V298"/>
  <c r="V229"/>
  <c r="V93"/>
  <c r="V211"/>
  <c r="V316"/>
  <c r="N224" i="55"/>
  <c r="G495" i="48" s="1"/>
  <c r="V186" i="51"/>
  <c r="V116"/>
  <c r="V79"/>
  <c r="V58"/>
  <c r="V252"/>
  <c r="NA12" i="38"/>
  <c r="MZ12"/>
  <c r="MY12"/>
  <c r="FW11"/>
  <c r="AJ13" i="51" s="1"/>
  <c r="V83"/>
  <c r="V256"/>
  <c r="V59"/>
  <c r="V277"/>
  <c r="N216" i="55"/>
  <c r="G488" i="48" s="1"/>
  <c r="V172" i="51"/>
  <c r="V196"/>
  <c r="V233"/>
  <c r="V352"/>
  <c r="V121"/>
  <c r="V331"/>
  <c r="V98"/>
  <c r="V305"/>
  <c r="V146"/>
  <c r="V376"/>
  <c r="N211" i="55"/>
  <c r="G482" i="48" s="1"/>
  <c r="V144" i="51"/>
  <c r="V353"/>
  <c r="V101"/>
  <c r="V195"/>
  <c r="V369"/>
  <c r="V45"/>
  <c r="V118"/>
  <c r="V257"/>
  <c r="V329"/>
  <c r="V71"/>
  <c r="V170"/>
  <c r="V308"/>
  <c r="V221"/>
  <c r="V279"/>
  <c r="LD23" i="38"/>
  <c r="AC25" i="51"/>
  <c r="R25" i="52"/>
  <c r="LG23" i="38"/>
  <c r="V158" i="51"/>
  <c r="V202"/>
  <c r="V377"/>
  <c r="V175"/>
  <c r="V295"/>
  <c r="V107"/>
  <c r="V349"/>
  <c r="V134"/>
  <c r="V325"/>
  <c r="V85"/>
  <c r="V285"/>
  <c r="V57"/>
  <c r="V235"/>
  <c r="N219" i="55"/>
  <c r="G490" i="48" s="1"/>
  <c r="V248" i="51"/>
  <c r="CX16" i="38"/>
  <c r="AL18" i="52" s="1"/>
  <c r="MW23" i="38"/>
  <c r="MV23"/>
  <c r="NA23"/>
  <c r="S211" i="55"/>
  <c r="H482" i="48" s="1"/>
  <c r="M14" i="51"/>
  <c r="E274" i="44"/>
  <c r="K77" i="52"/>
  <c r="K305"/>
  <c r="K242"/>
  <c r="K206"/>
  <c r="K175"/>
  <c r="K100"/>
  <c r="K51"/>
  <c r="K176"/>
  <c r="K198"/>
  <c r="K101"/>
  <c r="K44"/>
  <c r="K295"/>
  <c r="AK274" s="1"/>
  <c r="Q346" i="48" s="1"/>
  <c r="K234" i="52"/>
  <c r="K73"/>
  <c r="MY23" i="38"/>
  <c r="K203" i="52"/>
  <c r="K233"/>
  <c r="K297"/>
  <c r="K104"/>
  <c r="K39"/>
  <c r="K70"/>
  <c r="K179"/>
  <c r="IT7" i="38"/>
  <c r="IV7" s="1"/>
  <c r="IW7" s="1"/>
  <c r="F7" i="47" s="1"/>
  <c r="V378" i="51"/>
  <c r="V197"/>
  <c r="V126"/>
  <c r="V67"/>
  <c r="N220" i="55"/>
  <c r="G491" i="48" s="1"/>
  <c r="V217" i="51"/>
  <c r="V153"/>
  <c r="V280"/>
  <c r="V319"/>
  <c r="V297"/>
  <c r="V173"/>
  <c r="V247"/>
  <c r="V42"/>
  <c r="V105"/>
  <c r="V345"/>
  <c r="LE23" i="38"/>
  <c r="K210" i="44"/>
  <c r="M13" i="51"/>
  <c r="E273" i="44"/>
  <c r="MV12" i="38"/>
  <c r="S216" i="55"/>
  <c r="H488" i="48" s="1"/>
  <c r="M25" i="51"/>
  <c r="E285" i="44"/>
  <c r="K222"/>
  <c r="IT25" i="38"/>
  <c r="IV25" s="1"/>
  <c r="IW25" s="1"/>
  <c r="F25" i="47" s="1"/>
  <c r="E276" i="44"/>
  <c r="K213"/>
  <c r="M16" i="51"/>
  <c r="J25" i="52"/>
  <c r="U25" i="51"/>
  <c r="AC14"/>
  <c r="R14" i="52"/>
  <c r="M22" i="51"/>
  <c r="E282" i="44"/>
  <c r="K174" i="52"/>
  <c r="K204"/>
  <c r="K243"/>
  <c r="K308"/>
  <c r="K78"/>
  <c r="K49"/>
  <c r="K99"/>
  <c r="IT23" i="38"/>
  <c r="IV23" s="1"/>
  <c r="IW23" s="1"/>
  <c r="F23" i="47" s="1"/>
  <c r="V321" i="51"/>
  <c r="K16"/>
  <c r="E213" i="44"/>
  <c r="D276"/>
  <c r="D9" i="47"/>
  <c r="IC9" i="38"/>
  <c r="E9" i="47" s="1"/>
  <c r="IC22" i="38"/>
  <c r="E22" i="47" s="1"/>
  <c r="D22"/>
  <c r="FW21" i="38"/>
  <c r="M23" i="51"/>
  <c r="K220" i="44"/>
  <c r="E283"/>
  <c r="U107" i="51"/>
  <c r="U349"/>
  <c r="U85"/>
  <c r="U134"/>
  <c r="U285"/>
  <c r="U57"/>
  <c r="U235"/>
  <c r="U248"/>
  <c r="U295"/>
  <c r="U158"/>
  <c r="U202"/>
  <c r="U377"/>
  <c r="U175"/>
  <c r="U325"/>
  <c r="L22"/>
  <c r="AJ22"/>
  <c r="F282" i="44"/>
  <c r="U98" i="51"/>
  <c r="U256"/>
  <c r="U146"/>
  <c r="U172"/>
  <c r="U196"/>
  <c r="U277"/>
  <c r="U233"/>
  <c r="U121"/>
  <c r="U59"/>
  <c r="U331"/>
  <c r="U376"/>
  <c r="U352"/>
  <c r="U305"/>
  <c r="U83"/>
  <c r="U68"/>
  <c r="U243"/>
  <c r="U218"/>
  <c r="U371"/>
  <c r="U174"/>
  <c r="U343"/>
  <c r="U127"/>
  <c r="U320"/>
  <c r="U100"/>
  <c r="U296"/>
  <c r="U43"/>
  <c r="U273"/>
  <c r="U199"/>
  <c r="U151"/>
  <c r="J12" i="52"/>
  <c r="U12" i="51"/>
  <c r="IC23" i="38"/>
  <c r="E23" i="47" s="1"/>
  <c r="D23"/>
  <c r="NA18" i="38"/>
  <c r="MV18"/>
  <c r="S222" i="55"/>
  <c r="H493" i="48" s="1"/>
  <c r="MW18" i="38"/>
  <c r="FW19"/>
  <c r="K218" i="44"/>
  <c r="M21" i="51"/>
  <c r="E281" i="44"/>
  <c r="IC17" i="38"/>
  <c r="E17" i="47" s="1"/>
  <c r="D17"/>
  <c r="CX7" i="38"/>
  <c r="AL9" i="52" s="1"/>
  <c r="IC11" i="38"/>
  <c r="E11" i="47" s="1"/>
  <c r="D11"/>
  <c r="LG18" i="38"/>
  <c r="R20" i="52"/>
  <c r="AC20" i="51"/>
  <c r="LD18" i="38"/>
  <c r="LE10"/>
  <c r="K21" i="51"/>
  <c r="E218" i="44"/>
  <c r="D281"/>
  <c r="V94" i="51"/>
  <c r="V361"/>
  <c r="V125"/>
  <c r="V335"/>
  <c r="V147"/>
  <c r="V311"/>
  <c r="V261"/>
  <c r="V70"/>
  <c r="V270"/>
  <c r="V46"/>
  <c r="V169"/>
  <c r="N210" i="55"/>
  <c r="G481" i="48" s="1"/>
  <c r="V194" i="51"/>
  <c r="V368"/>
  <c r="V220"/>
  <c r="IC5" i="38"/>
  <c r="D5" i="47"/>
  <c r="FV21" i="38"/>
  <c r="IT17"/>
  <c r="IV17" s="1"/>
  <c r="IW17" s="1"/>
  <c r="F17" i="47" s="1"/>
  <c r="J208" i="52"/>
  <c r="J185"/>
  <c r="J110"/>
  <c r="J48"/>
  <c r="J76"/>
  <c r="J310"/>
  <c r="J240"/>
  <c r="J19"/>
  <c r="U19" i="51"/>
  <c r="K14"/>
  <c r="E211" i="44"/>
  <c r="D274"/>
  <c r="AJ24" i="51"/>
  <c r="L24"/>
  <c r="F284" i="44"/>
  <c r="K247" i="52"/>
  <c r="K213"/>
  <c r="K181"/>
  <c r="K106"/>
  <c r="K86"/>
  <c r="K55"/>
  <c r="K311"/>
  <c r="M167" i="51"/>
  <c r="M350"/>
  <c r="M310"/>
  <c r="M143"/>
  <c r="M370"/>
  <c r="M119"/>
  <c r="M275"/>
  <c r="M97"/>
  <c r="M328"/>
  <c r="M66"/>
  <c r="M254"/>
  <c r="M41"/>
  <c r="M216"/>
  <c r="M193"/>
  <c r="IC12" i="38"/>
  <c r="E12" i="47" s="1"/>
  <c r="D12"/>
  <c r="IC6" i="38"/>
  <c r="E6" i="47" s="1"/>
  <c r="D6"/>
  <c r="S217" i="55"/>
  <c r="H487" i="48" s="1"/>
  <c r="MY18" i="38"/>
  <c r="T255" i="48" l="1"/>
  <c r="AG133" i="51"/>
  <c r="I12" i="52"/>
  <c r="I72" s="1"/>
  <c r="MV34" i="38"/>
  <c r="LD10"/>
  <c r="K115" i="52"/>
  <c r="FE31" i="38"/>
  <c r="FE30"/>
  <c r="K12" i="51"/>
  <c r="K374" s="1"/>
  <c r="E209" i="44"/>
  <c r="FE29" i="38"/>
  <c r="E272" i="44"/>
  <c r="M12" i="51"/>
  <c r="M54" s="1"/>
  <c r="K209" i="44"/>
  <c r="FW10" i="38"/>
  <c r="V302" i="51"/>
  <c r="FX10" i="38"/>
  <c r="MV21"/>
  <c r="NA21"/>
  <c r="K42" i="52"/>
  <c r="K302"/>
  <c r="K72"/>
  <c r="K237"/>
  <c r="LG10" i="38"/>
  <c r="K190" i="52"/>
  <c r="R12"/>
  <c r="R302" s="1"/>
  <c r="LF10" i="38"/>
  <c r="AA12" i="51" s="1"/>
  <c r="AA374" s="1"/>
  <c r="PY28" i="38"/>
  <c r="PZ28"/>
  <c r="T12" i="51"/>
  <c r="T184" s="1"/>
  <c r="D10" i="47"/>
  <c r="V102" i="51"/>
  <c r="V228"/>
  <c r="IT10" i="38"/>
  <c r="IV10" s="1"/>
  <c r="IW10" s="1"/>
  <c r="F10" i="47" s="1"/>
  <c r="V374" i="51"/>
  <c r="V78"/>
  <c r="V210"/>
  <c r="V148"/>
  <c r="V184"/>
  <c r="V272"/>
  <c r="V347"/>
  <c r="V251"/>
  <c r="V54"/>
  <c r="N218" i="55"/>
  <c r="G489" i="48" s="1"/>
  <c r="NA10" i="38"/>
  <c r="MV10"/>
  <c r="LF21"/>
  <c r="AA23" i="51" s="1"/>
  <c r="AA354" s="1"/>
  <c r="S218" i="55"/>
  <c r="H489" i="48" s="1"/>
  <c r="MW10" i="38"/>
  <c r="MW47" s="1"/>
  <c r="MY21"/>
  <c r="MY58" s="1"/>
  <c r="MZ10"/>
  <c r="MZ47" s="1"/>
  <c r="MY10"/>
  <c r="MY47" s="1"/>
  <c r="T23" i="51"/>
  <c r="T92" s="1"/>
  <c r="K235" i="52"/>
  <c r="CX21" i="38"/>
  <c r="AL23" i="52" s="1"/>
  <c r="MW11" i="38"/>
  <c r="MW48" s="1"/>
  <c r="S220" i="55"/>
  <c r="H491" i="48" s="1"/>
  <c r="MV11" i="38"/>
  <c r="NA11"/>
  <c r="MY11"/>
  <c r="MY48" s="1"/>
  <c r="MZ11"/>
  <c r="MZ48" s="1"/>
  <c r="LG11"/>
  <c r="Q13" i="52" s="1"/>
  <c r="R13"/>
  <c r="R203" s="1"/>
  <c r="V47" i="51"/>
  <c r="LD11" i="38"/>
  <c r="LF11"/>
  <c r="AA13" i="51" s="1"/>
  <c r="AA105" s="1"/>
  <c r="LE11" i="38"/>
  <c r="MW21"/>
  <c r="MW58" s="1"/>
  <c r="R23" i="52"/>
  <c r="R47" s="1"/>
  <c r="IT21" i="38"/>
  <c r="IV21" s="1"/>
  <c r="IW21" s="1"/>
  <c r="F21" i="47" s="1"/>
  <c r="V110" i="51"/>
  <c r="K188" i="52"/>
  <c r="LG21" i="38"/>
  <c r="Q23" i="52" s="1"/>
  <c r="AC23" i="51"/>
  <c r="AC219" s="1"/>
  <c r="LD21" i="38"/>
  <c r="MZ21"/>
  <c r="MZ58" s="1"/>
  <c r="V123" i="51"/>
  <c r="N222" i="55"/>
  <c r="G493" i="48" s="1"/>
  <c r="V232" i="51"/>
  <c r="K113" i="52"/>
  <c r="V177" i="51"/>
  <c r="V342"/>
  <c r="K79" i="52"/>
  <c r="K47"/>
  <c r="K215"/>
  <c r="E280" i="44"/>
  <c r="V322" i="51"/>
  <c r="N223" i="55"/>
  <c r="G494" i="48" s="1"/>
  <c r="V219" i="51"/>
  <c r="V132"/>
  <c r="V354"/>
  <c r="K67" i="52"/>
  <c r="D21" i="47"/>
  <c r="I23" i="52"/>
  <c r="I215" s="1"/>
  <c r="AI215" s="1"/>
  <c r="N217" i="55"/>
  <c r="G487" i="48" s="1"/>
  <c r="V187" i="51"/>
  <c r="V92"/>
  <c r="V212"/>
  <c r="V268"/>
  <c r="V324"/>
  <c r="V249"/>
  <c r="V149"/>
  <c r="V69"/>
  <c r="V375"/>
  <c r="U23"/>
  <c r="U375" s="1"/>
  <c r="K37" i="52"/>
  <c r="K178"/>
  <c r="K199"/>
  <c r="K230"/>
  <c r="K292"/>
  <c r="FW17" i="38"/>
  <c r="F279" i="44" s="1"/>
  <c r="NA16" i="38"/>
  <c r="AC19" i="51"/>
  <c r="AC46" s="1"/>
  <c r="K216" i="44"/>
  <c r="J43" i="52"/>
  <c r="K45"/>
  <c r="R18"/>
  <c r="R197" s="1"/>
  <c r="U20" i="51"/>
  <c r="U245" s="1"/>
  <c r="J71" i="52"/>
  <c r="K301"/>
  <c r="FX17" i="38"/>
  <c r="K82" i="52"/>
  <c r="R19"/>
  <c r="R86" s="1"/>
  <c r="E279" i="44"/>
  <c r="J293" i="52"/>
  <c r="MV16" i="38"/>
  <c r="MZ16"/>
  <c r="O221" i="55" s="1"/>
  <c r="IC19" i="38"/>
  <c r="E19" i="47" s="1"/>
  <c r="M19" i="51"/>
  <c r="M220" s="1"/>
  <c r="CX17" i="38"/>
  <c r="AL19" i="52" s="1"/>
  <c r="LG17" i="38"/>
  <c r="AB19" i="51" s="1"/>
  <c r="J232" i="52"/>
  <c r="K228"/>
  <c r="MW16" i="38"/>
  <c r="MW53" s="1"/>
  <c r="IC18"/>
  <c r="E18" i="47" s="1"/>
  <c r="J205" i="52"/>
  <c r="K19" i="51"/>
  <c r="K335" s="1"/>
  <c r="K189" i="52"/>
  <c r="LG16" i="38"/>
  <c r="Q18" i="52" s="1"/>
  <c r="S221" i="55"/>
  <c r="H492" i="48" s="1"/>
  <c r="T20" i="51"/>
  <c r="T50" s="1"/>
  <c r="J184" i="52"/>
  <c r="E216" i="44"/>
  <c r="K200" i="52"/>
  <c r="LE16" i="38"/>
  <c r="LD16"/>
  <c r="LE17"/>
  <c r="I20" i="52"/>
  <c r="I74" s="1"/>
  <c r="AC18" i="51"/>
  <c r="AC49" s="1"/>
  <c r="LF17" i="38"/>
  <c r="AA19" i="51" s="1"/>
  <c r="AA261" s="1"/>
  <c r="U16"/>
  <c r="U44" s="1"/>
  <c r="D20" i="47"/>
  <c r="K108" i="52"/>
  <c r="K74"/>
  <c r="V156" i="51"/>
  <c r="V281"/>
  <c r="V82"/>
  <c r="V292"/>
  <c r="S223" i="55"/>
  <c r="H494" i="48" s="1"/>
  <c r="K294" i="52"/>
  <c r="V379" i="51"/>
  <c r="V294"/>
  <c r="V317"/>
  <c r="MV20" i="38"/>
  <c r="K231" i="52"/>
  <c r="V348" i="51"/>
  <c r="V76"/>
  <c r="V55"/>
  <c r="V179"/>
  <c r="MW20" i="38"/>
  <c r="MW57" s="1"/>
  <c r="K41" i="52"/>
  <c r="V226" i="51"/>
  <c r="V245"/>
  <c r="V112"/>
  <c r="V244"/>
  <c r="T22"/>
  <c r="T112" s="1"/>
  <c r="K202" i="52"/>
  <c r="V50" i="51"/>
  <c r="V381"/>
  <c r="V204"/>
  <c r="MZ20" i="38"/>
  <c r="MZ57" s="1"/>
  <c r="NA20"/>
  <c r="MY20"/>
  <c r="MY57" s="1"/>
  <c r="CX18"/>
  <c r="AL20" i="52" s="1"/>
  <c r="V201" i="51"/>
  <c r="V152"/>
  <c r="I22" i="52"/>
  <c r="I292" s="1"/>
  <c r="FX25" i="38"/>
  <c r="U22" i="51"/>
  <c r="U342" s="1"/>
  <c r="IT20" i="38"/>
  <c r="IV20" s="1"/>
  <c r="IW20" s="1"/>
  <c r="F20" i="47" s="1"/>
  <c r="J306" i="52"/>
  <c r="J239"/>
  <c r="T133" i="51"/>
  <c r="J201" i="52"/>
  <c r="T318" i="51"/>
  <c r="N225" i="55"/>
  <c r="G496" i="48" s="1"/>
  <c r="J182" i="52"/>
  <c r="T49" i="51"/>
  <c r="V99"/>
  <c r="J46" i="52"/>
  <c r="T206" i="51"/>
  <c r="V301"/>
  <c r="T310"/>
  <c r="J107" i="52"/>
  <c r="LE20" i="38"/>
  <c r="LD20"/>
  <c r="LG20"/>
  <c r="Q22" i="52" s="1"/>
  <c r="Q103" s="1"/>
  <c r="FV18" i="38"/>
  <c r="D280" i="44" s="1"/>
  <c r="FW18" i="38"/>
  <c r="F280" i="44" s="1"/>
  <c r="AC22" i="51"/>
  <c r="AC204" s="1"/>
  <c r="M20"/>
  <c r="M348" s="1"/>
  <c r="R22" i="52"/>
  <c r="R103" s="1"/>
  <c r="K217" i="44"/>
  <c r="K57" i="52"/>
  <c r="S214" i="55"/>
  <c r="H485" i="48" s="1"/>
  <c r="MW25" i="38"/>
  <c r="MW62" s="1"/>
  <c r="AC27" i="51"/>
  <c r="AC95" s="1"/>
  <c r="MZ25" i="38"/>
  <c r="O209" i="55" s="1"/>
  <c r="K304" i="52"/>
  <c r="AK269" s="1"/>
  <c r="Q341" i="48" s="1"/>
  <c r="NA25" i="38"/>
  <c r="K246" i="52"/>
  <c r="T9" i="51"/>
  <c r="T130" s="1"/>
  <c r="MV25" i="38"/>
  <c r="J104" i="52"/>
  <c r="J233"/>
  <c r="MY14" i="38"/>
  <c r="MY51" s="1"/>
  <c r="K209" i="52"/>
  <c r="I9"/>
  <c r="I207" s="1"/>
  <c r="AI207" s="1"/>
  <c r="MY25" i="38"/>
  <c r="MY62" s="1"/>
  <c r="MZ14"/>
  <c r="MZ51" s="1"/>
  <c r="J203" i="52"/>
  <c r="J179"/>
  <c r="S209" i="55"/>
  <c r="H480" i="48" s="1"/>
  <c r="K170" i="52"/>
  <c r="NA14" i="38"/>
  <c r="K95" i="52"/>
  <c r="R27"/>
  <c r="T209" i="55" s="1"/>
  <c r="CX19" i="38"/>
  <c r="AL21" i="52" s="1"/>
  <c r="LF25" i="38"/>
  <c r="P27" i="52" s="1"/>
  <c r="J297"/>
  <c r="MW14" i="38"/>
  <c r="MX14" s="1"/>
  <c r="LE25"/>
  <c r="MV14"/>
  <c r="LD25"/>
  <c r="J70" i="52"/>
  <c r="MX12" i="38"/>
  <c r="U27" i="51"/>
  <c r="U48" s="1"/>
  <c r="R8" i="52"/>
  <c r="R234" s="1"/>
  <c r="AC8" i="51"/>
  <c r="AC175" s="1"/>
  <c r="LE6" i="38"/>
  <c r="LD6"/>
  <c r="LF6"/>
  <c r="AA8" i="51" s="1"/>
  <c r="AA349" s="1"/>
  <c r="MU53" i="38"/>
  <c r="S210" i="55"/>
  <c r="H481" i="48" s="1"/>
  <c r="MV17" i="38"/>
  <c r="NA17"/>
  <c r="MZ17"/>
  <c r="O210" i="55" s="1"/>
  <c r="MW17" i="38"/>
  <c r="MW54" s="1"/>
  <c r="MY17"/>
  <c r="Q210" i="55" s="1"/>
  <c r="LE14" i="38"/>
  <c r="U216" i="51"/>
  <c r="U370"/>
  <c r="U97"/>
  <c r="U66"/>
  <c r="U275"/>
  <c r="U193"/>
  <c r="D278" i="44"/>
  <c r="U41" i="51"/>
  <c r="U167"/>
  <c r="U254"/>
  <c r="U350"/>
  <c r="K46" i="52"/>
  <c r="U143" i="51"/>
  <c r="E278" i="44"/>
  <c r="U310" i="51"/>
  <c r="U119"/>
  <c r="NA19" i="38"/>
  <c r="MW19"/>
  <c r="MX19" s="1"/>
  <c r="MZ19"/>
  <c r="MZ56" s="1"/>
  <c r="MV19"/>
  <c r="MY19"/>
  <c r="Q215" i="55" s="1"/>
  <c r="S215"/>
  <c r="H486" i="48" s="1"/>
  <c r="MZ6" i="38"/>
  <c r="MZ43" s="1"/>
  <c r="S219" i="55"/>
  <c r="H490" i="48" s="1"/>
  <c r="T252" i="51"/>
  <c r="T298"/>
  <c r="M27"/>
  <c r="M73" s="1"/>
  <c r="MW6" i="38"/>
  <c r="MW43" s="1"/>
  <c r="T316" i="51"/>
  <c r="T116"/>
  <c r="E287" i="44"/>
  <c r="V145" i="51"/>
  <c r="FV25" i="38"/>
  <c r="D287" i="44" s="1"/>
  <c r="K224"/>
  <c r="NA6" i="38"/>
  <c r="MY6"/>
  <c r="MY43" s="1"/>
  <c r="MV6"/>
  <c r="M18" i="51"/>
  <c r="M344" s="1"/>
  <c r="K107" i="52"/>
  <c r="E215" i="44"/>
  <c r="FW16" i="38"/>
  <c r="F278" i="44" s="1"/>
  <c r="K182" i="52"/>
  <c r="K306"/>
  <c r="AK273" s="1"/>
  <c r="Q345" i="48" s="1"/>
  <c r="K201" i="52"/>
  <c r="FX16" i="38"/>
  <c r="K239" i="52"/>
  <c r="N209" i="55"/>
  <c r="G480" i="48" s="1"/>
  <c r="V253" i="51"/>
  <c r="V183"/>
  <c r="V306"/>
  <c r="V351"/>
  <c r="V367"/>
  <c r="V48"/>
  <c r="V209"/>
  <c r="V95"/>
  <c r="V120"/>
  <c r="V282"/>
  <c r="V223"/>
  <c r="V327"/>
  <c r="K187" i="52"/>
  <c r="K197"/>
  <c r="R21"/>
  <c r="R209" s="1"/>
  <c r="K227"/>
  <c r="LG19" i="38"/>
  <c r="Q21" i="52" s="1"/>
  <c r="K112"/>
  <c r="LF19" i="38"/>
  <c r="AA21" i="51" s="1"/>
  <c r="AC21"/>
  <c r="AC162" s="1"/>
  <c r="U9"/>
  <c r="U104" s="1"/>
  <c r="LE19" i="38"/>
  <c r="K69" i="52"/>
  <c r="IT19" i="38"/>
  <c r="IV19" s="1"/>
  <c r="IW19" s="1"/>
  <c r="F19" i="47" s="1"/>
  <c r="K38" i="52"/>
  <c r="V84" i="51"/>
  <c r="V362"/>
  <c r="J187" i="52"/>
  <c r="N221" i="55"/>
  <c r="G492" i="48" s="1"/>
  <c r="V274" i="51"/>
  <c r="V205"/>
  <c r="V133"/>
  <c r="V74"/>
  <c r="V56"/>
  <c r="V304"/>
  <c r="V182"/>
  <c r="V206"/>
  <c r="V260"/>
  <c r="V109"/>
  <c r="V380"/>
  <c r="V291"/>
  <c r="N215" i="55"/>
  <c r="G486" i="48" s="1"/>
  <c r="V337" i="51"/>
  <c r="V49"/>
  <c r="V344"/>
  <c r="V180"/>
  <c r="V135"/>
  <c r="V106"/>
  <c r="V157"/>
  <c r="V373"/>
  <c r="V286"/>
  <c r="V224"/>
  <c r="V234"/>
  <c r="V318"/>
  <c r="T341"/>
  <c r="T287"/>
  <c r="J38" i="52"/>
  <c r="T79" i="51"/>
  <c r="J112" i="52"/>
  <c r="T186" i="51"/>
  <c r="J291" i="52"/>
  <c r="T93" i="51"/>
  <c r="T382"/>
  <c r="T58"/>
  <c r="J227" i="52"/>
  <c r="U18" i="51"/>
  <c r="U380" s="1"/>
  <c r="J69" i="52"/>
  <c r="T211" i="51"/>
  <c r="W11"/>
  <c r="W252" s="1"/>
  <c r="U137"/>
  <c r="T229"/>
  <c r="NB23" i="38"/>
  <c r="T106" i="51"/>
  <c r="V358"/>
  <c r="V203"/>
  <c r="O211" i="55"/>
  <c r="T291" i="51"/>
  <c r="W18"/>
  <c r="W49" s="1"/>
  <c r="V283"/>
  <c r="V326"/>
  <c r="T286"/>
  <c r="T182"/>
  <c r="V81"/>
  <c r="V160"/>
  <c r="AC17"/>
  <c r="AC178" s="1"/>
  <c r="T241"/>
  <c r="T380"/>
  <c r="T60"/>
  <c r="V178"/>
  <c r="V383"/>
  <c r="IT16" i="38"/>
  <c r="IV16" s="1"/>
  <c r="IW16" s="1"/>
  <c r="F16" i="47" s="1"/>
  <c r="R17" i="52"/>
  <c r="R228" s="1"/>
  <c r="T275" i="51"/>
  <c r="T74"/>
  <c r="T224"/>
  <c r="T358"/>
  <c r="V60"/>
  <c r="V137"/>
  <c r="IB16" i="38"/>
  <c r="D16" i="47" s="1"/>
  <c r="T157" i="51"/>
  <c r="V231"/>
  <c r="I18" i="52"/>
  <c r="L18" s="1"/>
  <c r="M18" s="1"/>
  <c r="U21" i="51"/>
  <c r="U304" s="1"/>
  <c r="I76" i="52"/>
  <c r="T127" i="51"/>
  <c r="T71"/>
  <c r="T43"/>
  <c r="T144"/>
  <c r="K184" i="52"/>
  <c r="T151" i="51"/>
  <c r="T371"/>
  <c r="L24" i="52"/>
  <c r="L240" s="1"/>
  <c r="T46" i="51"/>
  <c r="T279"/>
  <c r="T170"/>
  <c r="K71" i="52"/>
  <c r="I310"/>
  <c r="T94" i="51"/>
  <c r="T45"/>
  <c r="K109" i="52"/>
  <c r="T195" i="51"/>
  <c r="W25"/>
  <c r="W170" s="1"/>
  <c r="K43" i="52"/>
  <c r="IT15" i="38"/>
  <c r="IV15" s="1"/>
  <c r="IW15" s="1"/>
  <c r="F15" i="47" s="1"/>
  <c r="T273" i="51"/>
  <c r="T218"/>
  <c r="I240" i="52"/>
  <c r="T221" i="51"/>
  <c r="T118"/>
  <c r="K293" i="52"/>
  <c r="I185"/>
  <c r="K207"/>
  <c r="T369" i="51"/>
  <c r="T308"/>
  <c r="I208" i="52"/>
  <c r="AI208" s="1"/>
  <c r="T243" i="51"/>
  <c r="T174"/>
  <c r="T101"/>
  <c r="T257"/>
  <c r="K205" i="52"/>
  <c r="T100" i="51"/>
  <c r="T296"/>
  <c r="W7"/>
  <c r="W243" s="1"/>
  <c r="T343"/>
  <c r="T68"/>
  <c r="I110" i="52"/>
  <c r="T199" i="51"/>
  <c r="T353"/>
  <c r="IA30" i="38"/>
  <c r="U326" i="51"/>
  <c r="U99"/>
  <c r="U178"/>
  <c r="LF14" i="38"/>
  <c r="P16" i="52" s="1"/>
  <c r="P232" s="1"/>
  <c r="U242" i="51"/>
  <c r="U231"/>
  <c r="IA31" i="38"/>
  <c r="U60" i="51"/>
  <c r="U203"/>
  <c r="IA29" i="38"/>
  <c r="LG14"/>
  <c r="AB16" i="51" s="1"/>
  <c r="AB108" s="1"/>
  <c r="U301"/>
  <c r="U383"/>
  <c r="U283"/>
  <c r="U160"/>
  <c r="R16" i="52"/>
  <c r="T214" i="55" s="1"/>
  <c r="U81" i="51"/>
  <c r="AC16"/>
  <c r="AC323" s="1"/>
  <c r="J17" i="52"/>
  <c r="J114" s="1"/>
  <c r="I21"/>
  <c r="I170" s="1"/>
  <c r="T21" i="51"/>
  <c r="T274" s="1"/>
  <c r="T137"/>
  <c r="T301"/>
  <c r="T326"/>
  <c r="T283"/>
  <c r="I229" i="52"/>
  <c r="T81" i="51"/>
  <c r="T178"/>
  <c r="T231"/>
  <c r="I17" i="52"/>
  <c r="I82" s="1"/>
  <c r="T203" i="51"/>
  <c r="W17"/>
  <c r="W358" s="1"/>
  <c r="T383"/>
  <c r="T99"/>
  <c r="T160"/>
  <c r="IB15" i="38"/>
  <c r="T119" i="51"/>
  <c r="T66"/>
  <c r="MV7" i="38"/>
  <c r="W542" i="55" s="1"/>
  <c r="L7" i="52"/>
  <c r="L229" s="1"/>
  <c r="T216" i="51"/>
  <c r="NA7" i="38"/>
  <c r="J296" i="52"/>
  <c r="I180"/>
  <c r="T97" i="51"/>
  <c r="T41"/>
  <c r="S208" i="55"/>
  <c r="H479" i="48" s="1"/>
  <c r="I105" i="52"/>
  <c r="MZ7" i="38"/>
  <c r="MZ44" s="1"/>
  <c r="T328" i="51"/>
  <c r="T193"/>
  <c r="I210" i="52"/>
  <c r="AI210" s="1"/>
  <c r="T254" i="51"/>
  <c r="T167"/>
  <c r="MW7" i="38"/>
  <c r="MX7" s="1"/>
  <c r="I68" i="52"/>
  <c r="T370" i="51"/>
  <c r="T350"/>
  <c r="I40" i="52"/>
  <c r="MY7" i="38"/>
  <c r="MY44" s="1"/>
  <c r="T27" i="51"/>
  <c r="T223" s="1"/>
  <c r="T143"/>
  <c r="MZ15" i="38"/>
  <c r="NB15" s="1"/>
  <c r="IB25"/>
  <c r="AE494" i="52"/>
  <c r="J11" i="48" s="1"/>
  <c r="AB494" i="52"/>
  <c r="AB493" s="1"/>
  <c r="AB492" s="1"/>
  <c r="AF494"/>
  <c r="K11" i="48" s="1"/>
  <c r="AC494" i="52"/>
  <c r="AC493" s="1"/>
  <c r="AC492" s="1"/>
  <c r="J234"/>
  <c r="J198"/>
  <c r="J176"/>
  <c r="J101"/>
  <c r="J44"/>
  <c r="J73"/>
  <c r="Z333"/>
  <c r="V323"/>
  <c r="V514" s="1"/>
  <c r="V515" s="1"/>
  <c r="K171"/>
  <c r="AB27" i="51"/>
  <c r="AB327" s="1"/>
  <c r="K96" i="52"/>
  <c r="J242"/>
  <c r="K4"/>
  <c r="K85"/>
  <c r="S225" i="55"/>
  <c r="H496" i="48" s="1"/>
  <c r="K56" i="52"/>
  <c r="MV15" i="38"/>
  <c r="MW15"/>
  <c r="MW52" s="1"/>
  <c r="K307" i="52"/>
  <c r="K5"/>
  <c r="V348"/>
  <c r="K8" i="48" s="1"/>
  <c r="I8"/>
  <c r="U514" i="52"/>
  <c r="U515" s="1"/>
  <c r="Q462" i="48" s="1"/>
  <c r="R9" i="52"/>
  <c r="R85" s="1"/>
  <c r="J19" i="26"/>
  <c r="U348" i="52"/>
  <c r="J8" i="48" s="1"/>
  <c r="LD7" i="38"/>
  <c r="AC9" i="51"/>
  <c r="AC181" s="1"/>
  <c r="I7" i="48"/>
  <c r="P408"/>
  <c r="P407"/>
  <c r="X351" i="52"/>
  <c r="LD15" i="38"/>
  <c r="LE15"/>
  <c r="LG15"/>
  <c r="AB17" i="51" s="1"/>
  <c r="AB137" s="1"/>
  <c r="FX6" i="38"/>
  <c r="FX24"/>
  <c r="FV9"/>
  <c r="K11" i="51" s="1"/>
  <c r="K316" s="1"/>
  <c r="FX9" i="38"/>
  <c r="K304" i="44" s="1"/>
  <c r="FX15" i="38"/>
  <c r="AA17" i="51"/>
  <c r="AA326" s="1"/>
  <c r="P17" i="52"/>
  <c r="P189" s="1"/>
  <c r="MX23" i="38"/>
  <c r="MW60"/>
  <c r="Q221" i="55"/>
  <c r="MY53" i="38"/>
  <c r="Q222" i="55"/>
  <c r="MY55" i="38"/>
  <c r="O216" i="55"/>
  <c r="MZ49" i="38"/>
  <c r="MX27"/>
  <c r="MW64"/>
  <c r="MY15"/>
  <c r="MU52"/>
  <c r="Q211" i="55"/>
  <c r="MY60" i="38"/>
  <c r="Q212" i="55"/>
  <c r="MY59" i="38"/>
  <c r="Q228" i="55"/>
  <c r="MY63" i="38"/>
  <c r="MX22"/>
  <c r="MW59"/>
  <c r="O212" i="55"/>
  <c r="MZ59" i="38"/>
  <c r="MX26"/>
  <c r="MW63"/>
  <c r="NB27"/>
  <c r="MZ64"/>
  <c r="O222" i="55"/>
  <c r="MZ55" i="38"/>
  <c r="Q216" i="55"/>
  <c r="MY49" i="38"/>
  <c r="MX18"/>
  <c r="MW55"/>
  <c r="MZ24"/>
  <c r="MZ61" s="1"/>
  <c r="MU61"/>
  <c r="Q220" i="55"/>
  <c r="MY9" i="38"/>
  <c r="MU46"/>
  <c r="FV7"/>
  <c r="D269" i="44" s="1"/>
  <c r="W434"/>
  <c r="G268" i="48" s="1"/>
  <c r="AD489" i="52"/>
  <c r="AD491" s="1"/>
  <c r="W436" i="44"/>
  <c r="G270" i="48" s="1"/>
  <c r="AJ349" i="52"/>
  <c r="AA348" s="1"/>
  <c r="L8" i="48" s="1"/>
  <c r="AJ319" i="52"/>
  <c r="AA323" s="1"/>
  <c r="MZ13" i="38"/>
  <c r="MZ50" s="1"/>
  <c r="MU50"/>
  <c r="V181" i="51"/>
  <c r="V323"/>
  <c r="V5"/>
  <c r="V6"/>
  <c r="K6" i="52" s="1"/>
  <c r="V77" i="51"/>
  <c r="V336"/>
  <c r="N214" i="55"/>
  <c r="G485" i="48" s="1"/>
  <c r="S224" i="55"/>
  <c r="H495" i="48" s="1"/>
  <c r="V4" i="51"/>
  <c r="V276"/>
  <c r="V154"/>
  <c r="FW7" i="38"/>
  <c r="AJ9" i="51" s="1"/>
  <c r="V51"/>
  <c r="V360"/>
  <c r="M9"/>
  <c r="M130" s="1"/>
  <c r="V227"/>
  <c r="V104"/>
  <c r="E269" i="44"/>
  <c r="N208" i="55"/>
  <c r="G479" i="48" s="1"/>
  <c r="V366" i="51"/>
  <c r="V207"/>
  <c r="V130"/>
  <c r="V346"/>
  <c r="V307"/>
  <c r="V108"/>
  <c r="L27" i="52"/>
  <c r="L182" s="1"/>
  <c r="K208" i="44"/>
  <c r="T368" i="51"/>
  <c r="T194"/>
  <c r="NB18" i="38"/>
  <c r="T270" i="51"/>
  <c r="T220"/>
  <c r="P25" i="52"/>
  <c r="P78" s="1"/>
  <c r="T261" i="51"/>
  <c r="T361"/>
  <c r="T125"/>
  <c r="T335"/>
  <c r="W19"/>
  <c r="W125" s="1"/>
  <c r="T147"/>
  <c r="T70"/>
  <c r="E271" i="44"/>
  <c r="FW9" i="38"/>
  <c r="F271" i="44" s="1"/>
  <c r="T311" i="51"/>
  <c r="M11"/>
  <c r="M252" s="1"/>
  <c r="MZ9" i="38"/>
  <c r="P18" i="52"/>
  <c r="P187" s="1"/>
  <c r="J210"/>
  <c r="LE7" i="38"/>
  <c r="J180" i="52"/>
  <c r="J229"/>
  <c r="J68"/>
  <c r="L11"/>
  <c r="L177" s="1"/>
  <c r="J40"/>
  <c r="LF7" i="38"/>
  <c r="AA9" i="51" s="1"/>
  <c r="AA276" s="1"/>
  <c r="I78" i="52"/>
  <c r="K214" i="44"/>
  <c r="D273"/>
  <c r="I306" i="52"/>
  <c r="AJ273" s="1"/>
  <c r="P345" i="48" s="1"/>
  <c r="I239" i="52"/>
  <c r="I182"/>
  <c r="HZ30" i="38"/>
  <c r="I46" i="52"/>
  <c r="I201"/>
  <c r="AI201" s="1"/>
  <c r="I16"/>
  <c r="I184" s="1"/>
  <c r="I75"/>
  <c r="I204"/>
  <c r="AI204" s="1"/>
  <c r="M17" i="51"/>
  <c r="M203" s="1"/>
  <c r="I308" i="52"/>
  <c r="V155" i="51"/>
  <c r="V278"/>
  <c r="F277" i="44"/>
  <c r="I243" i="52"/>
  <c r="V222" i="51"/>
  <c r="V131"/>
  <c r="I174" i="52"/>
  <c r="V200" i="51"/>
  <c r="V246"/>
  <c r="AJ17"/>
  <c r="I99" i="52"/>
  <c r="V372" i="51"/>
  <c r="V72"/>
  <c r="FV15" i="38"/>
  <c r="D277" i="44" s="1"/>
  <c r="L25" i="52"/>
  <c r="M25" s="1"/>
  <c r="V293" i="51"/>
  <c r="I196" i="52"/>
  <c r="AI196" s="1"/>
  <c r="K8" i="51"/>
  <c r="K248" s="1"/>
  <c r="E277" i="44"/>
  <c r="V44" i="51"/>
  <c r="P11" i="52"/>
  <c r="P36" s="1"/>
  <c r="AA11" i="51"/>
  <c r="AA229" s="1"/>
  <c r="IC14" i="38"/>
  <c r="E14" i="47" s="1"/>
  <c r="J175" i="52"/>
  <c r="AC11" i="51"/>
  <c r="AC211" s="1"/>
  <c r="J206" i="52"/>
  <c r="J100"/>
  <c r="R11"/>
  <c r="R298" s="1"/>
  <c r="T16" i="51"/>
  <c r="W16" s="1"/>
  <c r="W131" s="1"/>
  <c r="IU29" i="38"/>
  <c r="J51" i="52"/>
  <c r="LD9" i="38"/>
  <c r="LG9"/>
  <c r="Q11" i="52" s="1"/>
  <c r="Q36" s="1"/>
  <c r="LE9" i="38"/>
  <c r="HZ31"/>
  <c r="J77" i="52"/>
  <c r="HZ29" i="38"/>
  <c r="I106" i="52"/>
  <c r="IT14" i="38"/>
  <c r="IV14" s="1"/>
  <c r="IW14" s="1"/>
  <c r="F14" i="47" s="1"/>
  <c r="FD29" i="38"/>
  <c r="K206" i="44"/>
  <c r="MV9" i="38"/>
  <c r="NA9"/>
  <c r="FU41"/>
  <c r="FU40"/>
  <c r="MW9"/>
  <c r="FU42"/>
  <c r="I177" i="52"/>
  <c r="D268" i="44"/>
  <c r="E268"/>
  <c r="KM30" i="38"/>
  <c r="M8" i="51"/>
  <c r="M175" s="1"/>
  <c r="I66" i="52"/>
  <c r="K205" i="44"/>
  <c r="I102" i="52"/>
  <c r="I36"/>
  <c r="I238"/>
  <c r="FW6" i="38"/>
  <c r="AJ8" i="51" s="1"/>
  <c r="KI31" i="38"/>
  <c r="K13" i="51"/>
  <c r="K67" s="1"/>
  <c r="AJ7" i="52"/>
  <c r="KI30" i="38"/>
  <c r="AH492" i="52"/>
  <c r="AJ492" s="1"/>
  <c r="AL492" s="1"/>
  <c r="K28" i="51"/>
  <c r="K159" s="1"/>
  <c r="D288" i="44"/>
  <c r="J7" i="48"/>
  <c r="W514" i="52"/>
  <c r="W515" s="1"/>
  <c r="L19"/>
  <c r="L55" s="1"/>
  <c r="I311"/>
  <c r="I247"/>
  <c r="I181"/>
  <c r="I86"/>
  <c r="I55"/>
  <c r="LD8" i="38"/>
  <c r="KK30"/>
  <c r="KK29"/>
  <c r="KK31"/>
  <c r="KM29"/>
  <c r="KM31"/>
  <c r="P28" i="52"/>
  <c r="P50" s="1"/>
  <c r="KL29" i="38"/>
  <c r="KL31"/>
  <c r="KL30"/>
  <c r="KI29"/>
  <c r="Q28" i="52"/>
  <c r="Q111" s="1"/>
  <c r="AJ28" i="51"/>
  <c r="L28"/>
  <c r="L192" s="1"/>
  <c r="W509" i="52"/>
  <c r="MW24" i="38"/>
  <c r="MW61" s="1"/>
  <c r="FC30"/>
  <c r="MW13"/>
  <c r="MV13"/>
  <c r="S226" i="55"/>
  <c r="H497" i="48" s="1"/>
  <c r="NA13" i="38"/>
  <c r="M250" i="51"/>
  <c r="M96"/>
  <c r="M237"/>
  <c r="M388"/>
  <c r="M87"/>
  <c r="M269"/>
  <c r="M136"/>
  <c r="M299"/>
  <c r="M62"/>
  <c r="M330"/>
  <c r="M168"/>
  <c r="M355"/>
  <c r="M159"/>
  <c r="M192"/>
  <c r="R15" i="52"/>
  <c r="AC15" i="51"/>
  <c r="LG13" i="38"/>
  <c r="LD13"/>
  <c r="AC330" i="51"/>
  <c r="AC136"/>
  <c r="AC250"/>
  <c r="AC62"/>
  <c r="AC237"/>
  <c r="AC159"/>
  <c r="AC168"/>
  <c r="AC96"/>
  <c r="AC355"/>
  <c r="AC299"/>
  <c r="AC388"/>
  <c r="AC269"/>
  <c r="AC87"/>
  <c r="AC192"/>
  <c r="R214" i="52"/>
  <c r="R186"/>
  <c r="R236"/>
  <c r="R299"/>
  <c r="T228" i="55"/>
  <c r="R50" i="52"/>
  <c r="R111"/>
  <c r="R80"/>
  <c r="E275" i="44"/>
  <c r="K212"/>
  <c r="M15" i="51"/>
  <c r="FW13" i="38"/>
  <c r="FV13"/>
  <c r="MY13"/>
  <c r="LE13"/>
  <c r="AB330" i="51"/>
  <c r="AB299"/>
  <c r="AB159"/>
  <c r="AB87"/>
  <c r="AB388"/>
  <c r="AB96"/>
  <c r="AB168"/>
  <c r="AB237"/>
  <c r="AB136"/>
  <c r="AB250"/>
  <c r="AB355"/>
  <c r="AB269"/>
  <c r="AB192"/>
  <c r="AB62"/>
  <c r="LF8" i="38"/>
  <c r="P10" i="52" s="1"/>
  <c r="AA192" i="51"/>
  <c r="AA136"/>
  <c r="AA237"/>
  <c r="AA87"/>
  <c r="AA355"/>
  <c r="AA159"/>
  <c r="AA168"/>
  <c r="AA96"/>
  <c r="AA250"/>
  <c r="AA388"/>
  <c r="AA269"/>
  <c r="AA330"/>
  <c r="AA62"/>
  <c r="AA299"/>
  <c r="MV8" i="38"/>
  <c r="NA34"/>
  <c r="S227" i="55"/>
  <c r="H499" i="48" s="1"/>
  <c r="L717" i="55"/>
  <c r="NA8" i="38"/>
  <c r="MY8"/>
  <c r="FC29"/>
  <c r="MZ8"/>
  <c r="MZ45" s="1"/>
  <c r="AI493" i="52"/>
  <c r="MY5" i="38"/>
  <c r="MW5"/>
  <c r="NA5"/>
  <c r="MZ5"/>
  <c r="MZ42" s="1"/>
  <c r="S213" i="55"/>
  <c r="H484" i="48" s="1"/>
  <c r="MV5" i="38"/>
  <c r="FB31"/>
  <c r="LF24"/>
  <c r="P15" i="52"/>
  <c r="AA15" i="51"/>
  <c r="FV5" i="38"/>
  <c r="M7" i="51"/>
  <c r="E267" i="44"/>
  <c r="FW5" i="38"/>
  <c r="FC31"/>
  <c r="K26" i="51"/>
  <c r="E223" i="44"/>
  <c r="D286"/>
  <c r="AC7" i="51"/>
  <c r="LG5" i="38"/>
  <c r="R7" i="52"/>
  <c r="LE5" i="38"/>
  <c r="LF5"/>
  <c r="LD5"/>
  <c r="MW8"/>
  <c r="E270" i="44"/>
  <c r="K207"/>
  <c r="FW8" i="38"/>
  <c r="M10" i="51"/>
  <c r="FV8" i="38"/>
  <c r="MY24"/>
  <c r="S229" i="55"/>
  <c r="H498" i="48" s="1"/>
  <c r="MV24" i="38"/>
  <c r="NA24"/>
  <c r="FB29"/>
  <c r="AC10" i="51"/>
  <c r="R10" i="52"/>
  <c r="LG34" i="38"/>
  <c r="LG8"/>
  <c r="M26" i="51"/>
  <c r="FW24" i="38"/>
  <c r="K223" i="44"/>
  <c r="E286"/>
  <c r="FB30" i="38"/>
  <c r="FD31"/>
  <c r="LD24"/>
  <c r="LG24"/>
  <c r="R26" i="52"/>
  <c r="AC26" i="51"/>
  <c r="NB26" i="38"/>
  <c r="O228" i="55"/>
  <c r="FD30" i="38"/>
  <c r="AC350" i="51"/>
  <c r="AC167"/>
  <c r="AC143"/>
  <c r="AC310"/>
  <c r="AC275"/>
  <c r="AC66"/>
  <c r="AC119"/>
  <c r="AC41"/>
  <c r="I198" i="52"/>
  <c r="AI198" s="1"/>
  <c r="AC370" i="51"/>
  <c r="AC254"/>
  <c r="AC97"/>
  <c r="AC216"/>
  <c r="AC328"/>
  <c r="T197"/>
  <c r="T345"/>
  <c r="T247"/>
  <c r="T42"/>
  <c r="F274" i="44"/>
  <c r="L25" i="51"/>
  <c r="L257" s="1"/>
  <c r="L14"/>
  <c r="L196" s="1"/>
  <c r="AJ25"/>
  <c r="AA20"/>
  <c r="AA245" s="1"/>
  <c r="L16"/>
  <c r="L293" s="1"/>
  <c r="AJ16"/>
  <c r="K119"/>
  <c r="K370"/>
  <c r="T256"/>
  <c r="T83"/>
  <c r="T121"/>
  <c r="K241"/>
  <c r="T98"/>
  <c r="T202"/>
  <c r="T134"/>
  <c r="K344"/>
  <c r="T285"/>
  <c r="T376"/>
  <c r="T172"/>
  <c r="Q8" i="52"/>
  <c r="Q101" s="1"/>
  <c r="Q24"/>
  <c r="Q208" s="1"/>
  <c r="T59" i="51"/>
  <c r="K49"/>
  <c r="T196"/>
  <c r="W14"/>
  <c r="W121" s="1"/>
  <c r="K206"/>
  <c r="T295"/>
  <c r="T233"/>
  <c r="T146"/>
  <c r="K106"/>
  <c r="K182"/>
  <c r="T57"/>
  <c r="T331"/>
  <c r="T352"/>
  <c r="T349"/>
  <c r="T305"/>
  <c r="NB22" i="38"/>
  <c r="NB12"/>
  <c r="K328" i="51"/>
  <c r="K275"/>
  <c r="T297"/>
  <c r="T173"/>
  <c r="AA24"/>
  <c r="AA97" s="1"/>
  <c r="K254"/>
  <c r="K41"/>
  <c r="K167"/>
  <c r="T280"/>
  <c r="T319"/>
  <c r="K97"/>
  <c r="K350"/>
  <c r="K216"/>
  <c r="T67"/>
  <c r="AB14"/>
  <c r="AB146" s="1"/>
  <c r="K66"/>
  <c r="K193"/>
  <c r="T105"/>
  <c r="W13"/>
  <c r="W173" s="1"/>
  <c r="K310"/>
  <c r="T378"/>
  <c r="T153"/>
  <c r="T126"/>
  <c r="R48" i="52"/>
  <c r="T212" i="55"/>
  <c r="R310" i="52"/>
  <c r="R240"/>
  <c r="R208"/>
  <c r="R185"/>
  <c r="R110"/>
  <c r="I179"/>
  <c r="I104"/>
  <c r="I70"/>
  <c r="I39"/>
  <c r="L13"/>
  <c r="L233" s="1"/>
  <c r="I203"/>
  <c r="AI203" s="1"/>
  <c r="I297"/>
  <c r="I295"/>
  <c r="AJ274" s="1"/>
  <c r="P346" i="48" s="1"/>
  <c r="I234" i="52"/>
  <c r="I176"/>
  <c r="I101"/>
  <c r="I44"/>
  <c r="I73"/>
  <c r="I77"/>
  <c r="K257" i="51"/>
  <c r="K308"/>
  <c r="K45"/>
  <c r="K380"/>
  <c r="K318"/>
  <c r="T235"/>
  <c r="T175"/>
  <c r="K279"/>
  <c r="K221"/>
  <c r="K195"/>
  <c r="K224"/>
  <c r="K291"/>
  <c r="T377"/>
  <c r="K369"/>
  <c r="P14" i="52"/>
  <c r="P305" s="1"/>
  <c r="K286" i="51"/>
  <c r="T158"/>
  <c r="W8"/>
  <c r="W175" s="1"/>
  <c r="IU31" i="38"/>
  <c r="K144" i="51"/>
  <c r="K329"/>
  <c r="K74"/>
  <c r="R435" i="44"/>
  <c r="E429" s="1"/>
  <c r="T325" i="51"/>
  <c r="T248"/>
  <c r="IU30" i="38"/>
  <c r="K353" i="51"/>
  <c r="K118"/>
  <c r="K170"/>
  <c r="K157"/>
  <c r="T107"/>
  <c r="K101"/>
  <c r="I100" i="52"/>
  <c r="L14"/>
  <c r="L175" s="1"/>
  <c r="I305"/>
  <c r="F273" i="44"/>
  <c r="I206" i="52"/>
  <c r="AI206" s="1"/>
  <c r="L13" i="51"/>
  <c r="L247" s="1"/>
  <c r="I242" i="52"/>
  <c r="I175"/>
  <c r="AA22" i="51"/>
  <c r="P22" i="52"/>
  <c r="J230"/>
  <c r="J292"/>
  <c r="J103"/>
  <c r="J67"/>
  <c r="J37"/>
  <c r="J178"/>
  <c r="J199"/>
  <c r="E219" i="44"/>
  <c r="D282"/>
  <c r="K22" i="51"/>
  <c r="J66" i="52"/>
  <c r="J36"/>
  <c r="J177"/>
  <c r="J196"/>
  <c r="J298"/>
  <c r="J238"/>
  <c r="J102"/>
  <c r="U142" i="51"/>
  <c r="U252"/>
  <c r="U316"/>
  <c r="U382"/>
  <c r="U229"/>
  <c r="U58"/>
  <c r="U211"/>
  <c r="U287"/>
  <c r="U341"/>
  <c r="U186"/>
  <c r="U93"/>
  <c r="U79"/>
  <c r="U298"/>
  <c r="U116"/>
  <c r="U279"/>
  <c r="U45"/>
  <c r="U369"/>
  <c r="U308"/>
  <c r="U118"/>
  <c r="U144"/>
  <c r="U329"/>
  <c r="U353"/>
  <c r="U195"/>
  <c r="U101"/>
  <c r="U170"/>
  <c r="U71"/>
  <c r="U221"/>
  <c r="U257"/>
  <c r="AC144"/>
  <c r="AC195"/>
  <c r="AC353"/>
  <c r="AC170"/>
  <c r="AC101"/>
  <c r="AC221"/>
  <c r="AC369"/>
  <c r="AC257"/>
  <c r="AC118"/>
  <c r="AC45"/>
  <c r="AC308"/>
  <c r="AC71"/>
  <c r="AC279"/>
  <c r="AC329"/>
  <c r="AC305"/>
  <c r="AC196"/>
  <c r="AC172"/>
  <c r="AC331"/>
  <c r="AC121"/>
  <c r="AC376"/>
  <c r="AC98"/>
  <c r="AC256"/>
  <c r="AC146"/>
  <c r="AC352"/>
  <c r="AC83"/>
  <c r="AC277"/>
  <c r="AC59"/>
  <c r="AC233"/>
  <c r="M59"/>
  <c r="M121"/>
  <c r="M83"/>
  <c r="M331"/>
  <c r="M376"/>
  <c r="M352"/>
  <c r="M256"/>
  <c r="M233"/>
  <c r="M172"/>
  <c r="M196"/>
  <c r="M305"/>
  <c r="M146"/>
  <c r="M277"/>
  <c r="M98"/>
  <c r="R204" i="52"/>
  <c r="R243"/>
  <c r="R308"/>
  <c r="T211" i="55"/>
  <c r="R49" i="52"/>
  <c r="R78"/>
  <c r="R99"/>
  <c r="R174"/>
  <c r="T216" i="55"/>
  <c r="R206" i="52"/>
  <c r="R175"/>
  <c r="R77"/>
  <c r="R305"/>
  <c r="R242"/>
  <c r="R51"/>
  <c r="R100"/>
  <c r="M297" i="51"/>
  <c r="M319"/>
  <c r="M67"/>
  <c r="M173"/>
  <c r="M247"/>
  <c r="M345"/>
  <c r="M126"/>
  <c r="M197"/>
  <c r="M378"/>
  <c r="M217"/>
  <c r="M105"/>
  <c r="M153"/>
  <c r="M280"/>
  <c r="M42"/>
  <c r="AB18"/>
  <c r="AB25"/>
  <c r="Q25" i="52"/>
  <c r="M284" i="51"/>
  <c r="M204"/>
  <c r="M123"/>
  <c r="M292"/>
  <c r="M232"/>
  <c r="M55"/>
  <c r="M244"/>
  <c r="M381"/>
  <c r="M82"/>
  <c r="M152"/>
  <c r="M317"/>
  <c r="M342"/>
  <c r="M112"/>
  <c r="M179"/>
  <c r="F287" i="44"/>
  <c r="AJ27" i="51"/>
  <c r="L27"/>
  <c r="M72"/>
  <c r="M246"/>
  <c r="M278"/>
  <c r="M222"/>
  <c r="M200"/>
  <c r="M155"/>
  <c r="M108"/>
  <c r="M44"/>
  <c r="M346"/>
  <c r="M323"/>
  <c r="M131"/>
  <c r="M293"/>
  <c r="M176"/>
  <c r="M372"/>
  <c r="M170"/>
  <c r="M308"/>
  <c r="M221"/>
  <c r="M144"/>
  <c r="M257"/>
  <c r="M353"/>
  <c r="M45"/>
  <c r="M101"/>
  <c r="M369"/>
  <c r="M118"/>
  <c r="M329"/>
  <c r="M279"/>
  <c r="M195"/>
  <c r="M71"/>
  <c r="J99" i="52"/>
  <c r="J174"/>
  <c r="J204"/>
  <c r="J243"/>
  <c r="J308"/>
  <c r="J78"/>
  <c r="J49"/>
  <c r="AC345" i="51"/>
  <c r="AC297"/>
  <c r="AC197"/>
  <c r="AC67"/>
  <c r="AC217"/>
  <c r="AC247"/>
  <c r="AC153"/>
  <c r="AC126"/>
  <c r="AC378"/>
  <c r="AC105"/>
  <c r="AC319"/>
  <c r="AC280"/>
  <c r="AC173"/>
  <c r="AC42"/>
  <c r="P208" i="52"/>
  <c r="P185"/>
  <c r="P48"/>
  <c r="P76"/>
  <c r="P110"/>
  <c r="P310"/>
  <c r="P240"/>
  <c r="E5" i="47"/>
  <c r="J87" i="52"/>
  <c r="J57"/>
  <c r="J304"/>
  <c r="J246"/>
  <c r="J209"/>
  <c r="J170"/>
  <c r="J95"/>
  <c r="IC7" i="38"/>
  <c r="E7" i="47" s="1"/>
  <c r="D7"/>
  <c r="M205" i="51"/>
  <c r="M362"/>
  <c r="M234"/>
  <c r="M304"/>
  <c r="M337"/>
  <c r="M135"/>
  <c r="M373"/>
  <c r="M109"/>
  <c r="M274"/>
  <c r="M84"/>
  <c r="M260"/>
  <c r="M56"/>
  <c r="M180"/>
  <c r="M162"/>
  <c r="Q305" i="52"/>
  <c r="Q242"/>
  <c r="Q206"/>
  <c r="Q175"/>
  <c r="Q51"/>
  <c r="Q77"/>
  <c r="Q100"/>
  <c r="M8"/>
  <c r="L295"/>
  <c r="L234"/>
  <c r="L198"/>
  <c r="L176"/>
  <c r="L73"/>
  <c r="L101"/>
  <c r="L44"/>
  <c r="L143" i="51"/>
  <c r="L275"/>
  <c r="L66"/>
  <c r="L216"/>
  <c r="L41"/>
  <c r="L193"/>
  <c r="L167"/>
  <c r="L350"/>
  <c r="L119"/>
  <c r="L310"/>
  <c r="L97"/>
  <c r="L370"/>
  <c r="L328"/>
  <c r="L254"/>
  <c r="R427" i="44"/>
  <c r="K121" i="51"/>
  <c r="K256"/>
  <c r="K83"/>
  <c r="K277"/>
  <c r="K59"/>
  <c r="K233"/>
  <c r="K196"/>
  <c r="K172"/>
  <c r="K331"/>
  <c r="K146"/>
  <c r="K305"/>
  <c r="K98"/>
  <c r="K376"/>
  <c r="K352"/>
  <c r="L178"/>
  <c r="L203"/>
  <c r="L160"/>
  <c r="L383"/>
  <c r="L231"/>
  <c r="L358"/>
  <c r="L137"/>
  <c r="L326"/>
  <c r="L99"/>
  <c r="L242"/>
  <c r="L81"/>
  <c r="L301"/>
  <c r="L60"/>
  <c r="L283"/>
  <c r="J311" i="52"/>
  <c r="J247"/>
  <c r="J213"/>
  <c r="J181"/>
  <c r="J86"/>
  <c r="J55"/>
  <c r="J106"/>
  <c r="R437" i="44"/>
  <c r="E427" s="1"/>
  <c r="K135" i="51"/>
  <c r="K162"/>
  <c r="K205"/>
  <c r="K337"/>
  <c r="K180"/>
  <c r="K373"/>
  <c r="K109"/>
  <c r="K362"/>
  <c r="K304"/>
  <c r="K274"/>
  <c r="K84"/>
  <c r="K260"/>
  <c r="K56"/>
  <c r="K234"/>
  <c r="Q9" i="52"/>
  <c r="AB9" i="51"/>
  <c r="J74" i="52"/>
  <c r="J41"/>
  <c r="J294"/>
  <c r="J231"/>
  <c r="J202"/>
  <c r="J183"/>
  <c r="J108"/>
  <c r="AJ23" i="51"/>
  <c r="L23"/>
  <c r="F283" i="44"/>
  <c r="M302" i="51"/>
  <c r="M374"/>
  <c r="U261"/>
  <c r="U169"/>
  <c r="U194"/>
  <c r="U220"/>
  <c r="U361"/>
  <c r="U125"/>
  <c r="U335"/>
  <c r="U147"/>
  <c r="U270"/>
  <c r="U94"/>
  <c r="U368"/>
  <c r="U46"/>
  <c r="U311"/>
  <c r="U70"/>
  <c r="AA184"/>
  <c r="Q20" i="52"/>
  <c r="AB20" i="51"/>
  <c r="L204"/>
  <c r="L381"/>
  <c r="L123"/>
  <c r="L317"/>
  <c r="L112"/>
  <c r="L284"/>
  <c r="L82"/>
  <c r="L244"/>
  <c r="L55"/>
  <c r="L232"/>
  <c r="L292"/>
  <c r="L179"/>
  <c r="L152"/>
  <c r="L342"/>
  <c r="M212"/>
  <c r="M132"/>
  <c r="M375"/>
  <c r="M92"/>
  <c r="M354"/>
  <c r="M149"/>
  <c r="M249"/>
  <c r="M69"/>
  <c r="M303"/>
  <c r="M47"/>
  <c r="M268"/>
  <c r="M219"/>
  <c r="M187"/>
  <c r="M324"/>
  <c r="AA71"/>
  <c r="AA118"/>
  <c r="AA308"/>
  <c r="AA101"/>
  <c r="AA329"/>
  <c r="AA45"/>
  <c r="AA279"/>
  <c r="AA257"/>
  <c r="AA170"/>
  <c r="AA195"/>
  <c r="AA221"/>
  <c r="AA369"/>
  <c r="AA353"/>
  <c r="AA144"/>
  <c r="E220" i="44"/>
  <c r="K23" i="51"/>
  <c r="D283" i="44"/>
  <c r="F272"/>
  <c r="L12" i="51"/>
  <c r="AJ12"/>
  <c r="AB97"/>
  <c r="AB254"/>
  <c r="AB66"/>
  <c r="AB275"/>
  <c r="AB41"/>
  <c r="AB216"/>
  <c r="AB193"/>
  <c r="AB350"/>
  <c r="AB167"/>
  <c r="AB310"/>
  <c r="AB143"/>
  <c r="AB370"/>
  <c r="AB328"/>
  <c r="AB119"/>
  <c r="R41" i="52"/>
  <c r="T222" i="55"/>
  <c r="R294" i="52"/>
  <c r="R231"/>
  <c r="R202"/>
  <c r="R183"/>
  <c r="R108"/>
  <c r="R74"/>
  <c r="J211"/>
  <c r="J190"/>
  <c r="J115"/>
  <c r="J72"/>
  <c r="J42"/>
  <c r="J302"/>
  <c r="J237"/>
  <c r="Q12"/>
  <c r="AB12" i="51"/>
  <c r="J207" i="52"/>
  <c r="J171"/>
  <c r="J96"/>
  <c r="J85"/>
  <c r="J56"/>
  <c r="J307"/>
  <c r="J245"/>
  <c r="Q182"/>
  <c r="Q46"/>
  <c r="Q75"/>
  <c r="Q107"/>
  <c r="Q306"/>
  <c r="Q239"/>
  <c r="Q201"/>
  <c r="AA182" i="51"/>
  <c r="AA344"/>
  <c r="AA49"/>
  <c r="AA241"/>
  <c r="AA206"/>
  <c r="AA224"/>
  <c r="AA133"/>
  <c r="AA106"/>
  <c r="AA380"/>
  <c r="AA74"/>
  <c r="AA291"/>
  <c r="AA286"/>
  <c r="AA318"/>
  <c r="AA157"/>
  <c r="AC76"/>
  <c r="AC379"/>
  <c r="AC50"/>
  <c r="AC245"/>
  <c r="AC177"/>
  <c r="AC156"/>
  <c r="AC226"/>
  <c r="AC348"/>
  <c r="AC201"/>
  <c r="AC322"/>
  <c r="AC110"/>
  <c r="AC281"/>
  <c r="AC129"/>
  <c r="AC294"/>
  <c r="AJ21"/>
  <c r="L21"/>
  <c r="F281" i="44"/>
  <c r="U78" i="51"/>
  <c r="U124"/>
  <c r="U374"/>
  <c r="U102"/>
  <c r="U272"/>
  <c r="U54"/>
  <c r="U251"/>
  <c r="U302"/>
  <c r="U210"/>
  <c r="U228"/>
  <c r="U148"/>
  <c r="U347"/>
  <c r="U184"/>
  <c r="U321"/>
  <c r="R237" i="52"/>
  <c r="R434" i="44"/>
  <c r="E436" s="1"/>
  <c r="K131" i="51"/>
  <c r="K246"/>
  <c r="K72"/>
  <c r="K293"/>
  <c r="K44"/>
  <c r="K222"/>
  <c r="K200"/>
  <c r="K176"/>
  <c r="K372"/>
  <c r="K155"/>
  <c r="K346"/>
  <c r="K108"/>
  <c r="K323"/>
  <c r="K278"/>
  <c r="J303" i="52"/>
  <c r="J235"/>
  <c r="J215"/>
  <c r="J188"/>
  <c r="J113"/>
  <c r="J79"/>
  <c r="J47"/>
  <c r="AA146" i="51"/>
  <c r="AA305"/>
  <c r="AA121"/>
  <c r="AA376"/>
  <c r="AA83"/>
  <c r="AA98"/>
  <c r="AA352"/>
  <c r="AA59"/>
  <c r="AA256"/>
  <c r="AA277"/>
  <c r="AA233"/>
  <c r="AA196"/>
  <c r="AA172"/>
  <c r="AA331"/>
  <c r="X24"/>
  <c r="W216"/>
  <c r="W193"/>
  <c r="W350"/>
  <c r="W97"/>
  <c r="W310"/>
  <c r="W143"/>
  <c r="W275"/>
  <c r="W119"/>
  <c r="W370"/>
  <c r="W66"/>
  <c r="W328"/>
  <c r="W41"/>
  <c r="W254"/>
  <c r="W167"/>
  <c r="AB235"/>
  <c r="AB85"/>
  <c r="AB248"/>
  <c r="AB57"/>
  <c r="AB295"/>
  <c r="AB202"/>
  <c r="AB175"/>
  <c r="AB377"/>
  <c r="AB158"/>
  <c r="AB325"/>
  <c r="AB107"/>
  <c r="AB349"/>
  <c r="AB285"/>
  <c r="AB134"/>
  <c r="P108" i="52"/>
  <c r="P294"/>
  <c r="P231"/>
  <c r="P202"/>
  <c r="P183"/>
  <c r="P74"/>
  <c r="P41"/>
  <c r="AC184" i="51"/>
  <c r="AC321"/>
  <c r="AC124"/>
  <c r="AC374"/>
  <c r="AC102"/>
  <c r="AC302"/>
  <c r="AC78"/>
  <c r="AC251"/>
  <c r="AC54"/>
  <c r="AC272"/>
  <c r="AC210"/>
  <c r="AC228"/>
  <c r="AC347"/>
  <c r="AC148"/>
  <c r="K124" l="1"/>
  <c r="AG124" s="1"/>
  <c r="K302"/>
  <c r="K210"/>
  <c r="K78"/>
  <c r="K272"/>
  <c r="K54"/>
  <c r="R429" i="44"/>
  <c r="K228" i="51"/>
  <c r="K102"/>
  <c r="K184"/>
  <c r="K321"/>
  <c r="K347"/>
  <c r="K148"/>
  <c r="K251"/>
  <c r="T253" i="48"/>
  <c r="AG131" i="51"/>
  <c r="Q252" i="48"/>
  <c r="N257"/>
  <c r="AG121" i="51"/>
  <c r="N254" i="48"/>
  <c r="AG118" i="51"/>
  <c r="T257" i="48"/>
  <c r="AG135" i="51"/>
  <c r="N255" i="48"/>
  <c r="AG119" i="51"/>
  <c r="AA228"/>
  <c r="AA102"/>
  <c r="AA210"/>
  <c r="I211" i="52"/>
  <c r="AI211" s="1"/>
  <c r="AA148" i="51"/>
  <c r="AA124"/>
  <c r="I42" i="52"/>
  <c r="I302"/>
  <c r="AA347" i="51"/>
  <c r="AA251"/>
  <c r="P12" i="52"/>
  <c r="P115" s="1"/>
  <c r="AA321" i="51"/>
  <c r="AA78"/>
  <c r="I237" i="52"/>
  <c r="AA272" i="51"/>
  <c r="AA302"/>
  <c r="I190" i="52"/>
  <c r="AA54" i="51"/>
  <c r="I115" i="52"/>
  <c r="L12"/>
  <c r="L115" s="1"/>
  <c r="FV40" i="38"/>
  <c r="FW40"/>
  <c r="M102" i="51"/>
  <c r="M210"/>
  <c r="FV32" i="38"/>
  <c r="M272" i="51"/>
  <c r="M228"/>
  <c r="FV42" i="38"/>
  <c r="FW42"/>
  <c r="M78" i="51"/>
  <c r="M148"/>
  <c r="FX32" i="38"/>
  <c r="M251" i="51"/>
  <c r="M347"/>
  <c r="FW32" i="38"/>
  <c r="FV41"/>
  <c r="FW41"/>
  <c r="M184" i="51"/>
  <c r="M321"/>
  <c r="M124"/>
  <c r="AA153"/>
  <c r="AA42"/>
  <c r="AC212"/>
  <c r="AA280"/>
  <c r="AA319"/>
  <c r="R211" i="52"/>
  <c r="AC149" i="51"/>
  <c r="AA378"/>
  <c r="R190" i="52"/>
  <c r="AC303" i="51"/>
  <c r="R72" i="52"/>
  <c r="AA197" i="51"/>
  <c r="AA173"/>
  <c r="AA345"/>
  <c r="AA126"/>
  <c r="R115" i="52"/>
  <c r="AA247" i="51"/>
  <c r="AA67"/>
  <c r="R42" i="52"/>
  <c r="AA297" i="51"/>
  <c r="T218" i="55"/>
  <c r="AC187" i="51"/>
  <c r="NB25" i="38"/>
  <c r="Q218" i="55"/>
  <c r="NB10" i="38"/>
  <c r="O218" i="55"/>
  <c r="AA47" i="51"/>
  <c r="AA249"/>
  <c r="AA132"/>
  <c r="AA303"/>
  <c r="AC47"/>
  <c r="AC132"/>
  <c r="AC123"/>
  <c r="P13" i="52"/>
  <c r="P70" s="1"/>
  <c r="AC268" i="51"/>
  <c r="AC324"/>
  <c r="AC92"/>
  <c r="AC375"/>
  <c r="AA217"/>
  <c r="AC354"/>
  <c r="AC249"/>
  <c r="Q217" i="55"/>
  <c r="AC69" i="51"/>
  <c r="T124"/>
  <c r="T78"/>
  <c r="AA92"/>
  <c r="AA219"/>
  <c r="T302"/>
  <c r="T210"/>
  <c r="AA324"/>
  <c r="AA187"/>
  <c r="P23" i="52"/>
  <c r="P188" s="1"/>
  <c r="T228" i="51"/>
  <c r="AA212"/>
  <c r="T102"/>
  <c r="T321"/>
  <c r="T251"/>
  <c r="AA69"/>
  <c r="AA268"/>
  <c r="AA375"/>
  <c r="T347"/>
  <c r="T374"/>
  <c r="AA149"/>
  <c r="W12"/>
  <c r="W374" s="1"/>
  <c r="T148"/>
  <c r="T272"/>
  <c r="T54"/>
  <c r="MX10" i="38"/>
  <c r="MX11"/>
  <c r="R227" i="52"/>
  <c r="T149" i="51"/>
  <c r="T132"/>
  <c r="T217" i="55"/>
  <c r="T219" i="51"/>
  <c r="W23"/>
  <c r="W149" s="1"/>
  <c r="O220" i="55"/>
  <c r="T303" i="51"/>
  <c r="R303" i="52"/>
  <c r="T375" i="51"/>
  <c r="T268"/>
  <c r="T354"/>
  <c r="T187"/>
  <c r="T212"/>
  <c r="T110"/>
  <c r="T249"/>
  <c r="NB11" i="38"/>
  <c r="T324" i="51"/>
  <c r="T47"/>
  <c r="T69"/>
  <c r="R233" i="52"/>
  <c r="AB23" i="51"/>
  <c r="AB132" s="1"/>
  <c r="AC248"/>
  <c r="T259"/>
  <c r="I113" i="52"/>
  <c r="U129" i="51"/>
  <c r="T276"/>
  <c r="I303" i="52"/>
  <c r="L23"/>
  <c r="L79" s="1"/>
  <c r="I79"/>
  <c r="AA194" i="51"/>
  <c r="AB13"/>
  <c r="AB153" s="1"/>
  <c r="I47" i="52"/>
  <c r="AA94" i="51"/>
  <c r="I235" i="52"/>
  <c r="U177" i="51"/>
  <c r="I188" i="52"/>
  <c r="R297"/>
  <c r="T220" i="55"/>
  <c r="R39" i="52"/>
  <c r="R104"/>
  <c r="R70"/>
  <c r="R179"/>
  <c r="R55"/>
  <c r="R235"/>
  <c r="NB21" i="38"/>
  <c r="R215" i="52"/>
  <c r="I103"/>
  <c r="M201" i="51"/>
  <c r="R188" i="52"/>
  <c r="I108"/>
  <c r="O217" i="55"/>
  <c r="MX21" i="38"/>
  <c r="M245" i="51"/>
  <c r="R113" i="52"/>
  <c r="L20"/>
  <c r="L108" s="1"/>
  <c r="R79"/>
  <c r="I56"/>
  <c r="R67"/>
  <c r="AC182" i="51"/>
  <c r="T129"/>
  <c r="T201"/>
  <c r="AC241"/>
  <c r="T294"/>
  <c r="AC179"/>
  <c r="U187"/>
  <c r="I307" i="52"/>
  <c r="R178"/>
  <c r="I231"/>
  <c r="R199"/>
  <c r="AA107" i="51"/>
  <c r="AA285"/>
  <c r="R230" i="52"/>
  <c r="I41"/>
  <c r="I202"/>
  <c r="AI202" s="1"/>
  <c r="AA85" i="51"/>
  <c r="R292" i="52"/>
  <c r="I294"/>
  <c r="T223" i="55"/>
  <c r="R37" i="52"/>
  <c r="I183"/>
  <c r="R291"/>
  <c r="AC157" i="51"/>
  <c r="AC286"/>
  <c r="T76"/>
  <c r="T221" i="55"/>
  <c r="AC133" i="51"/>
  <c r="AC380"/>
  <c r="NB20" i="38"/>
  <c r="T177" i="51"/>
  <c r="R112" i="52"/>
  <c r="AC224" i="51"/>
  <c r="AC74"/>
  <c r="O223" i="55"/>
  <c r="T379" i="51"/>
  <c r="R38" i="52"/>
  <c r="AC206" i="51"/>
  <c r="W20"/>
  <c r="W294" s="1"/>
  <c r="T156"/>
  <c r="T226"/>
  <c r="R69" i="52"/>
  <c r="AC318" i="51"/>
  <c r="T322"/>
  <c r="T281"/>
  <c r="R187" i="52"/>
  <c r="AC291" i="51"/>
  <c r="AC344"/>
  <c r="T348"/>
  <c r="AC106"/>
  <c r="T245"/>
  <c r="U324"/>
  <c r="U303"/>
  <c r="M125"/>
  <c r="M261"/>
  <c r="M194"/>
  <c r="M368"/>
  <c r="AC261"/>
  <c r="M335"/>
  <c r="U354"/>
  <c r="AC147"/>
  <c r="M270"/>
  <c r="K94"/>
  <c r="U92"/>
  <c r="M147"/>
  <c r="U149"/>
  <c r="M94"/>
  <c r="U249"/>
  <c r="U219"/>
  <c r="K220"/>
  <c r="M46"/>
  <c r="U47"/>
  <c r="U69"/>
  <c r="M169"/>
  <c r="M361"/>
  <c r="U212"/>
  <c r="U268"/>
  <c r="AC311"/>
  <c r="AC169"/>
  <c r="K311"/>
  <c r="M311"/>
  <c r="U132"/>
  <c r="M70"/>
  <c r="AC94"/>
  <c r="AC194"/>
  <c r="K46"/>
  <c r="AC361"/>
  <c r="K368"/>
  <c r="K125"/>
  <c r="AC220"/>
  <c r="K270"/>
  <c r="K169"/>
  <c r="AC335"/>
  <c r="AC70"/>
  <c r="K261"/>
  <c r="K361"/>
  <c r="AC125"/>
  <c r="AC270"/>
  <c r="K194"/>
  <c r="K147"/>
  <c r="AC368"/>
  <c r="K70"/>
  <c r="AE493" i="52"/>
  <c r="AE492" s="1"/>
  <c r="AB509"/>
  <c r="G11" i="48"/>
  <c r="AF493" i="52"/>
  <c r="AC509"/>
  <c r="H11" i="48"/>
  <c r="AJ19" i="51"/>
  <c r="L19"/>
  <c r="L125" s="1"/>
  <c r="MZ53" i="38"/>
  <c r="U131" i="51"/>
  <c r="Q19" i="52"/>
  <c r="Q181" s="1"/>
  <c r="R106"/>
  <c r="I67"/>
  <c r="I230"/>
  <c r="M50" i="51"/>
  <c r="M177"/>
  <c r="M110"/>
  <c r="T210" i="55"/>
  <c r="M156" i="51"/>
  <c r="R311" i="52"/>
  <c r="L22"/>
  <c r="L199" s="1"/>
  <c r="M322" i="51"/>
  <c r="M281"/>
  <c r="M129"/>
  <c r="R247" i="52"/>
  <c r="I199"/>
  <c r="AI199" s="1"/>
  <c r="M379" i="51"/>
  <c r="R213" i="52"/>
  <c r="I37"/>
  <c r="I178"/>
  <c r="M76" i="51"/>
  <c r="M226"/>
  <c r="R181" i="52"/>
  <c r="M294" i="51"/>
  <c r="AA368"/>
  <c r="AA220"/>
  <c r="U379"/>
  <c r="U156"/>
  <c r="AA70"/>
  <c r="AA169"/>
  <c r="U50"/>
  <c r="U226"/>
  <c r="AA46"/>
  <c r="AA361"/>
  <c r="U294"/>
  <c r="U348"/>
  <c r="AA270"/>
  <c r="AA125"/>
  <c r="U76"/>
  <c r="U201"/>
  <c r="MX16" i="38"/>
  <c r="AA335" i="51"/>
  <c r="U322"/>
  <c r="AA147"/>
  <c r="U110"/>
  <c r="P19" i="52"/>
  <c r="P86" s="1"/>
  <c r="AA311" i="51"/>
  <c r="U281"/>
  <c r="NB16" i="38"/>
  <c r="U372" i="51"/>
  <c r="Q223" i="55"/>
  <c r="U246" i="51"/>
  <c r="U278"/>
  <c r="U155"/>
  <c r="U222"/>
  <c r="U72"/>
  <c r="U108"/>
  <c r="U346"/>
  <c r="U200"/>
  <c r="U323"/>
  <c r="U176"/>
  <c r="U293"/>
  <c r="T179"/>
  <c r="T284"/>
  <c r="T292"/>
  <c r="T317"/>
  <c r="T381"/>
  <c r="W22"/>
  <c r="X22" s="1"/>
  <c r="X381" s="1"/>
  <c r="W369"/>
  <c r="T152"/>
  <c r="W221"/>
  <c r="T55"/>
  <c r="T82"/>
  <c r="T244"/>
  <c r="T123"/>
  <c r="T204"/>
  <c r="T342"/>
  <c r="T232"/>
  <c r="AJ20"/>
  <c r="AC377"/>
  <c r="P21" i="52"/>
  <c r="P87" s="1"/>
  <c r="AC253" i="51"/>
  <c r="AC223"/>
  <c r="AC362"/>
  <c r="AC232"/>
  <c r="AC55"/>
  <c r="MZ62" i="38"/>
  <c r="AC274" i="51"/>
  <c r="AC244"/>
  <c r="AC381"/>
  <c r="AC72"/>
  <c r="MX20" i="38"/>
  <c r="AC112" i="51"/>
  <c r="AC284"/>
  <c r="AC152"/>
  <c r="AC82"/>
  <c r="AC342"/>
  <c r="AC317"/>
  <c r="M74"/>
  <c r="Q214" i="55"/>
  <c r="MX17" i="38"/>
  <c r="AC292" i="51"/>
  <c r="M241"/>
  <c r="U317"/>
  <c r="U284"/>
  <c r="U179"/>
  <c r="U55"/>
  <c r="U204"/>
  <c r="U381"/>
  <c r="U232"/>
  <c r="U292"/>
  <c r="U112"/>
  <c r="U152"/>
  <c r="U123"/>
  <c r="U82"/>
  <c r="U244"/>
  <c r="AA27"/>
  <c r="AA120" s="1"/>
  <c r="Q37" i="52"/>
  <c r="U209" i="51"/>
  <c r="U145"/>
  <c r="Q67" i="52"/>
  <c r="U351" i="51"/>
  <c r="Q292" i="52"/>
  <c r="U282" i="51"/>
  <c r="Q230" i="52"/>
  <c r="AB22" i="51"/>
  <c r="AB152" s="1"/>
  <c r="Q199" i="52"/>
  <c r="Q178"/>
  <c r="K20" i="51"/>
  <c r="K281" s="1"/>
  <c r="E217" i="44"/>
  <c r="MX25" i="38"/>
  <c r="W279" i="51"/>
  <c r="W308"/>
  <c r="AC85"/>
  <c r="AC107"/>
  <c r="AC367"/>
  <c r="K186"/>
  <c r="MY56" i="38"/>
  <c r="MW51"/>
  <c r="W144" i="51"/>
  <c r="W118"/>
  <c r="AC349"/>
  <c r="AC57"/>
  <c r="AC306"/>
  <c r="NB17" i="38"/>
  <c r="W257" i="51"/>
  <c r="W329"/>
  <c r="AC202"/>
  <c r="AC325"/>
  <c r="AC145"/>
  <c r="AC282"/>
  <c r="MZ54" i="38"/>
  <c r="L20" i="51"/>
  <c r="L226" s="1"/>
  <c r="W195"/>
  <c r="W101"/>
  <c r="AC134"/>
  <c r="AC235"/>
  <c r="AC209"/>
  <c r="AC120"/>
  <c r="W71"/>
  <c r="AC285"/>
  <c r="AC295"/>
  <c r="AC183"/>
  <c r="AC327"/>
  <c r="W353"/>
  <c r="X25"/>
  <c r="X308" s="1"/>
  <c r="AC158"/>
  <c r="AC73"/>
  <c r="AC48"/>
  <c r="W45"/>
  <c r="AC351"/>
  <c r="R107" i="52"/>
  <c r="R46"/>
  <c r="R75"/>
  <c r="R182"/>
  <c r="U306" i="51"/>
  <c r="T360"/>
  <c r="T227"/>
  <c r="R201" i="52"/>
  <c r="U367" i="51"/>
  <c r="U183"/>
  <c r="T366"/>
  <c r="R239" i="52"/>
  <c r="U95" i="51"/>
  <c r="Q209" i="55"/>
  <c r="T336" i="51"/>
  <c r="R306" i="52"/>
  <c r="U73" i="51"/>
  <c r="U253"/>
  <c r="U327"/>
  <c r="U223"/>
  <c r="U120"/>
  <c r="T77"/>
  <c r="T207"/>
  <c r="W9"/>
  <c r="W77" s="1"/>
  <c r="T51"/>
  <c r="NB14" i="38"/>
  <c r="T104" i="51"/>
  <c r="T181"/>
  <c r="T307"/>
  <c r="O214" i="55"/>
  <c r="T154" i="51"/>
  <c r="AA134"/>
  <c r="I245" i="52"/>
  <c r="MY54" i="38"/>
  <c r="AA235" i="51"/>
  <c r="AA202"/>
  <c r="I171" i="52"/>
  <c r="AA57" i="51"/>
  <c r="AA175"/>
  <c r="I96" i="52"/>
  <c r="AA248" i="51"/>
  <c r="AA325"/>
  <c r="I85" i="52"/>
  <c r="P8"/>
  <c r="P44" s="1"/>
  <c r="AA295" i="51"/>
  <c r="AA158"/>
  <c r="L9" i="52"/>
  <c r="L207" s="1"/>
  <c r="AA377" i="51"/>
  <c r="R73" i="52"/>
  <c r="R101"/>
  <c r="T219" i="55"/>
  <c r="R44" i="52"/>
  <c r="R295"/>
  <c r="R176"/>
  <c r="R198"/>
  <c r="MW44" i="38"/>
  <c r="MX6"/>
  <c r="Q219" i="55"/>
  <c r="L185" i="52"/>
  <c r="M306" i="51"/>
  <c r="M351"/>
  <c r="AB293"/>
  <c r="AB131"/>
  <c r="L110" i="52"/>
  <c r="M95" i="51"/>
  <c r="M253"/>
  <c r="AB323"/>
  <c r="AB200"/>
  <c r="AK275" i="52"/>
  <c r="L76"/>
  <c r="R293"/>
  <c r="M327" i="51"/>
  <c r="M223"/>
  <c r="AB278"/>
  <c r="AB176"/>
  <c r="L48" i="52"/>
  <c r="R232"/>
  <c r="M282" i="51"/>
  <c r="M145"/>
  <c r="AB72"/>
  <c r="AB372"/>
  <c r="NB19" i="38"/>
  <c r="T542" i="55"/>
  <c r="M183" i="51"/>
  <c r="D351" i="55"/>
  <c r="AB246" i="51"/>
  <c r="AB155"/>
  <c r="O215" i="55"/>
  <c r="V542"/>
  <c r="M367" i="51"/>
  <c r="D540" i="55"/>
  <c r="AB44" i="51"/>
  <c r="AB346"/>
  <c r="D718" i="55"/>
  <c r="M48" i="51"/>
  <c r="M209"/>
  <c r="AB222"/>
  <c r="L208" i="52"/>
  <c r="M120" i="51"/>
  <c r="MW56" i="38"/>
  <c r="P99" i="52"/>
  <c r="AB21" i="51"/>
  <c r="AB162" s="1"/>
  <c r="U84"/>
  <c r="AJ18"/>
  <c r="U135"/>
  <c r="W293"/>
  <c r="L201" i="52"/>
  <c r="L107"/>
  <c r="L75"/>
  <c r="M27"/>
  <c r="M306" s="1"/>
  <c r="L46"/>
  <c r="O219" i="55"/>
  <c r="L306" i="52"/>
  <c r="P112"/>
  <c r="L239"/>
  <c r="NB6" i="38"/>
  <c r="L18" i="51"/>
  <c r="L224" s="1"/>
  <c r="K27"/>
  <c r="K209" s="1"/>
  <c r="E224" i="44"/>
  <c r="AC260" i="51"/>
  <c r="AC205"/>
  <c r="AC246"/>
  <c r="AC176"/>
  <c r="M224"/>
  <c r="M286"/>
  <c r="AC304"/>
  <c r="AC44"/>
  <c r="AC155"/>
  <c r="M318"/>
  <c r="M106"/>
  <c r="AC135"/>
  <c r="AC293"/>
  <c r="AC372"/>
  <c r="M49"/>
  <c r="M380"/>
  <c r="AC337"/>
  <c r="AC180"/>
  <c r="AC278"/>
  <c r="AC108"/>
  <c r="M291"/>
  <c r="AC109"/>
  <c r="AC84"/>
  <c r="AC222"/>
  <c r="AC346"/>
  <c r="M206"/>
  <c r="AC373"/>
  <c r="AC234"/>
  <c r="AC200"/>
  <c r="AC131"/>
  <c r="M133"/>
  <c r="M182"/>
  <c r="NB7" i="38"/>
  <c r="IC16"/>
  <c r="E16" i="47" s="1"/>
  <c r="AC56" i="51"/>
  <c r="M157"/>
  <c r="R170" i="52"/>
  <c r="J189"/>
  <c r="W58" i="51"/>
  <c r="W116"/>
  <c r="U366"/>
  <c r="U130"/>
  <c r="W382"/>
  <c r="P204" i="52"/>
  <c r="R189"/>
  <c r="U307" i="51"/>
  <c r="U77"/>
  <c r="W93"/>
  <c r="W298"/>
  <c r="R95" i="52"/>
  <c r="R200"/>
  <c r="J301"/>
  <c r="J45"/>
  <c r="U51" i="51"/>
  <c r="U154"/>
  <c r="W316"/>
  <c r="W287"/>
  <c r="R87" i="52"/>
  <c r="R114"/>
  <c r="U259" i="51"/>
  <c r="U336"/>
  <c r="W211"/>
  <c r="R57" i="52"/>
  <c r="R82"/>
  <c r="T346" i="51"/>
  <c r="J200" i="52"/>
  <c r="U276" i="51"/>
  <c r="U227"/>
  <c r="W229"/>
  <c r="X11"/>
  <c r="X58" s="1"/>
  <c r="T215" i="55"/>
  <c r="T225"/>
  <c r="T323" i="51"/>
  <c r="T155"/>
  <c r="J228" i="52"/>
  <c r="O208" i="55"/>
  <c r="U207" i="51"/>
  <c r="U360"/>
  <c r="W142"/>
  <c r="W186"/>
  <c r="R304" i="52"/>
  <c r="R301"/>
  <c r="J82"/>
  <c r="W323" i="51"/>
  <c r="U181"/>
  <c r="W341"/>
  <c r="W79"/>
  <c r="R246" i="52"/>
  <c r="R45"/>
  <c r="T176" i="51"/>
  <c r="AC203"/>
  <c r="W222"/>
  <c r="W278"/>
  <c r="T278"/>
  <c r="W108"/>
  <c r="W286"/>
  <c r="T200"/>
  <c r="W176"/>
  <c r="W246"/>
  <c r="X16"/>
  <c r="X131" s="1"/>
  <c r="W380"/>
  <c r="T293"/>
  <c r="T44"/>
  <c r="O229" i="55"/>
  <c r="O225"/>
  <c r="W72" i="51"/>
  <c r="W200"/>
  <c r="T246"/>
  <c r="T108"/>
  <c r="T222"/>
  <c r="T72"/>
  <c r="NB24" i="38"/>
  <c r="MZ52"/>
  <c r="W44" i="51"/>
  <c r="W346"/>
  <c r="W372"/>
  <c r="W155"/>
  <c r="L38" i="52"/>
  <c r="T131" i="51"/>
  <c r="T372"/>
  <c r="L105" i="52"/>
  <c r="P42"/>
  <c r="L102"/>
  <c r="L40"/>
  <c r="W160" i="51"/>
  <c r="L180" i="52"/>
  <c r="L210"/>
  <c r="W60" i="51"/>
  <c r="W242"/>
  <c r="W326"/>
  <c r="P205" i="52"/>
  <c r="W301" i="51"/>
  <c r="W137"/>
  <c r="P184" i="52"/>
  <c r="U344" i="51"/>
  <c r="AA16"/>
  <c r="AA278" s="1"/>
  <c r="L68" i="52"/>
  <c r="L296"/>
  <c r="W383" i="51"/>
  <c r="P109" i="52"/>
  <c r="U106" i="51"/>
  <c r="U182"/>
  <c r="T282"/>
  <c r="M7" i="52"/>
  <c r="M180" s="1"/>
  <c r="W99" i="51"/>
  <c r="X17"/>
  <c r="X81" s="1"/>
  <c r="P71" i="52"/>
  <c r="U318" i="51"/>
  <c r="U224"/>
  <c r="U241"/>
  <c r="U286"/>
  <c r="W283"/>
  <c r="W178"/>
  <c r="P293" i="52"/>
  <c r="U157" i="51"/>
  <c r="W81"/>
  <c r="W203"/>
  <c r="P43" i="52"/>
  <c r="U291" i="51"/>
  <c r="U49"/>
  <c r="U133"/>
  <c r="W231"/>
  <c r="U206"/>
  <c r="U74"/>
  <c r="AC137"/>
  <c r="AC358"/>
  <c r="AC99"/>
  <c r="AC231"/>
  <c r="AC81"/>
  <c r="W147"/>
  <c r="AC301"/>
  <c r="AC383"/>
  <c r="W220"/>
  <c r="AC242"/>
  <c r="AC326"/>
  <c r="I209" i="52"/>
  <c r="AI209" s="1"/>
  <c r="AC160" i="51"/>
  <c r="AC283"/>
  <c r="AC60"/>
  <c r="W206"/>
  <c r="L69" i="52"/>
  <c r="W182" i="51"/>
  <c r="X18"/>
  <c r="X206" s="1"/>
  <c r="L112" i="52"/>
  <c r="I112"/>
  <c r="I291"/>
  <c r="AJ271" s="1"/>
  <c r="P343" i="48" s="1"/>
  <c r="W224" i="51"/>
  <c r="W133"/>
  <c r="L291" i="52"/>
  <c r="I38"/>
  <c r="W344" i="51"/>
  <c r="W241"/>
  <c r="L227" i="52"/>
  <c r="I187"/>
  <c r="T208" i="55"/>
  <c r="W157" i="51"/>
  <c r="W74"/>
  <c r="L197" i="52"/>
  <c r="W318" i="51"/>
  <c r="W291"/>
  <c r="L187" i="52"/>
  <c r="I227"/>
  <c r="W106" i="51"/>
  <c r="I197" i="52"/>
  <c r="AI197" s="1"/>
  <c r="I69"/>
  <c r="U260" i="51"/>
  <c r="AA259"/>
  <c r="U109"/>
  <c r="U234"/>
  <c r="M24" i="52"/>
  <c r="M208" s="1"/>
  <c r="AJ208" s="1"/>
  <c r="R205"/>
  <c r="Q208" i="55"/>
  <c r="AA130" i="51"/>
  <c r="U373"/>
  <c r="U180"/>
  <c r="R184" i="52"/>
  <c r="L16"/>
  <c r="M16" s="1"/>
  <c r="M205" s="1"/>
  <c r="AJ205" s="1"/>
  <c r="U274" i="51"/>
  <c r="U162"/>
  <c r="W43"/>
  <c r="R109" i="52"/>
  <c r="I43"/>
  <c r="I200"/>
  <c r="AI200" s="1"/>
  <c r="U337" i="51"/>
  <c r="U56"/>
  <c r="U362"/>
  <c r="W174"/>
  <c r="L310" i="52"/>
  <c r="R43"/>
  <c r="Q16"/>
  <c r="Q184" s="1"/>
  <c r="U205" i="51"/>
  <c r="W343"/>
  <c r="R71" i="52"/>
  <c r="M79" i="51"/>
  <c r="T327"/>
  <c r="W100"/>
  <c r="W296"/>
  <c r="W127"/>
  <c r="W273"/>
  <c r="I45" i="52"/>
  <c r="W320" i="51"/>
  <c r="W218"/>
  <c r="I189" i="52"/>
  <c r="I228"/>
  <c r="L17"/>
  <c r="L45" s="1"/>
  <c r="W199" i="51"/>
  <c r="X7"/>
  <c r="X43" s="1"/>
  <c r="I301" i="52"/>
  <c r="W371" i="51"/>
  <c r="W68"/>
  <c r="I114" i="52"/>
  <c r="W151" i="51"/>
  <c r="IB29" i="38"/>
  <c r="K58" i="51"/>
  <c r="K116"/>
  <c r="K79"/>
  <c r="K142"/>
  <c r="T260"/>
  <c r="K252"/>
  <c r="K382"/>
  <c r="T6"/>
  <c r="I6" i="52" s="1"/>
  <c r="T4" i="51"/>
  <c r="W21"/>
  <c r="K211"/>
  <c r="T162"/>
  <c r="K298"/>
  <c r="T56"/>
  <c r="M93"/>
  <c r="M116"/>
  <c r="I246" i="52"/>
  <c r="AA154" i="51"/>
  <c r="M341"/>
  <c r="M211"/>
  <c r="I57" i="52"/>
  <c r="T362" i="51"/>
  <c r="AA227"/>
  <c r="AA77"/>
  <c r="M287"/>
  <c r="M186"/>
  <c r="IB30" i="38"/>
  <c r="IB31"/>
  <c r="K287" i="51"/>
  <c r="T5"/>
  <c r="I95" i="52"/>
  <c r="T84" i="51"/>
  <c r="AA366"/>
  <c r="AA104"/>
  <c r="W303"/>
  <c r="M382"/>
  <c r="M298"/>
  <c r="I87" i="52"/>
  <c r="T205" i="51"/>
  <c r="T304"/>
  <c r="D271" i="44"/>
  <c r="E208"/>
  <c r="AA181" i="51"/>
  <c r="AA207"/>
  <c r="AA336"/>
  <c r="M316"/>
  <c r="M142"/>
  <c r="L21" i="52"/>
  <c r="L57" s="1"/>
  <c r="T109" i="51"/>
  <c r="T234"/>
  <c r="AA360"/>
  <c r="AA51"/>
  <c r="M229"/>
  <c r="M58"/>
  <c r="K93"/>
  <c r="I304" i="52"/>
  <c r="AJ269" s="1"/>
  <c r="P341" i="48" s="1"/>
  <c r="T337" i="51"/>
  <c r="T180"/>
  <c r="AA307"/>
  <c r="M336"/>
  <c r="K229"/>
  <c r="K341"/>
  <c r="T373"/>
  <c r="T135"/>
  <c r="MX15" i="38"/>
  <c r="T351" i="51"/>
  <c r="T306"/>
  <c r="T48"/>
  <c r="D15" i="47"/>
  <c r="IC15" i="38"/>
  <c r="E15" i="47" s="1"/>
  <c r="T209" i="51"/>
  <c r="T367"/>
  <c r="T145"/>
  <c r="T253"/>
  <c r="T95"/>
  <c r="T73"/>
  <c r="T183"/>
  <c r="W27"/>
  <c r="AB351"/>
  <c r="AB73"/>
  <c r="AC154"/>
  <c r="T120"/>
  <c r="D25" i="47"/>
  <c r="IC25" i="38"/>
  <c r="E25" i="47" s="1"/>
  <c r="AF492" i="52"/>
  <c r="AK492"/>
  <c r="AB120" i="51"/>
  <c r="AB253"/>
  <c r="AB282"/>
  <c r="AB183"/>
  <c r="AB95"/>
  <c r="M11" i="52"/>
  <c r="M298" s="1"/>
  <c r="L36"/>
  <c r="AB99" i="51"/>
  <c r="AB242"/>
  <c r="Q186" i="52"/>
  <c r="Q299"/>
  <c r="Q214"/>
  <c r="Q50"/>
  <c r="Q80"/>
  <c r="Q236"/>
  <c r="R307"/>
  <c r="I109"/>
  <c r="R56"/>
  <c r="P302"/>
  <c r="R245"/>
  <c r="P237"/>
  <c r="I232"/>
  <c r="I71"/>
  <c r="R207"/>
  <c r="P190"/>
  <c r="I293"/>
  <c r="R171"/>
  <c r="P211"/>
  <c r="I205"/>
  <c r="AI205" s="1"/>
  <c r="R96"/>
  <c r="P72"/>
  <c r="I4"/>
  <c r="I5"/>
  <c r="AA99" i="51"/>
  <c r="AA81"/>
  <c r="K7" i="48"/>
  <c r="AB383" i="51"/>
  <c r="AB367"/>
  <c r="AB145"/>
  <c r="AB223"/>
  <c r="AB231"/>
  <c r="AB306"/>
  <c r="AB209"/>
  <c r="AB203"/>
  <c r="AB48"/>
  <c r="AB326"/>
  <c r="W194"/>
  <c r="W261"/>
  <c r="W368"/>
  <c r="W361"/>
  <c r="L66" i="52"/>
  <c r="AB301" i="51"/>
  <c r="W94"/>
  <c r="W70"/>
  <c r="NB13" i="38"/>
  <c r="L238" i="52"/>
  <c r="AB81" i="51"/>
  <c r="W311"/>
  <c r="W335"/>
  <c r="L298" i="52"/>
  <c r="AB283" i="51"/>
  <c r="AB160"/>
  <c r="W46"/>
  <c r="L196" i="52"/>
  <c r="AB60" i="51"/>
  <c r="AB358"/>
  <c r="W270"/>
  <c r="X19"/>
  <c r="X311" s="1"/>
  <c r="AB178"/>
  <c r="W169"/>
  <c r="Q17" i="52"/>
  <c r="Q301" s="1"/>
  <c r="P45"/>
  <c r="P301"/>
  <c r="P228"/>
  <c r="P114"/>
  <c r="P82"/>
  <c r="P200"/>
  <c r="L78"/>
  <c r="AC77" i="51"/>
  <c r="AC276"/>
  <c r="AC336"/>
  <c r="R102" i="52"/>
  <c r="AC51" i="51"/>
  <c r="AC227"/>
  <c r="AC259"/>
  <c r="AC366"/>
  <c r="L42" i="52"/>
  <c r="AC207" i="51"/>
  <c r="AC104"/>
  <c r="AC360"/>
  <c r="AC130"/>
  <c r="AC307"/>
  <c r="P38" i="52"/>
  <c r="P69"/>
  <c r="P291"/>
  <c r="P227"/>
  <c r="P197"/>
  <c r="AA242" i="51"/>
  <c r="AA231"/>
  <c r="AA60"/>
  <c r="AA203"/>
  <c r="AA301"/>
  <c r="AA383"/>
  <c r="AA283"/>
  <c r="AA160"/>
  <c r="P298" i="52"/>
  <c r="AA178" i="51"/>
  <c r="AA358"/>
  <c r="AA137"/>
  <c r="R66" i="52"/>
  <c r="R177"/>
  <c r="R36"/>
  <c r="R196"/>
  <c r="R238"/>
  <c r="T224" i="55"/>
  <c r="FX31" i="38"/>
  <c r="Q456" i="48"/>
  <c r="Q458" s="1"/>
  <c r="E206" i="44"/>
  <c r="FX29" i="38"/>
  <c r="FX30"/>
  <c r="K294" i="44"/>
  <c r="K17" i="51"/>
  <c r="K326" s="1"/>
  <c r="E214" i="44"/>
  <c r="K9" i="51"/>
  <c r="K181" s="1"/>
  <c r="Q224" i="55"/>
  <c r="MY46" i="38"/>
  <c r="MX8"/>
  <c r="MW45"/>
  <c r="MX5"/>
  <c r="MW42"/>
  <c r="Q225" i="55"/>
  <c r="MY52" i="38"/>
  <c r="Q227" i="55"/>
  <c r="MY45" i="38"/>
  <c r="MX9"/>
  <c r="MW46"/>
  <c r="O224" i="55"/>
  <c r="MZ46" i="38"/>
  <c r="Q213" i="55"/>
  <c r="MY42" i="38"/>
  <c r="O226" i="55"/>
  <c r="F269" i="44"/>
  <c r="L9" i="51"/>
  <c r="L336" s="1"/>
  <c r="M160"/>
  <c r="M81"/>
  <c r="M20" i="26"/>
  <c r="S408" i="48"/>
  <c r="M283" i="51"/>
  <c r="M383"/>
  <c r="M60"/>
  <c r="M231"/>
  <c r="M326"/>
  <c r="M358"/>
  <c r="M178"/>
  <c r="M137"/>
  <c r="M242"/>
  <c r="M99"/>
  <c r="M301"/>
  <c r="M307"/>
  <c r="M227"/>
  <c r="M77"/>
  <c r="M360"/>
  <c r="M259"/>
  <c r="M104"/>
  <c r="M51"/>
  <c r="M366"/>
  <c r="M276"/>
  <c r="R436" i="44"/>
  <c r="E433" s="1"/>
  <c r="M207" i="51"/>
  <c r="K57"/>
  <c r="M181"/>
  <c r="M154"/>
  <c r="L7" i="48"/>
  <c r="M19" i="26"/>
  <c r="X507" i="52"/>
  <c r="X508" s="1"/>
  <c r="T462" i="48" s="1"/>
  <c r="T463" s="1"/>
  <c r="S407"/>
  <c r="Q229" i="55"/>
  <c r="MY61" i="38"/>
  <c r="MX13"/>
  <c r="MW50"/>
  <c r="Q226" i="55"/>
  <c r="MY50" i="38"/>
  <c r="L136" i="51"/>
  <c r="P9" i="52"/>
  <c r="P96" s="1"/>
  <c r="P111"/>
  <c r="L330" i="51"/>
  <c r="AC382"/>
  <c r="NB9" i="38"/>
  <c r="D616" i="55" s="1"/>
  <c r="IW29" i="38"/>
  <c r="IT30"/>
  <c r="AJ11" i="51"/>
  <c r="P308" i="52"/>
  <c r="AA142" i="51"/>
  <c r="P243" i="52"/>
  <c r="AA186" i="51"/>
  <c r="P174" i="52"/>
  <c r="L11" i="51"/>
  <c r="L298" s="1"/>
  <c r="P49" i="52"/>
  <c r="L308"/>
  <c r="K217" i="51"/>
  <c r="L243" i="52"/>
  <c r="K153" i="51"/>
  <c r="L204" i="52"/>
  <c r="L174"/>
  <c r="L311"/>
  <c r="L99"/>
  <c r="K280" i="51"/>
  <c r="L49" i="52"/>
  <c r="K173" i="51"/>
  <c r="Q238" i="52"/>
  <c r="P299"/>
  <c r="L96" i="51"/>
  <c r="L62"/>
  <c r="NA30" i="38"/>
  <c r="K202" i="51"/>
  <c r="K107"/>
  <c r="M12" i="52"/>
  <c r="M42" s="1"/>
  <c r="Q298"/>
  <c r="P236"/>
  <c r="L237" i="51"/>
  <c r="L388"/>
  <c r="K175"/>
  <c r="K285"/>
  <c r="L302" i="52"/>
  <c r="Q196"/>
  <c r="L168" i="51"/>
  <c r="L87"/>
  <c r="K325"/>
  <c r="K235"/>
  <c r="L237" i="52"/>
  <c r="Q177"/>
  <c r="P214"/>
  <c r="L250" i="51"/>
  <c r="L159"/>
  <c r="K158"/>
  <c r="K377"/>
  <c r="L190" i="52"/>
  <c r="Q66"/>
  <c r="P186"/>
  <c r="L299" i="51"/>
  <c r="K295"/>
  <c r="K349"/>
  <c r="K85"/>
  <c r="L211" i="52"/>
  <c r="Q102"/>
  <c r="P80"/>
  <c r="L355" i="51"/>
  <c r="K134"/>
  <c r="L72" i="52"/>
  <c r="AB11" i="51"/>
  <c r="AB116" s="1"/>
  <c r="L269"/>
  <c r="NA29" i="38"/>
  <c r="IT29"/>
  <c r="IW31"/>
  <c r="IT31"/>
  <c r="M325" i="51"/>
  <c r="M248"/>
  <c r="IW30" i="38"/>
  <c r="L8" i="51"/>
  <c r="L295" s="1"/>
  <c r="NA31" i="38"/>
  <c r="M107" i="51"/>
  <c r="AC186"/>
  <c r="M349"/>
  <c r="AC93"/>
  <c r="AC142"/>
  <c r="M134"/>
  <c r="M295"/>
  <c r="AC252"/>
  <c r="AC316"/>
  <c r="M285"/>
  <c r="M158"/>
  <c r="AC287"/>
  <c r="AC298"/>
  <c r="M85"/>
  <c r="M202"/>
  <c r="AC58"/>
  <c r="AC229"/>
  <c r="M235"/>
  <c r="M377"/>
  <c r="AC116"/>
  <c r="AC79"/>
  <c r="M57"/>
  <c r="AC341"/>
  <c r="F268" i="44"/>
  <c r="AA316" i="51"/>
  <c r="AA298"/>
  <c r="AA116"/>
  <c r="AA79"/>
  <c r="AA341"/>
  <c r="AA252"/>
  <c r="AA93"/>
  <c r="AA58"/>
  <c r="AA382"/>
  <c r="AA287"/>
  <c r="AA211"/>
  <c r="MZ30" i="38"/>
  <c r="P238" i="52"/>
  <c r="P196"/>
  <c r="P66"/>
  <c r="P177"/>
  <c r="P102"/>
  <c r="K237" i="51"/>
  <c r="L352"/>
  <c r="W347"/>
  <c r="K297"/>
  <c r="K42"/>
  <c r="K378"/>
  <c r="W251"/>
  <c r="K126"/>
  <c r="K197"/>
  <c r="K319"/>
  <c r="K345"/>
  <c r="R430" i="44"/>
  <c r="E438" s="1"/>
  <c r="X12" i="51"/>
  <c r="X148" s="1"/>
  <c r="K247"/>
  <c r="K105"/>
  <c r="AC6"/>
  <c r="R6" i="52" s="1"/>
  <c r="L170" i="51"/>
  <c r="L71"/>
  <c r="L144"/>
  <c r="L308"/>
  <c r="AA10"/>
  <c r="AA61" s="1"/>
  <c r="MW29" i="38"/>
  <c r="K192" i="51"/>
  <c r="K299"/>
  <c r="K96"/>
  <c r="K168"/>
  <c r="K330"/>
  <c r="K136"/>
  <c r="K62"/>
  <c r="K355"/>
  <c r="K388"/>
  <c r="K269"/>
  <c r="K87"/>
  <c r="K250"/>
  <c r="R4" i="52"/>
  <c r="Q347" i="48"/>
  <c r="E289" i="44"/>
  <c r="LF29" i="38"/>
  <c r="MV31"/>
  <c r="L233" i="51"/>
  <c r="L247" i="52"/>
  <c r="L331" i="51"/>
  <c r="L213" i="52"/>
  <c r="R5"/>
  <c r="L181"/>
  <c r="M19"/>
  <c r="M55" s="1"/>
  <c r="L106"/>
  <c r="L86"/>
  <c r="L146" i="51"/>
  <c r="FW30" i="38"/>
  <c r="LD29"/>
  <c r="Q295" i="52"/>
  <c r="Q198"/>
  <c r="MZ29" i="38"/>
  <c r="AC4" i="51"/>
  <c r="LG29" i="38"/>
  <c r="MW30"/>
  <c r="MX24"/>
  <c r="M4" i="51"/>
  <c r="FW31" i="38"/>
  <c r="LD31"/>
  <c r="MZ31"/>
  <c r="AC5" i="51"/>
  <c r="MW31" i="38"/>
  <c r="M5" i="51"/>
  <c r="LD30" i="38"/>
  <c r="L72" i="51"/>
  <c r="MV30" i="38"/>
  <c r="MV29"/>
  <c r="M6" i="51"/>
  <c r="FW29" i="38"/>
  <c r="K15" i="51"/>
  <c r="E212" i="44"/>
  <c r="D275"/>
  <c r="R53" i="52"/>
  <c r="R84"/>
  <c r="R248"/>
  <c r="T226" i="55"/>
  <c r="R173" i="52"/>
  <c r="R312"/>
  <c r="R98"/>
  <c r="R212"/>
  <c r="AC75" i="51"/>
  <c r="AC185"/>
  <c r="AC333"/>
  <c r="AC117"/>
  <c r="AC91"/>
  <c r="AC385"/>
  <c r="AC312"/>
  <c r="AC208"/>
  <c r="AC52"/>
  <c r="AC141"/>
  <c r="AC225"/>
  <c r="AC271"/>
  <c r="AC359"/>
  <c r="AC262"/>
  <c r="Q15" i="52"/>
  <c r="AB15" i="51"/>
  <c r="M141"/>
  <c r="M75"/>
  <c r="M117"/>
  <c r="M185"/>
  <c r="M271"/>
  <c r="M52"/>
  <c r="M208"/>
  <c r="M385"/>
  <c r="M91"/>
  <c r="M262"/>
  <c r="M333"/>
  <c r="M359"/>
  <c r="M312"/>
  <c r="M225"/>
  <c r="AJ15"/>
  <c r="F275" i="44"/>
  <c r="L15" i="51"/>
  <c r="FV30" i="38"/>
  <c r="LF31"/>
  <c r="P81" i="52"/>
  <c r="P97"/>
  <c r="P217"/>
  <c r="P300"/>
  <c r="P54"/>
  <c r="P241"/>
  <c r="P172"/>
  <c r="R244"/>
  <c r="R169"/>
  <c r="T229" i="55"/>
  <c r="R52" i="52"/>
  <c r="R309"/>
  <c r="R83"/>
  <c r="R94"/>
  <c r="R216"/>
  <c r="M150" i="51"/>
  <c r="M230"/>
  <c r="M122"/>
  <c r="M332"/>
  <c r="M386"/>
  <c r="M357"/>
  <c r="M80"/>
  <c r="M53"/>
  <c r="M171"/>
  <c r="M258"/>
  <c r="M309"/>
  <c r="M198"/>
  <c r="M267"/>
  <c r="M103"/>
  <c r="K150"/>
  <c r="K80"/>
  <c r="K386"/>
  <c r="K357"/>
  <c r="K258"/>
  <c r="K230"/>
  <c r="K267"/>
  <c r="K171"/>
  <c r="K309"/>
  <c r="K198"/>
  <c r="K53"/>
  <c r="K122"/>
  <c r="K332"/>
  <c r="K103"/>
  <c r="AA26"/>
  <c r="P26" i="52"/>
  <c r="O227" i="55"/>
  <c r="NB8" i="38"/>
  <c r="K10" i="51"/>
  <c r="E207" i="44"/>
  <c r="D270"/>
  <c r="AA7" i="51"/>
  <c r="P7" i="52"/>
  <c r="AC198" i="51"/>
  <c r="AC258"/>
  <c r="AC230"/>
  <c r="AC150"/>
  <c r="AC309"/>
  <c r="AC267"/>
  <c r="AC357"/>
  <c r="AC80"/>
  <c r="AC53"/>
  <c r="AC332"/>
  <c r="AC386"/>
  <c r="AC103"/>
  <c r="AC122"/>
  <c r="AC171"/>
  <c r="F286" i="44"/>
  <c r="AJ26" i="51"/>
  <c r="L26"/>
  <c r="P248" i="52"/>
  <c r="P84"/>
  <c r="P173"/>
  <c r="P53"/>
  <c r="P212"/>
  <c r="P98"/>
  <c r="P312"/>
  <c r="AA262" i="51"/>
  <c r="AA271"/>
  <c r="AA117"/>
  <c r="AA52"/>
  <c r="AA312"/>
  <c r="AA333"/>
  <c r="AA225"/>
  <c r="AA141"/>
  <c r="AA75"/>
  <c r="AA91"/>
  <c r="AA359"/>
  <c r="AA208"/>
  <c r="AA185"/>
  <c r="AA385"/>
  <c r="Y513" i="52"/>
  <c r="Y516" s="1"/>
  <c r="Y509"/>
  <c r="AB10" i="51"/>
  <c r="Q10" i="52"/>
  <c r="AC320" i="51"/>
  <c r="AC151"/>
  <c r="AC100"/>
  <c r="AC127"/>
  <c r="AC199"/>
  <c r="AC343"/>
  <c r="AC243"/>
  <c r="AC174"/>
  <c r="AC43"/>
  <c r="AC371"/>
  <c r="AC273"/>
  <c r="AC68"/>
  <c r="AC296"/>
  <c r="AC218"/>
  <c r="K7"/>
  <c r="D267" i="44"/>
  <c r="E204"/>
  <c r="X513" i="52"/>
  <c r="X516" s="1"/>
  <c r="K27" i="26" s="1"/>
  <c r="LG30" i="38"/>
  <c r="LF30"/>
  <c r="AC128" i="51"/>
  <c r="AC111"/>
  <c r="AC161"/>
  <c r="AC300"/>
  <c r="AC334"/>
  <c r="AC191"/>
  <c r="AC86"/>
  <c r="AC166"/>
  <c r="AC266"/>
  <c r="AC61"/>
  <c r="AC387"/>
  <c r="AC255"/>
  <c r="AC356"/>
  <c r="AC236"/>
  <c r="Q7" i="52"/>
  <c r="AB7" i="51"/>
  <c r="M68"/>
  <c r="M343"/>
  <c r="M273"/>
  <c r="M371"/>
  <c r="M174"/>
  <c r="M100"/>
  <c r="M218"/>
  <c r="M296"/>
  <c r="M243"/>
  <c r="M320"/>
  <c r="M127"/>
  <c r="M151"/>
  <c r="M199"/>
  <c r="M43"/>
  <c r="O213" i="55"/>
  <c r="NB5" i="38"/>
  <c r="LG31"/>
  <c r="FV29"/>
  <c r="AB26" i="51"/>
  <c r="Q26" i="52"/>
  <c r="R172"/>
  <c r="R217"/>
  <c r="R241"/>
  <c r="R300"/>
  <c r="T227" i="55"/>
  <c r="R81" i="52"/>
  <c r="R54"/>
  <c r="R97"/>
  <c r="F270" i="44"/>
  <c r="AJ10" i="51"/>
  <c r="L10"/>
  <c r="R180" i="52"/>
  <c r="R210"/>
  <c r="R229"/>
  <c r="R296"/>
  <c r="T213" i="55"/>
  <c r="R105" i="52"/>
  <c r="R40"/>
  <c r="R68"/>
  <c r="FV31" i="38"/>
  <c r="M86" i="51"/>
  <c r="M356"/>
  <c r="M266"/>
  <c r="M166"/>
  <c r="M334"/>
  <c r="M111"/>
  <c r="M161"/>
  <c r="M255"/>
  <c r="M191"/>
  <c r="M300"/>
  <c r="M61"/>
  <c r="M387"/>
  <c r="M236"/>
  <c r="M128"/>
  <c r="AJ7"/>
  <c r="F267" i="44"/>
  <c r="L7" i="51"/>
  <c r="Z513" i="52"/>
  <c r="Z516" s="1"/>
  <c r="Z509"/>
  <c r="L195" i="51"/>
  <c r="L45"/>
  <c r="L221"/>
  <c r="L118"/>
  <c r="L369"/>
  <c r="L279"/>
  <c r="L101"/>
  <c r="L329"/>
  <c r="L353"/>
  <c r="L203" i="52"/>
  <c r="W376" i="51"/>
  <c r="W59"/>
  <c r="L206" i="52"/>
  <c r="Q73"/>
  <c r="L121" i="51"/>
  <c r="L83"/>
  <c r="L305"/>
  <c r="L256"/>
  <c r="L98"/>
  <c r="L59"/>
  <c r="L376"/>
  <c r="L277"/>
  <c r="L172"/>
  <c r="Q44" i="52"/>
  <c r="L179"/>
  <c r="W331" i="51"/>
  <c r="W277"/>
  <c r="L323"/>
  <c r="W233"/>
  <c r="W98"/>
  <c r="L104" i="52"/>
  <c r="M13"/>
  <c r="M297" s="1"/>
  <c r="W172" i="51"/>
  <c r="W352"/>
  <c r="L70" i="52"/>
  <c r="W196" i="51"/>
  <c r="W146"/>
  <c r="L39" i="52"/>
  <c r="W256" i="51"/>
  <c r="L297" i="52"/>
  <c r="W83" i="51"/>
  <c r="X14"/>
  <c r="X277" s="1"/>
  <c r="W305"/>
  <c r="AB376"/>
  <c r="AB121"/>
  <c r="AA328"/>
  <c r="AA143"/>
  <c r="Q234" i="52"/>
  <c r="L100"/>
  <c r="Q176"/>
  <c r="M14"/>
  <c r="M77" s="1"/>
  <c r="L51"/>
  <c r="L77"/>
  <c r="L305"/>
  <c r="L242"/>
  <c r="L44" i="51"/>
  <c r="L176"/>
  <c r="L278"/>
  <c r="L372"/>
  <c r="L108"/>
  <c r="L155"/>
  <c r="L246"/>
  <c r="L346"/>
  <c r="L222"/>
  <c r="L131"/>
  <c r="L200"/>
  <c r="AA50"/>
  <c r="AA281"/>
  <c r="AA156"/>
  <c r="AA110"/>
  <c r="AA226"/>
  <c r="AA379"/>
  <c r="AA201"/>
  <c r="AA129"/>
  <c r="AA348"/>
  <c r="AA294"/>
  <c r="AA177"/>
  <c r="AA76"/>
  <c r="AA322"/>
  <c r="W319"/>
  <c r="W280"/>
  <c r="Q185" i="52"/>
  <c r="Q110"/>
  <c r="W126" i="51"/>
  <c r="Q48" i="52"/>
  <c r="W378" i="51"/>
  <c r="X13"/>
  <c r="X280" s="1"/>
  <c r="W105"/>
  <c r="W153"/>
  <c r="Q76" i="52"/>
  <c r="W247" i="51"/>
  <c r="W217"/>
  <c r="Q310" i="52"/>
  <c r="W67" i="51"/>
  <c r="W197"/>
  <c r="Q240" i="52"/>
  <c r="W297" i="51"/>
  <c r="W345"/>
  <c r="W42"/>
  <c r="AB352"/>
  <c r="AA167"/>
  <c r="AB83"/>
  <c r="AA310"/>
  <c r="AA41"/>
  <c r="AB256"/>
  <c r="AB59"/>
  <c r="AB196"/>
  <c r="AA275"/>
  <c r="AB277"/>
  <c r="AB98"/>
  <c r="AA66"/>
  <c r="AA254"/>
  <c r="AA350"/>
  <c r="AA119"/>
  <c r="AA216"/>
  <c r="AA370"/>
  <c r="AB233"/>
  <c r="AB305"/>
  <c r="AB331"/>
  <c r="AA193"/>
  <c r="AB172"/>
  <c r="L67"/>
  <c r="L297"/>
  <c r="P242" i="52"/>
  <c r="P206"/>
  <c r="L42" i="51"/>
  <c r="L173"/>
  <c r="P175" i="52"/>
  <c r="L280" i="51"/>
  <c r="L319"/>
  <c r="P51" i="52"/>
  <c r="L153" i="51"/>
  <c r="L105"/>
  <c r="P77" i="52"/>
  <c r="L217" i="51"/>
  <c r="L378"/>
  <c r="P100" i="52"/>
  <c r="L197" i="51"/>
  <c r="L126"/>
  <c r="L345"/>
  <c r="X8"/>
  <c r="X107" s="1"/>
  <c r="W57"/>
  <c r="W377"/>
  <c r="W134"/>
  <c r="W325"/>
  <c r="W235"/>
  <c r="W107"/>
  <c r="W248"/>
  <c r="W295"/>
  <c r="W158"/>
  <c r="W285"/>
  <c r="W202"/>
  <c r="W85"/>
  <c r="W349"/>
  <c r="AA112"/>
  <c r="AA232"/>
  <c r="AA244"/>
  <c r="AA152"/>
  <c r="AA123"/>
  <c r="AA82"/>
  <c r="AA179"/>
  <c r="AA284"/>
  <c r="AA292"/>
  <c r="AA317"/>
  <c r="AA381"/>
  <c r="AA55"/>
  <c r="AA204"/>
  <c r="AA342"/>
  <c r="P178" i="52"/>
  <c r="P199"/>
  <c r="P230"/>
  <c r="P292"/>
  <c r="P67"/>
  <c r="P37"/>
  <c r="P103"/>
  <c r="P239"/>
  <c r="P306"/>
  <c r="P107"/>
  <c r="P75"/>
  <c r="P46"/>
  <c r="P182"/>
  <c r="P201"/>
  <c r="K123" i="51"/>
  <c r="K204"/>
  <c r="R428" i="44"/>
  <c r="E430" s="1"/>
  <c r="K381" i="51"/>
  <c r="K152"/>
  <c r="K179"/>
  <c r="K284"/>
  <c r="K244"/>
  <c r="K292"/>
  <c r="K55"/>
  <c r="K342"/>
  <c r="K232"/>
  <c r="K112"/>
  <c r="K82"/>
  <c r="K317"/>
  <c r="Q179" i="52"/>
  <c r="Q203"/>
  <c r="Q233"/>
  <c r="Q297"/>
  <c r="Q39"/>
  <c r="Q70"/>
  <c r="Q104"/>
  <c r="AB279" i="51"/>
  <c r="AB369"/>
  <c r="AB118"/>
  <c r="AB221"/>
  <c r="AB308"/>
  <c r="AB195"/>
  <c r="AB144"/>
  <c r="AB170"/>
  <c r="AB45"/>
  <c r="AB329"/>
  <c r="AB71"/>
  <c r="AB353"/>
  <c r="AB257"/>
  <c r="AB101"/>
  <c r="Q69" i="52"/>
  <c r="Q197"/>
  <c r="Q187"/>
  <c r="Q227"/>
  <c r="Q291"/>
  <c r="Q38"/>
  <c r="Q112"/>
  <c r="L223" i="51"/>
  <c r="L120"/>
  <c r="L253"/>
  <c r="L327"/>
  <c r="L73"/>
  <c r="L95"/>
  <c r="L367"/>
  <c r="L209"/>
  <c r="L145"/>
  <c r="L183"/>
  <c r="L306"/>
  <c r="L282"/>
  <c r="L48"/>
  <c r="L351"/>
  <c r="Q243" i="52"/>
  <c r="Q308"/>
  <c r="Q99"/>
  <c r="Q49"/>
  <c r="Q78"/>
  <c r="Q174"/>
  <c r="Q204"/>
  <c r="AB133" i="51"/>
  <c r="AB344"/>
  <c r="AB224"/>
  <c r="AB241"/>
  <c r="AB380"/>
  <c r="AB286"/>
  <c r="AB182"/>
  <c r="AB49"/>
  <c r="AB206"/>
  <c r="AB291"/>
  <c r="AB157"/>
  <c r="AB106"/>
  <c r="AB74"/>
  <c r="AB318"/>
  <c r="E428" i="44"/>
  <c r="L102" i="51"/>
  <c r="L347"/>
  <c r="L148"/>
  <c r="L251"/>
  <c r="L78"/>
  <c r="L321"/>
  <c r="L54"/>
  <c r="L272"/>
  <c r="L228"/>
  <c r="L184"/>
  <c r="L210"/>
  <c r="L374"/>
  <c r="L302"/>
  <c r="L124"/>
  <c r="L375"/>
  <c r="L132"/>
  <c r="L324"/>
  <c r="L92"/>
  <c r="L354"/>
  <c r="L149"/>
  <c r="L303"/>
  <c r="L268"/>
  <c r="L249"/>
  <c r="L219"/>
  <c r="L69"/>
  <c r="L187"/>
  <c r="L212"/>
  <c r="L47"/>
  <c r="M197" i="52"/>
  <c r="AJ197" s="1"/>
  <c r="M291"/>
  <c r="M227"/>
  <c r="M187"/>
  <c r="M38"/>
  <c r="M69"/>
  <c r="M112"/>
  <c r="AB70" i="51"/>
  <c r="AB261"/>
  <c r="AB46"/>
  <c r="AB169"/>
  <c r="AB194"/>
  <c r="AB220"/>
  <c r="AB125"/>
  <c r="AB361"/>
  <c r="AB147"/>
  <c r="AB335"/>
  <c r="AB94"/>
  <c r="AB311"/>
  <c r="AB270"/>
  <c r="AB368"/>
  <c r="AA56"/>
  <c r="AA274"/>
  <c r="AA260"/>
  <c r="AA234"/>
  <c r="AA162"/>
  <c r="AA205"/>
  <c r="AA337"/>
  <c r="AA180"/>
  <c r="AA373"/>
  <c r="AA109"/>
  <c r="AA362"/>
  <c r="AA135"/>
  <c r="AA304"/>
  <c r="AA84"/>
  <c r="X193"/>
  <c r="X370"/>
  <c r="X97"/>
  <c r="X328"/>
  <c r="X143"/>
  <c r="X350"/>
  <c r="X119"/>
  <c r="X254"/>
  <c r="X66"/>
  <c r="X310"/>
  <c r="X41"/>
  <c r="X275"/>
  <c r="X167"/>
  <c r="X216"/>
  <c r="Q96" i="52"/>
  <c r="Q85"/>
  <c r="Q56"/>
  <c r="Q307"/>
  <c r="Q245"/>
  <c r="Q207"/>
  <c r="Q171"/>
  <c r="AB181" i="51"/>
  <c r="AB154"/>
  <c r="AB366"/>
  <c r="AB227"/>
  <c r="AB360"/>
  <c r="AB104"/>
  <c r="AB307"/>
  <c r="AB130"/>
  <c r="AB336"/>
  <c r="AB276"/>
  <c r="AB77"/>
  <c r="AB259"/>
  <c r="AB51"/>
  <c r="AB207"/>
  <c r="Q246" i="52"/>
  <c r="Q209"/>
  <c r="Q170"/>
  <c r="Q95"/>
  <c r="Q87"/>
  <c r="Q57"/>
  <c r="Q304"/>
  <c r="L180" i="51"/>
  <c r="L162"/>
  <c r="L205"/>
  <c r="L337"/>
  <c r="L234"/>
  <c r="L373"/>
  <c r="L109"/>
  <c r="L304"/>
  <c r="L84"/>
  <c r="L362"/>
  <c r="L56"/>
  <c r="L274"/>
  <c r="L260"/>
  <c r="L135"/>
  <c r="Q302" i="52"/>
  <c r="Q237"/>
  <c r="Q211"/>
  <c r="Q190"/>
  <c r="Q115"/>
  <c r="Q72"/>
  <c r="Q42"/>
  <c r="K132" i="51"/>
  <c r="K47"/>
  <c r="K303"/>
  <c r="K268"/>
  <c r="K249"/>
  <c r="K219"/>
  <c r="K187"/>
  <c r="K212"/>
  <c r="K375"/>
  <c r="K149"/>
  <c r="K354"/>
  <c r="K69"/>
  <c r="K92"/>
  <c r="K324"/>
  <c r="Q294" i="52"/>
  <c r="Q231"/>
  <c r="Q202"/>
  <c r="Q183"/>
  <c r="Q108"/>
  <c r="Q74"/>
  <c r="Q41"/>
  <c r="M198"/>
  <c r="AJ198" s="1"/>
  <c r="M295"/>
  <c r="M234"/>
  <c r="M176"/>
  <c r="M73"/>
  <c r="M101"/>
  <c r="M44"/>
  <c r="Q113"/>
  <c r="Q79"/>
  <c r="Q47"/>
  <c r="Q303"/>
  <c r="Q235"/>
  <c r="Q188"/>
  <c r="Q215"/>
  <c r="AB54" i="51"/>
  <c r="AB272"/>
  <c r="AB228"/>
  <c r="AB184"/>
  <c r="AB374"/>
  <c r="AB210"/>
  <c r="AB302"/>
  <c r="AB124"/>
  <c r="AB321"/>
  <c r="AB102"/>
  <c r="AB347"/>
  <c r="AB148"/>
  <c r="AB251"/>
  <c r="AB78"/>
  <c r="M49" i="52"/>
  <c r="M78"/>
  <c r="M204"/>
  <c r="AJ204" s="1"/>
  <c r="M308"/>
  <c r="M243"/>
  <c r="M174"/>
  <c r="M99"/>
  <c r="AB50" i="51"/>
  <c r="AB281"/>
  <c r="AB156"/>
  <c r="AB226"/>
  <c r="AB201"/>
  <c r="AB348"/>
  <c r="AB177"/>
  <c r="AB322"/>
  <c r="AB110"/>
  <c r="AB379"/>
  <c r="AB129"/>
  <c r="AB294"/>
  <c r="AB76"/>
  <c r="AB245"/>
  <c r="E435" i="44"/>
  <c r="W379" i="51" l="1"/>
  <c r="T256" i="48"/>
  <c r="AG134" i="51"/>
  <c r="T258" i="48"/>
  <c r="AG136" i="51"/>
  <c r="T254" i="48"/>
  <c r="AG132" i="51"/>
  <c r="N258" i="48"/>
  <c r="AG122" i="51"/>
  <c r="N252" i="48"/>
  <c r="AG116" i="51"/>
  <c r="Q253" i="48"/>
  <c r="AG125" i="51"/>
  <c r="Q255" i="48"/>
  <c r="AG126" i="51"/>
  <c r="N259" i="48"/>
  <c r="AG123" i="51"/>
  <c r="FX42" i="38"/>
  <c r="FX41"/>
  <c r="FX40"/>
  <c r="W210" i="51"/>
  <c r="W102"/>
  <c r="W124"/>
  <c r="W54"/>
  <c r="W148"/>
  <c r="W78"/>
  <c r="W272"/>
  <c r="W228"/>
  <c r="W302"/>
  <c r="W321"/>
  <c r="W184"/>
  <c r="L183" i="52"/>
  <c r="P233"/>
  <c r="P297"/>
  <c r="P39"/>
  <c r="P179"/>
  <c r="P104"/>
  <c r="P203"/>
  <c r="W375" i="51"/>
  <c r="X23"/>
  <c r="X303" s="1"/>
  <c r="W212"/>
  <c r="W47"/>
  <c r="W249"/>
  <c r="W354"/>
  <c r="W219"/>
  <c r="W92"/>
  <c r="W132"/>
  <c r="W324"/>
  <c r="W268"/>
  <c r="W69"/>
  <c r="W187"/>
  <c r="P303" i="52"/>
  <c r="P235"/>
  <c r="P79"/>
  <c r="P215"/>
  <c r="P113"/>
  <c r="P47"/>
  <c r="AB126" i="51"/>
  <c r="M20" i="52"/>
  <c r="M202" s="1"/>
  <c r="AJ202" s="1"/>
  <c r="L188"/>
  <c r="L235"/>
  <c r="L113"/>
  <c r="L47"/>
  <c r="L96"/>
  <c r="L215"/>
  <c r="M23"/>
  <c r="M47" s="1"/>
  <c r="L303"/>
  <c r="AB47" i="51"/>
  <c r="AB375"/>
  <c r="AB92"/>
  <c r="AB354"/>
  <c r="AB219"/>
  <c r="AB69"/>
  <c r="AB149"/>
  <c r="AB187"/>
  <c r="AB268"/>
  <c r="AB212"/>
  <c r="AB303"/>
  <c r="AB324"/>
  <c r="W307"/>
  <c r="AB249"/>
  <c r="W123"/>
  <c r="AB280"/>
  <c r="AB67"/>
  <c r="AB378"/>
  <c r="AB173"/>
  <c r="AB42"/>
  <c r="AB345"/>
  <c r="L41" i="52"/>
  <c r="L231"/>
  <c r="L74"/>
  <c r="AB105" i="51"/>
  <c r="AB197"/>
  <c r="AB297"/>
  <c r="AB217"/>
  <c r="L294" i="52"/>
  <c r="AB319" i="51"/>
  <c r="AB247"/>
  <c r="L202" i="52"/>
  <c r="W51" i="51"/>
  <c r="X9"/>
  <c r="X130" s="1"/>
  <c r="L230" i="52"/>
  <c r="L37"/>
  <c r="M22"/>
  <c r="M103" s="1"/>
  <c r="W227" i="51"/>
  <c r="L178" i="52"/>
  <c r="W276" i="51"/>
  <c r="W366"/>
  <c r="W104"/>
  <c r="W207"/>
  <c r="W360"/>
  <c r="W181"/>
  <c r="W130"/>
  <c r="L67" i="52"/>
  <c r="W154" i="51"/>
  <c r="W259"/>
  <c r="L103" i="52"/>
  <c r="W336" i="51"/>
  <c r="L292" i="52"/>
  <c r="K226" i="51"/>
  <c r="Q86" i="52"/>
  <c r="X170" i="51"/>
  <c r="L361"/>
  <c r="W281"/>
  <c r="W76"/>
  <c r="X257"/>
  <c r="L147"/>
  <c r="AB82"/>
  <c r="X71"/>
  <c r="L261"/>
  <c r="AB55"/>
  <c r="X221"/>
  <c r="W322"/>
  <c r="W50"/>
  <c r="P347" i="48"/>
  <c r="W177" i="51"/>
  <c r="W348"/>
  <c r="X20"/>
  <c r="X245" s="1"/>
  <c r="W245"/>
  <c r="W156"/>
  <c r="W129"/>
  <c r="W110"/>
  <c r="W201"/>
  <c r="W226"/>
  <c r="X152"/>
  <c r="X112"/>
  <c r="W232"/>
  <c r="X317"/>
  <c r="W381"/>
  <c r="W204"/>
  <c r="W292"/>
  <c r="X342"/>
  <c r="X232"/>
  <c r="X82"/>
  <c r="X292"/>
  <c r="W55"/>
  <c r="X55"/>
  <c r="W284"/>
  <c r="X204"/>
  <c r="W317"/>
  <c r="W342"/>
  <c r="W152"/>
  <c r="W179"/>
  <c r="X244"/>
  <c r="X179"/>
  <c r="X284"/>
  <c r="X123"/>
  <c r="W112"/>
  <c r="W244"/>
  <c r="W82"/>
  <c r="X279"/>
  <c r="X118"/>
  <c r="L335"/>
  <c r="AB112"/>
  <c r="AB292"/>
  <c r="P106" i="52"/>
  <c r="X329" i="51"/>
  <c r="L94"/>
  <c r="L70"/>
  <c r="AB284"/>
  <c r="AB204"/>
  <c r="P311" i="52"/>
  <c r="AB232" i="51"/>
  <c r="X101"/>
  <c r="L311"/>
  <c r="L194"/>
  <c r="AB381"/>
  <c r="P247" i="52"/>
  <c r="X369" i="51"/>
  <c r="X45"/>
  <c r="L270"/>
  <c r="L46"/>
  <c r="AB244"/>
  <c r="AB123"/>
  <c r="P213" i="52"/>
  <c r="P55"/>
  <c r="X353" i="51"/>
  <c r="X195"/>
  <c r="L368"/>
  <c r="L220"/>
  <c r="AB179"/>
  <c r="P181" i="52"/>
  <c r="AB342" i="51"/>
  <c r="X144"/>
  <c r="L169"/>
  <c r="AB317"/>
  <c r="AA48"/>
  <c r="P57" i="52"/>
  <c r="Q106"/>
  <c r="Q311"/>
  <c r="Q247"/>
  <c r="Q55"/>
  <c r="R432" i="44"/>
  <c r="E431" s="1"/>
  <c r="Q213" i="52"/>
  <c r="K50" i="51"/>
  <c r="K156"/>
  <c r="P95" i="52"/>
  <c r="K201" i="51"/>
  <c r="L201"/>
  <c r="K379"/>
  <c r="L50"/>
  <c r="K294"/>
  <c r="P304" i="52"/>
  <c r="P246"/>
  <c r="P209"/>
  <c r="P170"/>
  <c r="P176"/>
  <c r="P234"/>
  <c r="L85"/>
  <c r="L56"/>
  <c r="M9"/>
  <c r="M56" s="1"/>
  <c r="L307"/>
  <c r="L245"/>
  <c r="L171"/>
  <c r="AA209" i="51"/>
  <c r="AA95"/>
  <c r="AA306"/>
  <c r="AA351"/>
  <c r="AA223"/>
  <c r="AA145"/>
  <c r="AA73"/>
  <c r="AA282"/>
  <c r="AA183"/>
  <c r="AA327"/>
  <c r="AA367"/>
  <c r="AA253"/>
  <c r="L76"/>
  <c r="L348"/>
  <c r="K348"/>
  <c r="K177"/>
  <c r="L245"/>
  <c r="L177"/>
  <c r="K129"/>
  <c r="K245"/>
  <c r="K322"/>
  <c r="L322"/>
  <c r="K76"/>
  <c r="L281"/>
  <c r="K110"/>
  <c r="AB337"/>
  <c r="L156"/>
  <c r="L110"/>
  <c r="L379"/>
  <c r="L129"/>
  <c r="L294"/>
  <c r="P73" i="52"/>
  <c r="P295"/>
  <c r="P198"/>
  <c r="P101"/>
  <c r="AB205" i="51"/>
  <c r="AB260"/>
  <c r="AB362"/>
  <c r="M239" i="52"/>
  <c r="M40"/>
  <c r="L241" i="51"/>
  <c r="L318"/>
  <c r="M185" i="52"/>
  <c r="AB84" i="51"/>
  <c r="AB373"/>
  <c r="AB109"/>
  <c r="AB304"/>
  <c r="AB135"/>
  <c r="AB180"/>
  <c r="AB274"/>
  <c r="AB234"/>
  <c r="AB56"/>
  <c r="M182" i="52"/>
  <c r="M75"/>
  <c r="R426" i="44"/>
  <c r="E432" s="1"/>
  <c r="M201" i="52"/>
  <c r="AJ201" s="1"/>
  <c r="M107"/>
  <c r="K253" i="51"/>
  <c r="K120"/>
  <c r="M46" i="52"/>
  <c r="K73" i="51"/>
  <c r="AJ275" i="52"/>
  <c r="K223" i="51"/>
  <c r="X76"/>
  <c r="X229"/>
  <c r="X252"/>
  <c r="M105" i="52"/>
  <c r="X273" i="51"/>
  <c r="L175"/>
  <c r="X218"/>
  <c r="AA200"/>
  <c r="X243"/>
  <c r="AA323"/>
  <c r="AA155"/>
  <c r="L57"/>
  <c r="L285"/>
  <c r="X100"/>
  <c r="L377"/>
  <c r="AA372"/>
  <c r="AA44"/>
  <c r="X203"/>
  <c r="K242"/>
  <c r="X182"/>
  <c r="X383"/>
  <c r="X99"/>
  <c r="M184" i="52"/>
  <c r="L184"/>
  <c r="X224" i="51"/>
  <c r="X301"/>
  <c r="X344"/>
  <c r="M43" i="52"/>
  <c r="L293"/>
  <c r="L109"/>
  <c r="X160" i="51"/>
  <c r="X74"/>
  <c r="X242"/>
  <c r="X241"/>
  <c r="X178"/>
  <c r="X106"/>
  <c r="X49"/>
  <c r="M71" i="52"/>
  <c r="X358" i="51"/>
  <c r="X318"/>
  <c r="X291"/>
  <c r="M109" i="52"/>
  <c r="X231" i="51"/>
  <c r="X60"/>
  <c r="X133"/>
  <c r="X380"/>
  <c r="M293" i="52"/>
  <c r="L43"/>
  <c r="L232"/>
  <c r="X326" i="51"/>
  <c r="X283"/>
  <c r="X286"/>
  <c r="X157"/>
  <c r="M232" i="52"/>
  <c r="X125" i="51"/>
  <c r="X137"/>
  <c r="L71" i="52"/>
  <c r="L205"/>
  <c r="L206" i="51"/>
  <c r="L286"/>
  <c r="K145"/>
  <c r="L106"/>
  <c r="L380"/>
  <c r="K351"/>
  <c r="K95"/>
  <c r="K306"/>
  <c r="L133"/>
  <c r="L49"/>
  <c r="K367"/>
  <c r="L182"/>
  <c r="L344"/>
  <c r="K48"/>
  <c r="K327"/>
  <c r="L291"/>
  <c r="L157"/>
  <c r="K282"/>
  <c r="K183"/>
  <c r="X372"/>
  <c r="L74"/>
  <c r="X343"/>
  <c r="X174"/>
  <c r="M68" i="52"/>
  <c r="L325" i="51"/>
  <c r="Q232" i="52"/>
  <c r="Q71"/>
  <c r="IC31" i="38"/>
  <c r="X68" i="51"/>
  <c r="IC29" i="38"/>
  <c r="L134" i="51"/>
  <c r="Q43" i="52"/>
  <c r="AA222" i="51"/>
  <c r="X199"/>
  <c r="M296" i="52"/>
  <c r="L248" i="51"/>
  <c r="L235"/>
  <c r="L85"/>
  <c r="AA176"/>
  <c r="AA108"/>
  <c r="Q293" i="52"/>
  <c r="X320" i="51"/>
  <c r="X127"/>
  <c r="M229" i="52"/>
  <c r="L349" i="51"/>
  <c r="L158"/>
  <c r="L202"/>
  <c r="AA131"/>
  <c r="AA72"/>
  <c r="X151"/>
  <c r="X296"/>
  <c r="M210" i="52"/>
  <c r="AJ210" s="1"/>
  <c r="Q109"/>
  <c r="AA346" i="51"/>
  <c r="L107"/>
  <c r="L104"/>
  <c r="L207"/>
  <c r="X371"/>
  <c r="Q205" i="52"/>
  <c r="AA246" i="51"/>
  <c r="AA293"/>
  <c r="K231"/>
  <c r="X298"/>
  <c r="X186"/>
  <c r="X211"/>
  <c r="X93"/>
  <c r="X341"/>
  <c r="X287"/>
  <c r="X142"/>
  <c r="X79"/>
  <c r="X382"/>
  <c r="X316"/>
  <c r="X116"/>
  <c r="X368"/>
  <c r="L4" i="52"/>
  <c r="L5"/>
  <c r="X70" i="51"/>
  <c r="X194"/>
  <c r="IC30" i="38"/>
  <c r="L87" i="52"/>
  <c r="X261" i="51"/>
  <c r="X361"/>
  <c r="L246" i="52"/>
  <c r="X46" i="51"/>
  <c r="X147"/>
  <c r="L170" i="52"/>
  <c r="M21"/>
  <c r="M87" s="1"/>
  <c r="X270" i="51"/>
  <c r="X335"/>
  <c r="X220"/>
  <c r="X94"/>
  <c r="L304" i="52"/>
  <c r="X169" i="51"/>
  <c r="L95" i="52"/>
  <c r="L209"/>
  <c r="X108" i="51"/>
  <c r="X176"/>
  <c r="X278"/>
  <c r="X155"/>
  <c r="M238" i="52"/>
  <c r="X72" i="51"/>
  <c r="X222"/>
  <c r="X246"/>
  <c r="X346"/>
  <c r="X44"/>
  <c r="X200"/>
  <c r="W6"/>
  <c r="L6" i="52" s="1"/>
  <c r="X293" i="51"/>
  <c r="X323"/>
  <c r="K77"/>
  <c r="M310" i="52"/>
  <c r="M240"/>
  <c r="M76"/>
  <c r="M48"/>
  <c r="M110"/>
  <c r="W4" i="51"/>
  <c r="W5"/>
  <c r="M302" i="52"/>
  <c r="M17"/>
  <c r="M189" s="1"/>
  <c r="L114"/>
  <c r="L189"/>
  <c r="L301"/>
  <c r="L82"/>
  <c r="L200"/>
  <c r="L228"/>
  <c r="L181" i="51"/>
  <c r="L307"/>
  <c r="W234"/>
  <c r="W362"/>
  <c r="W56"/>
  <c r="W84"/>
  <c r="W205"/>
  <c r="X21"/>
  <c r="W373"/>
  <c r="W162"/>
  <c r="W180"/>
  <c r="W135"/>
  <c r="W260"/>
  <c r="W337"/>
  <c r="W109"/>
  <c r="W274"/>
  <c r="W304"/>
  <c r="L154"/>
  <c r="L130"/>
  <c r="L360"/>
  <c r="L259"/>
  <c r="L227"/>
  <c r="L77"/>
  <c r="L366"/>
  <c r="L276"/>
  <c r="L51"/>
  <c r="W327"/>
  <c r="W209"/>
  <c r="W120"/>
  <c r="W282"/>
  <c r="X27"/>
  <c r="W253"/>
  <c r="W183"/>
  <c r="W48"/>
  <c r="W367"/>
  <c r="W95"/>
  <c r="W73"/>
  <c r="W306"/>
  <c r="W145"/>
  <c r="W351"/>
  <c r="W223"/>
  <c r="X251"/>
  <c r="K81"/>
  <c r="K137"/>
  <c r="K203"/>
  <c r="K358"/>
  <c r="K99"/>
  <c r="K283"/>
  <c r="K60"/>
  <c r="K383"/>
  <c r="K301"/>
  <c r="M72" i="52"/>
  <c r="K178" i="51"/>
  <c r="K160"/>
  <c r="R438" i="44"/>
  <c r="E434" s="1"/>
  <c r="AB229" i="51"/>
  <c r="M196" i="52"/>
  <c r="AJ196" s="1"/>
  <c r="M177"/>
  <c r="M102"/>
  <c r="M36"/>
  <c r="M66"/>
  <c r="M237"/>
  <c r="M190"/>
  <c r="M292"/>
  <c r="M211"/>
  <c r="AJ211" s="1"/>
  <c r="M115"/>
  <c r="Q189"/>
  <c r="Q228"/>
  <c r="Q82"/>
  <c r="Q200"/>
  <c r="Q45"/>
  <c r="Q114"/>
  <c r="P171"/>
  <c r="AB79" i="51"/>
  <c r="AB382"/>
  <c r="AB211"/>
  <c r="AB93"/>
  <c r="AB252"/>
  <c r="AB287"/>
  <c r="AB298"/>
  <c r="AB341"/>
  <c r="AB58"/>
  <c r="AB186"/>
  <c r="AB142"/>
  <c r="K227"/>
  <c r="K207"/>
  <c r="K130"/>
  <c r="K259"/>
  <c r="R433" i="44"/>
  <c r="S427" s="1"/>
  <c r="Y426" s="1"/>
  <c r="Z426" s="1"/>
  <c r="K104" i="51"/>
  <c r="K51"/>
  <c r="K360"/>
  <c r="K307"/>
  <c r="K336"/>
  <c r="K154"/>
  <c r="K276"/>
  <c r="K366"/>
  <c r="L316"/>
  <c r="L287"/>
  <c r="F289" i="44"/>
  <c r="AB316" i="51"/>
  <c r="L58"/>
  <c r="L252"/>
  <c r="L211"/>
  <c r="L382"/>
  <c r="L79"/>
  <c r="L116"/>
  <c r="L186"/>
  <c r="L341"/>
  <c r="L229"/>
  <c r="L93"/>
  <c r="L142"/>
  <c r="X509" i="52"/>
  <c r="M27" i="26" s="1"/>
  <c r="W513" i="52"/>
  <c r="W516" s="1"/>
  <c r="P307"/>
  <c r="P207"/>
  <c r="P85"/>
  <c r="AA255" i="51"/>
  <c r="P245" i="52"/>
  <c r="P56"/>
  <c r="M86"/>
  <c r="M213"/>
  <c r="AJ213" s="1"/>
  <c r="M311"/>
  <c r="M247"/>
  <c r="M181"/>
  <c r="M106"/>
  <c r="AA128" i="51"/>
  <c r="AA4"/>
  <c r="AA161"/>
  <c r="AA236"/>
  <c r="AA191"/>
  <c r="AA111"/>
  <c r="AA356"/>
  <c r="AA166"/>
  <c r="AA86"/>
  <c r="AA334"/>
  <c r="AA300"/>
  <c r="AA266"/>
  <c r="AA6"/>
  <c r="P6" i="52" s="1"/>
  <c r="X321" i="51"/>
  <c r="AA387"/>
  <c r="X184"/>
  <c r="X124"/>
  <c r="X210"/>
  <c r="X374"/>
  <c r="X102"/>
  <c r="X302"/>
  <c r="X54"/>
  <c r="X228"/>
  <c r="X272"/>
  <c r="X347"/>
  <c r="X78"/>
  <c r="M233" i="52"/>
  <c r="V513"/>
  <c r="V516" s="1"/>
  <c r="D289" i="44"/>
  <c r="M179" i="52"/>
  <c r="M104"/>
  <c r="M70"/>
  <c r="X67" i="51"/>
  <c r="K6"/>
  <c r="M39" i="52"/>
  <c r="X297" i="51"/>
  <c r="M242" i="52"/>
  <c r="M203"/>
  <c r="AJ203" s="1"/>
  <c r="AA5" i="51"/>
  <c r="MX31" i="38"/>
  <c r="MX30"/>
  <c r="MX29"/>
  <c r="NB29"/>
  <c r="X352" i="51"/>
  <c r="X233"/>
  <c r="X172"/>
  <c r="P5" i="52"/>
  <c r="X331" i="51"/>
  <c r="P4" i="52"/>
  <c r="NB30" i="38"/>
  <c r="X196" i="51"/>
  <c r="X146"/>
  <c r="X305"/>
  <c r="X256"/>
  <c r="X121"/>
  <c r="X83"/>
  <c r="NB31" i="38"/>
  <c r="X376" i="51"/>
  <c r="X59"/>
  <c r="X98"/>
  <c r="K312"/>
  <c r="K185"/>
  <c r="K52"/>
  <c r="K333"/>
  <c r="K208"/>
  <c r="K359"/>
  <c r="K262"/>
  <c r="K271"/>
  <c r="K225"/>
  <c r="K141"/>
  <c r="K385"/>
  <c r="K91"/>
  <c r="K117"/>
  <c r="K75"/>
  <c r="Q53" i="52"/>
  <c r="Q312"/>
  <c r="Q248"/>
  <c r="Q98"/>
  <c r="Q212"/>
  <c r="Q84"/>
  <c r="Q173"/>
  <c r="K5" i="51"/>
  <c r="Q256" i="48" s="1"/>
  <c r="AB75" i="51"/>
  <c r="AB333"/>
  <c r="AB359"/>
  <c r="AB208"/>
  <c r="AB271"/>
  <c r="AB185"/>
  <c r="AB141"/>
  <c r="AB385"/>
  <c r="AB225"/>
  <c r="AB312"/>
  <c r="AB117"/>
  <c r="AB91"/>
  <c r="AB262"/>
  <c r="AB52"/>
  <c r="L208"/>
  <c r="L225"/>
  <c r="L385"/>
  <c r="L52"/>
  <c r="L185"/>
  <c r="L117"/>
  <c r="L141"/>
  <c r="L75"/>
  <c r="L312"/>
  <c r="L359"/>
  <c r="L333"/>
  <c r="L262"/>
  <c r="L91"/>
  <c r="L271"/>
  <c r="K4"/>
  <c r="Q254" i="48" s="1"/>
  <c r="M26" i="26"/>
  <c r="AB357" i="51"/>
  <c r="AB267"/>
  <c r="AB309"/>
  <c r="AB150"/>
  <c r="AB198"/>
  <c r="AB332"/>
  <c r="AB258"/>
  <c r="AB103"/>
  <c r="AB80"/>
  <c r="AB53"/>
  <c r="AB386"/>
  <c r="AB171"/>
  <c r="AB122"/>
  <c r="AB230"/>
  <c r="Q216" i="52"/>
  <c r="Q244"/>
  <c r="Q169"/>
  <c r="Q309"/>
  <c r="Q83"/>
  <c r="Q52"/>
  <c r="Q94"/>
  <c r="Q105"/>
  <c r="Q68"/>
  <c r="Q180"/>
  <c r="Q210"/>
  <c r="Q40"/>
  <c r="Q229"/>
  <c r="Q296"/>
  <c r="K127" i="51"/>
  <c r="K320"/>
  <c r="R431" i="44"/>
  <c r="K199" i="51"/>
  <c r="K43"/>
  <c r="K343"/>
  <c r="K174"/>
  <c r="K273"/>
  <c r="K218"/>
  <c r="K68"/>
  <c r="K151"/>
  <c r="K296"/>
  <c r="K243"/>
  <c r="K371"/>
  <c r="K100"/>
  <c r="AB86"/>
  <c r="AB300"/>
  <c r="AB191"/>
  <c r="AB266"/>
  <c r="AB111"/>
  <c r="AB166"/>
  <c r="AB387"/>
  <c r="AB255"/>
  <c r="AB128"/>
  <c r="AB236"/>
  <c r="AB356"/>
  <c r="AB61"/>
  <c r="AB161"/>
  <c r="AB334"/>
  <c r="AA218"/>
  <c r="AA296"/>
  <c r="AA68"/>
  <c r="AA151"/>
  <c r="AA100"/>
  <c r="AA371"/>
  <c r="AA127"/>
  <c r="AA320"/>
  <c r="AA243"/>
  <c r="AA199"/>
  <c r="AA43"/>
  <c r="AA343"/>
  <c r="AA273"/>
  <c r="AA174"/>
  <c r="AB296"/>
  <c r="AB127"/>
  <c r="AB199"/>
  <c r="AB320"/>
  <c r="AB243"/>
  <c r="AB174"/>
  <c r="AB43"/>
  <c r="AB343"/>
  <c r="AB371"/>
  <c r="AB218"/>
  <c r="AB68"/>
  <c r="AB151"/>
  <c r="AB273"/>
  <c r="AB100"/>
  <c r="Q97" i="52"/>
  <c r="Q172"/>
  <c r="Q241"/>
  <c r="Q217"/>
  <c r="Q300"/>
  <c r="Q81"/>
  <c r="Q54"/>
  <c r="P68"/>
  <c r="P40"/>
  <c r="P105"/>
  <c r="P296"/>
  <c r="P180"/>
  <c r="P210"/>
  <c r="P229"/>
  <c r="AA258" i="51"/>
  <c r="AA332"/>
  <c r="AA80"/>
  <c r="AA267"/>
  <c r="AA103"/>
  <c r="AA53"/>
  <c r="AA386"/>
  <c r="AA198"/>
  <c r="AA230"/>
  <c r="AA150"/>
  <c r="AA357"/>
  <c r="AA122"/>
  <c r="AA171"/>
  <c r="AA309"/>
  <c r="L386"/>
  <c r="L258"/>
  <c r="L122"/>
  <c r="L267"/>
  <c r="L357"/>
  <c r="L53"/>
  <c r="L230"/>
  <c r="L309"/>
  <c r="L171"/>
  <c r="L150"/>
  <c r="L198"/>
  <c r="L332"/>
  <c r="L80"/>
  <c r="L103"/>
  <c r="P244" i="52"/>
  <c r="P309"/>
  <c r="P216"/>
  <c r="P169"/>
  <c r="P83"/>
  <c r="P94"/>
  <c r="P52"/>
  <c r="L86" i="51"/>
  <c r="L61"/>
  <c r="L111"/>
  <c r="L300"/>
  <c r="L387"/>
  <c r="L166"/>
  <c r="L255"/>
  <c r="L356"/>
  <c r="L334"/>
  <c r="L266"/>
  <c r="L128"/>
  <c r="L236"/>
  <c r="L191"/>
  <c r="L161"/>
  <c r="L343"/>
  <c r="L273"/>
  <c r="L218"/>
  <c r="L68"/>
  <c r="L43"/>
  <c r="L151"/>
  <c r="L296"/>
  <c r="L199"/>
  <c r="L100"/>
  <c r="L371"/>
  <c r="L127"/>
  <c r="L243"/>
  <c r="L320"/>
  <c r="L174"/>
  <c r="K26" i="26"/>
  <c r="K61" i="51"/>
  <c r="K161"/>
  <c r="K86"/>
  <c r="K356"/>
  <c r="K300"/>
  <c r="K128"/>
  <c r="K166"/>
  <c r="K334"/>
  <c r="K191"/>
  <c r="K255"/>
  <c r="K236"/>
  <c r="K111"/>
  <c r="K266"/>
  <c r="K387"/>
  <c r="X57"/>
  <c r="X345"/>
  <c r="X42"/>
  <c r="X173"/>
  <c r="X378"/>
  <c r="M305" i="52"/>
  <c r="X319" i="51"/>
  <c r="M206" i="52"/>
  <c r="AJ206" s="1"/>
  <c r="X247" i="51"/>
  <c r="M175" i="52"/>
  <c r="X153" i="51"/>
  <c r="X105"/>
  <c r="M100" i="52"/>
  <c r="X217" i="51"/>
  <c r="X126"/>
  <c r="M51" i="52"/>
  <c r="X197" i="51"/>
  <c r="X349"/>
  <c r="X325"/>
  <c r="X202"/>
  <c r="X285"/>
  <c r="X175"/>
  <c r="X235"/>
  <c r="X377"/>
  <c r="X158"/>
  <c r="X134"/>
  <c r="X248"/>
  <c r="X295"/>
  <c r="X85"/>
  <c r="Q257" i="48" l="1"/>
  <c r="AG127" i="51"/>
  <c r="T259" i="48"/>
  <c r="AG137" i="51"/>
  <c r="N256" i="48"/>
  <c r="AG120" i="51"/>
  <c r="Q259" i="48"/>
  <c r="AG129" i="51"/>
  <c r="Q258" i="48"/>
  <c r="AG128" i="51"/>
  <c r="N253" i="48"/>
  <c r="AG117" i="51"/>
  <c r="T252" i="48"/>
  <c r="AG130" i="51"/>
  <c r="M231" i="52"/>
  <c r="X268" i="51"/>
  <c r="X47"/>
  <c r="M67" i="52"/>
  <c r="X132" i="51"/>
  <c r="X187"/>
  <c r="X69"/>
  <c r="M230" i="52"/>
  <c r="M37"/>
  <c r="X249" i="51"/>
  <c r="X92"/>
  <c r="M178" i="52"/>
  <c r="X324" i="51"/>
  <c r="M199" i="52"/>
  <c r="AJ199" s="1"/>
  <c r="X212" i="51"/>
  <c r="X354"/>
  <c r="X219"/>
  <c r="X375"/>
  <c r="X149"/>
  <c r="X181"/>
  <c r="M209" i="52"/>
  <c r="AJ209" s="1"/>
  <c r="M183"/>
  <c r="M113"/>
  <c r="M303"/>
  <c r="M41"/>
  <c r="M235"/>
  <c r="M79"/>
  <c r="M108"/>
  <c r="M74"/>
  <c r="M294"/>
  <c r="M188"/>
  <c r="M215"/>
  <c r="AJ215" s="1"/>
  <c r="X104" i="51"/>
  <c r="X336"/>
  <c r="X307"/>
  <c r="X51"/>
  <c r="X259"/>
  <c r="X276"/>
  <c r="X154"/>
  <c r="X360"/>
  <c r="X77"/>
  <c r="X227"/>
  <c r="X366"/>
  <c r="X207"/>
  <c r="X110"/>
  <c r="X201"/>
  <c r="X226"/>
  <c r="X129"/>
  <c r="X50"/>
  <c r="X379"/>
  <c r="X177"/>
  <c r="X348"/>
  <c r="X322"/>
  <c r="X294"/>
  <c r="X281"/>
  <c r="X156"/>
  <c r="M85" i="52"/>
  <c r="M307"/>
  <c r="M245"/>
  <c r="M207"/>
  <c r="AJ207" s="1"/>
  <c r="M171"/>
  <c r="M96"/>
  <c r="F276" i="48"/>
  <c r="S426" i="44"/>
  <c r="Y437" s="1"/>
  <c r="Z437" s="1"/>
  <c r="I273" i="48" s="1"/>
  <c r="M57" i="52"/>
  <c r="M5"/>
  <c r="M304"/>
  <c r="M95"/>
  <c r="M246"/>
  <c r="M170"/>
  <c r="M301"/>
  <c r="M82"/>
  <c r="X6" i="51"/>
  <c r="M6" i="52" s="1"/>
  <c r="M228"/>
  <c r="M4"/>
  <c r="M200"/>
  <c r="AJ200" s="1"/>
  <c r="M45"/>
  <c r="M114"/>
  <c r="X5" i="51"/>
  <c r="X4"/>
  <c r="X162"/>
  <c r="X84"/>
  <c r="X304"/>
  <c r="X180"/>
  <c r="X135"/>
  <c r="X337"/>
  <c r="X373"/>
  <c r="X109"/>
  <c r="X234"/>
  <c r="X362"/>
  <c r="X260"/>
  <c r="X205"/>
  <c r="X56"/>
  <c r="X274"/>
  <c r="X145"/>
  <c r="X282"/>
  <c r="X48"/>
  <c r="X253"/>
  <c r="X73"/>
  <c r="X120"/>
  <c r="X209"/>
  <c r="X327"/>
  <c r="X367"/>
  <c r="X306"/>
  <c r="X95"/>
  <c r="X183"/>
  <c r="X351"/>
  <c r="X223"/>
  <c r="S438" i="44"/>
  <c r="Y432" s="1"/>
  <c r="Z432" s="1"/>
  <c r="I275" i="48" s="1"/>
  <c r="S428" i="44"/>
  <c r="Y433" s="1"/>
  <c r="Z433" s="1"/>
  <c r="S432"/>
  <c r="Y431" s="1"/>
  <c r="Z431" s="1"/>
  <c r="S430"/>
  <c r="Y427" s="1"/>
  <c r="Z427" s="1"/>
  <c r="S433"/>
  <c r="Y435" s="1"/>
  <c r="Z435" s="1"/>
  <c r="G426" s="1"/>
  <c r="S436"/>
  <c r="Y429" s="1"/>
  <c r="F274" i="48" s="1"/>
  <c r="E426" i="44"/>
  <c r="S429"/>
  <c r="Y438" s="1"/>
  <c r="F269" i="48" s="1"/>
  <c r="S434" i="44"/>
  <c r="Y430" s="1"/>
  <c r="Z430" s="1"/>
  <c r="G436" s="1"/>
  <c r="S437"/>
  <c r="Y434" s="1"/>
  <c r="F268" i="48" s="1"/>
  <c r="S435" i="44"/>
  <c r="Y436" s="1"/>
  <c r="S431"/>
  <c r="Y428" s="1"/>
  <c r="E437"/>
  <c r="I276" i="48"/>
  <c r="G435" i="44"/>
  <c r="G432" l="1"/>
  <c r="AL273" i="52" s="1"/>
  <c r="F273" i="48"/>
  <c r="F271"/>
  <c r="G434" i="44"/>
  <c r="F275" i="48"/>
  <c r="F272"/>
  <c r="I267"/>
  <c r="F279"/>
  <c r="F267"/>
  <c r="Z438" i="44"/>
  <c r="I269" i="48" s="1"/>
  <c r="Z429" i="44"/>
  <c r="G433" s="1"/>
  <c r="AL274" i="52" s="1"/>
  <c r="I277" i="48"/>
  <c r="Z434" i="44"/>
  <c r="G427" s="1"/>
  <c r="AL269" i="52" s="1"/>
  <c r="F277" i="48"/>
  <c r="F270"/>
  <c r="Z436" i="44"/>
  <c r="G438"/>
  <c r="I279" i="48"/>
  <c r="F278"/>
  <c r="Z428" i="44"/>
  <c r="G430"/>
  <c r="I271" i="48"/>
  <c r="I272"/>
  <c r="G431" i="44"/>
  <c r="AL272" i="52" s="1"/>
  <c r="G428" i="44" l="1"/>
  <c r="AL270" i="52" s="1"/>
  <c r="I268" i="48"/>
  <c r="I274"/>
  <c r="I270"/>
  <c r="G429" i="44"/>
  <c r="AL271" i="52" s="1"/>
  <c r="G437" i="44"/>
  <c r="I278" i="48"/>
  <c r="AL276" i="52" l="1"/>
  <c r="AJ276" s="1"/>
  <c r="I2" i="47"/>
  <c r="J2"/>
  <c r="K2"/>
  <c r="L2"/>
  <c r="M2"/>
  <c r="N2"/>
  <c r="Y2"/>
  <c r="Z2"/>
  <c r="AA2"/>
  <c r="AB2"/>
  <c r="AC2"/>
  <c r="AD2"/>
  <c r="Q2"/>
  <c r="R2"/>
  <c r="S2"/>
  <c r="T2"/>
  <c r="U2"/>
  <c r="V2"/>
  <c r="N70"/>
  <c r="O70"/>
  <c r="O71"/>
  <c r="P81"/>
  <c r="P82"/>
  <c r="R74"/>
  <c r="R75"/>
  <c r="AK276" i="52" l="1"/>
  <c r="R345" i="48"/>
  <c r="R343"/>
  <c r="R346"/>
  <c r="R341"/>
  <c r="R342"/>
  <c r="R344"/>
  <c r="L26" i="26"/>
  <c r="U509" i="52"/>
  <c r="L27" i="26" s="1"/>
  <c r="AH493" i="52"/>
  <c r="AJ493" s="1"/>
  <c r="AL493" s="1"/>
  <c r="AK493" l="1"/>
  <c r="AA494" s="1"/>
  <c r="F11" i="48" s="1"/>
  <c r="N26" i="26" s="1"/>
  <c r="P348" i="48"/>
  <c r="Q348"/>
  <c r="AA493" i="52" l="1"/>
  <c r="AA492" s="1"/>
  <c r="R459" i="48" s="1"/>
  <c r="R460" s="1"/>
  <c r="R461" s="1"/>
  <c r="R463" s="1"/>
  <c r="AA509" i="52"/>
  <c r="N27" i="26" s="1"/>
  <c r="U513" i="52"/>
  <c r="U516" s="1"/>
  <c r="J27" i="26" s="1"/>
  <c r="AD494" i="52"/>
  <c r="AD493" l="1"/>
  <c r="AD492" s="1"/>
  <c r="Q459" i="48" s="1"/>
  <c r="Q460" s="1"/>
  <c r="Q461" s="1"/>
  <c r="Q463" s="1"/>
  <c r="I11"/>
  <c r="J26" i="26" s="1"/>
</calcChain>
</file>

<file path=xl/comments1.xml><?xml version="1.0" encoding="utf-8"?>
<comments xmlns="http://schemas.openxmlformats.org/spreadsheetml/2006/main">
  <authors>
    <author>djibril diakite</author>
  </authors>
  <commentList>
    <comment ref="R3" authorId="0">
      <text>
        <r>
          <rPr>
            <sz val="9"/>
            <color indexed="81"/>
            <rFont val="Tahoma"/>
            <family val="2"/>
          </rPr>
          <t xml:space="preserve">In other sheets' dedicated areas, lines may freely added.
In final post-consultation BIPT 2014, these areas will address discrepancies from present BIPT 2013.
</t>
        </r>
      </text>
    </comment>
    <comment ref="D24" authorId="0">
      <text>
        <r>
          <rPr>
            <sz val="9"/>
            <color indexed="81"/>
            <rFont val="Tahoma"/>
            <family val="2"/>
          </rPr>
          <t xml:space="preserve">With Rnot from WACC 1.
</t>
        </r>
      </text>
    </comment>
    <comment ref="C30" authorId="0">
      <text>
        <r>
          <rPr>
            <sz val="9"/>
            <color indexed="81"/>
            <rFont val="Tahoma"/>
            <family val="2"/>
          </rPr>
          <t xml:space="preserve">Simpler developments in the (prevailing) Word report, with a slightly different approach. Consider rather this sheet for its inputs : data, sources and quotes from credit rating agencies.
</t>
        </r>
      </text>
    </comment>
    <comment ref="L43" authorId="0">
      <text>
        <r>
          <rPr>
            <sz val="9"/>
            <color indexed="81"/>
            <rFont val="Tahoma"/>
            <family val="2"/>
          </rPr>
          <t xml:space="preserve">With a preference for excel files provided by Investors Relation web sites.
</t>
        </r>
      </text>
    </comment>
    <comment ref="G51" authorId="0">
      <text>
        <r>
          <rPr>
            <sz val="9"/>
            <color indexed="81"/>
            <rFont val="Tahoma"/>
            <family val="2"/>
          </rPr>
          <t xml:space="preserve">Copy values from a separate extraction spreadsheet.
(In contrast to extracted prices &amp; yields, copy values are absolutely necessary for these data - otherwise cells get filled by "#NAME?" when the file is no longer connected to a Bloomberg terminal.) 
</t>
        </r>
      </text>
    </comment>
  </commentList>
</comments>
</file>

<file path=xl/comments10.xml><?xml version="1.0" encoding="utf-8"?>
<comments xmlns="http://schemas.openxmlformats.org/spreadsheetml/2006/main">
  <authors>
    <author>djibril diakite</author>
  </authors>
  <commentList>
    <comment ref="CI13" authorId="0">
      <text>
        <r>
          <rPr>
            <sz val="9"/>
            <color indexed="81"/>
            <rFont val="Tahoma"/>
            <family val="2"/>
          </rPr>
          <t xml:space="preserve">Assuming no change in minority interests
</t>
        </r>
      </text>
    </comment>
    <comment ref="CI27" authorId="0">
      <text>
        <r>
          <rPr>
            <sz val="9"/>
            <color indexed="81"/>
            <rFont val="Tahoma"/>
            <family val="2"/>
          </rPr>
          <t xml:space="preserve">Assuming no change in minority interests
</t>
        </r>
      </text>
    </comment>
  </commentList>
</comments>
</file>

<file path=xl/comments2.xml><?xml version="1.0" encoding="utf-8"?>
<comments xmlns="http://schemas.openxmlformats.org/spreadsheetml/2006/main">
  <authors>
    <author>djibril diakite</author>
  </authors>
  <commentList>
    <comment ref="P16" authorId="0">
      <text>
        <r>
          <rPr>
            <sz val="9"/>
            <color indexed="81"/>
            <rFont val="Tahoma"/>
            <family val="2"/>
          </rPr>
          <t xml:space="preserve">For Damodaran : </t>
        </r>
        <r>
          <rPr>
            <i/>
            <sz val="9"/>
            <color indexed="81"/>
            <rFont val="Tahoma"/>
            <family val="2"/>
          </rPr>
          <t>"in general, using net debt ratios will overstate the value of riskier firms".</t>
        </r>
      </text>
    </comment>
    <comment ref="R29" authorId="0">
      <text>
        <r>
          <rPr>
            <sz val="9"/>
            <color indexed="81"/>
            <rFont val="Tahoma"/>
            <family val="2"/>
          </rPr>
          <t>In interesting Lettre n°117, Sept. 2013, in French.
Free access with login.
With comments on expected IASB/FASB revisions.</t>
        </r>
      </text>
    </comment>
    <comment ref="M30" authorId="0">
      <text>
        <r>
          <rPr>
            <sz val="9"/>
            <color indexed="81"/>
            <rFont val="Tahoma"/>
            <family val="2"/>
          </rPr>
          <t xml:space="preserve">Except in 'Summary', and in 'Ratings' for the presentation of agencies' ratios (all *) and quotes.
</t>
        </r>
      </text>
    </comment>
    <comment ref="P41" authorId="0">
      <text>
        <r>
          <rPr>
            <sz val="9"/>
            <color indexed="81"/>
            <rFont val="Tahoma"/>
            <family val="2"/>
          </rPr>
          <t>A WACC limitation compared to the APV (Adjusted present value) model, for which capital structure can change over time. (Without going into details, this approach may not be used in regulation.)</t>
        </r>
      </text>
    </comment>
  </commentList>
</comments>
</file>

<file path=xl/comments3.xml><?xml version="1.0" encoding="utf-8"?>
<comments xmlns="http://schemas.openxmlformats.org/spreadsheetml/2006/main">
  <authors>
    <author>djibril diakite</author>
  </authors>
  <commentList>
    <comment ref="L37" authorId="0">
      <text>
        <r>
          <rPr>
            <sz val="9"/>
            <color indexed="81"/>
            <rFont val="Tahoma"/>
            <family val="2"/>
          </rPr>
          <t xml:space="preserve">Components n/a
</t>
        </r>
      </text>
    </comment>
    <comment ref="L38" authorId="0">
      <text>
        <r>
          <rPr>
            <sz val="9"/>
            <color indexed="81"/>
            <rFont val="Tahoma"/>
            <family val="2"/>
          </rPr>
          <t xml:space="preserve">Components n/a
</t>
        </r>
      </text>
    </comment>
    <comment ref="L40" authorId="0">
      <text>
        <r>
          <rPr>
            <sz val="9"/>
            <color indexed="81"/>
            <rFont val="Tahoma"/>
            <family val="2"/>
          </rPr>
          <t xml:space="preserve">SXXE
</t>
        </r>
      </text>
    </comment>
    <comment ref="L50" authorId="0">
      <text>
        <r>
          <rPr>
            <sz val="9"/>
            <color indexed="81"/>
            <rFont val="Tahoma"/>
            <family val="2"/>
          </rPr>
          <t>May require login (but free)</t>
        </r>
        <r>
          <rPr>
            <b/>
            <sz val="9"/>
            <color indexed="81"/>
            <rFont val="Tahoma"/>
            <family val="2"/>
          </rPr>
          <t xml:space="preserve">
</t>
        </r>
        <r>
          <rPr>
            <sz val="9"/>
            <color indexed="81"/>
            <rFont val="Tahoma"/>
            <family val="2"/>
          </rPr>
          <t xml:space="preserve">
</t>
        </r>
      </text>
    </comment>
    <comment ref="I71" authorId="0">
      <text>
        <r>
          <rPr>
            <sz val="9"/>
            <color indexed="81"/>
            <rFont val="Tahoma"/>
            <family val="2"/>
          </rPr>
          <t>Earlier for Swisscom : it was already a pb for BIPT 2009/2010 (with % Ebitda for 2005 up to 2008)</t>
        </r>
      </text>
    </comment>
    <comment ref="I72" authorId="0">
      <text>
        <r>
          <rPr>
            <sz val="9"/>
            <color indexed="81"/>
            <rFont val="Tahoma"/>
            <family val="2"/>
          </rPr>
          <t>Another issue is the integration of Wholesale &amp; Interco. For incumbent SPs, the former may encompass a higher share of Fixed line services than in retail activities.</t>
        </r>
      </text>
    </comment>
    <comment ref="K86" authorId="0">
      <text>
        <r>
          <rPr>
            <sz val="9"/>
            <color indexed="81"/>
            <rFont val="Tahoma"/>
            <family val="2"/>
          </rPr>
          <t xml:space="preserve">Cf. comment for Telenor in § SEGMENTS Data &amp; Estimates
</t>
        </r>
      </text>
    </comment>
    <comment ref="B95" authorId="0">
      <text>
        <r>
          <rPr>
            <sz val="9"/>
            <color indexed="81"/>
            <rFont val="Tahoma"/>
            <family val="2"/>
          </rPr>
          <t xml:space="preserve">(Added to initial benchmark because it is included in Brattle/ACM Mobile sample)
</t>
        </r>
      </text>
    </comment>
    <comment ref="I95" authorId="0">
      <text>
        <r>
          <rPr>
            <sz val="9"/>
            <color indexed="81"/>
            <rFont val="Tahoma"/>
            <family val="2"/>
          </rPr>
          <t xml:space="preserve">(For the purpose of avg. E/R in this benchmark)
</t>
        </r>
      </text>
    </comment>
    <comment ref="R98" authorId="0">
      <text>
        <r>
          <rPr>
            <sz val="9"/>
            <color indexed="81"/>
            <rFont val="Tahoma"/>
            <family val="2"/>
          </rPr>
          <t>(Data cut 1H08-1Q09)
% Ebitda for 2008 instead of 1H09 (n/a)</t>
        </r>
      </text>
    </comment>
    <comment ref="I111" authorId="0">
      <text>
        <r>
          <rPr>
            <sz val="9"/>
            <color indexed="81"/>
            <rFont val="Tahoma"/>
            <family val="2"/>
          </rPr>
          <t>Beside the "good" deal Telenet is reported to have gotten with Mobistar to operate on its network.</t>
        </r>
      </text>
    </comment>
    <comment ref="J132" authorId="0">
      <text>
        <r>
          <rPr>
            <sz val="9"/>
            <color indexed="81"/>
            <rFont val="Tahoma"/>
            <family val="2"/>
          </rPr>
          <t xml:space="preserve">(2012)
</t>
        </r>
      </text>
    </comment>
    <comment ref="J134" authorId="0">
      <text>
        <r>
          <rPr>
            <b/>
            <sz val="9"/>
            <color indexed="81"/>
            <rFont val="Tahoma"/>
            <family val="2"/>
          </rPr>
          <t>2010</t>
        </r>
        <r>
          <rPr>
            <sz val="9"/>
            <color indexed="81"/>
            <rFont val="Tahoma"/>
            <family val="2"/>
          </rPr>
          <t xml:space="preserve">
</t>
        </r>
      </text>
    </comment>
    <comment ref="J139" authorId="0">
      <text>
        <r>
          <rPr>
            <sz val="9"/>
            <color indexed="81"/>
            <rFont val="Tahoma"/>
            <family val="2"/>
          </rPr>
          <t xml:space="preserve">(2012)
</t>
        </r>
      </text>
    </comment>
    <comment ref="J142" authorId="0">
      <text>
        <r>
          <rPr>
            <sz val="9"/>
            <color indexed="81"/>
            <rFont val="Tahoma"/>
            <family val="2"/>
          </rPr>
          <t xml:space="preserve">(2012)
</t>
        </r>
      </text>
    </comment>
    <comment ref="K152" authorId="0">
      <text>
        <r>
          <rPr>
            <sz val="9"/>
            <color indexed="81"/>
            <rFont val="Tahoma"/>
            <family val="2"/>
          </rPr>
          <t xml:space="preserve">EEA = EU+Norway (+Iceland + Lichtenstein).
Future members, beside micro-states : balkans.
Discussions with Turkey &amp; Israel.
</t>
        </r>
      </text>
    </comment>
    <comment ref="P174" authorId="0">
      <text>
        <r>
          <rPr>
            <sz val="9"/>
            <color indexed="81"/>
            <rFont val="Tahoma"/>
            <family val="2"/>
          </rPr>
          <t xml:space="preserve">Data cut 1H08-1Q09
</t>
        </r>
      </text>
    </comment>
    <comment ref="P175" authorId="0">
      <text>
        <r>
          <rPr>
            <sz val="9"/>
            <color indexed="81"/>
            <rFont val="Tahoma"/>
            <family val="2"/>
          </rPr>
          <t xml:space="preserve">2008 proxy for 1H09 n/a
</t>
        </r>
      </text>
    </comment>
    <comment ref="I180" authorId="0">
      <text>
        <r>
          <rPr>
            <sz val="9"/>
            <color indexed="81"/>
            <rFont val="Tahoma"/>
            <family val="2"/>
          </rPr>
          <t xml:space="preserve">Except functional separation imposed by RAs, e.g. BT.
</t>
        </r>
      </text>
    </comment>
    <comment ref="E202" authorId="0">
      <text>
        <r>
          <rPr>
            <sz val="9"/>
            <color indexed="81"/>
            <rFont val="Tahoma"/>
            <family val="2"/>
          </rPr>
          <t>Ea = Ebitda</t>
        </r>
        <r>
          <rPr>
            <sz val="9"/>
            <color indexed="81"/>
            <rFont val="Tahoma"/>
            <charset val="1"/>
          </rPr>
          <t xml:space="preserve">
</t>
        </r>
      </text>
    </comment>
    <comment ref="J204" authorId="0">
      <text>
        <r>
          <rPr>
            <sz val="9"/>
            <color indexed="81"/>
            <rFont val="Tahoma"/>
            <family val="2"/>
          </rPr>
          <t xml:space="preserve">2010
</t>
        </r>
      </text>
    </comment>
    <comment ref="J211" authorId="0">
      <text>
        <r>
          <rPr>
            <sz val="9"/>
            <color indexed="81"/>
            <rFont val="Tahoma"/>
            <family val="2"/>
          </rPr>
          <t>2012</t>
        </r>
      </text>
    </comment>
    <comment ref="J215" authorId="0">
      <text>
        <r>
          <rPr>
            <sz val="9"/>
            <color indexed="81"/>
            <rFont val="Tahoma"/>
            <family val="2"/>
          </rPr>
          <t xml:space="preserve">2012
</t>
        </r>
      </text>
    </comment>
    <comment ref="J219" authorId="0">
      <text>
        <r>
          <rPr>
            <sz val="9"/>
            <color indexed="81"/>
            <rFont val="Tahoma"/>
            <family val="2"/>
          </rPr>
          <t>2012</t>
        </r>
      </text>
    </comment>
    <comment ref="J221" authorId="0">
      <text>
        <r>
          <rPr>
            <sz val="9"/>
            <color indexed="81"/>
            <rFont val="Tahoma"/>
            <family val="2"/>
          </rPr>
          <t>1Q13</t>
        </r>
      </text>
    </comment>
    <comment ref="J346" authorId="0">
      <text>
        <r>
          <rPr>
            <sz val="9"/>
            <color indexed="81"/>
            <rFont val="Tahoma"/>
            <family val="2"/>
          </rPr>
          <t xml:space="preserve">2010
</t>
        </r>
      </text>
    </comment>
    <comment ref="J353" authorId="0">
      <text>
        <r>
          <rPr>
            <sz val="9"/>
            <color indexed="81"/>
            <rFont val="Tahoma"/>
            <family val="2"/>
          </rPr>
          <t>2012</t>
        </r>
      </text>
    </comment>
    <comment ref="J357" authorId="0">
      <text>
        <r>
          <rPr>
            <sz val="9"/>
            <color indexed="81"/>
            <rFont val="Tahoma"/>
            <family val="2"/>
          </rPr>
          <t xml:space="preserve">2012
</t>
        </r>
      </text>
    </comment>
    <comment ref="J361" authorId="0">
      <text>
        <r>
          <rPr>
            <sz val="9"/>
            <color indexed="81"/>
            <rFont val="Tahoma"/>
            <family val="2"/>
          </rPr>
          <t>2012</t>
        </r>
      </text>
    </comment>
    <comment ref="J363" authorId="0">
      <text>
        <r>
          <rPr>
            <sz val="9"/>
            <color indexed="81"/>
            <rFont val="Tahoma"/>
            <family val="2"/>
          </rPr>
          <t>1Q13</t>
        </r>
      </text>
    </comment>
    <comment ref="H392" authorId="0">
      <text>
        <r>
          <rPr>
            <sz val="9"/>
            <color indexed="81"/>
            <rFont val="Tahoma"/>
            <family val="2"/>
          </rPr>
          <t xml:space="preserve">In valuation, WACC is applied to cash-flow, NOPLAT in particular, i.e. further down the P&amp;L than Ebitda (which does not integrate Capex)
</t>
        </r>
      </text>
    </comment>
    <comment ref="I401" authorId="0">
      <text>
        <r>
          <rPr>
            <sz val="9"/>
            <color indexed="81"/>
            <rFont val="Tahoma"/>
            <family val="2"/>
          </rPr>
          <t xml:space="preserve">(Almost all SPs would claim to be fully integrated.)
</t>
        </r>
      </text>
    </comment>
    <comment ref="B425" authorId="0">
      <text>
        <r>
          <rPr>
            <sz val="9"/>
            <color indexed="81"/>
            <rFont val="Tahoma"/>
            <family val="2"/>
          </rPr>
          <t>To sort again if criterion weights are changed</t>
        </r>
      </text>
    </comment>
  </commentList>
</comments>
</file>

<file path=xl/comments4.xml><?xml version="1.0" encoding="utf-8"?>
<comments xmlns="http://schemas.openxmlformats.org/spreadsheetml/2006/main">
  <authors>
    <author>djibril diakite</author>
  </authors>
  <commentList>
    <comment ref="AL5" authorId="0">
      <text>
        <r>
          <rPr>
            <sz val="9"/>
            <color indexed="81"/>
            <rFont val="Tahoma"/>
            <family val="2"/>
          </rPr>
          <t xml:space="preserve">Adj. D = weighted average of (D+OL) and D, here according to % D*/Ebitda* vs. D/Ebitda : 100% by default
</t>
        </r>
      </text>
    </comment>
    <comment ref="B127" authorId="0">
      <text>
        <r>
          <rPr>
            <sz val="9"/>
            <color indexed="81"/>
            <rFont val="Tahoma"/>
            <family val="2"/>
          </rPr>
          <t xml:space="preserve">Not found, more precisely. But see herafter Moody's remark.
</t>
        </r>
      </text>
    </comment>
    <comment ref="AF360" authorId="0">
      <text>
        <r>
          <rPr>
            <i/>
            <sz val="9"/>
            <color indexed="81"/>
            <rFont val="Tahoma"/>
            <family val="2"/>
          </rPr>
          <t>Valeur du capital propre à laquelle s'applique le concept de déduction d'intérêts notionnelle</t>
        </r>
      </text>
    </comment>
    <comment ref="AB376" authorId="0">
      <text>
        <r>
          <rPr>
            <sz val="9"/>
            <color indexed="81"/>
            <rFont val="Tahoma"/>
            <family val="2"/>
          </rPr>
          <t xml:space="preserve">(Unless SPs are willing to disclose more precise elements.)
Eb &amp; En are later used indifferently.
</t>
        </r>
      </text>
    </comment>
    <comment ref="AC420" authorId="0">
      <text>
        <r>
          <rPr>
            <sz val="9"/>
            <color indexed="81"/>
            <rFont val="Tahoma"/>
            <family val="2"/>
          </rPr>
          <t xml:space="preserve">Or market-to-book, or price-to-equity
</t>
        </r>
      </text>
    </comment>
  </commentList>
</comments>
</file>

<file path=xl/comments5.xml><?xml version="1.0" encoding="utf-8"?>
<comments xmlns="http://schemas.openxmlformats.org/spreadsheetml/2006/main">
  <authors>
    <author>djibril diakite</author>
  </authors>
  <commentList>
    <comment ref="U16" authorId="0">
      <text>
        <r>
          <rPr>
            <sz val="9"/>
            <color indexed="81"/>
            <rFont val="Tahoma"/>
            <family val="2"/>
          </rPr>
          <t xml:space="preserve">And even if being rated means paying an agency to be chided (in some circumstances), as TPS by Moody's : see hereafter.
</t>
        </r>
      </text>
    </comment>
    <comment ref="P25" authorId="0">
      <text>
        <r>
          <rPr>
            <sz val="9"/>
            <color indexed="81"/>
            <rFont val="Tahoma"/>
            <family val="2"/>
          </rPr>
          <t>Cf. WACC 3 unlevering formula</t>
        </r>
      </text>
    </comment>
    <comment ref="H41" authorId="0">
      <text>
        <r>
          <rPr>
            <sz val="9"/>
            <color indexed="81"/>
            <rFont val="Tahoma"/>
            <family val="2"/>
          </rPr>
          <t>(Approximation addressed here although it is not primarily a credit rating issue.)</t>
        </r>
      </text>
    </comment>
    <comment ref="S99" authorId="0">
      <text>
        <r>
          <rPr>
            <sz val="9"/>
            <color indexed="81"/>
            <rFont val="Tahoma"/>
            <family val="2"/>
          </rPr>
          <t xml:space="preserve">Downgraded from AA+ in Nov. 2013
</t>
        </r>
      </text>
    </comment>
    <comment ref="J100" authorId="0">
      <text>
        <r>
          <rPr>
            <sz val="9"/>
            <color indexed="81"/>
            <rFont val="Tahoma"/>
            <family val="2"/>
          </rPr>
          <t xml:space="preserve">In Nov. 2013, from Stable
</t>
        </r>
      </text>
    </comment>
    <comment ref="D114" authorId="0">
      <text>
        <r>
          <rPr>
            <sz val="9"/>
            <color indexed="81"/>
            <rFont val="Tahoma"/>
            <family val="2"/>
          </rPr>
          <t xml:space="preserve">Upgraded from B+ in June 2013
</t>
        </r>
      </text>
    </comment>
    <comment ref="H114" authorId="0">
      <text>
        <r>
          <rPr>
            <sz val="9"/>
            <color indexed="81"/>
            <rFont val="Tahoma"/>
            <family val="2"/>
          </rPr>
          <t xml:space="preserve">= Withdrawn. Stable rating for its covered period from 2006 to 2Q13.
</t>
        </r>
      </text>
    </comment>
    <comment ref="S114" authorId="0">
      <text>
        <r>
          <rPr>
            <sz val="9"/>
            <color indexed="81"/>
            <rFont val="Tahoma"/>
            <family val="2"/>
          </rPr>
          <t xml:space="preserve">Since Sept. 2012
</t>
        </r>
      </text>
    </comment>
    <comment ref="U114" authorId="0">
      <text>
        <r>
          <rPr>
            <sz val="9"/>
            <color indexed="81"/>
            <rFont val="Tahoma"/>
            <family val="2"/>
          </rPr>
          <t xml:space="preserve">(Negative outlook)
</t>
        </r>
      </text>
    </comment>
    <comment ref="V114" authorId="0">
      <text>
        <r>
          <rPr>
            <sz val="9"/>
            <color indexed="81"/>
            <rFont val="Tahoma"/>
            <family val="2"/>
          </rPr>
          <t xml:space="preserve">(Negative outlook)
</t>
        </r>
      </text>
    </comment>
    <comment ref="R115" authorId="0">
      <text>
        <r>
          <rPr>
            <sz val="9"/>
            <color indexed="81"/>
            <rFont val="Tahoma"/>
            <family val="2"/>
          </rPr>
          <t xml:space="preserve">For WACC 1, to put in perspective NRAs' use of local govt bonds as Rf assets at the times of their determinations.
</t>
        </r>
      </text>
    </comment>
    <comment ref="AB147" authorId="0">
      <text>
        <r>
          <rPr>
            <sz val="9"/>
            <color indexed="81"/>
            <rFont val="Tahoma"/>
            <family val="2"/>
          </rPr>
          <t xml:space="preserve">Fitch : </t>
        </r>
        <r>
          <rPr>
            <i/>
            <sz val="9"/>
            <color indexed="81"/>
            <rFont val="Tahoma"/>
            <family val="2"/>
          </rPr>
          <t>Preferred stock issues with fixed dividend payments or redemption dates may be considered as quasi-debt instruments, and may be granted a degree of ―equity credit‖ of 50% or 100%, depending on their terms.</t>
        </r>
        <r>
          <rPr>
            <sz val="9"/>
            <color indexed="81"/>
            <rFont val="Tahoma"/>
            <family val="2"/>
          </rPr>
          <t xml:space="preserve">
</t>
        </r>
      </text>
    </comment>
    <comment ref="S148" authorId="0">
      <text>
        <r>
          <rPr>
            <sz val="9"/>
            <color indexed="81"/>
            <rFont val="Tahoma"/>
            <family val="2"/>
          </rPr>
          <t xml:space="preserve">Except possibly for Financials (banks, insurance).
</t>
        </r>
      </text>
    </comment>
    <comment ref="X178" authorId="0">
      <text>
        <r>
          <rPr>
            <i/>
            <sz val="9"/>
            <color indexed="81"/>
            <rFont val="Tahoma"/>
            <family val="2"/>
          </rPr>
          <t>"From our own analyses, we find that a limited number of credit ratios explain credit rating fairly well, with interest coverage as the single most significant indicator.
From a sample containing all U.S. and European companies rated by S&amp;P's (excluding financial institutions), interest coverage is a key explanatory variable for the its credit ratings, with more than 45% of rating differences explained by interest coverage alone."</t>
        </r>
        <r>
          <rPr>
            <sz val="9"/>
            <color indexed="81"/>
            <rFont val="Tahoma"/>
            <family val="2"/>
          </rPr>
          <t xml:space="preserve">
</t>
        </r>
      </text>
    </comment>
    <comment ref="J280" authorId="0">
      <text>
        <r>
          <rPr>
            <sz val="9"/>
            <color indexed="81"/>
            <rFont val="Tahoma"/>
            <family val="2"/>
          </rPr>
          <t>Short and intelligible for almost everyone.</t>
        </r>
      </text>
    </comment>
    <comment ref="M282" authorId="0">
      <text>
        <r>
          <rPr>
            <sz val="9"/>
            <color indexed="81"/>
            <rFont val="Tahoma"/>
            <family val="2"/>
          </rPr>
          <t>"These rating outcome are shown only for guidance purpose only. Actual rating should be within one notch of indicated rating outcomes."</t>
        </r>
        <r>
          <rPr>
            <i/>
            <sz val="9"/>
            <color indexed="81"/>
            <rFont val="Tahoma"/>
            <family val="2"/>
          </rPr>
          <t xml:space="preserve">
</t>
        </r>
      </text>
    </comment>
    <comment ref="D291" authorId="0">
      <text>
        <r>
          <rPr>
            <sz val="9"/>
            <color indexed="81"/>
            <rFont val="Tahoma"/>
            <family val="2"/>
          </rPr>
          <t xml:space="preserve"> (And it refers only to local-currency ratings)
</t>
        </r>
      </text>
    </comment>
    <comment ref="AA292" authorId="0">
      <text>
        <r>
          <rPr>
            <sz val="9"/>
            <color indexed="81"/>
            <rFont val="Tahoma"/>
            <family val="2"/>
          </rPr>
          <t xml:space="preserve">Direct from the web.
With formulas for key ratios, refine metrics ranges but for US corporate/utilities
</t>
        </r>
      </text>
    </comment>
    <comment ref="J296" authorId="0">
      <text>
        <r>
          <rPr>
            <sz val="9"/>
            <color indexed="81"/>
            <rFont val="Tahoma"/>
            <family val="2"/>
          </rPr>
          <t xml:space="preserve">Also short &amp; clear, but not much more than what is extracted here
</t>
        </r>
      </text>
    </comment>
    <comment ref="AA297" authorId="0">
      <text>
        <r>
          <rPr>
            <sz val="9"/>
            <color indexed="81"/>
            <rFont val="Tahoma"/>
            <family val="2"/>
          </rPr>
          <t xml:space="preserve">Addressing the issue of regulated subsidiaries, among others
</t>
        </r>
      </text>
    </comment>
    <comment ref="T318" authorId="0">
      <text>
        <r>
          <rPr>
            <sz val="9"/>
            <color indexed="81"/>
            <rFont val="Tahoma"/>
            <family val="2"/>
          </rPr>
          <t xml:space="preserve">(+ROC analysis when Ebitda margin is close to thresholds)
</t>
        </r>
      </text>
    </comment>
    <comment ref="H371" authorId="0">
      <text>
        <r>
          <rPr>
            <sz val="9"/>
            <color indexed="81"/>
            <rFont val="Tahoma"/>
            <family val="2"/>
          </rPr>
          <t xml:space="preserve">Longer but still clear and quite easy
</t>
        </r>
      </text>
    </comment>
    <comment ref="AA436" authorId="0">
      <text>
        <r>
          <rPr>
            <sz val="9"/>
            <color indexed="81"/>
            <rFont val="Tahoma"/>
            <family val="2"/>
          </rPr>
          <t xml:space="preserve">Critical essentially for non-investment grade SPs
</t>
        </r>
      </text>
    </comment>
    <comment ref="R464" authorId="0">
      <text>
        <r>
          <rPr>
            <sz val="9"/>
            <color indexed="81"/>
            <rFont val="Tahoma"/>
            <family val="2"/>
          </rPr>
          <t xml:space="preserve">Telcos
</t>
        </r>
      </text>
    </comment>
    <comment ref="A504" authorId="0">
      <text>
        <r>
          <rPr>
            <sz val="9"/>
            <color indexed="81"/>
            <rFont val="Tahoma"/>
            <family val="2"/>
          </rPr>
          <t xml:space="preserve">S.A. de Droit Public (among displayed entities)
</t>
        </r>
      </text>
    </comment>
    <comment ref="L551" authorId="0">
      <text>
        <r>
          <rPr>
            <sz val="9"/>
            <color indexed="81"/>
            <rFont val="Tahoma"/>
            <family val="2"/>
          </rPr>
          <t>(Illustrated by the latest change at Belgacom's top management ?)</t>
        </r>
      </text>
    </comment>
    <comment ref="A574" authorId="0">
      <text>
        <r>
          <rPr>
            <sz val="9"/>
            <color indexed="81"/>
            <rFont val="Tahoma"/>
            <family val="2"/>
          </rPr>
          <t xml:space="preserve">(Group Holding NV)
</t>
        </r>
      </text>
    </comment>
    <comment ref="W654" authorId="0">
      <text>
        <r>
          <rPr>
            <i/>
            <sz val="9"/>
            <color indexed="81"/>
            <rFont val="Tahoma"/>
            <family val="2"/>
          </rPr>
          <t>Financial flexibility allows an issuer to meet its debt-service obligations and manage periods of volatility without eroding credit quality. The more conservatively capitalised an issuer, the greater its financial flexibility.</t>
        </r>
        <r>
          <rPr>
            <sz val="9"/>
            <color indexed="81"/>
            <rFont val="Tahoma"/>
            <family val="2"/>
          </rPr>
          <t xml:space="preserve">
</t>
        </r>
      </text>
    </comment>
    <comment ref="A659" authorId="0">
      <text>
        <r>
          <rPr>
            <sz val="9"/>
            <color indexed="81"/>
            <rFont val="Tahoma"/>
            <family val="2"/>
          </rPr>
          <t xml:space="preserve">Telekomunikacja Polska S.A.
</t>
        </r>
      </text>
    </comment>
    <comment ref="I694" authorId="0">
      <text>
        <r>
          <rPr>
            <sz val="9"/>
            <color indexed="81"/>
            <rFont val="Tahoma"/>
            <family val="2"/>
          </rPr>
          <t xml:space="preserve">(and for Moody's, still 6 notches above Telenet's in case the reader has missed this.)
</t>
        </r>
      </text>
    </comment>
    <comment ref="D700" authorId="0">
      <text>
        <r>
          <rPr>
            <sz val="9"/>
            <color indexed="81"/>
            <rFont val="Tahoma"/>
            <family val="2"/>
          </rPr>
          <t>(TPS' IR web site provides spreadsheets with exactly the same format as ORA. No xls with Mobistar.)</t>
        </r>
      </text>
    </comment>
    <comment ref="Q704" authorId="0">
      <text>
        <r>
          <rPr>
            <sz val="9"/>
            <color indexed="81"/>
            <rFont val="Tahoma"/>
            <family val="2"/>
          </rPr>
          <t xml:space="preserve">(Without further speculating)
</t>
        </r>
      </text>
    </comment>
  </commentList>
</comments>
</file>

<file path=xl/comments6.xml><?xml version="1.0" encoding="utf-8"?>
<comments xmlns="http://schemas.openxmlformats.org/spreadsheetml/2006/main">
  <authors>
    <author>djibril diakite</author>
  </authors>
  <commentList>
    <comment ref="J6" authorId="0">
      <text>
        <r>
          <rPr>
            <sz val="9"/>
            <color indexed="81"/>
            <rFont val="Tahoma"/>
            <family val="2"/>
          </rPr>
          <t xml:space="preserve">BT's impact
</t>
        </r>
      </text>
    </comment>
  </commentList>
</comments>
</file>

<file path=xl/comments7.xml><?xml version="1.0" encoding="utf-8"?>
<comments xmlns="http://schemas.openxmlformats.org/spreadsheetml/2006/main">
  <authors>
    <author>djibril diakite</author>
    <author>Thibaut</author>
  </authors>
  <commentList>
    <comment ref="E3" authorId="0">
      <text>
        <r>
          <rPr>
            <sz val="9"/>
            <color indexed="81"/>
            <rFont val="Tahoma"/>
            <family val="2"/>
          </rPr>
          <t>Or 1Q12-1Q3 (Fiscal year 2013) for UK SPs</t>
        </r>
      </text>
    </comment>
    <comment ref="N16" authorId="0">
      <text>
        <r>
          <rPr>
            <sz val="9"/>
            <color indexed="81"/>
            <rFont val="Tahoma"/>
            <family val="2"/>
          </rPr>
          <t>Excluding ICS</t>
        </r>
      </text>
    </comment>
    <comment ref="E71" authorId="0">
      <text>
        <r>
          <rPr>
            <sz val="9"/>
            <color indexed="81"/>
            <rFont val="Tahoma"/>
            <family val="2"/>
          </rPr>
          <t xml:space="preserve">"N/A" replaced by mentioned Total - (Wireless+Wireline) revenues.
</t>
        </r>
      </text>
    </comment>
    <comment ref="U73" authorId="0">
      <text>
        <r>
          <rPr>
            <sz val="9"/>
            <color indexed="81"/>
            <rFont val="Tahoma"/>
            <family val="2"/>
          </rPr>
          <t xml:space="preserve">Wireless services + Mobile wholesale :
different presentation in IR xls 2011 &amp; before (without explicit split Consumer Mobile vs. Consumer Residential)
</t>
        </r>
      </text>
    </comment>
    <comment ref="U74" authorId="0">
      <text>
        <r>
          <rPr>
            <sz val="9"/>
            <color indexed="81"/>
            <rFont val="Tahoma"/>
            <family val="2"/>
          </rPr>
          <t>Voice + Internet</t>
        </r>
      </text>
    </comment>
    <comment ref="Q78" authorId="0">
      <text>
        <r>
          <rPr>
            <sz val="9"/>
            <color indexed="81"/>
            <rFont val="Tahoma"/>
            <family val="2"/>
          </rPr>
          <t>Labelled 'Corporate Market' before 2013</t>
        </r>
      </text>
    </comment>
    <comment ref="Q79" authorId="0">
      <text>
        <r>
          <rPr>
            <sz val="9"/>
            <color indexed="81"/>
            <rFont val="Tahoma"/>
            <family val="2"/>
          </rPr>
          <t>iBasis</t>
        </r>
      </text>
    </comment>
    <comment ref="T87" authorId="0">
      <text>
        <r>
          <rPr>
            <sz val="9"/>
            <color indexed="81"/>
            <rFont val="Tahoma"/>
            <family val="2"/>
          </rPr>
          <t>Wireless services + Mobile wholesale :
different presentation in IR xls 2011 &amp; before (without explicit split Consumer Mobile vs. Consumer Residential)</t>
        </r>
      </text>
    </comment>
    <comment ref="T88" authorId="0">
      <text>
        <r>
          <rPr>
            <sz val="9"/>
            <color indexed="81"/>
            <rFont val="Tahoma"/>
            <family val="2"/>
          </rPr>
          <t xml:space="preserve">Voice + Internet
</t>
        </r>
      </text>
    </comment>
    <comment ref="Q92" authorId="0">
      <text>
        <r>
          <rPr>
            <sz val="9"/>
            <color indexed="81"/>
            <rFont val="Tahoma"/>
            <family val="2"/>
          </rPr>
          <t>Labelled 'Corporate Market' before 2013</t>
        </r>
      </text>
    </comment>
    <comment ref="Q93" authorId="0">
      <text>
        <r>
          <rPr>
            <sz val="9"/>
            <color indexed="81"/>
            <rFont val="Tahoma"/>
            <family val="2"/>
          </rPr>
          <t>iBasis</t>
        </r>
      </text>
    </comment>
    <comment ref="B159" authorId="0">
      <text>
        <r>
          <rPr>
            <sz val="9"/>
            <color indexed="81"/>
            <rFont val="Tahoma"/>
            <family val="2"/>
          </rPr>
          <t>Some absolute values are mentioned but not their % on Bloomberg's screenshot. We prefered to take them into account and ajust original % accordingly</t>
        </r>
      </text>
    </comment>
    <comment ref="F208" authorId="0">
      <text>
        <r>
          <rPr>
            <sz val="9"/>
            <color indexed="81"/>
            <rFont val="Tahoma"/>
            <family val="2"/>
          </rPr>
          <t xml:space="preserve">(Was "N/A")
</t>
        </r>
      </text>
    </comment>
    <comment ref="T208" authorId="0">
      <text>
        <r>
          <rPr>
            <sz val="9"/>
            <color indexed="81"/>
            <rFont val="Tahoma"/>
            <family val="2"/>
          </rPr>
          <t xml:space="preserve">V. Q2 2013
</t>
        </r>
      </text>
    </comment>
    <comment ref="U208" authorId="0">
      <text>
        <r>
          <rPr>
            <sz val="9"/>
            <color indexed="81"/>
            <rFont val="Tahoma"/>
            <family val="2"/>
          </rPr>
          <t xml:space="preserve">737 in AR 2010
</t>
        </r>
      </text>
    </comment>
    <comment ref="C214" authorId="1">
      <text>
        <r>
          <rPr>
            <b/>
            <sz val="9"/>
            <color indexed="81"/>
            <rFont val="Tahoma"/>
            <family val="2"/>
          </rPr>
          <t>Thailand</t>
        </r>
      </text>
    </comment>
    <comment ref="C215" authorId="1">
      <text>
        <r>
          <rPr>
            <b/>
            <sz val="9"/>
            <color indexed="81"/>
            <rFont val="Tahoma"/>
            <family val="2"/>
          </rPr>
          <t>Malaisie</t>
        </r>
      </text>
    </comment>
    <comment ref="C218" authorId="1">
      <text>
        <r>
          <rPr>
            <b/>
            <sz val="9"/>
            <color indexed="81"/>
            <rFont val="Tahoma"/>
            <family val="2"/>
          </rPr>
          <t>Bangladesh</t>
        </r>
      </text>
    </comment>
    <comment ref="C222" authorId="1">
      <text>
        <r>
          <rPr>
            <b/>
            <sz val="9"/>
            <color indexed="81"/>
            <rFont val="Tahoma"/>
            <family val="2"/>
          </rPr>
          <t>Hongrie</t>
        </r>
      </text>
    </comment>
    <comment ref="C225" authorId="1">
      <text>
        <r>
          <rPr>
            <b/>
            <sz val="9"/>
            <color indexed="81"/>
            <rFont val="Tahoma"/>
            <family val="2"/>
          </rPr>
          <t>Montenegro</t>
        </r>
      </text>
    </comment>
    <comment ref="C229" authorId="1">
      <text>
        <r>
          <rPr>
            <b/>
            <sz val="9"/>
            <color indexed="81"/>
            <rFont val="Tahoma"/>
            <family val="2"/>
          </rPr>
          <t>Malaisie</t>
        </r>
      </text>
    </comment>
    <comment ref="C230" authorId="1">
      <text>
        <r>
          <rPr>
            <b/>
            <sz val="9"/>
            <color indexed="81"/>
            <rFont val="Tahoma"/>
            <family val="2"/>
          </rPr>
          <t>Thailand</t>
        </r>
      </text>
    </comment>
    <comment ref="C231" authorId="1">
      <text>
        <r>
          <rPr>
            <b/>
            <sz val="9"/>
            <color indexed="81"/>
            <rFont val="Tahoma"/>
            <family val="2"/>
          </rPr>
          <t>Bangladesh</t>
        </r>
      </text>
    </comment>
    <comment ref="C235" authorId="1">
      <text>
        <r>
          <rPr>
            <b/>
            <sz val="9"/>
            <color indexed="81"/>
            <rFont val="Tahoma"/>
            <family val="2"/>
          </rPr>
          <t>Hongrie</t>
        </r>
      </text>
    </comment>
    <comment ref="C238" authorId="1">
      <text>
        <r>
          <rPr>
            <b/>
            <sz val="9"/>
            <color indexed="81"/>
            <rFont val="Tahoma"/>
            <family val="2"/>
          </rPr>
          <t>Montenegro</t>
        </r>
      </text>
    </comment>
    <comment ref="U294" authorId="0">
      <text>
        <r>
          <rPr>
            <sz val="9"/>
            <color indexed="81"/>
            <rFont val="Tahoma"/>
            <family val="2"/>
          </rPr>
          <t xml:space="preserve">Once more, not a splendid example of F/M transparency : we understand why Bloomberg's analyst gave up after 2009
</t>
        </r>
      </text>
    </comment>
    <comment ref="AG307" authorId="0">
      <text>
        <r>
          <rPr>
            <sz val="9"/>
            <color indexed="81"/>
            <rFont val="Tahoma"/>
            <family val="2"/>
          </rPr>
          <t>More than a week now, on all browsers. Can't believe it.
Update : rumors of take over bid by America Movil</t>
        </r>
      </text>
    </comment>
  </commentList>
</comments>
</file>

<file path=xl/comments8.xml><?xml version="1.0" encoding="utf-8"?>
<comments xmlns="http://schemas.openxmlformats.org/spreadsheetml/2006/main">
  <authors>
    <author>djibril diakite</author>
  </authors>
  <commentList>
    <comment ref="IW3" authorId="0">
      <text>
        <r>
          <rPr>
            <sz val="9"/>
            <color indexed="81"/>
            <rFont val="Tahoma"/>
            <family val="2"/>
          </rPr>
          <t>[Avg (D*/E) - Avg (D/E)] / Avg (D/E)</t>
        </r>
      </text>
    </comment>
    <comment ref="B30" authorId="0">
      <text>
        <r>
          <rPr>
            <sz val="9"/>
            <color indexed="81"/>
            <rFont val="Tahoma"/>
            <family val="2"/>
          </rPr>
          <t xml:space="preserve">Weighted averages : by market cap, not EV
</t>
        </r>
      </text>
    </comment>
    <comment ref="FU32" authorId="0">
      <text>
        <r>
          <rPr>
            <sz val="9"/>
            <color indexed="81"/>
            <rFont val="Tahoma"/>
            <family val="2"/>
          </rPr>
          <t xml:space="preserve">Simple avg.
</t>
        </r>
      </text>
    </comment>
  </commentList>
</comments>
</file>

<file path=xl/comments9.xml><?xml version="1.0" encoding="utf-8"?>
<comments xmlns="http://schemas.openxmlformats.org/spreadsheetml/2006/main">
  <authors>
    <author>Aswath Damodaran</author>
    <author>djibril diakite</author>
  </authors>
  <commentList>
    <comment ref="O54" authorId="0">
      <text>
        <r>
          <rPr>
            <b/>
            <sz val="9"/>
            <color indexed="81"/>
            <rFont val="Geneva"/>
          </rPr>
          <t>Aswath Damodaran:</t>
        </r>
        <r>
          <rPr>
            <sz val="9"/>
            <color indexed="81"/>
            <rFont val="Geneva"/>
          </rPr>
          <t xml:space="preserve">
If your company is rated, use the actual rating. If you want to use a synthetic rating, use the synthetic ratings worksheet (available under spreadsheets).</t>
        </r>
      </text>
    </comment>
    <comment ref="R74" authorId="0">
      <text>
        <r>
          <rPr>
            <b/>
            <sz val="9"/>
            <color indexed="81"/>
            <rFont val="Geneva"/>
          </rPr>
          <t>Aswath Damodaran:</t>
        </r>
        <r>
          <rPr>
            <sz val="9"/>
            <color indexed="81"/>
            <rFont val="Geneva"/>
          </rPr>
          <t xml:space="preserve">
I have used an approximation here. If you want to see the more complete adjustment, see below.</t>
        </r>
      </text>
    </comment>
    <comment ref="AB74" authorId="1">
      <text>
        <r>
          <rPr>
            <sz val="9"/>
            <color indexed="81"/>
            <rFont val="Tahoma"/>
            <family val="2"/>
          </rPr>
          <t xml:space="preserve">(Discovered after finalizing this sheet)
</t>
        </r>
      </text>
    </comment>
  </commentList>
</comments>
</file>

<file path=xl/sharedStrings.xml><?xml version="1.0" encoding="utf-8"?>
<sst xmlns="http://schemas.openxmlformats.org/spreadsheetml/2006/main" count="10047" uniqueCount="2676">
  <si>
    <t>NET_DEBT</t>
  </si>
  <si>
    <t>ENTERPRISE_VALUE</t>
  </si>
  <si>
    <t>MOBB BB  equity</t>
  </si>
  <si>
    <t>TKA AV equity</t>
  </si>
  <si>
    <t>DTE GR equity</t>
  </si>
  <si>
    <t>HTO GA equity</t>
  </si>
  <si>
    <t>TIT IM  equity</t>
  </si>
  <si>
    <t>KPN NA  equity</t>
  </si>
  <si>
    <t>PTC PL equity</t>
  </si>
  <si>
    <t>TEF SM equity</t>
  </si>
  <si>
    <t>TLSN SS equity</t>
  </si>
  <si>
    <t>BT/A LN equity</t>
  </si>
  <si>
    <t>SCMN VX  equity</t>
  </si>
  <si>
    <t>TDC DC equity</t>
  </si>
  <si>
    <t>TEL NO equity</t>
  </si>
  <si>
    <t>TEL2B SS  equity</t>
  </si>
  <si>
    <t>BELG BB equity</t>
  </si>
  <si>
    <t>VOD LN equity</t>
  </si>
  <si>
    <t>TNET BB equity</t>
  </si>
  <si>
    <t>France</t>
  </si>
  <si>
    <t>Belgique</t>
  </si>
  <si>
    <t>Autriche</t>
  </si>
  <si>
    <t>Danemark</t>
  </si>
  <si>
    <t>Allemagne</t>
  </si>
  <si>
    <t>Grèce</t>
  </si>
  <si>
    <t>Italie</t>
  </si>
  <si>
    <t>Pays-Bas</t>
  </si>
  <si>
    <t>Portugal</t>
  </si>
  <si>
    <t>Espagne</t>
  </si>
  <si>
    <t>Suède</t>
  </si>
  <si>
    <t>Suisse</t>
  </si>
  <si>
    <t>Norvège</t>
  </si>
  <si>
    <t>UK</t>
  </si>
  <si>
    <t>ILD FP equity</t>
  </si>
  <si>
    <t>EV_TO_T12M_EBITDA</t>
  </si>
  <si>
    <t>Telekom Austria</t>
  </si>
  <si>
    <t>Mobistar</t>
  </si>
  <si>
    <t>Belgacom</t>
  </si>
  <si>
    <t>Telenet</t>
  </si>
  <si>
    <t>TDC</t>
  </si>
  <si>
    <t>Telefonica</t>
  </si>
  <si>
    <t>Iliad</t>
  </si>
  <si>
    <t>OTE</t>
  </si>
  <si>
    <t>Telenor</t>
  </si>
  <si>
    <t>KPN</t>
  </si>
  <si>
    <t>Portugal Telecom</t>
  </si>
  <si>
    <t>TeliaSonera</t>
  </si>
  <si>
    <t>Tele2</t>
  </si>
  <si>
    <t>Swisscom</t>
  </si>
  <si>
    <t>Vodafone</t>
  </si>
  <si>
    <t>BT</t>
  </si>
  <si>
    <t>MKT_VAL_OF_EQY</t>
  </si>
  <si>
    <t>DT</t>
  </si>
  <si>
    <t>TEF</t>
  </si>
  <si>
    <t>PT</t>
  </si>
  <si>
    <t>Mobile</t>
  </si>
  <si>
    <t>marpij associés</t>
  </si>
  <si>
    <t>71, Faubourg St Antoine</t>
  </si>
  <si>
    <t xml:space="preserve">F-75011 Paris </t>
  </si>
  <si>
    <t>EBITDA</t>
  </si>
  <si>
    <t>Source: xe.com</t>
  </si>
  <si>
    <t>NOK</t>
  </si>
  <si>
    <t>SEK</t>
  </si>
  <si>
    <t>CHF</t>
  </si>
  <si>
    <t>£</t>
  </si>
  <si>
    <t>Europe</t>
  </si>
  <si>
    <t>Ebitda</t>
  </si>
  <si>
    <t>A</t>
  </si>
  <si>
    <t>A-</t>
  </si>
  <si>
    <t>BBB+</t>
  </si>
  <si>
    <t>BBB</t>
  </si>
  <si>
    <t>BBB-</t>
  </si>
  <si>
    <t>#N/A N/A</t>
  </si>
  <si>
    <t>Finland</t>
  </si>
  <si>
    <t>ORA FP equity</t>
  </si>
  <si>
    <t>Pologne</t>
  </si>
  <si>
    <t>TPS PW equity</t>
  </si>
  <si>
    <t>(or value from closest quarter)</t>
  </si>
  <si>
    <t>Missing due to an update failure</t>
  </si>
  <si>
    <t>R.U.</t>
  </si>
  <si>
    <t>Currency</t>
  </si>
  <si>
    <t>Mkt Cap €</t>
  </si>
  <si>
    <t>PLN</t>
  </si>
  <si>
    <t>Avg. Mkt Cap €</t>
  </si>
  <si>
    <t>ELI1V FH equity</t>
  </si>
  <si>
    <t>D/(D+E)</t>
  </si>
  <si>
    <t>Avg. D/(D+E)</t>
  </si>
  <si>
    <t>EV/Ebitda</t>
  </si>
  <si>
    <t>Quaters avg.</t>
  </si>
  <si>
    <t>NOK / €</t>
  </si>
  <si>
    <t>PLN / €</t>
  </si>
  <si>
    <t>£ / €</t>
  </si>
  <si>
    <t>SEK / €</t>
  </si>
  <si>
    <t>CHF / €</t>
  </si>
  <si>
    <r>
      <rPr>
        <b/>
        <sz val="10"/>
        <rFont val="Wingdings"/>
        <charset val="2"/>
      </rPr>
      <t>ä</t>
    </r>
    <r>
      <rPr>
        <b/>
        <sz val="10"/>
        <rFont val="Arial"/>
        <family val="2"/>
      </rPr>
      <t xml:space="preserve"> D/(D+E)</t>
    </r>
  </si>
  <si>
    <t>D/Ebitda</t>
  </si>
  <si>
    <t>Avg. D/Ebitda</t>
  </si>
  <si>
    <r>
      <rPr>
        <b/>
        <sz val="10"/>
        <rFont val="Wingdings"/>
        <charset val="2"/>
      </rPr>
      <t>ä</t>
    </r>
    <r>
      <rPr>
        <b/>
        <sz val="10"/>
        <rFont val="Arial"/>
        <family val="2"/>
      </rPr>
      <t xml:space="preserve"> D/Ebitda</t>
    </r>
  </si>
  <si>
    <t>S&amp;P's</t>
  </si>
  <si>
    <t>Moody's</t>
  </si>
  <si>
    <t>Fitch</t>
  </si>
  <si>
    <t>Composite</t>
  </si>
  <si>
    <t>Pays</t>
  </si>
  <si>
    <t>Rating</t>
  </si>
  <si>
    <t>Outlook</t>
  </si>
  <si>
    <t>STABLE</t>
  </si>
  <si>
    <t>A1</t>
  </si>
  <si>
    <t>A+</t>
  </si>
  <si>
    <t>Deutsch Telekom</t>
  </si>
  <si>
    <t>Baa1</t>
  </si>
  <si>
    <t>HTO</t>
  </si>
  <si>
    <t>B+</t>
  </si>
  <si>
    <t>Caa1</t>
  </si>
  <si>
    <t>CCC+</t>
  </si>
  <si>
    <t>B-</t>
  </si>
  <si>
    <t>Baa2</t>
  </si>
  <si>
    <t>NEG</t>
  </si>
  <si>
    <t>Orange</t>
  </si>
  <si>
    <t>A3</t>
  </si>
  <si>
    <t>BB</t>
  </si>
  <si>
    <t>Ba2</t>
  </si>
  <si>
    <t>A2</t>
  </si>
  <si>
    <t>POS</t>
  </si>
  <si>
    <t>Telecom Italia</t>
  </si>
  <si>
    <t>Baa3</t>
  </si>
  <si>
    <t>B1</t>
  </si>
  <si>
    <t>Elisa</t>
  </si>
  <si>
    <t>Operator</t>
  </si>
  <si>
    <t>Line</t>
  </si>
  <si>
    <t>Segment</t>
  </si>
  <si>
    <t>Consumer BU</t>
  </si>
  <si>
    <t>1S13</t>
  </si>
  <si>
    <t>Entreprise BU</t>
  </si>
  <si>
    <t>International Carrier Services</t>
  </si>
  <si>
    <t>CBU</t>
  </si>
  <si>
    <t>Service delivery engine</t>
  </si>
  <si>
    <t>EBU</t>
  </si>
  <si>
    <t>Fixed communications services</t>
  </si>
  <si>
    <t>N/A</t>
  </si>
  <si>
    <t>Total</t>
  </si>
  <si>
    <t>Mobile communications services</t>
  </si>
  <si>
    <t>% Ebitda</t>
  </si>
  <si>
    <t>BT retail</t>
  </si>
  <si>
    <t>BT global services</t>
  </si>
  <si>
    <t>Openreach</t>
  </si>
  <si>
    <t>BT wholesale</t>
  </si>
  <si>
    <t>IOT &amp; Managed networks</t>
  </si>
  <si>
    <t>Call and lines</t>
  </si>
  <si>
    <t>other revenue</t>
  </si>
  <si>
    <t>broadband &amp; convergence</t>
  </si>
  <si>
    <t>Mobile &amp; Fixed communications</t>
  </si>
  <si>
    <t>Systems Solutions</t>
  </si>
  <si>
    <t>Operating segments AR 2012: Germany, Europa, US, Systems Solutions, HQ &amp; shared services</t>
  </si>
  <si>
    <t>Group headquarters and shared services</t>
  </si>
  <si>
    <t>Adjustments &amp; other BU</t>
  </si>
  <si>
    <t>Other</t>
  </si>
  <si>
    <t>wireless services</t>
  </si>
  <si>
    <t>wired services</t>
  </si>
  <si>
    <t>Reconciliation</t>
  </si>
  <si>
    <t>Broadband / Fixed network</t>
  </si>
  <si>
    <t>Consumer Customers</t>
  </si>
  <si>
    <t>Corporate Customers</t>
  </si>
  <si>
    <t>Eliminations</t>
  </si>
  <si>
    <t>Other Business</t>
  </si>
  <si>
    <t>Wireless Services</t>
  </si>
  <si>
    <t>Wireline Services</t>
  </si>
  <si>
    <t>Unlocated Items</t>
  </si>
  <si>
    <t>Haut débit internet</t>
  </si>
  <si>
    <t>Wireless services</t>
  </si>
  <si>
    <t>inter-segment sales</t>
  </si>
  <si>
    <t>téléphonie traditionelle</t>
  </si>
  <si>
    <t>The Netherlands</t>
  </si>
  <si>
    <t>Mobile International</t>
  </si>
  <si>
    <t>Wireless</t>
  </si>
  <si>
    <t>Wireline</t>
  </si>
  <si>
    <t>Adjustments &amp; other operations</t>
  </si>
  <si>
    <t>Mobile Telecommunications</t>
  </si>
  <si>
    <t>Rationale of suspending Fixed B2B offers</t>
  </si>
  <si>
    <t>Why:</t>
  </si>
  <si>
    <t>Fixed line telecommunications</t>
  </si>
  <si>
    <t>Luxembourg - Mobile</t>
  </si>
  <si>
    <t>Unallocated</t>
  </si>
  <si>
    <t>Personal communications services</t>
  </si>
  <si>
    <t>Home communications services</t>
  </si>
  <si>
    <t>Entreprise communications services</t>
  </si>
  <si>
    <t>international carrier &amp; shared services</t>
  </si>
  <si>
    <t>Wireless Operations</t>
  </si>
  <si>
    <t>Wireline Operations</t>
  </si>
  <si>
    <t>* Gross figures (excl. eliminations and other income)</t>
  </si>
  <si>
    <t>%Ebitda</t>
  </si>
  <si>
    <t>Brazil Oi</t>
  </si>
  <si>
    <t>Enterprise</t>
  </si>
  <si>
    <t>Brazil</t>
  </si>
  <si>
    <t xml:space="preserve">Sur PT, pas de répartition Fixe/Mobile pour le CA de Brasil Oi qui représente aujourd'hui près de la moitié des </t>
  </si>
  <si>
    <t>Other &amp; Eliminations</t>
  </si>
  <si>
    <t>revenus de PT (et de 40% de l'Ebitda). Pas de données base client en dehors du Portugal sur les xls.</t>
  </si>
  <si>
    <t>Segmentation Portugal (à mi-2013, 42% du CA pour 12% de la base client)</t>
  </si>
  <si>
    <t>Fixe =</t>
  </si>
  <si>
    <t>Personal</t>
  </si>
  <si>
    <t>Resid.</t>
  </si>
  <si>
    <t>Wholesale, other &amp; eliminations (Portugal)</t>
  </si>
  <si>
    <t>Personal = Mobile Consumers</t>
  </si>
  <si>
    <t>Pers.</t>
  </si>
  <si>
    <t>2/3 base client Entreprise, mais Brodband = 10% vs 30% pour le GP</t>
  </si>
  <si>
    <t>adjustments</t>
  </si>
  <si>
    <t xml:space="preserve">Entreprise = Fixe, Mobile, IT Entreprises </t>
  </si>
  <si>
    <t>Entr</t>
  </si>
  <si>
    <t xml:space="preserve">Et Mobile nettement plus high-end a priori. </t>
  </si>
  <si>
    <t>domestic mobile</t>
  </si>
  <si>
    <t>Wholesale, other and eliminations</t>
  </si>
  <si>
    <t>retail</t>
  </si>
  <si>
    <t>Soit CA Fixe Entreprise = 8/11 =</t>
  </si>
  <si>
    <t>(43% si 1 Client Fixe = 1 Client Mobile sur Entreprise)</t>
  </si>
  <si>
    <t>other revenus (hosting)</t>
  </si>
  <si>
    <t xml:space="preserve">Sur les autres marchés (="Brazil Oi" en 2010): hypothèse mobile = </t>
  </si>
  <si>
    <t>Swisscom Switzerland</t>
  </si>
  <si>
    <t>Fastweb</t>
  </si>
  <si>
    <t>Other IT - Services</t>
  </si>
  <si>
    <t>Latin America</t>
  </si>
  <si>
    <t>Spain</t>
  </si>
  <si>
    <t>Other (Atento) and inter-group elimination</t>
  </si>
  <si>
    <t>LatAm</t>
  </si>
  <si>
    <t>Mobile telephony</t>
  </si>
  <si>
    <t>DTAC</t>
  </si>
  <si>
    <t>DiGi</t>
  </si>
  <si>
    <t>Telenor Mobile Sweden</t>
  </si>
  <si>
    <t>Other Network Based Activities</t>
  </si>
  <si>
    <t>Grameenphone</t>
  </si>
  <si>
    <t>Telenor - Pakistan</t>
  </si>
  <si>
    <t>Other Operations</t>
  </si>
  <si>
    <t>Telenor Pannon</t>
  </si>
  <si>
    <t>Unitech Wireless - India</t>
  </si>
  <si>
    <t>Telenor - Serbia</t>
  </si>
  <si>
    <t>Promonte</t>
  </si>
  <si>
    <t>Telenor Mobile Norway</t>
  </si>
  <si>
    <t>Broadcast</t>
  </si>
  <si>
    <t>Montenegro</t>
  </si>
  <si>
    <t>Mobile Telephony</t>
  </si>
  <si>
    <t>Fixed broadband</t>
  </si>
  <si>
    <t>Domestic</t>
  </si>
  <si>
    <t>Brazil Mobile</t>
  </si>
  <si>
    <t>Argentina</t>
  </si>
  <si>
    <t>Olivetti</t>
  </si>
  <si>
    <t>TI Media</t>
  </si>
  <si>
    <t>Media</t>
  </si>
  <si>
    <t>Telecommunications Services</t>
  </si>
  <si>
    <t>Elimination</t>
  </si>
  <si>
    <t>additional markets (Serbia, Macedonia, Liechtenstein)</t>
  </si>
  <si>
    <t>Mobile Communication</t>
  </si>
  <si>
    <t>Fixed Net</t>
  </si>
  <si>
    <t>Landline telephony</t>
  </si>
  <si>
    <t>Mobility services</t>
  </si>
  <si>
    <t>Internet and network</t>
  </si>
  <si>
    <t>Terminal equipment, etc.</t>
  </si>
  <si>
    <t>Residential</t>
  </si>
  <si>
    <t>Cable Television</t>
  </si>
  <si>
    <t>Business</t>
  </si>
  <si>
    <t>Mobile Telephony Services</t>
  </si>
  <si>
    <t>Fixed Line Telephony Services</t>
  </si>
  <si>
    <t>Data Services</t>
  </si>
  <si>
    <t>Radio Communications</t>
  </si>
  <si>
    <t>Fixed-Line telecommunications</t>
  </si>
  <si>
    <t>Mobile telecommunications</t>
  </si>
  <si>
    <t>Mobility</t>
  </si>
  <si>
    <t>AR 2012</t>
  </si>
  <si>
    <t>Broadbd</t>
  </si>
  <si>
    <t>Eurasia</t>
  </si>
  <si>
    <t>% Mobility</t>
  </si>
  <si>
    <t>Voice Revenue</t>
  </si>
  <si>
    <t>Data Revenue</t>
  </si>
  <si>
    <t>Messaging Revenue</t>
  </si>
  <si>
    <t>Fixed line operators / DSL</t>
  </si>
  <si>
    <t>Other revenue / resellers</t>
  </si>
  <si>
    <t>other - service revenue</t>
  </si>
  <si>
    <t>Wired Services</t>
  </si>
  <si>
    <t>AMAP</t>
  </si>
  <si>
    <t>¥</t>
  </si>
  <si>
    <t>MOB</t>
  </si>
  <si>
    <t>TKA</t>
  </si>
  <si>
    <t>VOD</t>
  </si>
  <si>
    <t>BELG</t>
  </si>
  <si>
    <t>TEL</t>
  </si>
  <si>
    <t>TEL2</t>
  </si>
  <si>
    <t>TNET</t>
  </si>
  <si>
    <t>TLSN</t>
  </si>
  <si>
    <t>ELI</t>
  </si>
  <si>
    <t>TIT</t>
  </si>
  <si>
    <t>ILD</t>
  </si>
  <si>
    <t>ORA</t>
  </si>
  <si>
    <t>TPS</t>
  </si>
  <si>
    <t>SCM</t>
  </si>
  <si>
    <t>= = =</t>
  </si>
  <si>
    <t>= =</t>
  </si>
  <si>
    <t>¯ ¯</t>
  </si>
  <si>
    <t>¯ ¯ ¯</t>
  </si>
  <si>
    <t>Comp.</t>
  </si>
  <si>
    <r>
      <t xml:space="preserve">= </t>
    </r>
    <r>
      <rPr>
        <sz val="10"/>
        <rFont val="Symbol"/>
        <family val="1"/>
        <charset val="2"/>
      </rPr>
      <t>¯</t>
    </r>
  </si>
  <si>
    <r>
      <t>­</t>
    </r>
    <r>
      <rPr>
        <sz val="10"/>
        <rFont val="Arial"/>
        <family val="2"/>
      </rPr>
      <t xml:space="preserve"> = =</t>
    </r>
  </si>
  <si>
    <r>
      <t xml:space="preserve">= = </t>
    </r>
    <r>
      <rPr>
        <sz val="10"/>
        <rFont val="Symbol"/>
        <family val="1"/>
        <charset val="2"/>
      </rPr>
      <t>¯</t>
    </r>
  </si>
  <si>
    <r>
      <t xml:space="preserve">= </t>
    </r>
    <r>
      <rPr>
        <sz val="10"/>
        <rFont val="Symbol"/>
        <family val="1"/>
        <charset val="2"/>
      </rPr>
      <t>¯ ¯</t>
    </r>
  </si>
  <si>
    <t>DKK</t>
  </si>
  <si>
    <t>DKK/€</t>
  </si>
  <si>
    <t>Initial</t>
  </si>
  <si>
    <t>Moyenne</t>
  </si>
  <si>
    <t>Simple</t>
  </si>
  <si>
    <t>Sample</t>
  </si>
  <si>
    <t xml:space="preserve">Avg. </t>
  </si>
  <si>
    <r>
      <rPr>
        <b/>
        <sz val="10"/>
        <rFont val="Wingdings"/>
        <charset val="2"/>
      </rPr>
      <t>ä</t>
    </r>
    <r>
      <rPr>
        <b/>
        <sz val="10"/>
        <rFont val="Arial"/>
        <family val="2"/>
      </rPr>
      <t xml:space="preserve"> Mkt Cap €</t>
    </r>
  </si>
  <si>
    <t>AA+</t>
  </si>
  <si>
    <t>Aa1</t>
  </si>
  <si>
    <t>AAA</t>
  </si>
  <si>
    <t>Aaa</t>
  </si>
  <si>
    <t>AA</t>
  </si>
  <si>
    <t>Aa3</t>
  </si>
  <si>
    <t>AA-</t>
  </si>
  <si>
    <t>Mobile Inter.</t>
  </si>
  <si>
    <t>Cons. Mobile</t>
  </si>
  <si>
    <t>Cons. Resid.</t>
  </si>
  <si>
    <t>Dutch Telco</t>
  </si>
  <si>
    <t>IT Solutions</t>
  </si>
  <si>
    <t>Revenue</t>
  </si>
  <si>
    <t>RoW</t>
  </si>
  <si>
    <t>Germ.</t>
  </si>
  <si>
    <t>Belgium</t>
  </si>
  <si>
    <t>% Int.</t>
  </si>
  <si>
    <t>% KPN*</t>
  </si>
  <si>
    <t>% Mobile1</t>
  </si>
  <si>
    <t>http://countryeconomy.com/ratings</t>
  </si>
  <si>
    <t xml:space="preserve">BBB- </t>
  </si>
  <si>
    <t>C</t>
  </si>
  <si>
    <t>D</t>
  </si>
  <si>
    <t>CCC-</t>
  </si>
  <si>
    <t>Ba3</t>
  </si>
  <si>
    <t>BB-</t>
  </si>
  <si>
    <t>BB+</t>
  </si>
  <si>
    <t>B</t>
  </si>
  <si>
    <t>CCC</t>
  </si>
  <si>
    <t>Caa2</t>
  </si>
  <si>
    <t>Caa3</t>
  </si>
  <si>
    <t>Ca</t>
  </si>
  <si>
    <t>D/E</t>
  </si>
  <si>
    <r>
      <rPr>
        <sz val="10"/>
        <rFont val="Symbol"/>
        <family val="1"/>
        <charset val="2"/>
      </rPr>
      <t>¯</t>
    </r>
    <r>
      <rPr>
        <sz val="10"/>
        <rFont val="Arial"/>
        <family val="2"/>
      </rPr>
      <t xml:space="preserve"> </t>
    </r>
    <r>
      <rPr>
        <sz val="10"/>
        <rFont val="Symbol"/>
        <family val="1"/>
        <charset val="2"/>
      </rPr>
      <t>¯ ¯</t>
    </r>
  </si>
  <si>
    <t>Vodafone bought C&amp;W in July 2012 (market cap &gt;1Bn€, against around 6Bn€ by 2007) - integrated into the business on 1 April 2013</t>
  </si>
  <si>
    <t>SNC PL equity</t>
  </si>
  <si>
    <t>Slovénie</t>
  </si>
  <si>
    <t>TLSG SV equity</t>
  </si>
  <si>
    <t>EV_TO_T12M_SALES</t>
  </si>
  <si>
    <t>PE_RATIO</t>
  </si>
  <si>
    <t>EFF_TAX_RATE</t>
  </si>
  <si>
    <t>Px Last</t>
  </si>
  <si>
    <t>DKKEUR Curncy</t>
  </si>
  <si>
    <t>NOKEUR Curncy</t>
  </si>
  <si>
    <t>PLNEUR Curncy</t>
  </si>
  <si>
    <t>GBPEUR Curncy</t>
  </si>
  <si>
    <t>SEKEUR Curncy</t>
  </si>
  <si>
    <t>CHFEUR Curncy</t>
  </si>
  <si>
    <t>(Bloomberg Raw Data)</t>
  </si>
  <si>
    <t>SNC</t>
  </si>
  <si>
    <t>TLSG</t>
  </si>
  <si>
    <t>NET DEBT</t>
  </si>
  <si>
    <t>MKT CAP</t>
  </si>
  <si>
    <t>EV</t>
  </si>
  <si>
    <t>EV/EBITDA</t>
  </si>
  <si>
    <t>EV/SALES</t>
  </si>
  <si>
    <t xml:space="preserve">(Partly) from financial report </t>
  </si>
  <si>
    <t>P/E</t>
  </si>
  <si>
    <t>Italics: bi-annual</t>
  </si>
  <si>
    <t>1H13</t>
  </si>
  <si>
    <t>From Bloomberg terminal screenshots</t>
  </si>
  <si>
    <t>Marpij Analysis</t>
  </si>
  <si>
    <t>% Revenue</t>
  </si>
  <si>
    <t>Geo</t>
  </si>
  <si>
    <t>Fixed</t>
  </si>
  <si>
    <t>Mobile % Rev.</t>
  </si>
  <si>
    <t>SDE&amp;W</t>
  </si>
  <si>
    <t>1H12</t>
  </si>
  <si>
    <t>% Revenue°</t>
  </si>
  <si>
    <t>Avg.</t>
  </si>
  <si>
    <t>Greece</t>
  </si>
  <si>
    <t>Romania</t>
  </si>
  <si>
    <t>Albania</t>
  </si>
  <si>
    <t>Bulgaria</t>
  </si>
  <si>
    <t>%Rev.</t>
  </si>
  <si>
    <t>Avg. Greece Mobile / Greece</t>
  </si>
  <si>
    <t>Mobile % Revenue</t>
  </si>
  <si>
    <t>Greece :</t>
  </si>
  <si>
    <r>
      <t xml:space="preserve">Hypothèse Mobile % CA Portugal à peu près constant. Idem sur le Brésil à partir de 2011, avec l'hypothèse </t>
    </r>
    <r>
      <rPr>
        <i/>
        <sz val="10"/>
        <color rgb="FF0070C0"/>
        <rFont val="Symbol"/>
        <family val="1"/>
        <charset val="2"/>
      </rPr>
      <t>®</t>
    </r>
  </si>
  <si>
    <t>Rev.$ Oi</t>
  </si>
  <si>
    <r>
      <t xml:space="preserve">30% env. base client GP, mais 50% CA GP, soit 1 client Fixe </t>
    </r>
    <r>
      <rPr>
        <i/>
        <sz val="10"/>
        <color rgb="FF0070C0"/>
        <rFont val="Symbol"/>
        <family val="1"/>
        <charset val="2"/>
      </rPr>
      <t>»</t>
    </r>
    <r>
      <rPr>
        <i/>
        <sz val="10"/>
        <color rgb="FF0070C0"/>
        <rFont val="Arial"/>
        <family val="2"/>
      </rPr>
      <t xml:space="preserve"> 5/3 Mobile </t>
    </r>
  </si>
  <si>
    <t>Austria</t>
  </si>
  <si>
    <t>% Ebitda°</t>
  </si>
  <si>
    <t>% Ebitda°/ % Rev.°</t>
  </si>
  <si>
    <t>% Rev.</t>
  </si>
  <si>
    <t>% Revenue Portugal</t>
  </si>
  <si>
    <t>% Ebitda Portugal</t>
  </si>
  <si>
    <t xml:space="preserve">Mobile % Ebitda  </t>
  </si>
  <si>
    <t>% Ebitda / % Rev.</t>
  </si>
  <si>
    <t>% Ebitda/ % Rev.</t>
  </si>
  <si>
    <t>"The main reasons were loss of high-margin service revenue in Mobility Services and net sales</t>
  </si>
  <si>
    <t>volume decrease in Broadband Services, partly offset by the net sales increase in Eurasia."</t>
  </si>
  <si>
    <t xml:space="preserve">"Business area Eurasia comprises mobile operations in Kazakhstan, Azerbaijan, Uzbekistan, Tajikistan, Georgia, Moldova and Nepal. </t>
  </si>
  <si>
    <t>The business area is also responsible for developing TeliaSonera’s shareholding in Russian MegaFon (25 percent) and Turkish Turkcell (38 percent)."</t>
  </si>
  <si>
    <t>BS_PV_FUTURE_MIN_OP_LEASE_OBL</t>
  </si>
  <si>
    <t>WACC_WEIGHT_OF_DEBT_%_AVERAGE</t>
  </si>
  <si>
    <t>TRAIL_12M_INT_EXP_BOND</t>
  </si>
  <si>
    <t>BS_FUTURE_MIN_OPER_LEASE_OBLIG</t>
  </si>
  <si>
    <t>OP. LEASE</t>
  </si>
  <si>
    <t>Avg. Maturity</t>
  </si>
  <si>
    <t>Cost of debt</t>
  </si>
  <si>
    <t>Maturity</t>
  </si>
  <si>
    <t>Present Value</t>
  </si>
  <si>
    <t xml:space="preserve">Maturity </t>
  </si>
  <si>
    <t xml:space="preserve">PV OL </t>
  </si>
  <si>
    <t>Inputs</t>
  </si>
  <si>
    <t>Operating lease expense in current year =</t>
  </si>
  <si>
    <t>Operating Lease Commitments (From footnote to financials)</t>
  </si>
  <si>
    <t>Year</t>
  </si>
  <si>
    <t>Commitment</t>
  </si>
  <si>
    <t>! Year 1 is next year, ….</t>
  </si>
  <si>
    <t>6 and beyond</t>
  </si>
  <si>
    <t>Pre-tax Cost of Debt =</t>
  </si>
  <si>
    <t>From the current financial statements, enter the following</t>
  </si>
  <si>
    <t>Reported Operating Income (EBIT) =</t>
  </si>
  <si>
    <t>! This is the EBIT reported in the current income statement</t>
  </si>
  <si>
    <t>Reported Debt =</t>
  </si>
  <si>
    <t>! This is the interest-bearing debt reported on the balance sheet</t>
  </si>
  <si>
    <t>Reported Interest Expenses =</t>
  </si>
  <si>
    <t>Output</t>
  </si>
  <si>
    <t>Number of years embedded in yr 6 estimate =</t>
  </si>
  <si>
    <t>! I use the average lease expense over the first five years</t>
  </si>
  <si>
    <t>to estimate the number of years of expenses in yr 6</t>
  </si>
  <si>
    <t>Converting Operating Leases into debt</t>
  </si>
  <si>
    <t>! Commitment beyond year 6 converted into an annuity for ten years</t>
  </si>
  <si>
    <t>Debt Value of leases =</t>
  </si>
  <si>
    <t>Restated Financials</t>
  </si>
  <si>
    <t>Operating Income with Operating leases reclassified as debt =</t>
  </si>
  <si>
    <t>Debt with Operating leases reclassified as debt =</t>
  </si>
  <si>
    <t>Full Operating lease adjustment</t>
  </si>
  <si>
    <t>Reported Operating income =</t>
  </si>
  <si>
    <t xml:space="preserve"> + Current year's operating lease expense =</t>
  </si>
  <si>
    <t xml:space="preserve"> - Depreciation on leased asset =</t>
  </si>
  <si>
    <t>Adjusted Operating Income</t>
  </si>
  <si>
    <t>Total OL =</t>
  </si>
  <si>
    <t>PV with a constant commitment :</t>
  </si>
  <si>
    <t>Operating Lease Converter - Damodaran</t>
  </si>
  <si>
    <t>% D*</t>
  </si>
  <si>
    <t>BV OL</t>
  </si>
  <si>
    <t>OL = Operating Lease</t>
  </si>
  <si>
    <t>BV = Book Value</t>
  </si>
  <si>
    <t>PV = Present Value</t>
  </si>
  <si>
    <t>INTEREST_COVERAGE_RATIO</t>
  </si>
  <si>
    <t>Telekom Slovenije</t>
  </si>
  <si>
    <t>Ba1</t>
  </si>
  <si>
    <t>or unavailable when downloaded</t>
  </si>
  <si>
    <t>Bloom Cleaner Data</t>
  </si>
  <si>
    <t>N/A indices</t>
  </si>
  <si>
    <t>TRAIL_12M_EFF_TAX_RT</t>
  </si>
  <si>
    <t>DDIS_AVG_MTY_ISSUER_SUBS</t>
  </si>
  <si>
    <t>WACC_COST_OF_DEBT</t>
  </si>
  <si>
    <t>WACC_COST_OF_DEBT_%_AVERAGE</t>
  </si>
  <si>
    <t>NET_DEBT_TO_EBITDA_AVERAGE</t>
  </si>
  <si>
    <t>INDX_ADJ_POS_PX_EE</t>
  </si>
  <si>
    <t>BS_WTD_AVG_INT_RATE_ST_DEBT</t>
  </si>
  <si>
    <t>INDX_MARKET_CAP</t>
  </si>
  <si>
    <t>BS_WTD_AVG_INT_RATE_LT_DEBT</t>
  </si>
  <si>
    <t>IDX_ENTERPRISE_VALUE</t>
  </si>
  <si>
    <t>BS_WTD_AVG_INT_RATE_ST_LT_DEBT</t>
  </si>
  <si>
    <t>IDX_EST_PRICE_BOOK</t>
  </si>
  <si>
    <t>TOTAL_DEBT_WAVG_MATURITY</t>
  </si>
  <si>
    <t>INDX_PX_SALES</t>
  </si>
  <si>
    <t>EV_EST_SALES_NEXT_YR_AGGTE</t>
  </si>
  <si>
    <t>PX_TO_BOOK_RATIO</t>
  </si>
  <si>
    <t>BB_COMPOSITE</t>
  </si>
  <si>
    <t>INTEREST_COVERAGE_RATIO_AVERAGE</t>
  </si>
  <si>
    <t>EST_PE_NXT_YR</t>
  </si>
  <si>
    <t>BEST_EPEG_RATIO</t>
  </si>
  <si>
    <t>WACC</t>
  </si>
  <si>
    <t>BEST_PEG_RATIO_NXT_YR</t>
  </si>
  <si>
    <t>BEST_EST_LONG_TERM_GROWTH</t>
  </si>
  <si>
    <t>BS_CASH_NEAR_CASH_ITEM</t>
  </si>
  <si>
    <t>BS_PENSION_RSRV</t>
  </si>
  <si>
    <t>NET_DEBT_TO_EBITDA</t>
  </si>
  <si>
    <t>TRAIL_12M_CAP_INT_EXP</t>
  </si>
  <si>
    <t>1H10 - 1H13</t>
  </si>
  <si>
    <t xml:space="preserve">1H12 - 1H13 </t>
  </si>
  <si>
    <t>E300 Telco</t>
  </si>
  <si>
    <t>FT3NCY Index</t>
  </si>
  <si>
    <t>Telco</t>
  </si>
  <si>
    <t>EETELES Index</t>
  </si>
  <si>
    <t>Euro Telco</t>
  </si>
  <si>
    <t>EFMOBTE Index</t>
  </si>
  <si>
    <t>E300 Fixed</t>
  </si>
  <si>
    <t>E3TELE Index</t>
  </si>
  <si>
    <t>E300 Mobile</t>
  </si>
  <si>
    <t>EFTELES Index</t>
  </si>
  <si>
    <t>Ultilities</t>
  </si>
  <si>
    <t>FT3UTL Index</t>
  </si>
  <si>
    <t>Euro Utilities</t>
  </si>
  <si>
    <t>EEUTLOS Index</t>
  </si>
  <si>
    <t>IDX_EST_EV_EBITDA</t>
  </si>
  <si>
    <t>INDX_ADJ_PE</t>
  </si>
  <si>
    <t>INDX_PX_BOOK</t>
  </si>
  <si>
    <t>Germany</t>
  </si>
  <si>
    <t>Italy</t>
  </si>
  <si>
    <t>Norway</t>
  </si>
  <si>
    <t>Netherlands</t>
  </si>
  <si>
    <t>Poland</t>
  </si>
  <si>
    <t>Sweden</t>
  </si>
  <si>
    <t>Switzerland</t>
  </si>
  <si>
    <t>Average</t>
  </si>
  <si>
    <t>Weighted</t>
  </si>
  <si>
    <t>Current</t>
  </si>
  <si>
    <t>No rating</t>
  </si>
  <si>
    <t>N/a</t>
  </si>
  <si>
    <t>Original segments: Austria (around 2/3 Revenues &amp; Ebitda), Bulgaria, Croatia, Belarus,</t>
  </si>
  <si>
    <t>Fixed lines only in Austria</t>
  </si>
  <si>
    <t xml:space="preserve">Additional decompositions available within geo. segments: Monthly Fee and Traffic, Data and </t>
  </si>
  <si>
    <t>ICT Solutions, Wholesale (incl. Roaming), Interconnection, Equipment, Other revenues</t>
  </si>
  <si>
    <t>Fixed/Mobile Ebitda split available but Fixed Ebitda negative</t>
  </si>
  <si>
    <t>By 1H13, 1/3 Mobile customer base from MVNO (Telenet).</t>
  </si>
  <si>
    <t>Fixe % Rev.</t>
  </si>
  <si>
    <t>Included interco (1/4 to 1/3 Mobile revenues)</t>
  </si>
  <si>
    <t xml:space="preserve">Mobile revenues n/a in 2011/2010/2010 but: mention of +67% in 2012 with stable Fixed revenues 2011 vs. 2010 </t>
  </si>
  <si>
    <t>And Mobile more than x2 in 2010. (Mobile now about to over Fixed in telephony, i.e excl. broadband and cable TV.)</t>
  </si>
  <si>
    <t>)</t>
  </si>
  <si>
    <t>Broadband</t>
  </si>
  <si>
    <t>TV</t>
  </si>
  <si>
    <t>Terminal Equipement</t>
  </si>
  <si>
    <t>Other Services</t>
  </si>
  <si>
    <t>2012 Ebitda Mobile naturally negative with a start in early 2012, but positive for 1H13</t>
  </si>
  <si>
    <t>Mobile services</t>
  </si>
  <si>
    <t>% Rev. Group</t>
  </si>
  <si>
    <t xml:space="preserve">Mobile services &amp; equipt </t>
  </si>
  <si>
    <t xml:space="preserve">% Rev. (Fixed+Mobile) </t>
  </si>
  <si>
    <t>Beside operational KPI, Fixed/Mobile split n/a as a matter of fact in 2012 &amp; 1H13 financial reports</t>
  </si>
  <si>
    <t>(only, for instance, comments on the relative evolution of Mobile services and Data in Germany)</t>
  </si>
  <si>
    <t>*I.e. a repartition of terminal equipt sales</t>
  </si>
  <si>
    <t>% Revenue°°</t>
  </si>
  <si>
    <t>° Excl. Other : Other's risk profile similar to (Fixe, Mobile) weighted average</t>
  </si>
  <si>
    <t>°° Incl. Other : Other's risk profile assumed similar to Fixed line services</t>
  </si>
  <si>
    <t>% Rev Mobile</t>
  </si>
  <si>
    <t>Brasil Mobile</t>
  </si>
  <si>
    <t>(Avg.)</t>
  </si>
  <si>
    <t>Data</t>
  </si>
  <si>
    <t>Telenor Mobile Danmark</t>
  </si>
  <si>
    <t>Denmark</t>
  </si>
  <si>
    <t>Bl. Mobile % Rev.</t>
  </si>
  <si>
    <t>From Marpij's calculation on IR xls</t>
  </si>
  <si>
    <t>Around 40% revenues in cable TV (included in Fixed). High growth for Mobile (full MVNO on Mobistar's network)</t>
  </si>
  <si>
    <t>(Montenegro)</t>
  </si>
  <si>
    <t>(Bangladesh)</t>
  </si>
  <si>
    <t>(Thailand)</t>
  </si>
  <si>
    <t>(Hungary)</t>
  </si>
  <si>
    <t>Wireless operations</t>
  </si>
  <si>
    <t>Wireline operations</t>
  </si>
  <si>
    <t>(Marpij - Bloom)</t>
  </si>
  <si>
    <t>Bl. Mobile % (F+M)</t>
  </si>
  <si>
    <t>F+M</t>
  </si>
  <si>
    <t>Bl. Mobile % Total</t>
  </si>
  <si>
    <t>(TEF - Bloom)</t>
  </si>
  <si>
    <t>Other &amp; eliminations</t>
  </si>
  <si>
    <t>ok</t>
  </si>
  <si>
    <t>… Before identifying relevant estimates from Bloomberg :</t>
  </si>
  <si>
    <t>"Mobile Telephony Services" - "Wireless"</t>
  </si>
  <si>
    <t>(Fixed telephony</t>
  </si>
  <si>
    <t>Total Mobile</t>
  </si>
  <si>
    <t>(+ messaging, content and M2M)</t>
  </si>
  <si>
    <t>Voice traffic</t>
  </si>
  <si>
    <t>Wholesale</t>
  </si>
  <si>
    <t>Mobile equipment</t>
  </si>
  <si>
    <t>Fixed services</t>
  </si>
  <si>
    <t>(incl. narrow/broadband, TV, VoIP, enterprise solutions &amp; network, wholesale)</t>
  </si>
  <si>
    <t>"Fixed Line Telephony Services" - "Wireline"</t>
  </si>
  <si>
    <t>Fixed + Mobile</t>
  </si>
  <si>
    <t xml:space="preserve">Mobile % (F+M) </t>
  </si>
  <si>
    <t>Mobile % Rev</t>
  </si>
  <si>
    <t>"Wireless" % Rev</t>
  </si>
  <si>
    <t>broadband and TV revenues : to include in Fixed services</t>
  </si>
  <si>
    <t>(excl. terminals)</t>
  </si>
  <si>
    <t>"Wireless" % Tot.</t>
  </si>
  <si>
    <t>% M. services</t>
  </si>
  <si>
    <t xml:space="preserve">Mob. equipt </t>
  </si>
  <si>
    <t>(i.e. excl. Mob. equipt)</t>
  </si>
  <si>
    <t>(Mob. Equipt + Other)</t>
  </si>
  <si>
    <t>% Total</t>
  </si>
  <si>
    <t>% (Mob. equipt + Other) i.e. % "Sales of Good and Others"</t>
  </si>
  <si>
    <t>Sales of Good and Others</t>
  </si>
  <si>
    <t xml:space="preserve">assuming a constant Mob. equipt % of </t>
  </si>
  <si>
    <t>Change of presentation in TPS accounts in 2012 :</t>
  </si>
  <si>
    <t>Sales of Good and Others, and radio</t>
  </si>
  <si>
    <t>communications (Towerco) to Fixed services</t>
  </si>
  <si>
    <t>with above adj % Rev.</t>
  </si>
  <si>
    <t xml:space="preserve">Either way, a relatively (and generally) lower Ebitda contribution from Mobile </t>
  </si>
  <si>
    <t>(100% Bloomberg inputs &amp; 1H13 n/a) 70% Mobile in Brazil</t>
  </si>
  <si>
    <t>(Not useful)</t>
  </si>
  <si>
    <t>Brazil Oi consolidé à 25% en fait depuis 2T11 (les chiffres Bloomberg pour 2010 doivent correspondre à Others/Afrique&amp;co.)</t>
  </si>
  <si>
    <t>Hardware</t>
  </si>
  <si>
    <t>Mobile 2</t>
  </si>
  <si>
    <t>Fixed 2</t>
  </si>
  <si>
    <t>% Mobile 2</t>
  </si>
  <si>
    <t>Mapij's calculations on IR xls :</t>
  </si>
  <si>
    <t>Total 1</t>
  </si>
  <si>
    <t>Bl. "Wireless" % Rev.</t>
  </si>
  <si>
    <t xml:space="preserve">Customised sol. </t>
  </si>
  <si>
    <t>Total 2</t>
  </si>
  <si>
    <t>X</t>
  </si>
  <si>
    <t>Fixed 3</t>
  </si>
  <si>
    <t>Total 3</t>
  </si>
  <si>
    <t>Fastweb, IT, Hospitality, etc.</t>
  </si>
  <si>
    <t xml:space="preserve">% Mobile 3 </t>
  </si>
  <si>
    <r>
      <rPr>
        <sz val="10"/>
        <color rgb="FF0070C0"/>
        <rFont val="Wingdings 3"/>
        <family val="1"/>
        <charset val="2"/>
      </rPr>
      <t>Ó</t>
    </r>
    <r>
      <rPr>
        <sz val="10"/>
        <color rgb="FF0070C0"/>
        <rFont val="Wingdings"/>
        <charset val="2"/>
      </rPr>
      <t>ä</t>
    </r>
  </si>
  <si>
    <r>
      <rPr>
        <sz val="10"/>
        <color rgb="FF0070C0"/>
        <rFont val="Symbol"/>
        <family val="1"/>
        <charset val="2"/>
      </rPr>
      <t>­</t>
    </r>
    <r>
      <rPr>
        <sz val="10"/>
        <color rgb="FF0070C0"/>
        <rFont val="Arial"/>
        <family val="2"/>
      </rPr>
      <t xml:space="preserve"> "Bug" here from Bloomberg</t>
    </r>
  </si>
  <si>
    <t xml:space="preserve">For 2012, analyst only took 1P revenues, not 2P/3P, 4P (mixed), and not X = Fastweb (3P Italy) + IT, Hospitality &amp; co </t>
  </si>
  <si>
    <t>V. Bloom incl. a share of terminal sales*</t>
  </si>
  <si>
    <t>(Gross profit available)</t>
  </si>
  <si>
    <t>Operator services</t>
  </si>
  <si>
    <t>(No Ebitda split, but gross profit available)</t>
  </si>
  <si>
    <t xml:space="preserve">Total </t>
  </si>
  <si>
    <t>Excluding (marginal) Operator services (?), Other, and Terminal Equipment - thus, split according to F/M services revenues</t>
  </si>
  <si>
    <t>Bloom - Marpij</t>
  </si>
  <si>
    <t>V. Bloom fully excl. Terminal from Mobile</t>
  </si>
  <si>
    <t>according to the initial rev. split by service,</t>
  </si>
  <si>
    <t>Assuming terminals sales split along M/F services, though 31% is likely to understimate M/F terminal sales ratio</t>
  </si>
  <si>
    <r>
      <t>(</t>
    </r>
    <r>
      <rPr>
        <sz val="10"/>
        <color rgb="FF0070C0"/>
        <rFont val="Symbol"/>
        <family val="1"/>
        <charset val="2"/>
      </rPr>
      <t>¬</t>
    </r>
    <r>
      <rPr>
        <sz val="10"/>
        <color rgb="FF0070C0"/>
        <rFont val="Arial"/>
        <family val="2"/>
      </rPr>
      <t xml:space="preserve"> estimate for 1H13 on avg.)</t>
    </r>
  </si>
  <si>
    <t>(Including IT &amp; co as Fixed operations)</t>
  </si>
  <si>
    <t>Business Equipt sales added to Fixed 1 (approximation)</t>
  </si>
  <si>
    <t>Assuming around 50% F/M revenue share for relatively marginal 4P bundles (3% in 2012, 6% by 1H13)</t>
  </si>
  <si>
    <t>Devices sales split along % Mobile 1 (approximation)</t>
  </si>
  <si>
    <t>Wired services</t>
  </si>
  <si>
    <t>Fixed Broadband</t>
  </si>
  <si>
    <t>Fixed Telephony</t>
  </si>
  <si>
    <t>Fixed telephony</t>
  </si>
  <si>
    <t>Other operations (IT - outsourcing)</t>
  </si>
  <si>
    <t>Ebit</t>
  </si>
  <si>
    <t>Capex</t>
  </si>
  <si>
    <t>Net sales</t>
  </si>
  <si>
    <t>(Including one-off items)</t>
  </si>
  <si>
    <t>With Other operations (IT &amp; co) rather assimilated to Fixed</t>
  </si>
  <si>
    <t>services in terms of risk :</t>
  </si>
  <si>
    <t>(No clue why Bloomberg's inputs significantly differ from ours</t>
  </si>
  <si>
    <t>Bloom Mobile % Rev.</t>
  </si>
  <si>
    <t>Mobile % Ebitda</t>
  </si>
  <si>
    <t>For Mobile :</t>
  </si>
  <si>
    <t>% Ebit / % Rev.</t>
  </si>
  <si>
    <t>Mobile % Tot. Ebitda</t>
  </si>
  <si>
    <t>Mobile % Tot Ebit</t>
  </si>
  <si>
    <t>Mobile % Tot Capex</t>
  </si>
  <si>
    <t>% Capex / % Rev.</t>
  </si>
  <si>
    <t>Mobile relative contribution clearly decreasing in terms of Ebitda</t>
  </si>
  <si>
    <t>&amp; Ebit (although some one-off items may have impacted above</t>
  </si>
  <si>
    <t>With "neutralized" Other operations" (i.e within Mobile + Fixed</t>
  </si>
  <si>
    <t>Here % (Mobile + Fixed broadband &amp; tel.)</t>
  </si>
  <si>
    <t>broadband &amp; Tel.) :</t>
  </si>
  <si>
    <t>LatAm % Rev.</t>
  </si>
  <si>
    <t>(incl. handsets)</t>
  </si>
  <si>
    <r>
      <t xml:space="preserve">E/R </t>
    </r>
    <r>
      <rPr>
        <sz val="10"/>
        <rFont val="Symbol"/>
        <family val="1"/>
        <charset val="2"/>
      </rPr>
      <t>³</t>
    </r>
    <r>
      <rPr>
        <sz val="10"/>
        <rFont val="Arial"/>
        <family val="2"/>
      </rPr>
      <t xml:space="preserve"> 1 stable</t>
    </r>
  </si>
  <si>
    <t>ratios). V curve in contrast for Capex : renewed investments for</t>
  </si>
  <si>
    <t>Mobile activities</t>
  </si>
  <si>
    <t>(Such transparency and clarity are a rare treat)</t>
  </si>
  <si>
    <t>Mobile 1</t>
  </si>
  <si>
    <t>Fixed 1</t>
  </si>
  <si>
    <t>% Mobile 1</t>
  </si>
  <si>
    <t>% Mobile 3</t>
  </si>
  <si>
    <t>Sonaecom</t>
  </si>
  <si>
    <t>(Bloomberg inputs replaced because of a clear Bloomberg's mistake)</t>
  </si>
  <si>
    <r>
      <t xml:space="preserve">With Ebit &amp; Capex   E/R </t>
    </r>
    <r>
      <rPr>
        <sz val="10"/>
        <color theme="1"/>
        <rFont val="Symbol"/>
        <family val="1"/>
        <charset val="2"/>
      </rPr>
      <t>»</t>
    </r>
    <r>
      <rPr>
        <sz val="10"/>
        <color theme="1"/>
        <rFont val="Arial"/>
        <family val="2"/>
      </rPr>
      <t>1 decreasing</t>
    </r>
  </si>
  <si>
    <t xml:space="preserve">for 2012 &amp; 2009, in spite of straightforward original data.)  </t>
  </si>
  <si>
    <t>Mobile Network</t>
  </si>
  <si>
    <t>Fixed Network</t>
  </si>
  <si>
    <t>Multimedia</t>
  </si>
  <si>
    <t>(Bloomberg screenshot omitted)</t>
  </si>
  <si>
    <t>Information Systems</t>
  </si>
  <si>
    <t>Revenues</t>
  </si>
  <si>
    <t>Service revenues + equipment sales (other revenues not in turnover but added to Ebitda)</t>
  </si>
  <si>
    <t>Software &amp; Information Systems</t>
  </si>
  <si>
    <t>SSI</t>
  </si>
  <si>
    <t>Onine &amp; Media</t>
  </si>
  <si>
    <t>Idem</t>
  </si>
  <si>
    <t>(Online a negative Ebit or Ebitda is mentioned)</t>
  </si>
  <si>
    <t>Bl. Mobile % Ebitda</t>
  </si>
  <si>
    <t>Bl. % Ebitda/ % Rev.</t>
  </si>
  <si>
    <t>Excluding Multimedia (instead of adding it to Fixed, so reducing % Mobile by around 3 bps)</t>
  </si>
  <si>
    <r>
      <t xml:space="preserve">(E/R </t>
    </r>
    <r>
      <rPr>
        <sz val="10"/>
        <color theme="1"/>
        <rFont val="Symbol"/>
        <family val="1"/>
        <charset val="2"/>
      </rPr>
      <t>»</t>
    </r>
    <r>
      <rPr>
        <sz val="9"/>
        <color theme="1"/>
        <rFont val="Arial"/>
        <family val="2"/>
      </rPr>
      <t xml:space="preserve"> </t>
    </r>
    <r>
      <rPr>
        <sz val="10"/>
        <color theme="1"/>
        <rFont val="Arial"/>
        <family val="2"/>
      </rPr>
      <t>1.5)</t>
    </r>
  </si>
  <si>
    <r>
      <t xml:space="preserve">Substantial Fixed revenues but marginal profits : avg. </t>
    </r>
    <r>
      <rPr>
        <sz val="10"/>
        <color rgb="FF0070C0"/>
        <rFont val="Arial"/>
        <family val="2"/>
      </rPr>
      <t xml:space="preserve">Mobile % Ebitda </t>
    </r>
    <r>
      <rPr>
        <sz val="10"/>
        <color rgb="FF0070C0"/>
        <rFont val="Symbol"/>
        <family val="1"/>
        <charset val="2"/>
      </rPr>
      <t xml:space="preserve">» </t>
    </r>
    <r>
      <rPr>
        <b/>
        <sz val="10"/>
        <color rgb="FF0070C0"/>
        <rFont val="Arial"/>
        <family val="2"/>
      </rPr>
      <t>90%</t>
    </r>
    <r>
      <rPr>
        <sz val="10"/>
        <rFont val="Arial"/>
        <family val="2"/>
      </rPr>
      <t xml:space="preserve">, </t>
    </r>
    <r>
      <rPr>
        <sz val="10"/>
        <color theme="1"/>
        <rFont val="Arial"/>
        <family val="2"/>
      </rPr>
      <t>little relevance in resulting E/R</t>
    </r>
  </si>
  <si>
    <t>do not match additions of indvidual entities)</t>
  </si>
  <si>
    <t>n/a from Bloomberg data (above % Rev.</t>
  </si>
  <si>
    <t>Mobile Telephone services</t>
  </si>
  <si>
    <t>Fixed-Line Telephone services</t>
  </si>
  <si>
    <t>Other/Mobile Telephone</t>
  </si>
  <si>
    <t>Fixed-line telephone services and lease of capacities</t>
  </si>
  <si>
    <t>Mobile services on end-customer market</t>
  </si>
  <si>
    <t>Broadband and other IP services, cable TV</t>
  </si>
  <si>
    <t>Network interconnection and international operator services</t>
  </si>
  <si>
    <t>Unbundled access, co-locations, offer of bit rate access, offer of services and hosting activities</t>
  </si>
  <si>
    <t>Revenue from the sale of merchandise and materials</t>
  </si>
  <si>
    <t>Other revenue</t>
  </si>
  <si>
    <t>Mobile Merchandise</t>
  </si>
  <si>
    <t>(Excluded)</t>
  </si>
  <si>
    <t>(With shares of Merchandise sale along % Mobile 1)</t>
  </si>
  <si>
    <t>AR 2012 about Ebitda decrease :</t>
  </si>
  <si>
    <t>Eurasia 100% Mobile, but not the same business growth and risk profile :</t>
  </si>
  <si>
    <t>(excluding non-recurring items)</t>
  </si>
  <si>
    <t>Mobility margin</t>
  </si>
  <si>
    <t>Broadband margin</t>
  </si>
  <si>
    <t xml:space="preserve">Mobile % Ebitda </t>
  </si>
  <si>
    <t>(Capex by segments also available)</t>
  </si>
  <si>
    <r>
      <t xml:space="preserve">E/R </t>
    </r>
    <r>
      <rPr>
        <sz val="10"/>
        <color rgb="FF0070C0"/>
        <rFont val="Symbol"/>
        <family val="1"/>
        <charset val="2"/>
      </rPr>
      <t>»</t>
    </r>
    <r>
      <rPr>
        <sz val="8"/>
        <color rgb="FF0070C0"/>
        <rFont val="Arial"/>
        <family val="2"/>
      </rPr>
      <t xml:space="preserve"> </t>
    </r>
    <r>
      <rPr>
        <sz val="10"/>
        <color rgb="FF0070C0"/>
        <rFont val="Arial"/>
        <family val="2"/>
      </rPr>
      <t>1 thanks to Eurasia, otherwise below 1 for mature markets (Nordic, Baltic &amp; Spain)</t>
    </r>
  </si>
  <si>
    <r>
      <t xml:space="preserve">Actually for British Fiscal year n+1 ending at March 31, so for Q1 2010-Q1 2013 </t>
    </r>
    <r>
      <rPr>
        <sz val="10"/>
        <color theme="1"/>
        <rFont val="Symbol"/>
        <family val="1"/>
        <charset val="2"/>
      </rPr>
      <t>»</t>
    </r>
    <r>
      <rPr>
        <sz val="10"/>
        <color theme="1"/>
        <rFont val="Arial"/>
        <family val="2"/>
      </rPr>
      <t xml:space="preserve"> period of analysis</t>
    </r>
  </si>
  <si>
    <r>
      <t xml:space="preserve">E/R </t>
    </r>
    <r>
      <rPr>
        <sz val="10"/>
        <color theme="1"/>
        <rFont val="Symbol"/>
        <family val="1"/>
        <charset val="2"/>
      </rPr>
      <t>£</t>
    </r>
    <r>
      <rPr>
        <sz val="10"/>
        <color theme="1"/>
        <rFont val="Arial"/>
        <family val="2"/>
      </rPr>
      <t xml:space="preserve"> 1, </t>
    </r>
    <r>
      <rPr>
        <sz val="10"/>
        <color theme="1"/>
        <rFont val="Symbol"/>
        <family val="1"/>
        <charset val="2"/>
      </rPr>
      <t>»</t>
    </r>
    <r>
      <rPr>
        <sz val="9"/>
        <color theme="1"/>
        <rFont val="Arial"/>
        <family val="2"/>
      </rPr>
      <t xml:space="preserve"> </t>
    </r>
    <r>
      <rPr>
        <sz val="10"/>
        <color theme="1"/>
        <rFont val="Arial"/>
        <family val="2"/>
      </rPr>
      <t>stable</t>
    </r>
  </si>
  <si>
    <t>(Partially)</t>
  </si>
  <si>
    <t>EV/Ebitda with trailing 12M Ebitda</t>
  </si>
  <si>
    <t>INT. COV.</t>
  </si>
  <si>
    <t>D/EBITDA</t>
  </si>
  <si>
    <t>1Q 2009</t>
  </si>
  <si>
    <t>2Q 2009</t>
  </si>
  <si>
    <t>3Q 2009</t>
  </si>
  <si>
    <t>PT Ebitda</t>
  </si>
  <si>
    <t>4Q 2009</t>
  </si>
  <si>
    <r>
      <t xml:space="preserve">2010 xls </t>
    </r>
    <r>
      <rPr>
        <sz val="10"/>
        <color rgb="FF00B050"/>
        <rFont val="Symbol"/>
        <family val="1"/>
        <charset val="2"/>
      </rPr>
      <t>®</t>
    </r>
  </si>
  <si>
    <r>
      <rPr>
        <sz val="10"/>
        <color rgb="FF00B050"/>
        <rFont val="Symbol"/>
        <family val="1"/>
        <charset val="2"/>
      </rPr>
      <t>¬</t>
    </r>
    <r>
      <rPr>
        <sz val="8"/>
        <color rgb="FF00B050"/>
        <rFont val="Arial"/>
        <family val="2"/>
      </rPr>
      <t xml:space="preserve"> </t>
    </r>
    <r>
      <rPr>
        <sz val="10"/>
        <color rgb="FF00B050"/>
        <rFont val="Arial"/>
        <family val="2"/>
      </rPr>
      <t xml:space="preserve">From 2009 xls, almost /2 for 4Q2009 and Total 2009 in 2010 xls… </t>
    </r>
  </si>
  <si>
    <t>1Q 2010</t>
  </si>
  <si>
    <t>2Q 2010</t>
  </si>
  <si>
    <t>3Q 2010</t>
  </si>
  <si>
    <t>4Q 2010</t>
  </si>
  <si>
    <t>EV/Sales with trailing 12M Sales</t>
  </si>
  <si>
    <t>TOT_SHRHLDR_EQY</t>
  </si>
  <si>
    <t>P/B</t>
  </si>
  <si>
    <t>Slovenia</t>
  </si>
  <si>
    <t>Index</t>
  </si>
  <si>
    <t>Eurozone</t>
  </si>
  <si>
    <t>World</t>
  </si>
  <si>
    <r>
      <rPr>
        <b/>
        <sz val="10"/>
        <rFont val="Wingdings"/>
        <charset val="2"/>
      </rPr>
      <t>ä</t>
    </r>
    <r>
      <rPr>
        <b/>
        <sz val="10"/>
        <rFont val="Arial"/>
        <family val="2"/>
      </rPr>
      <t xml:space="preserve"> vs. Sample</t>
    </r>
  </si>
  <si>
    <t>Vs. Sample</t>
  </si>
  <si>
    <t>EV/Sales</t>
  </si>
  <si>
    <t>Avg. EV/Sales</t>
  </si>
  <si>
    <t>Annual avg.</t>
  </si>
  <si>
    <t>Quaterly vs. Annual</t>
  </si>
  <si>
    <r>
      <rPr>
        <b/>
        <sz val="10"/>
        <rFont val="Wingdings"/>
        <charset val="2"/>
      </rPr>
      <t>ä</t>
    </r>
    <r>
      <rPr>
        <b/>
        <sz val="10"/>
        <rFont val="Arial"/>
        <family val="2"/>
      </rPr>
      <t xml:space="preserve"> EV/Sales</t>
    </r>
  </si>
  <si>
    <t>D*/(D*+E)</t>
  </si>
  <si>
    <t>Avg. D*/(D*+E)</t>
  </si>
  <si>
    <r>
      <rPr>
        <b/>
        <sz val="10"/>
        <rFont val="Wingdings"/>
        <charset val="2"/>
      </rPr>
      <t>ä</t>
    </r>
    <r>
      <rPr>
        <b/>
        <sz val="10"/>
        <rFont val="Arial"/>
        <family val="2"/>
      </rPr>
      <t xml:space="preserve"> D*/(D*+E)</t>
    </r>
  </si>
  <si>
    <t>PV OL</t>
  </si>
  <si>
    <t>Quartely</t>
  </si>
  <si>
    <t>smoothing</t>
  </si>
  <si>
    <t>% D</t>
  </si>
  <si>
    <t>PV/BV</t>
  </si>
  <si>
    <t>Avg. PV OL in % D</t>
  </si>
  <si>
    <t>End 2009 - End 2012</t>
  </si>
  <si>
    <t>g* - g</t>
  </si>
  <si>
    <t>For Avg. 1H10 - 1H13</t>
  </si>
  <si>
    <t>(g*- g) / g</t>
  </si>
  <si>
    <t>(Avg g*-Avg g)/Avg g</t>
  </si>
  <si>
    <t>Avg. D/E</t>
  </si>
  <si>
    <r>
      <rPr>
        <b/>
        <sz val="10"/>
        <rFont val="Wingdings"/>
        <charset val="2"/>
      </rPr>
      <t>ä</t>
    </r>
    <r>
      <rPr>
        <b/>
        <sz val="10"/>
        <rFont val="Arial"/>
        <family val="2"/>
      </rPr>
      <t xml:space="preserve"> D/E</t>
    </r>
  </si>
  <si>
    <t>D*/E</t>
  </si>
  <si>
    <r>
      <rPr>
        <b/>
        <sz val="10"/>
        <rFont val="Wingdings"/>
        <charset val="2"/>
      </rPr>
      <t>ä</t>
    </r>
    <r>
      <rPr>
        <b/>
        <sz val="10"/>
        <rFont val="Arial"/>
        <family val="2"/>
      </rPr>
      <t xml:space="preserve"> D*/E</t>
    </r>
  </si>
  <si>
    <t>OL Impact g</t>
  </si>
  <si>
    <t>g = D/(D+E)</t>
  </si>
  <si>
    <t>(x*- x) / x</t>
  </si>
  <si>
    <t>Applied trailing Ebitda for PT</t>
  </si>
  <si>
    <t>D/E (without OL)</t>
  </si>
  <si>
    <t>D*/E (with OL)</t>
  </si>
  <si>
    <t>Avg. WACC</t>
  </si>
  <si>
    <r>
      <rPr>
        <b/>
        <sz val="10"/>
        <rFont val="Wingdings"/>
        <charset val="2"/>
      </rPr>
      <t>ä</t>
    </r>
    <r>
      <rPr>
        <b/>
        <sz val="10"/>
        <rFont val="Arial"/>
        <family val="2"/>
      </rPr>
      <t xml:space="preserve"> WACC</t>
    </r>
  </si>
  <si>
    <r>
      <rPr>
        <b/>
        <sz val="10"/>
        <rFont val="Symbol"/>
        <family val="1"/>
        <charset val="2"/>
      </rPr>
      <t>D</t>
    </r>
    <r>
      <rPr>
        <b/>
        <sz val="8.5"/>
        <rFont val="Arial"/>
        <family val="2"/>
      </rPr>
      <t xml:space="preserve"> </t>
    </r>
    <r>
      <rPr>
        <b/>
        <sz val="10"/>
        <rFont val="Arial"/>
        <family val="2"/>
      </rPr>
      <t>WACC</t>
    </r>
  </si>
  <si>
    <t>2H09 - 1H13</t>
  </si>
  <si>
    <t>cross-checking, but some values do not appear</t>
  </si>
  <si>
    <t xml:space="preserve">Bloomberg's post-tax WACC initially considered for </t>
  </si>
  <si>
    <t xml:space="preserve">Mobile % Revenues </t>
  </si>
  <si>
    <t>vs. EV/Sales</t>
  </si>
  <si>
    <t>M % Rev.</t>
  </si>
  <si>
    <t>1H10 - 1H13 Avg.</t>
  </si>
  <si>
    <t>BELGACOM</t>
  </si>
  <si>
    <t>MOBISTAR</t>
  </si>
  <si>
    <t>TELENET</t>
  </si>
  <si>
    <t>æ</t>
  </si>
  <si>
    <t>End 2009</t>
  </si>
  <si>
    <t>1H10 - 1H13 Rel. Var.</t>
  </si>
  <si>
    <t xml:space="preserve">(For some SPs, EV/Sales rel. </t>
  </si>
  <si>
    <t>var. to adjust for more consistent</t>
  </si>
  <si>
    <t>periods with M % rel. var.)</t>
  </si>
  <si>
    <t xml:space="preserve">(For some SPs, EV/Ebitda rel. </t>
  </si>
  <si>
    <t>EBITDA 12M</t>
  </si>
  <si>
    <r>
      <rPr>
        <b/>
        <sz val="10"/>
        <rFont val="Symbol"/>
        <family val="1"/>
        <charset val="2"/>
      </rPr>
      <t>D</t>
    </r>
    <r>
      <rPr>
        <b/>
        <sz val="10"/>
        <rFont val="Arial"/>
        <family val="2"/>
      </rPr>
      <t xml:space="preserve"> *</t>
    </r>
  </si>
  <si>
    <t>OL Impact D/E</t>
  </si>
  <si>
    <t>% Mobile</t>
  </si>
  <si>
    <t>Mobile % Revenues</t>
  </si>
  <si>
    <t xml:space="preserve">1H10-1H13 </t>
  </si>
  <si>
    <t xml:space="preserve"> Avg. </t>
  </si>
  <si>
    <t>Relative Var.</t>
  </si>
  <si>
    <t xml:space="preserve">Fixed/Mobile Ebitda </t>
  </si>
  <si>
    <t>split available ?</t>
  </si>
  <si>
    <t>Adj. EV/Ebitda</t>
  </si>
  <si>
    <t>(Not directly useful)</t>
  </si>
  <si>
    <t>Adj. EV/Ea</t>
  </si>
  <si>
    <t>1H13 (or last)</t>
  </si>
  <si>
    <t>Min</t>
  </si>
  <si>
    <t>Max</t>
  </si>
  <si>
    <t>FIXED</t>
  </si>
  <si>
    <t>MOBILE</t>
  </si>
  <si>
    <t>Last</t>
  </si>
  <si>
    <t>OUTPUTS &amp; Inputs</t>
  </si>
  <si>
    <t xml:space="preserve">g* </t>
  </si>
  <si>
    <t>OL</t>
  </si>
  <si>
    <t>g</t>
  </si>
  <si>
    <t xml:space="preserve">Rating </t>
  </si>
  <si>
    <t>1H10-1H13</t>
  </si>
  <si>
    <r>
      <t xml:space="preserve"> </t>
    </r>
    <r>
      <rPr>
        <sz val="10"/>
        <color rgb="FF000000"/>
        <rFont val="Wingdings"/>
        <charset val="2"/>
      </rPr>
      <t>ä</t>
    </r>
    <r>
      <rPr>
        <sz val="10"/>
        <color rgb="FF000000"/>
        <rFont val="Arial"/>
        <family val="2"/>
      </rPr>
      <t xml:space="preserve"> Price (€)</t>
    </r>
  </si>
  <si>
    <t>TO WACC 3</t>
  </si>
  <si>
    <t>SEGMENTS Data &amp;</t>
  </si>
  <si>
    <t>Estimates</t>
  </si>
  <si>
    <t xml:space="preserve">1H10-13 </t>
  </si>
  <si>
    <t>DJ STOXX Europe TMI Mobile Telecommunications</t>
  </si>
  <si>
    <t>DJ STOXX Europe TMI Fixed Line Telecommunications</t>
  </si>
  <si>
    <t>Brattle</t>
  </si>
  <si>
    <t>(Spain)</t>
  </si>
  <si>
    <t>Source : The Brattle Group for ACM, March 2012</t>
  </si>
  <si>
    <t>CMT **</t>
  </si>
  <si>
    <t>DJ</t>
  </si>
  <si>
    <t xml:space="preserve"> STOXX</t>
  </si>
  <si>
    <t>of lack of information</t>
  </si>
  <si>
    <t>Eventually not</t>
  </si>
  <si>
    <t>considered because</t>
  </si>
  <si>
    <t>and very weak betas</t>
  </si>
  <si>
    <t>in WACC 3</t>
  </si>
  <si>
    <r>
      <rPr>
        <sz val="10"/>
        <color theme="0" tint="-0.14999847407452621"/>
        <rFont val="Symbol"/>
        <family val="1"/>
        <charset val="2"/>
      </rPr>
      <t>»</t>
    </r>
    <r>
      <rPr>
        <sz val="8"/>
        <color theme="0" tint="-0.14999847407452621"/>
        <rFont val="Arial"/>
        <family val="2"/>
      </rPr>
      <t xml:space="preserve"> </t>
    </r>
    <r>
      <rPr>
        <sz val="10"/>
        <color theme="0" tint="-0.14999847407452621"/>
        <rFont val="Arial"/>
        <family val="2"/>
      </rPr>
      <t>Fixed</t>
    </r>
  </si>
  <si>
    <r>
      <rPr>
        <sz val="10"/>
        <color theme="0" tint="-0.249977111117893"/>
        <rFont val="Symbol"/>
        <family val="1"/>
        <charset val="2"/>
      </rPr>
      <t>»</t>
    </r>
    <r>
      <rPr>
        <sz val="8"/>
        <color theme="0" tint="-0.249977111117893"/>
        <rFont val="Arial"/>
        <family val="2"/>
      </rPr>
      <t xml:space="preserve"> </t>
    </r>
    <r>
      <rPr>
        <sz val="10"/>
        <color theme="0" tint="-0.249977111117893"/>
        <rFont val="Arial"/>
        <family val="2"/>
      </rPr>
      <t>Fixed</t>
    </r>
  </si>
  <si>
    <r>
      <rPr>
        <sz val="10"/>
        <color theme="0" tint="-0.499984740745262"/>
        <rFont val="Symbol"/>
        <family val="1"/>
        <charset val="2"/>
      </rPr>
      <t>»</t>
    </r>
    <r>
      <rPr>
        <sz val="8"/>
        <color theme="0" tint="-0.499984740745262"/>
        <rFont val="Arial"/>
        <family val="2"/>
      </rPr>
      <t xml:space="preserve"> </t>
    </r>
    <r>
      <rPr>
        <sz val="10"/>
        <color theme="0" tint="-0.499984740745262"/>
        <rFont val="Arial"/>
        <family val="2"/>
      </rPr>
      <t>Fixed</t>
    </r>
  </si>
  <si>
    <t>Criteria *</t>
  </si>
  <si>
    <t>ACM **</t>
  </si>
  <si>
    <t>Freenet</t>
  </si>
  <si>
    <t>Inmarsat</t>
  </si>
  <si>
    <t xml:space="preserve">UK </t>
  </si>
  <si>
    <t>C&amp;W</t>
  </si>
  <si>
    <t>Colt</t>
  </si>
  <si>
    <t>Jazztel</t>
  </si>
  <si>
    <t xml:space="preserve">Italy </t>
  </si>
  <si>
    <t>TIT NC</t>
  </si>
  <si>
    <t>Ziggo NV</t>
  </si>
  <si>
    <t>1H13 or last</t>
  </si>
  <si>
    <t>available</t>
  </si>
  <si>
    <t>A logical outcome of convergence, with an increasing difficulty to split Mobile business from Fixed line services from SPs' financial reports, is different Fixed/Mobile categorizations by market observers.</t>
  </si>
  <si>
    <r>
      <t xml:space="preserve">- </t>
    </r>
    <r>
      <rPr>
        <b/>
        <sz val="10"/>
        <color theme="1"/>
        <rFont val="Arial"/>
        <family val="2"/>
      </rPr>
      <t>Mobile</t>
    </r>
    <r>
      <rPr>
        <sz val="10"/>
        <color theme="1"/>
        <rFont val="Arial"/>
        <family val="2"/>
      </rPr>
      <t xml:space="preserve"> if Mobile % Revenues &gt; 70% or Mobile % Ebitda &gt; 60% </t>
    </r>
    <r>
      <rPr>
        <i/>
        <sz val="10"/>
        <color theme="1"/>
        <rFont val="Arial"/>
        <family val="2"/>
      </rPr>
      <t>(in italics)</t>
    </r>
  </si>
  <si>
    <r>
      <t xml:space="preserve">- </t>
    </r>
    <r>
      <rPr>
        <b/>
        <sz val="10"/>
        <color theme="1"/>
        <rFont val="Arial"/>
        <family val="2"/>
      </rPr>
      <t>Fixed</t>
    </r>
    <r>
      <rPr>
        <sz val="10"/>
        <color theme="1"/>
        <rFont val="Arial"/>
        <family val="2"/>
      </rPr>
      <t xml:space="preserve"> if Mobile % Revenues &lt; 30% or Mobile % Ebitda &lt; 40%</t>
    </r>
  </si>
  <si>
    <t>Austria % Rev.</t>
  </si>
  <si>
    <t>Austria % Ebitda</t>
  </si>
  <si>
    <t>1H13 (or last available)</t>
  </si>
  <si>
    <t>* For some SPs, EV/Sales adjusted for periods consistent with latest available M % Rev.</t>
  </si>
  <si>
    <t>EV/Sales *</t>
  </si>
  <si>
    <t>1H13 (or last available) : % Mobile vs. adj. EV/Ebitda</t>
  </si>
  <si>
    <t>End 2009 : % Mobile vs. adj. EV/Ebitda</t>
  </si>
  <si>
    <t>1H13 (or last available) : % Mobile vs. EV/Sales</t>
  </si>
  <si>
    <t>End 2009 : % Mobile vs. EV/Sales</t>
  </si>
  <si>
    <t xml:space="preserve"> 1H10-1H13 : % Mobile vs. adj. EV/Ebitda</t>
  </si>
  <si>
    <r>
      <t xml:space="preserve">DT </t>
    </r>
    <r>
      <rPr>
        <sz val="10"/>
        <color theme="0" tint="-0.14999847407452621"/>
        <rFont val="Symbol"/>
        <family val="1"/>
        <charset val="2"/>
      </rPr>
      <t>®</t>
    </r>
  </si>
  <si>
    <t>Adjusted values from Bloomberg estimates and our (signifcantly) lower ones for 1H13 and 2012</t>
  </si>
  <si>
    <t>Bulgaria % Rev.</t>
  </si>
  <si>
    <t>Mobile % Rev. Bulgaria</t>
  </si>
  <si>
    <t>Croatia</t>
  </si>
  <si>
    <t>Croatia % Rev.</t>
  </si>
  <si>
    <t>Mobile % Rev. Croatia</t>
  </si>
  <si>
    <t>No, also in Bulgaria (from Q1 2011) &amp; croatia (Q2 2011)</t>
  </si>
  <si>
    <t>Data &amp; ICT Solutions</t>
  </si>
  <si>
    <t>Rev. 1 = Monthly fees &amp; traffic</t>
  </si>
  <si>
    <t>Wholesale, Interco &amp; Equipement left aside (i.e split according to Mobile/Fixed % Rev. 1)</t>
  </si>
  <si>
    <t>From ARPU Mobile</t>
  </si>
  <si>
    <t>From ARPL Fixed</t>
  </si>
  <si>
    <t>Mobile % Rev. 1 Austria</t>
  </si>
  <si>
    <t>Mobile % Rev. 2 Austria</t>
  </si>
  <si>
    <r>
      <t xml:space="preserve">Data &amp; ICT solutions </t>
    </r>
    <r>
      <rPr>
        <sz val="10"/>
        <color rgb="FF0070C0"/>
        <rFont val="Symbol"/>
        <family val="1"/>
        <charset val="2"/>
      </rPr>
      <t>»</t>
    </r>
    <r>
      <rPr>
        <sz val="10"/>
        <color rgb="FF0070C0"/>
        <rFont val="Arial"/>
        <family val="2"/>
      </rPr>
      <t xml:space="preserve"> 0% in international markets</t>
    </r>
  </si>
  <si>
    <t>Other markets % Rev.</t>
  </si>
  <si>
    <t>Fixed % Rev.</t>
  </si>
  <si>
    <t>T Austria</t>
  </si>
  <si>
    <t>FT</t>
  </si>
  <si>
    <t>TI</t>
  </si>
  <si>
    <t>n.d.</t>
  </si>
  <si>
    <t>LatAm : % Rev. group from 40% to &gt; 50%, with Mobile % Revenue around 2/3 also growing</t>
  </si>
  <si>
    <r>
      <rPr>
        <sz val="10"/>
        <color rgb="FF0070C0"/>
        <rFont val="Arial"/>
        <family val="2"/>
      </rPr>
      <t xml:space="preserve">Mob. % Ebitda = </t>
    </r>
    <r>
      <rPr>
        <b/>
        <sz val="10"/>
        <color rgb="FF0070C0"/>
        <rFont val="Arial"/>
        <family val="2"/>
      </rPr>
      <t>56%</t>
    </r>
    <r>
      <rPr>
        <sz val="10"/>
        <rFont val="Arial"/>
        <family val="2"/>
      </rPr>
      <t xml:space="preserve"> on avg. Higher spread on the domestic market (70% Rev. group): 54% Ebitda vs. 46% Rev. </t>
    </r>
  </si>
  <si>
    <r>
      <t xml:space="preserve">E/R around 0.8 except in 2010 (1.1) : </t>
    </r>
    <r>
      <rPr>
        <sz val="10"/>
        <color rgb="FF0070C0"/>
        <rFont val="Arial"/>
        <family val="2"/>
      </rPr>
      <t xml:space="preserve">Mob. % Ebitda = </t>
    </r>
    <r>
      <rPr>
        <b/>
        <sz val="10"/>
        <color rgb="FF0070C0"/>
        <rFont val="Arial"/>
        <family val="2"/>
      </rPr>
      <t>42%</t>
    </r>
    <r>
      <rPr>
        <sz val="10"/>
        <color theme="1"/>
        <rFont val="Arial"/>
        <family val="2"/>
      </rPr>
      <t xml:space="preserve"> on avg.</t>
    </r>
  </si>
  <si>
    <r>
      <rPr>
        <sz val="10"/>
        <color rgb="FF0070C0"/>
        <rFont val="Arial"/>
        <family val="2"/>
      </rPr>
      <t xml:space="preserve">Mob. % Ebitda = 68% </t>
    </r>
    <r>
      <rPr>
        <sz val="10"/>
        <color theme="1"/>
        <rFont val="Arial"/>
        <family val="2"/>
      </rPr>
      <t xml:space="preserve">on avg : E/R </t>
    </r>
    <r>
      <rPr>
        <sz val="10"/>
        <color theme="1"/>
        <rFont val="Symbol"/>
        <family val="1"/>
        <charset val="2"/>
      </rPr>
      <t>»</t>
    </r>
    <r>
      <rPr>
        <sz val="10"/>
        <color theme="1"/>
        <rFont val="Arial"/>
        <family val="2"/>
      </rPr>
      <t xml:space="preserve"> 1 with 0.9 for mature markets (Nordic, Baltic &amp; Spain) and 1.5 for Eurasia</t>
    </r>
  </si>
  <si>
    <r>
      <rPr>
        <sz val="10"/>
        <color rgb="FF0070C0"/>
        <rFont val="Arial"/>
        <family val="2"/>
      </rPr>
      <t>Mob. % Ebitda = 67%</t>
    </r>
    <r>
      <rPr>
        <sz val="10"/>
        <color theme="1"/>
        <rFont val="Arial"/>
        <family val="2"/>
      </rPr>
      <t xml:space="preserve"> on avg. Mob. E/R </t>
    </r>
    <r>
      <rPr>
        <sz val="10"/>
        <color theme="1"/>
        <rFont val="Wingdings"/>
        <charset val="2"/>
      </rPr>
      <t>æ</t>
    </r>
    <r>
      <rPr>
        <sz val="9"/>
        <color theme="1"/>
        <rFont val="Arial"/>
        <family val="2"/>
      </rPr>
      <t xml:space="preserve"> </t>
    </r>
    <r>
      <rPr>
        <sz val="10"/>
        <color theme="1"/>
        <rFont val="Arial"/>
        <family val="2"/>
      </rPr>
      <t>(whether in Ebit or Ebitda) from 1.1 to 0.9, yet with re-investing trend after a bottom [Mob. %Capex / Mob. %Rev.] point in 2010, 1 vs. 1.2 at 1H13 : suggests future E/R trend reversal</t>
    </r>
  </si>
  <si>
    <r>
      <t xml:space="preserve">As a reminder, </t>
    </r>
    <r>
      <rPr>
        <b/>
        <sz val="10"/>
        <color theme="1"/>
        <rFont val="Arial"/>
        <family val="2"/>
      </rPr>
      <t>% Ebitda</t>
    </r>
    <r>
      <rPr>
        <sz val="10"/>
        <color theme="1"/>
        <rFont val="Arial"/>
        <family val="2"/>
      </rPr>
      <t xml:space="preserve"> is a more relevant input than % Revenue in order to assess the relative value of a given activity. For available Mobile "E/R" ratios, contrasting results but now all very close to 1 (except for SNC). </t>
    </r>
  </si>
  <si>
    <t>Bl. Mobile % Tot. Rev.</t>
  </si>
  <si>
    <t>From IR xls 1H13 or next year (e.g. xls 2012 for 2011)</t>
  </si>
  <si>
    <t>In this analysis, what is not included in Fixed services gets included in % Mobile, and vice versa. For this reason, where mentioned, ICT (and TV) are added to Fixed services and terminals sales split along Mobile/Fixed revenues.</t>
  </si>
  <si>
    <t>Consumer</t>
  </si>
  <si>
    <r>
      <rPr>
        <i/>
        <sz val="10"/>
        <color rgb="FF00B050"/>
        <rFont val="Arial"/>
        <family val="2"/>
      </rPr>
      <t>Initially</t>
    </r>
    <r>
      <rPr>
        <sz val="10"/>
        <color rgb="FF00B050"/>
        <rFont val="Arial"/>
        <family val="2"/>
      </rPr>
      <t xml:space="preserve"> collected just for 1H13 + other dates to check consistency with Bloomberg inputs or complete them when n/a</t>
    </r>
  </si>
  <si>
    <t>Mobile % Business</t>
  </si>
  <si>
    <t>F3 = F1 + IT</t>
  </si>
  <si>
    <t>F4 = F2 + IT</t>
  </si>
  <si>
    <t>Total 4</t>
  </si>
  <si>
    <t>% Mobile 4</t>
  </si>
  <si>
    <t>F2 = F1+ Netco</t>
  </si>
  <si>
    <t>Int. Wholesale</t>
  </si>
  <si>
    <t>We have thorougly re-investigated KPN's Mobile % Revenues because, when we checked Bloomberg's 2012 estimates</t>
  </si>
  <si>
    <t>from 1H13 IR xls, we got significantly distinct %.</t>
  </si>
  <si>
    <t>For revenues, KPN's xls present : "revenues and other incomes" (1), "of which: revenues" (2), "of which: external revenues" (3).</t>
  </si>
  <si>
    <t>NetCo (NL Wholes.)</t>
  </si>
  <si>
    <t>Mobile NL Wholesale</t>
  </si>
  <si>
    <t>Mobile % NL Wholesale</t>
  </si>
  <si>
    <t>In KPN's presentations :</t>
  </si>
  <si>
    <t>NetCo, referred as 'Wholesale &amp; Operations (national)' until 2011, regard only Fixed line activities (local loop, WBA, etc.)</t>
  </si>
  <si>
    <r>
      <t xml:space="preserve">Domestic Fixed/Mobile split is available only at level (2), hence percentages in </t>
    </r>
    <r>
      <rPr>
        <i/>
        <sz val="10"/>
        <color rgb="FF0070C0"/>
        <rFont val="Arial"/>
        <family val="2"/>
      </rPr>
      <t>blue italics.</t>
    </r>
  </si>
  <si>
    <t>C&amp;E BUs</t>
  </si>
  <si>
    <t>figures naturally slightly lower than (1) and (2), except for Netco : divided by 5 on average (impact of self-consumption).</t>
  </si>
  <si>
    <t>From financial reports and/or Marpij calculations on Excel files available on IR's websites</t>
  </si>
  <si>
    <t>Terminal sales allocated according to Fixed/Mobile</t>
  </si>
  <si>
    <t>Service Delivery Engine &amp; Wholesale :</t>
  </si>
  <si>
    <t>From 2010 presentations, Fixed/Mobile split only for operational KPIs (number of Fixed channels, Mobile customers)</t>
  </si>
  <si>
    <t xml:space="preserve">1H12 </t>
  </si>
  <si>
    <r>
      <t xml:space="preserve">V. AR09 </t>
    </r>
    <r>
      <rPr>
        <sz val="10"/>
        <color rgb="FF0070C0"/>
        <rFont val="Symbol"/>
        <family val="1"/>
        <charset val="2"/>
      </rPr>
      <t>®</t>
    </r>
  </si>
  <si>
    <r>
      <rPr>
        <sz val="10"/>
        <color rgb="FF0070C0"/>
        <rFont val="Symbol"/>
        <family val="1"/>
        <charset val="2"/>
      </rPr>
      <t>¬</t>
    </r>
    <r>
      <rPr>
        <sz val="10"/>
        <color rgb="FF0070C0"/>
        <rFont val="Arial"/>
        <family val="2"/>
      </rPr>
      <t>1H12</t>
    </r>
  </si>
  <si>
    <t>FY 2012</t>
  </si>
  <si>
    <t>FY 2011</t>
  </si>
  <si>
    <t>FY 2010</t>
  </si>
  <si>
    <t>FY 2009</t>
  </si>
  <si>
    <t xml:space="preserve">Full period </t>
  </si>
  <si>
    <t>(FY = Full Year)</t>
  </si>
  <si>
    <t>FY 2008</t>
  </si>
  <si>
    <t>FY 2005, 2006, 2007 &amp; 1H09</t>
  </si>
  <si>
    <t>Assuming within SDE&amp;W a stable Mobile % Rev. equal to 2009 and 2008 levels (small impact)</t>
  </si>
  <si>
    <r>
      <rPr>
        <sz val="10"/>
        <color rgb="FF0070C0"/>
        <rFont val="Symbol"/>
        <family val="1"/>
        <charset val="2"/>
      </rPr>
      <t>®</t>
    </r>
    <r>
      <rPr>
        <sz val="10"/>
        <color rgb="FF0070C0"/>
        <rFont val="Arial"/>
        <family val="2"/>
      </rPr>
      <t xml:space="preserve"> To check if the decrease of Mobile % Rev. between 1H13 and FY 2012 is due to a seasonnal effect : No</t>
    </r>
  </si>
  <si>
    <t>2009 v. AR 2009*</t>
  </si>
  <si>
    <t>With assumed F/M split for Wholesale</t>
  </si>
  <si>
    <t>(Dutch) 'Consumer Mobile' include 'Mobile Wholesale'.</t>
  </si>
  <si>
    <t>(Bloomberg's analyst also gave up).</t>
  </si>
  <si>
    <r>
      <t xml:space="preserve">In Belgacom's presentation, ICT included in Fixed EBU and TV in Fixed CBU </t>
    </r>
    <r>
      <rPr>
        <sz val="10"/>
        <color rgb="FF0070C0"/>
        <rFont val="Arial"/>
        <family val="2"/>
      </rPr>
      <t>(</t>
    </r>
    <r>
      <rPr>
        <sz val="10"/>
        <color rgb="FF0070C0"/>
        <rFont val="Symbol"/>
        <family val="1"/>
        <charset val="2"/>
      </rPr>
      <t>®</t>
    </r>
    <r>
      <rPr>
        <sz val="8"/>
        <color rgb="FF0070C0"/>
        <rFont val="Arial"/>
        <family val="2"/>
      </rPr>
      <t xml:space="preserve"> </t>
    </r>
    <r>
      <rPr>
        <sz val="10"/>
        <color rgb="FF0070C0"/>
        <rFont val="Arial"/>
        <family val="2"/>
      </rPr>
      <t>may be put aside)</t>
    </r>
  </si>
  <si>
    <t>* Only year where we observed small discrepancies between xls year n and xls year n+1, for year n</t>
  </si>
  <si>
    <t>i.e. excl. Enterprise &amp; Int. carrier &amp; shared services, other revenues</t>
  </si>
  <si>
    <t>likely though to exhibit a higher share of Fixed Services than Fixed % Rev. (Fixed + Mobile)</t>
  </si>
  <si>
    <t>No further details for 'Enterprise &amp; Int. carrier &amp; shared services' = 9% Rev. (excl. others) in 2011 and 2011,</t>
  </si>
  <si>
    <t>Autres marchés: pays lusophones en Afrique et Asie</t>
  </si>
  <si>
    <t>Pour Entreprise, hypothèse 1 client Fixe = 4/3 client Mobile en CA</t>
  </si>
  <si>
    <t>Mapij's calc. on IR xls</t>
  </si>
  <si>
    <t>No similar presentation prior to Q3 2010</t>
  </si>
  <si>
    <t>From Mapij's calculations on (easy) IR xls</t>
  </si>
  <si>
    <t>Residential = Fixed Consumers</t>
  </si>
  <si>
    <t>i.e. services to assimilate to Fixed line services. Easier F/M split for 2011 and before in SCM's xls.</t>
  </si>
  <si>
    <t xml:space="preserve">% Rev. </t>
  </si>
  <si>
    <r>
      <t xml:space="preserve">For 2011 &amp; before : wholesale clearly included in given Fixed and Mobile service revenues </t>
    </r>
    <r>
      <rPr>
        <sz val="10"/>
        <color rgb="FF0070C0"/>
        <rFont val="Arial"/>
        <family val="2"/>
      </rPr>
      <t>(see below for 1H13 &amp; 2012)</t>
    </r>
  </si>
  <si>
    <t>1H13 &amp; 2012 : assuming a similar repartition for '3rd party sales external customers' (Y)</t>
  </si>
  <si>
    <t>ICS excluded from analyzed perimeter (although its risk profile might be closer to Fixed line services)</t>
  </si>
  <si>
    <t>* Excl. iBasis = Int. carrier</t>
  </si>
  <si>
    <r>
      <t xml:space="preserve">Y, a new term weighting 8% (Total 3 + Y) in 2012/2013, seems </t>
    </r>
    <r>
      <rPr>
        <sz val="10"/>
        <color rgb="FF0070C0"/>
        <rFont val="Symbol"/>
        <family val="1"/>
        <charset val="2"/>
      </rPr>
      <t>¹</t>
    </r>
    <r>
      <rPr>
        <sz val="10"/>
        <color rgb="FF0070C0"/>
        <rFont val="Arial"/>
        <family val="2"/>
      </rPr>
      <t xml:space="preserve"> than wholesale</t>
    </r>
  </si>
  <si>
    <t>Mapij's calculations on IR xls</t>
  </si>
  <si>
    <t>We opt for own estimates</t>
  </si>
  <si>
    <t>On total (F+M) Rev.</t>
  </si>
  <si>
    <t>Excl. Other &amp; elimination</t>
  </si>
  <si>
    <t>Differences likely to stem from the analyses of European countries Mobile businesses, beside Spain's</t>
  </si>
  <si>
    <t>Huge eliminations in Bloomberg 2010, but impact should have been small on %(F+M)</t>
  </si>
  <si>
    <t>SP, a business which started to be profitable (Ebit) only in 2012</t>
  </si>
  <si>
    <t xml:space="preserve">E/R ratio not useful from a small Fixed line business in a very small </t>
  </si>
  <si>
    <t>? Too small to be = Wholesale</t>
  </si>
  <si>
    <t>with Marpij's 1H13 estimate</t>
  </si>
  <si>
    <t>with % Rev. "Wireless" (Bloomberg)</t>
  </si>
  <si>
    <t>with % Rev. "Mobile Telephony Services" (Bloomberg)</t>
  </si>
  <si>
    <t xml:space="preserve">* Data services = leased lines, data transmission, dial-up, </t>
  </si>
  <si>
    <t>* Mobile Telephony includes messaging services and content</t>
  </si>
  <si>
    <t>but not equipement (thus, in Sale of goods and others)</t>
  </si>
  <si>
    <t xml:space="preserve">our own estimates may come from there (i.e. allocation within this group of revenues), </t>
  </si>
  <si>
    <t>allows to integrate our estimated downward trend since 2009</t>
  </si>
  <si>
    <t>Check TKA's original 2009 statements when their server is no longer out of service.</t>
  </si>
  <si>
    <t>2009 Blomberg's estimate is likely to be based on more direct Mobile/Fixed figures, shown</t>
  </si>
  <si>
    <t>ICT in Fixed, terminals sales split by Fixed/Mobile + (assumed) Mobile/Fixed split within national SDE&amp;W</t>
  </si>
  <si>
    <t>Including Mobile equipment split, excluding 'Enterprise &amp; Int. carrier &amp; shared services'</t>
  </si>
  <si>
    <t>(Bug from Bloomberg)</t>
  </si>
  <si>
    <r>
      <rPr>
        <i/>
        <sz val="10"/>
        <color theme="0" tint="-0.14999847407452621"/>
        <rFont val="Symbol"/>
        <family val="1"/>
        <charset val="2"/>
      </rPr>
      <t>»</t>
    </r>
    <r>
      <rPr>
        <i/>
        <sz val="8"/>
        <color theme="0" tint="-0.14999847407452621"/>
        <rFont val="Arial"/>
        <family val="2"/>
      </rPr>
      <t xml:space="preserve"> </t>
    </r>
    <r>
      <rPr>
        <i/>
        <sz val="10"/>
        <color theme="0" tint="-0.14999847407452621"/>
        <rFont val="Arial"/>
        <family val="2"/>
      </rPr>
      <t>Fixed</t>
    </r>
  </si>
  <si>
    <t>Pending access to new IR data, we have interpolated our estimates</t>
  </si>
  <si>
    <t>with Bloomberg 2009, possibly more precise. This adjustment</t>
  </si>
  <si>
    <t xml:space="preserve">At group level, they account for 22-25% Total revenues : spread from 2009 Bloomberg's and </t>
  </si>
  <si>
    <t>before a re-organization and change in presentation of financial accounts from 2010 ?</t>
  </si>
  <si>
    <t>Only Mobile</t>
  </si>
  <si>
    <t>Mobile E/R</t>
  </si>
  <si>
    <t>Mobile E/R 2</t>
  </si>
  <si>
    <t>Mobile E/R 3</t>
  </si>
  <si>
    <t>Scand. Mobile E/R</t>
  </si>
  <si>
    <t xml:space="preserve">Update: we later found DT IR xls (with a lot of tabs, a lot). Group's Mobile % Revenues feasible, </t>
  </si>
  <si>
    <t>but seemingly very time-consuming, ultimately for a marginal impact (if any) in the present determination.</t>
  </si>
  <si>
    <t xml:space="preserve">Clearly, DT, like most other SPs, want analysts to think along its defined business lines : </t>
  </si>
  <si>
    <t>at group level, Mobile vs.Fixed is likely to be a secondary feature compared to geo segments.</t>
  </si>
  <si>
    <t>¬</t>
  </si>
  <si>
    <t>Eventually, we use latter figures (3) as they are clean from various 'other gains &amp; losses', 'eliminations' and 'intercompany revenues' :</t>
  </si>
  <si>
    <t>Our initial analysis was based on re-stated figures which (compared to Belgacom's) differs on several lines &amp; years from initial</t>
  </si>
  <si>
    <t>statements. These figures have been also collected as we were investigating reasons for our differences with Blomberg's values.</t>
  </si>
  <si>
    <t>Eventually, we opt for % based on initially released figures because they show the historical information given to investors.</t>
  </si>
  <si>
    <t>% Mobile is later compared to other historical data such as EV/Ebitda, gearing, betas.</t>
  </si>
  <si>
    <t>(2009 figures are based on 2010 xls, but we then average them with 2010 figures for 1H10 estimates.)</t>
  </si>
  <si>
    <r>
      <t xml:space="preserve">Note that </t>
    </r>
    <r>
      <rPr>
        <b/>
        <sz val="10"/>
        <color rgb="FF0070C0"/>
        <rFont val="Arial"/>
        <family val="2"/>
      </rPr>
      <t>KPN Belgium</t>
    </r>
    <r>
      <rPr>
        <sz val="10"/>
        <color rgb="FF0070C0"/>
        <rFont val="Arial"/>
        <family val="2"/>
      </rPr>
      <t xml:space="preserve"> weights around 7% of KPN group, or less (incl. Int. carrier) </t>
    </r>
  </si>
  <si>
    <r>
      <rPr>
        <sz val="10"/>
        <color rgb="FF0070C0"/>
        <rFont val="Symbol"/>
        <family val="1"/>
        <charset val="2"/>
      </rPr>
      <t>¬</t>
    </r>
    <r>
      <rPr>
        <sz val="10"/>
        <color rgb="FF0070C0"/>
        <rFont val="Arial"/>
        <family val="2"/>
      </rPr>
      <t xml:space="preserve"> Excluded (like BICS)</t>
    </r>
  </si>
  <si>
    <t>Possibly also because of restated revenues.</t>
  </si>
  <si>
    <t>Total services</t>
  </si>
  <si>
    <t>Equipment</t>
  </si>
  <si>
    <t>Assimilated to Fixed (or not Mobile)</t>
  </si>
  <si>
    <t>Mobile Com. (M1)</t>
  </si>
  <si>
    <t>M1 % (M1+F1)</t>
  </si>
  <si>
    <r>
      <t xml:space="preserve">"Mainly mobile devices" : </t>
    </r>
    <r>
      <rPr>
        <sz val="10"/>
        <color rgb="FF0070C0"/>
        <rFont val="Arial"/>
        <family val="2"/>
      </rPr>
      <t>split along M1 % (M1+F1)</t>
    </r>
  </si>
  <si>
    <t>Fixed &amp; TV (F1)</t>
  </si>
  <si>
    <t>Satellite &amp; TV ditrib. (STV)</t>
  </si>
  <si>
    <t>Mobile Rev.</t>
  </si>
  <si>
    <r>
      <rPr>
        <sz val="10"/>
        <color rgb="FF0070C0"/>
        <rFont val="Symbol"/>
        <family val="1"/>
        <charset val="2"/>
      </rPr>
      <t>»</t>
    </r>
    <r>
      <rPr>
        <sz val="10"/>
        <color rgb="FF0070C0"/>
        <rFont val="Arial"/>
        <family val="2"/>
      </rPr>
      <t xml:space="preserve">  Bloomberg's estimates, modulo variations from re-stated figures </t>
    </r>
    <r>
      <rPr>
        <sz val="10"/>
        <color rgb="FF0070C0"/>
        <rFont val="Symbol"/>
        <family val="1"/>
        <charset val="2"/>
      </rPr>
      <t>®</t>
    </r>
  </si>
  <si>
    <t>No similar inputs in 1H13 pdf, but calculations by countries on 1H13 xls (with restated 2012) imply :</t>
  </si>
  <si>
    <r>
      <rPr>
        <sz val="10"/>
        <color rgb="FF0070C0"/>
        <rFont val="Symbol"/>
        <family val="1"/>
        <charset val="2"/>
      </rPr>
      <t>¬</t>
    </r>
    <r>
      <rPr>
        <sz val="10"/>
        <color rgb="FF0070C0"/>
        <rFont val="Arial"/>
        <family val="2"/>
      </rPr>
      <t xml:space="preserve"> Thus, no change for 1H13</t>
    </r>
  </si>
  <si>
    <t>Bl. Scandinavia Mobile</t>
  </si>
  <si>
    <r>
      <t xml:space="preserve">Scandinavia </t>
    </r>
    <r>
      <rPr>
        <sz val="10"/>
        <color theme="1"/>
        <rFont val="Symbol"/>
        <family val="1"/>
        <charset val="2"/>
      </rPr>
      <t>»</t>
    </r>
    <r>
      <rPr>
        <sz val="10"/>
        <color theme="1"/>
        <rFont val="Arial"/>
        <family val="2"/>
      </rPr>
      <t xml:space="preserve"> 40% Revenue. Emerging markets (and quite risky ones) for the rest</t>
    </r>
  </si>
  <si>
    <r>
      <t xml:space="preserve">Little change for 1H13 (or last available % Mobile) from period's averages </t>
    </r>
    <r>
      <rPr>
        <sz val="10"/>
        <color theme="1"/>
        <rFont val="Wingdings"/>
        <charset val="2"/>
      </rPr>
      <t>ä</t>
    </r>
  </si>
  <si>
    <t>To check for a future determination/update</t>
  </si>
  <si>
    <t xml:space="preserve">Difference with TIT? </t>
  </si>
  <si>
    <t>Not considered in Ofcom WACC analysis</t>
  </si>
  <si>
    <t xml:space="preserve">Idem </t>
  </si>
  <si>
    <t>Taken over by Vodafone in 2013</t>
  </si>
  <si>
    <t>Russia</t>
  </si>
  <si>
    <t>Satellite</t>
  </si>
  <si>
    <t>Telenor Danmark</t>
  </si>
  <si>
    <t xml:space="preserve">Revenue &amp; Ebitda splits by Bloomberg are puzzling : there are no such things as "Telenor Mobile Norway" or "Telenor Mobile Sweden". </t>
  </si>
  <si>
    <t>Fixed activities regard all Scandinavian countries. And, in financial reports (pdf and xls), Ebitda are only reported at country (=segment) level</t>
  </si>
  <si>
    <t xml:space="preserve">whereas Fixed/Mobile revenues splits are available. Costs allocation to split Ebitda is not possible (and KPIs not  helpful for this). </t>
  </si>
  <si>
    <t xml:space="preserve">Bloomberg's (dubious) estimates imply that, in Scandinavia, Mobile has been providing a bit more Ebitda (relatively) than Fixed line services </t>
  </si>
  <si>
    <t>In financial reports, lack of transparency regarding Fixed vs. Mobile business due to operational re-organisation,</t>
  </si>
  <si>
    <t>Ratios</t>
  </si>
  <si>
    <t>for the period of analysis. While this might be true, we would refrain from further considering these estimates</t>
  </si>
  <si>
    <t>Nordic/Swiss</t>
  </si>
  <si>
    <t>Iberian SPs</t>
  </si>
  <si>
    <t>Small Mobile SPs</t>
  </si>
  <si>
    <r>
      <t>*For some SPs, EV/Ebitda</t>
    </r>
    <r>
      <rPr>
        <sz val="10"/>
        <color theme="0" tint="-0.34998626667073579"/>
        <rFont val="Symbol"/>
        <family val="1"/>
        <charset val="2"/>
      </rPr>
      <t xml:space="preserve">­ </t>
    </r>
    <r>
      <rPr>
        <sz val="10"/>
        <color theme="0" tint="-0.34998626667073579"/>
        <rFont val="Arial"/>
        <family val="2"/>
      </rPr>
      <t>adj. for periods consistent with latest available M%Rev.</t>
    </r>
  </si>
  <si>
    <t>periods with M% rel. var.)</t>
  </si>
  <si>
    <t>Positive UK slope but lower than for the following years.</t>
  </si>
  <si>
    <t xml:space="preserve">The picture is a bit more contrasted with P/E, for the available period : Mobile P/E are generally higher but on par with Fixed P/E on several instances : it is possible that the lines have later crossed each other. </t>
  </si>
  <si>
    <t>Cd 01/01/2010</t>
  </si>
  <si>
    <t>Cd 31/12/2010</t>
  </si>
  <si>
    <t>Cd 30/12/2011</t>
  </si>
  <si>
    <t>Cd 28/12/2012</t>
  </si>
  <si>
    <t>TO MS WORD</t>
  </si>
  <si>
    <r>
      <rPr>
        <b/>
        <i/>
        <sz val="10"/>
        <color theme="0"/>
        <rFont val="Arial"/>
        <family val="2"/>
      </rPr>
      <t>FROM</t>
    </r>
    <r>
      <rPr>
        <b/>
        <sz val="10"/>
        <color theme="0"/>
        <rFont val="Arial"/>
        <family val="2"/>
      </rPr>
      <t xml:space="preserve"> WACC 3</t>
    </r>
  </si>
  <si>
    <r>
      <rPr>
        <b/>
        <i/>
        <sz val="10"/>
        <color theme="0"/>
        <rFont val="Arial"/>
        <family val="2"/>
      </rPr>
      <t>FROM</t>
    </r>
    <r>
      <rPr>
        <b/>
        <sz val="10"/>
        <color theme="0"/>
        <rFont val="Arial"/>
        <family val="2"/>
      </rPr>
      <t xml:space="preserve"> WACC 1</t>
    </r>
  </si>
  <si>
    <t>Benchmark</t>
  </si>
  <si>
    <t>Itallie</t>
  </si>
  <si>
    <t xml:space="preserve">Belgique </t>
  </si>
  <si>
    <t>Telekom Polska</t>
  </si>
  <si>
    <t>Opérateur</t>
  </si>
  <si>
    <t>Abbrév.</t>
  </si>
  <si>
    <t xml:space="preserve"> DJ Stoxx</t>
  </si>
  <si>
    <t xml:space="preserve">* In its report for ACM (ex-Opta), the Brattle Group proposes a simple rule to sort SPs : </t>
  </si>
  <si>
    <t>Ofcom only considers BT &amp; Vodafone, for understable reasons.</t>
  </si>
  <si>
    <t xml:space="preserve">Russia/CIS. </t>
  </si>
  <si>
    <t>So, are excluded : MTS, Turkcell, and (non-identified) Israeli SPs, although some 'European' SPs have large operations out of Europe.</t>
  </si>
  <si>
    <t>Adj %Mob</t>
  </si>
  <si>
    <t>1H13 or last avail.</t>
  </si>
  <si>
    <t>So, we still need to look at the "middle-ground", Belgacom in particular but not only, to infer appropriate Belgian "norms".</t>
  </si>
  <si>
    <t>Mobile % Ebitda for 2005, 2006, 2007, 2008</t>
  </si>
  <si>
    <t>FINAL % MOBILE</t>
  </si>
  <si>
    <t>Market Cap. (€)</t>
  </si>
  <si>
    <t>% Sample</t>
  </si>
  <si>
    <t>Rel. Var.</t>
  </si>
  <si>
    <r>
      <rPr>
        <sz val="10"/>
        <rFont val="Symbol"/>
        <family val="1"/>
        <charset val="2"/>
      </rPr>
      <t>­</t>
    </r>
    <r>
      <rPr>
        <sz val="10"/>
        <rFont val="Arial"/>
        <family val="2"/>
      </rPr>
      <t xml:space="preserve"> Positive, = Stable</t>
    </r>
  </si>
  <si>
    <r>
      <rPr>
        <sz val="10"/>
        <rFont val="Symbol"/>
        <family val="1"/>
        <charset val="2"/>
      </rPr>
      <t>¯</t>
    </r>
    <r>
      <rPr>
        <sz val="10"/>
        <rFont val="Arial"/>
        <family val="2"/>
      </rPr>
      <t xml:space="preserve"> Negative</t>
    </r>
  </si>
  <si>
    <t>4Q11-2Q13</t>
  </si>
  <si>
    <t>P/E = Price/EPS = Market Cap/Earnings. Does not look workable here, beside missing periods.</t>
  </si>
  <si>
    <t>SHLD EQY</t>
  </si>
  <si>
    <t>E/Eb</t>
  </si>
  <si>
    <t>Avg. E/Eb</t>
  </si>
  <si>
    <t>E/Eb vs. P/B</t>
  </si>
  <si>
    <t>albert.wolss@minfin.fed.be</t>
  </si>
  <si>
    <t xml:space="preserve">+32 257 938 66 </t>
  </si>
  <si>
    <r>
      <rPr>
        <sz val="10"/>
        <rFont val="Wingdings"/>
        <charset val="2"/>
      </rPr>
      <t>ä</t>
    </r>
    <r>
      <rPr>
        <sz val="10"/>
        <rFont val="Arial"/>
        <family val="2"/>
      </rPr>
      <t xml:space="preserve"> E/Eb</t>
    </r>
  </si>
  <si>
    <t>Adj. D/Ebitda</t>
  </si>
  <si>
    <t>En/Eb</t>
  </si>
  <si>
    <t>2009-2012</t>
  </si>
  <si>
    <t>Yr. Avg. E/Eb</t>
  </si>
  <si>
    <t>Weighted avg.</t>
  </si>
  <si>
    <t>Simple avg.</t>
  </si>
  <si>
    <t>Nb of operators :</t>
  </si>
  <si>
    <t>Gearing (without OL)</t>
  </si>
  <si>
    <t>OL Impact</t>
  </si>
  <si>
    <t>Mkt Cap. (€)</t>
  </si>
  <si>
    <r>
      <rPr>
        <b/>
        <sz val="10"/>
        <rFont val="Wingdings"/>
        <charset val="2"/>
      </rPr>
      <t>ä</t>
    </r>
    <r>
      <rPr>
        <b/>
        <sz val="8.3000000000000007"/>
        <rFont val="Arial"/>
        <family val="2"/>
      </rPr>
      <t xml:space="preserve"> </t>
    </r>
    <r>
      <rPr>
        <b/>
        <sz val="10"/>
        <rFont val="Arial"/>
        <family val="2"/>
      </rPr>
      <t>Mkt Cap. (€)</t>
    </r>
  </si>
  <si>
    <t>Period Avg.</t>
  </si>
  <si>
    <t xml:space="preserve">Period </t>
  </si>
  <si>
    <t>g (without OL)</t>
  </si>
  <si>
    <t>Gearing* (with OL)</t>
  </si>
  <si>
    <t>g* (with OL)</t>
  </si>
  <si>
    <t>g*-g</t>
  </si>
  <si>
    <t xml:space="preserve"> (g*-g)/g</t>
  </si>
  <si>
    <t>(g*-g)/g</t>
  </si>
  <si>
    <t>EV €</t>
  </si>
  <si>
    <t>Avg. EV €</t>
  </si>
  <si>
    <r>
      <rPr>
        <b/>
        <sz val="10"/>
        <rFont val="Wingdings"/>
        <charset val="2"/>
      </rPr>
      <t>ä</t>
    </r>
    <r>
      <rPr>
        <b/>
        <sz val="10"/>
        <rFont val="Arial"/>
        <family val="2"/>
      </rPr>
      <t xml:space="preserve"> EV €</t>
    </r>
  </si>
  <si>
    <t>Avg. EV</t>
  </si>
  <si>
    <r>
      <rPr>
        <b/>
        <sz val="10"/>
        <rFont val="Wingdings"/>
        <charset val="2"/>
      </rPr>
      <t>ä</t>
    </r>
    <r>
      <rPr>
        <b/>
        <sz val="10"/>
        <rFont val="Arial"/>
        <family val="2"/>
      </rPr>
      <t xml:space="preserve"> EV</t>
    </r>
  </si>
  <si>
    <t>EV*</t>
  </si>
  <si>
    <r>
      <t xml:space="preserve">Sample </t>
    </r>
    <r>
      <rPr>
        <sz val="10"/>
        <rFont val="Symbol"/>
        <family val="1"/>
        <charset val="2"/>
      </rPr>
      <t>®</t>
    </r>
  </si>
  <si>
    <t>Avg. EV*</t>
  </si>
  <si>
    <r>
      <rPr>
        <b/>
        <sz val="10"/>
        <rFont val="Wingdings"/>
        <charset val="2"/>
      </rPr>
      <t>ä</t>
    </r>
    <r>
      <rPr>
        <b/>
        <sz val="10"/>
        <rFont val="Arial"/>
        <family val="2"/>
      </rPr>
      <t xml:space="preserve"> EV*</t>
    </r>
  </si>
  <si>
    <t>Capi. Moy.</t>
  </si>
  <si>
    <t>Iliad (Free)</t>
  </si>
  <si>
    <t xml:space="preserve">% </t>
  </si>
  <si>
    <t>€</t>
  </si>
  <si>
    <t>Local</t>
  </si>
  <si>
    <r>
      <rPr>
        <b/>
        <sz val="10"/>
        <color theme="0" tint="-0.249977111117893"/>
        <rFont val="Wingdings"/>
        <charset val="2"/>
      </rPr>
      <t>ä</t>
    </r>
    <r>
      <rPr>
        <b/>
        <sz val="10"/>
        <color theme="0" tint="-0.249977111117893"/>
        <rFont val="Arial"/>
        <family val="2"/>
      </rPr>
      <t xml:space="preserve"> Mkt cap</t>
    </r>
  </si>
  <si>
    <t>Moyenne échantillon</t>
  </si>
  <si>
    <t>Moy. simple</t>
  </si>
  <si>
    <t>VE/Ebitda</t>
  </si>
  <si>
    <t>SM</t>
  </si>
  <si>
    <t>SF</t>
  </si>
  <si>
    <t>NS</t>
  </si>
  <si>
    <t>IB</t>
  </si>
  <si>
    <t>CI</t>
  </si>
  <si>
    <t>Cont./Incumb.1</t>
  </si>
  <si>
    <t>Cont./Incumb. 2</t>
  </si>
  <si>
    <t>CI+IB</t>
  </si>
  <si>
    <t>Nordic Swiss</t>
  </si>
  <si>
    <t>Small SPs</t>
  </si>
  <si>
    <t>SF + SM</t>
  </si>
  <si>
    <t>VOD + BT</t>
  </si>
  <si>
    <t>With Ib. SPs</t>
  </si>
  <si>
    <t>Small F &amp; M</t>
  </si>
  <si>
    <t>Groupement</t>
  </si>
  <si>
    <t xml:space="preserve">Op. Britanniques </t>
  </si>
  <si>
    <t>Periode</t>
  </si>
  <si>
    <t>Hist. Continentaux</t>
  </si>
  <si>
    <t>Nordiques &amp; Suisse</t>
  </si>
  <si>
    <t>Petits Opérateurs</t>
  </si>
  <si>
    <t>SM+SF</t>
  </si>
  <si>
    <t>1S10</t>
  </si>
  <si>
    <t>Dont cœur Europe</t>
  </si>
  <si>
    <t>Median</t>
  </si>
  <si>
    <t>Mediane échantillon</t>
  </si>
  <si>
    <t>(Excl. TLSG)</t>
  </si>
  <si>
    <t>Médiane</t>
  </si>
  <si>
    <r>
      <rPr>
        <sz val="10"/>
        <color theme="0" tint="-0.249977111117893"/>
        <rFont val="Wingdings"/>
        <charset val="2"/>
      </rPr>
      <t>ä</t>
    </r>
    <r>
      <rPr>
        <sz val="10"/>
        <color theme="0" tint="-0.249977111117893"/>
        <rFont val="Arial"/>
        <family val="2"/>
      </rPr>
      <t xml:space="preserve"> Mkt  Cap</t>
    </r>
  </si>
  <si>
    <r>
      <rPr>
        <sz val="10"/>
        <color theme="0" tint="-0.249977111117893"/>
        <rFont val="Wingdings"/>
        <charset val="2"/>
      </rPr>
      <t>ä</t>
    </r>
    <r>
      <rPr>
        <sz val="10"/>
        <color theme="0" tint="-0.249977111117893"/>
        <rFont val="Arial"/>
        <family val="2"/>
      </rPr>
      <t xml:space="preserve"> EV</t>
    </r>
  </si>
  <si>
    <r>
      <rPr>
        <sz val="10"/>
        <color theme="0" tint="-0.249977111117893"/>
        <rFont val="Wingdings"/>
        <charset val="2"/>
      </rPr>
      <t>ä</t>
    </r>
    <r>
      <rPr>
        <sz val="10"/>
        <color theme="0" tint="-0.249977111117893"/>
        <rFont val="Arial"/>
        <family val="2"/>
      </rPr>
      <t xml:space="preserve"> EV*</t>
    </r>
  </si>
  <si>
    <t>Avg. 1H10-1H13</t>
  </si>
  <si>
    <r>
      <rPr>
        <sz val="10"/>
        <color theme="0" tint="-0.249977111117893"/>
        <rFont val="Wingdings"/>
        <charset val="2"/>
      </rPr>
      <t>ä</t>
    </r>
    <r>
      <rPr>
        <sz val="10"/>
        <color theme="0" tint="-0.249977111117893"/>
        <rFont val="Arial"/>
        <family val="2"/>
      </rPr>
      <t xml:space="preserve"> Ebitda</t>
    </r>
  </si>
  <si>
    <r>
      <rPr>
        <b/>
        <sz val="10"/>
        <color theme="0" tint="-0.249977111117893"/>
        <rFont val="Wingdings"/>
        <charset val="2"/>
      </rPr>
      <t>ä</t>
    </r>
    <r>
      <rPr>
        <b/>
        <sz val="10"/>
        <color theme="0" tint="-0.249977111117893"/>
        <rFont val="Arial"/>
        <family val="2"/>
      </rPr>
      <t xml:space="preserve"> Ebitda</t>
    </r>
  </si>
  <si>
    <t>With 2Q avg.</t>
  </si>
  <si>
    <r>
      <rPr>
        <b/>
        <sz val="10"/>
        <color theme="0" tint="-0.249977111117893"/>
        <rFont val="Wingdings"/>
        <charset val="2"/>
      </rPr>
      <t>ä</t>
    </r>
    <r>
      <rPr>
        <b/>
        <sz val="10"/>
        <color theme="0" tint="-0.249977111117893"/>
        <rFont val="Arial"/>
        <family val="2"/>
      </rPr>
      <t xml:space="preserve"> EV</t>
    </r>
  </si>
  <si>
    <t>Dont Op. Ibériques</t>
  </si>
  <si>
    <r>
      <rPr>
        <b/>
        <sz val="10"/>
        <rFont val="Wingdings"/>
        <charset val="2"/>
      </rPr>
      <t>ä</t>
    </r>
    <r>
      <rPr>
        <b/>
        <sz val="10"/>
        <rFont val="Arial"/>
        <family val="2"/>
      </rPr>
      <t xml:space="preserve"> Adj. D/Ebitda</t>
    </r>
  </si>
  <si>
    <r>
      <t xml:space="preserve">vs. </t>
    </r>
    <r>
      <rPr>
        <b/>
        <sz val="10"/>
        <rFont val="Wingdings"/>
        <charset val="2"/>
      </rPr>
      <t>ä</t>
    </r>
    <r>
      <rPr>
        <b/>
        <sz val="10"/>
        <rFont val="Arial"/>
        <family val="2"/>
      </rPr>
      <t xml:space="preserve"> % Mobile</t>
    </r>
  </si>
  <si>
    <t>Excl. Telenet &amp; Iliad</t>
  </si>
  <si>
    <t xml:space="preserve">(Messed up labels &amp; color codes) </t>
  </si>
  <si>
    <t>Gearing*</t>
  </si>
  <si>
    <r>
      <rPr>
        <b/>
        <sz val="10"/>
        <rFont val="Arial"/>
        <family val="2"/>
      </rPr>
      <t>IB :</t>
    </r>
    <r>
      <rPr>
        <sz val="10"/>
        <rFont val="Arial"/>
        <family val="2"/>
      </rPr>
      <t xml:space="preserve"> Iberian SPs,  TEF &amp; PT, here clearly among </t>
    </r>
    <r>
      <rPr>
        <b/>
        <sz val="10"/>
        <rFont val="Arial"/>
        <family val="2"/>
      </rPr>
      <t>CI</t>
    </r>
  </si>
  <si>
    <r>
      <rPr>
        <b/>
        <sz val="10"/>
        <rFont val="Arial"/>
        <family val="2"/>
      </rPr>
      <t>UK :</t>
    </r>
    <r>
      <rPr>
        <sz val="10"/>
        <rFont val="Arial"/>
        <family val="2"/>
      </rPr>
      <t xml:space="preserve"> British axis, Fixed BT &amp; Mobile Vodafone</t>
    </r>
  </si>
  <si>
    <r>
      <rPr>
        <b/>
        <sz val="10"/>
        <rFont val="Arial"/>
        <family val="2"/>
      </rPr>
      <t>NS :</t>
    </r>
    <r>
      <rPr>
        <sz val="10"/>
        <rFont val="Arial"/>
        <family val="2"/>
      </rPr>
      <t xml:space="preserve"> Nordic/Swiss SPs, with TSC &amp; SCM between NS &amp; CI</t>
    </r>
  </si>
  <si>
    <r>
      <rPr>
        <b/>
        <sz val="10"/>
        <rFont val="Arial"/>
        <family val="2"/>
      </rPr>
      <t xml:space="preserve">SF : </t>
    </r>
    <r>
      <rPr>
        <sz val="10"/>
        <rFont val="Arial"/>
        <family val="2"/>
      </rPr>
      <t>Small Fixed SPs, Telenet &amp; Iliad</t>
    </r>
  </si>
  <si>
    <r>
      <rPr>
        <b/>
        <sz val="10"/>
        <rFont val="Arial"/>
        <family val="2"/>
      </rPr>
      <t>SM :</t>
    </r>
    <r>
      <rPr>
        <sz val="10"/>
        <rFont val="Arial"/>
        <family val="2"/>
      </rPr>
      <t xml:space="preserve"> Small Mobile SPs, Mobistar &amp; Sonaecom</t>
    </r>
  </si>
  <si>
    <t>INDEBTEDNESS : D/EBITDA</t>
  </si>
  <si>
    <t>(with BV OL)</t>
  </si>
  <si>
    <t>Current OL</t>
  </si>
  <si>
    <t>(Trailing 4Q)</t>
  </si>
  <si>
    <t>(Local currency)</t>
  </si>
  <si>
    <t>Ebitda*</t>
  </si>
  <si>
    <t>(Local currency) EV* = EV + PV OL</t>
  </si>
  <si>
    <t>Avg. Ebitda*</t>
  </si>
  <si>
    <r>
      <rPr>
        <b/>
        <sz val="10"/>
        <rFont val="Wingdings"/>
        <charset val="2"/>
      </rPr>
      <t>ä</t>
    </r>
    <r>
      <rPr>
        <b/>
        <sz val="10"/>
        <rFont val="Arial"/>
        <family val="2"/>
      </rPr>
      <t xml:space="preserve"> Ebitda *</t>
    </r>
  </si>
  <si>
    <t>(Ea*-Ea)/Ea</t>
  </si>
  <si>
    <t>Avg. Ebitda</t>
  </si>
  <si>
    <t>EV*/Ebitda*</t>
  </si>
  <si>
    <t>D*/Ebitda*</t>
  </si>
  <si>
    <t>Avg. D*/Ea*</t>
  </si>
  <si>
    <r>
      <rPr>
        <b/>
        <sz val="10"/>
        <rFont val="Wingdings"/>
        <charset val="2"/>
      </rPr>
      <t>ä</t>
    </r>
    <r>
      <rPr>
        <b/>
        <sz val="10"/>
        <rFont val="Arial"/>
        <family val="2"/>
      </rPr>
      <t xml:space="preserve"> D*/Ea*</t>
    </r>
  </si>
  <si>
    <t>(Ea = Ebitda)</t>
  </si>
  <si>
    <t>Avg. EV/Ea</t>
  </si>
  <si>
    <r>
      <rPr>
        <b/>
        <sz val="10"/>
        <rFont val="Wingdings"/>
        <charset val="2"/>
      </rPr>
      <t>ä</t>
    </r>
    <r>
      <rPr>
        <b/>
        <sz val="10"/>
        <rFont val="Arial"/>
        <family val="2"/>
      </rPr>
      <t xml:space="preserve"> EV/Ea</t>
    </r>
  </si>
  <si>
    <t>Avg. EV*/Ea*</t>
  </si>
  <si>
    <r>
      <rPr>
        <b/>
        <sz val="10"/>
        <rFont val="Wingdings"/>
        <charset val="2"/>
      </rPr>
      <t>ä</t>
    </r>
    <r>
      <rPr>
        <b/>
        <sz val="10"/>
        <rFont val="Arial"/>
        <family val="2"/>
      </rPr>
      <t xml:space="preserve"> EV*/Ea*</t>
    </r>
  </si>
  <si>
    <t>Avg. Adj. EV/Ea</t>
  </si>
  <si>
    <r>
      <rPr>
        <b/>
        <sz val="10"/>
        <rFont val="Wingdings"/>
        <charset val="2"/>
      </rPr>
      <t>ä</t>
    </r>
    <r>
      <rPr>
        <b/>
        <sz val="10"/>
        <rFont val="Arial"/>
        <family val="2"/>
      </rPr>
      <t xml:space="preserve"> Adj. EV/Ea</t>
    </r>
  </si>
  <si>
    <t>Avg. D*/E</t>
  </si>
  <si>
    <t>Avg. Adj. D/Ea</t>
  </si>
  <si>
    <r>
      <rPr>
        <b/>
        <sz val="10"/>
        <rFont val="Wingdings"/>
        <charset val="2"/>
      </rPr>
      <t>ä</t>
    </r>
    <r>
      <rPr>
        <b/>
        <sz val="10"/>
        <rFont val="Arial"/>
        <family val="2"/>
      </rPr>
      <t xml:space="preserve"> Adj. D/Ea</t>
    </r>
  </si>
  <si>
    <t>to make sense (e.g. HTO/OTE).</t>
  </si>
  <si>
    <t>a general decrease in WACC rates.</t>
  </si>
  <si>
    <t>Only thing worth considering in our opinion :</t>
  </si>
  <si>
    <t>Operating Leases</t>
  </si>
  <si>
    <r>
      <rPr>
        <b/>
        <sz val="10"/>
        <rFont val="Arial"/>
        <family val="2"/>
      </rPr>
      <t>x = D/E</t>
    </r>
    <r>
      <rPr>
        <sz val="10"/>
        <rFont val="Arial"/>
        <family val="2"/>
      </rPr>
      <t xml:space="preserve"> = g/(1+g) to unlever βe</t>
    </r>
  </si>
  <si>
    <t>1H10-1H13 : % Mobile vs. EV/Sales</t>
  </si>
  <si>
    <r>
      <rPr>
        <b/>
        <sz val="10"/>
        <color theme="0" tint="-0.249977111117893"/>
        <rFont val="Wingdings"/>
        <charset val="2"/>
      </rPr>
      <t>ä</t>
    </r>
    <r>
      <rPr>
        <b/>
        <sz val="9"/>
        <color theme="0" tint="-0.249977111117893"/>
        <rFont val="Arial"/>
        <family val="2"/>
      </rPr>
      <t xml:space="preserve"> Adj. </t>
    </r>
    <r>
      <rPr>
        <b/>
        <sz val="10"/>
        <color theme="0" tint="-0.249977111117893"/>
        <rFont val="Arial"/>
        <family val="2"/>
      </rPr>
      <t>EV/Ebitda</t>
    </r>
  </si>
  <si>
    <t>Column</t>
  </si>
  <si>
    <r>
      <rPr>
        <sz val="10"/>
        <color theme="0" tint="-0.249977111117893"/>
        <rFont val="Wingdings"/>
        <charset val="2"/>
      </rPr>
      <t>ä</t>
    </r>
    <r>
      <rPr>
        <sz val="10"/>
        <color theme="0" tint="-0.249977111117893"/>
        <rFont val="Arial"/>
        <family val="2"/>
      </rPr>
      <t xml:space="preserve"> Ebitda *</t>
    </r>
  </si>
  <si>
    <r>
      <rPr>
        <sz val="10"/>
        <color theme="0" tint="-0.249977111117893"/>
        <rFont val="Wingdings"/>
        <charset val="2"/>
      </rPr>
      <t>ä</t>
    </r>
    <r>
      <rPr>
        <sz val="10"/>
        <color theme="0" tint="-0.249977111117893"/>
        <rFont val="Arial"/>
        <family val="2"/>
      </rPr>
      <t xml:space="preserve"> Adj. EV/Ea</t>
    </r>
  </si>
  <si>
    <r>
      <rPr>
        <sz val="10"/>
        <color theme="0" tint="-0.249977111117893"/>
        <rFont val="Wingdings"/>
        <charset val="2"/>
      </rPr>
      <t>ä</t>
    </r>
    <r>
      <rPr>
        <sz val="10"/>
        <color theme="0" tint="-0.249977111117893"/>
        <rFont val="Arial"/>
        <family val="2"/>
      </rPr>
      <t xml:space="preserve"> EV/Ea</t>
    </r>
  </si>
  <si>
    <t>EV/Ea</t>
  </si>
  <si>
    <t>Avg. 1H13</t>
  </si>
  <si>
    <t xml:space="preserve">For the sample :  </t>
  </si>
  <si>
    <t>Mkt Cap</t>
  </si>
  <si>
    <t>Evolution</t>
  </si>
  <si>
    <t>Telenet's target D/Ebitda</t>
  </si>
  <si>
    <t xml:space="preserve">ORA : 2.2x for 4Q13, 2x for 4Q14 </t>
  </si>
  <si>
    <t>(excl. impact of an old tax dispute)</t>
  </si>
  <si>
    <t>(Reversed ranking for graph)</t>
  </si>
  <si>
    <t>OL/g = (g*-g)/g</t>
  </si>
  <si>
    <t>Operating leases addition and relative impact on avg. gearing</t>
  </si>
  <si>
    <r>
      <rPr>
        <b/>
        <sz val="10"/>
        <rFont val="Arial"/>
        <family val="2"/>
      </rPr>
      <t>CI</t>
    </r>
    <r>
      <rPr>
        <sz val="10"/>
        <rFont val="Arial"/>
        <family val="2"/>
      </rPr>
      <t xml:space="preserve"> : Continental Incumbent SPs, including Belgacom (in black)</t>
    </r>
  </si>
  <si>
    <t>NOTE 2</t>
  </si>
  <si>
    <t>Market vs. Book Values</t>
  </si>
  <si>
    <t>VALUE MULTIPLES</t>
  </si>
  <si>
    <t>Minority Int.</t>
  </si>
  <si>
    <t>(EV*-EV)/EV</t>
  </si>
  <si>
    <t>BELGACOM'S PEERS</t>
  </si>
  <si>
    <t xml:space="preserve">Local currency </t>
  </si>
  <si>
    <t>Ind. Mkt Cap</t>
  </si>
  <si>
    <t>SIZE</t>
  </si>
  <si>
    <t>BEL20</t>
  </si>
  <si>
    <t>E300</t>
  </si>
  <si>
    <t>MSCI Global</t>
  </si>
  <si>
    <t>DJ Stoxx</t>
  </si>
  <si>
    <t>Distance</t>
  </si>
  <si>
    <t>Base 1 at 2Q10</t>
  </si>
  <si>
    <t>(Same graph with more comparators for Belgacom)</t>
  </si>
  <si>
    <t xml:space="preserve">Mkt Cap </t>
  </si>
  <si>
    <t>Evolution of 2Q10-Indexed Market Caps (in local currency)</t>
  </si>
  <si>
    <t>Market Cap (€)</t>
  </si>
  <si>
    <r>
      <rPr>
        <b/>
        <sz val="10"/>
        <rFont val="Wingdings"/>
        <charset val="2"/>
      </rPr>
      <t>ä</t>
    </r>
    <r>
      <rPr>
        <b/>
        <sz val="10"/>
        <rFont val="Arial"/>
        <family val="2"/>
      </rPr>
      <t xml:space="preserve"> Mkt Cap (€)</t>
    </r>
  </si>
  <si>
    <r>
      <rPr>
        <sz val="10"/>
        <color theme="1"/>
        <rFont val="Symbol"/>
        <family val="1"/>
        <charset val="2"/>
      </rPr>
      <t>­</t>
    </r>
    <r>
      <rPr>
        <sz val="10"/>
        <color theme="1"/>
        <rFont val="Arial"/>
        <family val="2"/>
      </rPr>
      <t xml:space="preserve"> See % Mobile from </t>
    </r>
  </si>
  <si>
    <t>Picture less clear here. Maybe a general slope slightly positive, partly because of DT.</t>
  </si>
  <si>
    <t>Belgacom-Mobistar axis consistent with usual expectations at that period.</t>
  </si>
  <si>
    <t>View that Openreach is more risky than a pure network utility, but carries less specific risk than the Rest of BT Group.</t>
  </si>
  <si>
    <r>
      <rPr>
        <b/>
        <sz val="10"/>
        <color rgb="FF00B050"/>
        <rFont val="Arial"/>
        <family val="2"/>
      </rPr>
      <t>Openreach</t>
    </r>
    <r>
      <rPr>
        <sz val="10"/>
        <color rgb="FF00B050"/>
        <rFont val="Arial"/>
        <family val="2"/>
      </rPr>
      <t xml:space="preserve"> = BT's infrastructure division (opened for business since 2006) </t>
    </r>
  </si>
  <si>
    <r>
      <rPr>
        <b/>
        <sz val="10"/>
        <color rgb="FF00B050"/>
        <rFont val="Arial"/>
        <family val="2"/>
      </rPr>
      <t>Ofcom</t>
    </r>
    <r>
      <rPr>
        <sz val="10"/>
        <color rgb="FF00B050"/>
        <rFont val="Arial"/>
        <family val="2"/>
      </rPr>
      <t xml:space="preserve"> in WBA Charge Control, 20 July 2011 (p. 124-130) : </t>
    </r>
  </si>
  <si>
    <t>Estimate and apply different WACC for Openreach and the Rest of BT, on the grounds that they have different systematic risk profiles</t>
  </si>
  <si>
    <r>
      <t xml:space="preserve">Based on BT’s Current Cost Financial Statements, Openreach’s access services business assumed to account for </t>
    </r>
    <r>
      <rPr>
        <sz val="10"/>
        <color rgb="FF00B050"/>
        <rFont val="Symbol"/>
        <family val="1"/>
        <charset val="2"/>
      </rPr>
      <t>»</t>
    </r>
    <r>
      <rPr>
        <sz val="10"/>
        <color rgb="FF00B050"/>
        <rFont val="Arial"/>
        <family val="2"/>
      </rPr>
      <t xml:space="preserve"> 50% of BT Group’s mean capital employed (MCE)</t>
    </r>
  </si>
  <si>
    <r>
      <t xml:space="preserve">Ofcom's 'Openreach WACC' is actually more a rate for BT’s </t>
    </r>
    <r>
      <rPr>
        <b/>
        <sz val="10"/>
        <color rgb="FF00B050"/>
        <rFont val="Arial"/>
        <family val="2"/>
      </rPr>
      <t xml:space="preserve">copper access </t>
    </r>
    <r>
      <rPr>
        <sz val="10"/>
        <color rgb="FF00B050"/>
        <rFont val="Arial"/>
        <family val="2"/>
      </rPr>
      <t>services business</t>
    </r>
  </si>
  <si>
    <t>Ability of customers to switch to different packages whilst retaining a broadband service</t>
  </si>
  <si>
    <r>
      <t xml:space="preserve">WACC for Rest of BT, inferred from Openreach's and BT group's, deemed appropriate for </t>
    </r>
    <r>
      <rPr>
        <b/>
        <sz val="10"/>
        <color rgb="FF00B050"/>
        <rFont val="Arial"/>
        <family val="2"/>
      </rPr>
      <t>WBA services</t>
    </r>
    <r>
      <rPr>
        <sz val="10"/>
        <color rgb="FF00B050"/>
        <rFont val="Arial"/>
        <family val="2"/>
      </rPr>
      <t>, following an analysis of the responsiveness of the demand for WBA services to the economic cycle :</t>
    </r>
  </si>
  <si>
    <t>Levels of broadband penetration</t>
  </si>
  <si>
    <t>Empirical evidence such as econometric studies</t>
  </si>
  <si>
    <t>Evidence from BT on WBA volumes and BT forecasts for WBA services</t>
  </si>
  <si>
    <t>Marpij :</t>
  </si>
  <si>
    <r>
      <rPr>
        <sz val="10"/>
        <color theme="1"/>
        <rFont val="Symbol"/>
        <family val="1"/>
        <charset val="2"/>
      </rPr>
      <t>®</t>
    </r>
    <r>
      <rPr>
        <sz val="9"/>
        <color theme="1"/>
        <rFont val="Arial"/>
        <family val="2"/>
      </rPr>
      <t xml:space="preserve"> = </t>
    </r>
    <r>
      <rPr>
        <sz val="10"/>
        <color theme="1"/>
        <rFont val="Arial"/>
        <family val="2"/>
      </rPr>
      <t>Because of supposed higher operational leverage (% fixed costs) ?</t>
    </r>
  </si>
  <si>
    <r>
      <rPr>
        <sz val="10"/>
        <color theme="1"/>
        <rFont val="Symbol"/>
        <family val="1"/>
        <charset val="2"/>
      </rPr>
      <t>®</t>
    </r>
    <r>
      <rPr>
        <sz val="9"/>
        <color theme="1"/>
        <rFont val="Arial"/>
        <family val="2"/>
      </rPr>
      <t xml:space="preserve"> (Not captured by single-factor CAPM)</t>
    </r>
  </si>
  <si>
    <t>PROFILES</t>
  </si>
  <si>
    <t>WHAT DEBT ?</t>
  </si>
  <si>
    <t>Note 2 : What Debt ?</t>
  </si>
  <si>
    <t>Segments Data &amp; Estimates</t>
  </si>
  <si>
    <t>Ranking</t>
  </si>
  <si>
    <t>RANKING</t>
  </si>
  <si>
    <t>Adj. EV/Ebitda Evolution</t>
  </si>
  <si>
    <t>vs. Mkt Cap</t>
  </si>
  <si>
    <t>vs. EV/Ebitda</t>
  </si>
  <si>
    <t>Avg. Distance</t>
  </si>
  <si>
    <t>Out of Europe</t>
  </si>
  <si>
    <r>
      <t xml:space="preserve">Rough estimate through various interpolation on PT &amp; Brazil Oi xls. </t>
    </r>
    <r>
      <rPr>
        <sz val="10"/>
        <color theme="1"/>
        <rFont val="Arial"/>
        <family val="2"/>
      </rPr>
      <t>Revenues out of Europe &gt; 50% since 2011</t>
    </r>
  </si>
  <si>
    <t>NL</t>
  </si>
  <si>
    <t>Pop. 2012</t>
  </si>
  <si>
    <t xml:space="preserve"> % EV*/Ebitda* vs. EV/Ebitda</t>
  </si>
  <si>
    <t>For §</t>
  </si>
  <si>
    <t>Ratios :</t>
  </si>
  <si>
    <r>
      <t xml:space="preserve">Weight </t>
    </r>
    <r>
      <rPr>
        <sz val="10"/>
        <color theme="1"/>
        <rFont val="Symbol"/>
        <family val="1"/>
        <charset val="2"/>
      </rPr>
      <t>®</t>
    </r>
  </si>
  <si>
    <r>
      <t xml:space="preserve">Ranking </t>
    </r>
    <r>
      <rPr>
        <sz val="10"/>
        <color theme="1"/>
        <rFont val="Symbol"/>
        <family val="1"/>
        <charset val="2"/>
      </rPr>
      <t>¯</t>
    </r>
  </si>
  <si>
    <t>Purposes</t>
  </si>
  <si>
    <r>
      <rPr>
        <sz val="10"/>
        <color rgb="FFFFD757"/>
        <rFont val="Arial"/>
        <family val="2"/>
      </rPr>
      <t xml:space="preserve">To check for a future determination/update : </t>
    </r>
    <r>
      <rPr>
        <sz val="10"/>
        <rFont val="Arial"/>
        <family val="2"/>
      </rPr>
      <t>in Brattle/ACM's sample for Cable WACC, along with Telenet, Virgin Media and Zon Multimedia</t>
    </r>
  </si>
  <si>
    <t>Adj. EV/Ebitda 1H10 - 1H13</t>
  </si>
  <si>
    <t>Growth</t>
  </si>
  <si>
    <t>British Axis</t>
  </si>
  <si>
    <r>
      <t xml:space="preserve">See last chart </t>
    </r>
    <r>
      <rPr>
        <sz val="10"/>
        <color theme="1"/>
        <rFont val="Symbol"/>
        <family val="1"/>
        <charset val="2"/>
      </rPr>
      <t>®</t>
    </r>
  </si>
  <si>
    <t>Narrower range (by construction of this subset) : between 4-6x, except for SCM, TDC beginning of period and TPS end of period.</t>
  </si>
  <si>
    <t>Steady decline in KPN's EV/Ebitda but not with the magnitude of the fall of its Market Cap during the period (/2.5, up to /5 at 1Q13, from 2Q10).</t>
  </si>
  <si>
    <t>By EV*</t>
  </si>
  <si>
    <r>
      <rPr>
        <b/>
        <sz val="10"/>
        <color theme="1"/>
        <rFont val="Arial"/>
        <family val="2"/>
      </rPr>
      <t>Telenet</t>
    </r>
    <r>
      <rPr>
        <sz val="10"/>
        <color theme="1"/>
        <rFont val="Arial"/>
        <family val="2"/>
      </rPr>
      <t xml:space="preserve"> is evolving at very high multiples, as Iliad in France, for already mentioned reasons. Until around mid-2011, almost all benchmarked SPs' EV/Ebitda have been rising, not just in Belgium. From this period, Telenet's ratio is rather stable around its latest value by 2Q13 : 9x. As Telenet's growth will eventually slow down and its profile gets closer to a standard domestic integrated SP, its EV/Ebitda should inevitably decrease (unless taping into other markets).</t>
    </r>
  </si>
  <si>
    <t xml:space="preserve">Below charts regard indices which are market cap weighted. This would not be an issue if their constituents were indeed comparable. But previous considerations suggest that the European telecom landscape should be further disaggregated, beyond "Fixed"/"Mobile" labels (themselves likely to be rather loose - see DJ Stoxx), to take into account distinct realities/market types they are dealing with. </t>
  </si>
  <si>
    <t>If there were not so many gaps in data extracted from Bloomberg, we would have given them more consideration, in spite of above mentioned shortcomings.</t>
  </si>
  <si>
    <t>Below EV/Sales charts (without any OL-related adjustment) are also shown just for info. This ratio may appear more consistent with previous % Mobile since they are mainly based on % Revenues. However, EV/sales remains a poor metric for this industry and we do not think that they would provide a better insight on prevailing valuation vs. % Mobile for the last few years.</t>
  </si>
  <si>
    <t>Calculations</t>
  </si>
  <si>
    <t>Intermediate calculations for the 3 main sheets (and outputs for WACC 3), except % Mobile.</t>
  </si>
  <si>
    <t>Estimation of OL present values.</t>
  </si>
  <si>
    <t>Bloom. Cleaner Data</t>
  </si>
  <si>
    <t>(Bloom. Raw Data)</t>
  </si>
  <si>
    <t>(Bloom Data Not Used or NA)</t>
  </si>
  <si>
    <t>For info.</t>
  </si>
  <si>
    <t>Globally flat (maybe slightly positive, excluding Tele 2)</t>
  </si>
  <si>
    <t>Capi.</t>
  </si>
  <si>
    <r>
      <rPr>
        <sz val="10"/>
        <rFont val="Symbol"/>
        <family val="1"/>
        <charset val="2"/>
      </rPr>
      <t>Ö</t>
    </r>
    <r>
      <rPr>
        <sz val="10"/>
        <rFont val="Arial"/>
        <family val="2"/>
      </rPr>
      <t>(</t>
    </r>
    <r>
      <rPr>
        <sz val="10"/>
        <rFont val="Symbol"/>
        <family val="1"/>
        <charset val="2"/>
      </rPr>
      <t>S</t>
    </r>
    <r>
      <rPr>
        <sz val="8"/>
        <rFont val="Arial"/>
        <family val="2"/>
      </rPr>
      <t xml:space="preserve"> </t>
    </r>
    <r>
      <rPr>
        <sz val="10"/>
        <rFont val="Arial"/>
        <family val="2"/>
      </rPr>
      <t>(w.d</t>
    </r>
    <r>
      <rPr>
        <vertAlign val="superscript"/>
        <sz val="10"/>
        <rFont val="Arial"/>
        <family val="2"/>
      </rPr>
      <t>2</t>
    </r>
    <r>
      <rPr>
        <sz val="10"/>
        <rFont val="Arial"/>
        <family val="2"/>
      </rPr>
      <t>))</t>
    </r>
  </si>
  <si>
    <t>Simple avg. (excl. n/a) :</t>
  </si>
  <si>
    <t>Integ.</t>
  </si>
  <si>
    <t>Min/(Adj.D+E)</t>
  </si>
  <si>
    <t>MI % (Adj.D+E)</t>
  </si>
  <si>
    <t>2Q13</t>
  </si>
  <si>
    <t>(D*/Ea*-D/Ea) % (D/Ea)</t>
  </si>
  <si>
    <t>(EV*/Ea*-EV/Ea) % (EV/Ea)</t>
  </si>
  <si>
    <t>% D*/Ea* vs. D/Ea for Adj. D/Ea :</t>
  </si>
  <si>
    <t>% g* vs. g :</t>
  </si>
  <si>
    <t>Default setting : 100% (also for added forms on graphs)</t>
  </si>
  <si>
    <t>Positive slope, with or without OL.</t>
  </si>
  <si>
    <t>Without OL, Mobistar would have been the least indebted SP (at 0.7x) in this benchmark, and the slope negative. Relative to net Debt, Mobistar is the most impacted SP by OL integration.</t>
  </si>
  <si>
    <r>
      <t xml:space="preserve">(Remark : excerpt from Letter Vernimen 117 September 2013 </t>
    </r>
    <r>
      <rPr>
        <sz val="10"/>
        <rFont val="Symbol"/>
        <family val="1"/>
        <charset val="2"/>
      </rPr>
      <t>¯</t>
    </r>
    <r>
      <rPr>
        <sz val="10"/>
        <rFont val="Arial"/>
        <family val="2"/>
      </rPr>
      <t>)</t>
    </r>
  </si>
  <si>
    <t>Otherwise, from this chart, no clear Fixed/Mobile or cluster pattern. (Flat British axis.)</t>
  </si>
  <si>
    <t>(g, D/Ebitda)</t>
  </si>
  <si>
    <t>KPN : at 1Q13, target 2-2.5x for 4Q13</t>
  </si>
  <si>
    <t>vs. 2.9 at 1Q13 (2.3 QQ13) excl. OL</t>
  </si>
  <si>
    <r>
      <t xml:space="preserve">3.5-4.5x </t>
    </r>
    <r>
      <rPr>
        <b/>
        <sz val="10"/>
        <rFont val="Symbol"/>
        <family val="1"/>
        <charset val="2"/>
      </rPr>
      <t>®</t>
    </r>
  </si>
  <si>
    <t xml:space="preserve">vs. 2.5 for 1H13, excl. OL </t>
  </si>
  <si>
    <t>Belgacom's peers</t>
  </si>
  <si>
    <t>UK, SF &amp; SM</t>
  </si>
  <si>
    <t>Unconclusive anyway</t>
  </si>
  <si>
    <t>GEARING g = D/D+E (direct analysis)</t>
  </si>
  <si>
    <t>( = New Mobile Entrants)</t>
  </si>
  <si>
    <t>Small Fixed SPs</t>
  </si>
  <si>
    <t>(Pre-Brazil) Portuguese PT-SNC axis almost flat.</t>
  </si>
  <si>
    <r>
      <rPr>
        <sz val="10"/>
        <color theme="1"/>
        <rFont val="Arial"/>
        <family val="2"/>
      </rPr>
      <t xml:space="preserve">Weight period of analysis </t>
    </r>
    <r>
      <rPr>
        <sz val="10"/>
        <color theme="1"/>
        <rFont val="Symbol"/>
        <family val="1"/>
        <charset val="2"/>
      </rPr>
      <t>¯</t>
    </r>
  </si>
  <si>
    <t>Weight 2Q13</t>
  </si>
  <si>
    <t>Belgacom-Mobistar axis flat, in contrast with the Portuguese PT-SNC axis : would have probably been flat as in 2009 if PT's operations had remained essentially domestic.</t>
  </si>
  <si>
    <t>Weight 2009</t>
  </si>
  <si>
    <t>Positive slope on the British axis as well, as on 1H10-1H13 avg.</t>
  </si>
  <si>
    <r>
      <rPr>
        <sz val="10"/>
        <color rgb="FFFFD757"/>
        <rFont val="Arial"/>
        <family val="2"/>
      </rPr>
      <t xml:space="preserve">Mobile % Rev. estimation feasible at group level but likely to be very time-consuming. </t>
    </r>
    <r>
      <rPr>
        <sz val="10"/>
        <rFont val="Arial"/>
        <family val="2"/>
      </rPr>
      <t>Just 2010 &amp; 2011 avg.</t>
    </r>
    <r>
      <rPr>
        <sz val="10"/>
        <rFont val="Symbol"/>
        <family val="1"/>
        <charset val="2"/>
      </rPr>
      <t>®</t>
    </r>
  </si>
  <si>
    <r>
      <t xml:space="preserve">Estimates from various calculations on IR xls </t>
    </r>
    <r>
      <rPr>
        <sz val="10"/>
        <color rgb="FFFFD757"/>
        <rFont val="Arial"/>
        <family val="2"/>
      </rPr>
      <t>and interpolations from Bloomberg's value for 2009</t>
    </r>
  </si>
  <si>
    <r>
      <rPr>
        <sz val="10"/>
        <color theme="1"/>
        <rFont val="Symbol"/>
        <family val="1"/>
        <charset val="2"/>
      </rPr>
      <t>®</t>
    </r>
    <r>
      <rPr>
        <sz val="9"/>
        <color theme="1"/>
        <rFont val="Arial"/>
        <family val="2"/>
      </rPr>
      <t xml:space="preserve"> </t>
    </r>
    <r>
      <rPr>
        <sz val="10"/>
        <color theme="1"/>
        <rFont val="Arial"/>
        <family val="2"/>
      </rPr>
      <t>Mobistar and Sonaecom : small Mobile SPs struggling in their attempt to diversify their business through the provision of Fixed line services.</t>
    </r>
  </si>
  <si>
    <t>When they were pure Fixed players, valuation of Telenet and Iliad was closer to BT's : the gap suggests a premium given (at that time) to small Fixed SPs for their growth perspectives, at least in their core business.</t>
  </si>
  <si>
    <t>Negative slope on the Belgacom-Mobistar axis, the latter having been more "hammered" by the market.</t>
  </si>
  <si>
    <t>Portuguese axis would have probably been the same without Brazil for PT. So, unless you are Vodafone, with a streamlined international 'engine', the market now seems to apply a value discount for lack of truly converging products, or weak perspectives in this field (because of domestic hindering issues).</t>
  </si>
  <si>
    <t>The effect of this adjustment was a variable translation of % Mobile :</t>
  </si>
  <si>
    <t>In the present case : Belgacom's parameters, which are not estimated just for info, but also possibly to adjust Belgian Fixed-Mobile gearing and beta axis (out of values for the 3 domestic listed SPs).</t>
  </si>
  <si>
    <t>Overall, the picture is now quite unclear. However, we note the following :</t>
  </si>
  <si>
    <t>- The British slope keeps being largely positive. The premium for Vodafone's substantial international operations (in markets often exhibiting higher growth than in the UK) is unknown. Yet, domestic Mobile services may remain at least slightly better valued than Fixed lines services, in the UK.</t>
  </si>
  <si>
    <t>- For small Fixed SPs / new Mobile Entrants, EV/Ebitda have increased along with %Mobile. But to which extent these higher valuations is due to higher share of Mobile business rather than commercial and operational synergies for increasingly converging products ?</t>
  </si>
  <si>
    <t>- For small Mobile SPs, their story relative to their market's dominant integrated SPs is quite the opposite. Mobile business seems less valued than Fixed Lines services, but to which extent this is due to the fact that their core business, their Mobile customer base, is threatened by the lack of attractive Fixed/Mobile bundles ?</t>
  </si>
  <si>
    <t xml:space="preserve">x (Period) = </t>
  </si>
  <si>
    <t>Adj. % Mobile</t>
  </si>
  <si>
    <t>Within Telenet's (D/Ebitda, EV/Ebitda) pair, individual components may not be appropriate for the Belgian Fixed generic SP. But their combination does seem to make sense : see following graphical analysis.</t>
  </si>
  <si>
    <t xml:space="preserve">Considering average values for the 3 Belgian SPs, we obtain a surface bordered on top by a slightly slower slope than for the British Axis = Portuguese slope. Belgacom is clearly aside. Whatever the reasons for its conservative debt policy, BIPT may not consider its very low gearing as an appropriate basis for Belgian generic SPs' financial leverages. </t>
  </si>
  <si>
    <t>- Vertical arrows represent ranges inferred from the above D/Ebitda analysis.</t>
  </si>
  <si>
    <t>1H13 g*</t>
  </si>
  <si>
    <t>Our clusters are back (distinct credit risk aversions), with clear negative slopes, seemingly steeper for Swiss/Nordic and Continental SPs (Belgacom &amp; TPS aside) than in the UK.</t>
  </si>
  <si>
    <t>1/(1+distance)</t>
  </si>
  <si>
    <t>Telenet's gearing has broadly moved within the range implied by its stated target D/Ebitda : around 39%-50%. This is also the range we propose to keep for this SP.</t>
  </si>
  <si>
    <t>Mobistar's gearing has been stable around 20% until end 2011 before exhibiting a sharp rise unlikely to be intentional : around 45% by 2Q13. We propose to use this range for Mobistar's (illustrative) WACC.</t>
  </si>
  <si>
    <t>(Local currency) D* = D + PV OL</t>
  </si>
  <si>
    <t>D*</t>
  </si>
  <si>
    <t>Avg. D*</t>
  </si>
  <si>
    <r>
      <rPr>
        <b/>
        <sz val="10"/>
        <rFont val="Wingdings"/>
        <charset val="2"/>
      </rPr>
      <t>ä</t>
    </r>
    <r>
      <rPr>
        <b/>
        <sz val="10"/>
        <rFont val="Arial"/>
        <family val="2"/>
      </rPr>
      <t xml:space="preserve"> D*</t>
    </r>
  </si>
  <si>
    <r>
      <t>(</t>
    </r>
    <r>
      <rPr>
        <sz val="10"/>
        <rFont val="Wingdings"/>
        <charset val="2"/>
      </rPr>
      <t>ä</t>
    </r>
    <r>
      <rPr>
        <sz val="10"/>
        <rFont val="Arial"/>
        <family val="2"/>
      </rPr>
      <t xml:space="preserve"> for relative variation)</t>
    </r>
  </si>
  <si>
    <r>
      <rPr>
        <b/>
        <sz val="10"/>
        <rFont val="Wingdings"/>
        <charset val="2"/>
      </rPr>
      <t>ä</t>
    </r>
    <r>
      <rPr>
        <b/>
        <sz val="8"/>
        <rFont val="Arial"/>
        <family val="2"/>
      </rPr>
      <t xml:space="preserve"> </t>
    </r>
    <r>
      <rPr>
        <b/>
        <sz val="10"/>
        <rFont val="Arial"/>
        <family val="2"/>
      </rPr>
      <t>D*</t>
    </r>
  </si>
  <si>
    <t>All illustrative values except Fixed and Mobile central g*.</t>
  </si>
  <si>
    <t>Even though Telenet trades at very high multiples while being heavily indebted, we consider that its (compounded) gearing is a valid input because it is crossed by the central arrow from Mobile's and Belgacom's normative gearings and/or resulting slope appears reasonnable, between UK's and Continental Incumbents' (maybe close to Swisso-Nordic SPs').</t>
  </si>
  <si>
    <t>Avg :</t>
  </si>
  <si>
    <t>D/Ebitda  reduced by 0.13</t>
  </si>
  <si>
    <t>D/Ebitda around 1x</t>
  </si>
  <si>
    <t>Unchanged</t>
  </si>
  <si>
    <t>Peers : 49% 1H13, 42% avg.</t>
  </si>
  <si>
    <t>Moy. pondérée</t>
  </si>
  <si>
    <t>FIXE</t>
  </si>
  <si>
    <t>Avec LO</t>
  </si>
  <si>
    <t>Sans LO</t>
  </si>
  <si>
    <t>g*</t>
  </si>
  <si>
    <r>
      <rPr>
        <sz val="10"/>
        <rFont val="Symbol"/>
        <family val="1"/>
        <charset val="2"/>
      </rPr>
      <t>®</t>
    </r>
    <r>
      <rPr>
        <sz val="10"/>
        <rFont val="Arial"/>
        <family val="2"/>
      </rPr>
      <t xml:space="preserve"> Fixed</t>
    </r>
  </si>
  <si>
    <t>Slope</t>
  </si>
  <si>
    <r>
      <t xml:space="preserve">Central case = avg. (Min, Max) for Mobile &amp; Telenet. For Fixed : arrow's end, with Min/Max = central Fixed g* </t>
    </r>
    <r>
      <rPr>
        <sz val="10"/>
        <rFont val="Symbol"/>
        <family val="1"/>
        <charset val="2"/>
      </rPr>
      <t>±</t>
    </r>
    <r>
      <rPr>
        <sz val="10"/>
        <rFont val="Arial"/>
        <family val="2"/>
      </rPr>
      <t xml:space="preserve"> 5%.</t>
    </r>
  </si>
  <si>
    <r>
      <rPr>
        <sz val="10"/>
        <color theme="1" tint="0.499984740745262"/>
        <rFont val="Symbol"/>
        <family val="1"/>
        <charset val="2"/>
      </rPr>
      <t>®</t>
    </r>
    <r>
      <rPr>
        <sz val="10"/>
        <color theme="1" tint="0.499984740745262"/>
        <rFont val="Arial"/>
        <family val="2"/>
      </rPr>
      <t xml:space="preserve"> Fixed</t>
    </r>
  </si>
  <si>
    <t>GEARINGS</t>
  </si>
  <si>
    <r>
      <rPr>
        <b/>
        <sz val="10"/>
        <color theme="1"/>
        <rFont val="Arial"/>
        <family val="2"/>
      </rPr>
      <t>Belgacom</t>
    </r>
    <r>
      <rPr>
        <sz val="10"/>
        <color theme="1"/>
        <rFont val="Arial"/>
        <family val="2"/>
      </rPr>
      <t>'s EV/Ebitda has slightly decreased since 3Q12 but this is not spectacular, nor remarkable in light of EV/Ebitda evolutions for its comparators.</t>
    </r>
  </si>
  <si>
    <t xml:space="preserve">Same graph with quasi pure-players. </t>
  </si>
  <si>
    <t>No quarterly results for Iliad and Vodafone (for which calendar Q2 &amp; Q4 are simply averages of bordering quarters : in 2011, its EV/Ebitda may have fallen by 2Q11, not 1Q11).</t>
  </si>
  <si>
    <t>Same graph with comparators for Belgacom (cf. end of this sheet)</t>
  </si>
  <si>
    <t>RATINGS</t>
  </si>
  <si>
    <t>Definitions</t>
  </si>
  <si>
    <t>S&amp;P</t>
  </si>
  <si>
    <t>Prime. Maximum Safety</t>
  </si>
  <si>
    <t>High Grade High Quality</t>
  </si>
  <si>
    <t>Aa2</t>
  </si>
  <si>
    <t>Upper Medium Grade</t>
  </si>
  <si>
    <t>Lower Medium Grade</t>
  </si>
  <si>
    <t>Non Investment Grade</t>
  </si>
  <si>
    <t>Speculative</t>
  </si>
  <si>
    <t>Highly Speculative</t>
  </si>
  <si>
    <t>B2</t>
  </si>
  <si>
    <t>B3</t>
  </si>
  <si>
    <t>Substantial Risk</t>
  </si>
  <si>
    <t>In Poor Standing</t>
  </si>
  <si>
    <t>Extremely Speculative</t>
  </si>
  <si>
    <t>-</t>
  </si>
  <si>
    <t>May be in Default</t>
  </si>
  <si>
    <t xml:space="preserve">Moody's </t>
  </si>
  <si>
    <t>Equiv.</t>
  </si>
  <si>
    <t>Current Ratings</t>
  </si>
  <si>
    <t xml:space="preserve"> 0   0   0</t>
  </si>
  <si>
    <t xml:space="preserve"> 0 +1  0</t>
  </si>
  <si>
    <t>-2 +1 +1</t>
  </si>
  <si>
    <t xml:space="preserve"> 0   0 +1</t>
  </si>
  <si>
    <t xml:space="preserve"> 0  +1  -</t>
  </si>
  <si>
    <t xml:space="preserve"> 0   -   0</t>
  </si>
  <si>
    <t>+2 -1  -</t>
  </si>
  <si>
    <t xml:space="preserve"> 0   0   -</t>
  </si>
  <si>
    <t>=  =  -</t>
  </si>
  <si>
    <t xml:space="preserve">=  -  = </t>
  </si>
  <si>
    <r>
      <t>­</t>
    </r>
    <r>
      <rPr>
        <sz val="10"/>
        <rFont val="Arial"/>
        <family val="2"/>
      </rPr>
      <t xml:space="preserve">  = =</t>
    </r>
  </si>
  <si>
    <t>¯  ¯ ¯</t>
  </si>
  <si>
    <r>
      <rPr>
        <sz val="10"/>
        <rFont val="Symbol"/>
        <family val="1"/>
        <charset val="2"/>
      </rPr>
      <t>¯</t>
    </r>
    <r>
      <rPr>
        <sz val="10"/>
        <rFont val="Arial"/>
        <family val="2"/>
      </rPr>
      <t xml:space="preserve">  </t>
    </r>
    <r>
      <rPr>
        <sz val="10"/>
        <rFont val="Symbol"/>
        <family val="1"/>
        <charset val="2"/>
      </rPr>
      <t>¯ ¯</t>
    </r>
  </si>
  <si>
    <r>
      <t xml:space="preserve">=  </t>
    </r>
    <r>
      <rPr>
        <sz val="10"/>
        <rFont val="Symbol"/>
        <family val="1"/>
        <charset val="2"/>
      </rPr>
      <t xml:space="preserve">¯ </t>
    </r>
    <r>
      <rPr>
        <sz val="10"/>
        <rFont val="Arial"/>
        <family val="2"/>
      </rPr>
      <t>=</t>
    </r>
  </si>
  <si>
    <r>
      <t xml:space="preserve">=  </t>
    </r>
    <r>
      <rPr>
        <sz val="10"/>
        <rFont val="Symbol"/>
        <family val="1"/>
        <charset val="2"/>
      </rPr>
      <t>¯ ¯</t>
    </r>
  </si>
  <si>
    <t xml:space="preserve"> 0 +1   -</t>
  </si>
  <si>
    <r>
      <t xml:space="preserve">=  </t>
    </r>
    <r>
      <rPr>
        <sz val="10"/>
        <rFont val="Symbol"/>
        <family val="1"/>
        <charset val="2"/>
      </rPr>
      <t>¯</t>
    </r>
    <r>
      <rPr>
        <sz val="10"/>
        <rFont val="Arial"/>
        <family val="2"/>
      </rPr>
      <t xml:space="preserve"> -</t>
    </r>
  </si>
  <si>
    <t xml:space="preserve"> -   0   -</t>
  </si>
  <si>
    <r>
      <rPr>
        <b/>
        <sz val="10"/>
        <rFont val="Symbol"/>
        <family val="1"/>
        <charset val="2"/>
      </rPr>
      <t>D</t>
    </r>
    <r>
      <rPr>
        <b/>
        <sz val="9"/>
        <rFont val="Arial"/>
        <family val="2"/>
      </rPr>
      <t xml:space="preserve"> </t>
    </r>
  </si>
  <si>
    <t>WR</t>
  </si>
  <si>
    <t xml:space="preserve">Remarks : </t>
  </si>
  <si>
    <t>- For its composite bond indexes, Bloomberg uses a neutral terminology : e.g. AA1/AA/AA3 instead of AA+/AA/AA- in S&amp;P/Fitch's universe. We prefer to keep the latter the public is more familiar with.</t>
  </si>
  <si>
    <t>Not rated</t>
  </si>
  <si>
    <t>US</t>
  </si>
  <si>
    <t>TO WACC 1</t>
  </si>
  <si>
    <t>=   -  -</t>
  </si>
  <si>
    <t>We have determined D/Ebitda for the generic Mobile SP (1.5x) and 'normalized' Belgacom (2x on avg.), but not for Fixed Services. We need this estimate for its assumed credit rating next</t>
  </si>
  <si>
    <t>Arrow 2</t>
  </si>
  <si>
    <t>Arrow 1</t>
  </si>
  <si>
    <t>Italy Nov. 2011</t>
  </si>
  <si>
    <t>Belgacom's rating history by Moody's</t>
  </si>
  <si>
    <t>Telenet's rating history by Moody's</t>
  </si>
  <si>
    <t>ä</t>
  </si>
  <si>
    <t>Below : Speculative Grade</t>
  </si>
  <si>
    <t>(Pre-tax) Cost of Debt</t>
  </si>
  <si>
    <r>
      <t xml:space="preserve">- Cd with </t>
    </r>
    <r>
      <rPr>
        <b/>
        <sz val="10"/>
        <rFont val="Arial"/>
        <family val="2"/>
      </rPr>
      <t>yields in € for all SPs</t>
    </r>
    <r>
      <rPr>
        <sz val="10"/>
        <rFont val="Arial"/>
        <family val="2"/>
      </rPr>
      <t xml:space="preserve"> : appropriate Cd should slightly differ for SPs not based in the Eurozone.</t>
    </r>
  </si>
  <si>
    <t>The B1(CFR) continues to acknowledge (i) Telenet's solid market share in the overall Belgian digital TV and broadband markets as well as its market leading positions for these services in Flanders; (ii) the competitive advantages derived from its technologically advanced networks; and (iii) the growth potential of the company's mobile and B2B activities (...)</t>
  </si>
  <si>
    <t>Group Rating Methodology</t>
  </si>
  <si>
    <t>Minimal</t>
  </si>
  <si>
    <t>Modest</t>
  </si>
  <si>
    <t>1.5-2.0</t>
  </si>
  <si>
    <t>Intermediate</t>
  </si>
  <si>
    <t>Significant</t>
  </si>
  <si>
    <t>Aggressive</t>
  </si>
  <si>
    <t>Highly Leveraged</t>
  </si>
  <si>
    <t>&lt; 1.5</t>
  </si>
  <si>
    <t>2-3</t>
  </si>
  <si>
    <t>3-4</t>
  </si>
  <si>
    <t>4-5</t>
  </si>
  <si>
    <t>&gt; 5</t>
  </si>
  <si>
    <t xml:space="preserve">Rating upside is constrained by Telenet's high leverage and our expectations of substantial shareholder distributions in excess of FOCF generation. However, we could consider raising our rating on Telenet if the company's adjusted gross leverage declines to about 4.5x or less on a sustainable basis. </t>
  </si>
  <si>
    <t>CASH</t>
  </si>
  <si>
    <t>tD/Ebitda</t>
  </si>
  <si>
    <t>Avg. tD/Ea</t>
  </si>
  <si>
    <r>
      <rPr>
        <b/>
        <sz val="10"/>
        <rFont val="Wingdings"/>
        <charset val="2"/>
      </rPr>
      <t>ä</t>
    </r>
    <r>
      <rPr>
        <b/>
        <sz val="10"/>
        <rFont val="Arial"/>
        <family val="2"/>
      </rPr>
      <t xml:space="preserve"> tD/Ea</t>
    </r>
  </si>
  <si>
    <r>
      <rPr>
        <b/>
        <sz val="10"/>
        <rFont val="Symbol"/>
        <family val="1"/>
        <charset val="2"/>
      </rPr>
      <t>D</t>
    </r>
    <r>
      <rPr>
        <b/>
        <sz val="10"/>
        <rFont val="Arial"/>
        <family val="2"/>
      </rPr>
      <t xml:space="preserve"> Avg. D/Ea</t>
    </r>
  </si>
  <si>
    <t>tD*/Ebitda*</t>
  </si>
  <si>
    <t>Avg. tD*/Ea*</t>
  </si>
  <si>
    <r>
      <rPr>
        <b/>
        <sz val="10"/>
        <rFont val="Wingdings"/>
        <charset val="2"/>
      </rPr>
      <t>ä</t>
    </r>
    <r>
      <rPr>
        <b/>
        <sz val="10"/>
        <rFont val="Arial"/>
        <family val="2"/>
      </rPr>
      <t xml:space="preserve"> tD*/Ea*</t>
    </r>
  </si>
  <si>
    <t>1 notch downgrade in Nov. 2011 : from AA+ (AAA in local currrency) to AA, with a Negative outlook since Jan. 2012</t>
  </si>
  <si>
    <t>1 notch downgrade in January 2012 : from AA+ to AA, also with a Negative outlok.</t>
  </si>
  <si>
    <t>2 notches downgrade in Dec. 2011 : from Aa1 =AA+ to Aa3 = AA-, also with a Negative outlook</t>
  </si>
  <si>
    <r>
      <rPr>
        <b/>
        <sz val="10"/>
        <rFont val="Symbol"/>
        <family val="1"/>
        <charset val="2"/>
      </rPr>
      <t>D</t>
    </r>
    <r>
      <rPr>
        <b/>
        <sz val="10"/>
        <rFont val="Arial"/>
        <family val="2"/>
      </rPr>
      <t xml:space="preserve"> D/Ea</t>
    </r>
  </si>
  <si>
    <t xml:space="preserve">B+ for the period, with just an outlook downgrade in Jan. 2013 from Positive to Stable. </t>
  </si>
  <si>
    <t>Downgrade in April 2013 : from Ba3 = BB- to B1 = B+ / Stable.</t>
  </si>
  <si>
    <t xml:space="preserve">Downgrade end Oct. 2012 from A- to BBB+ (first downgrade by a credit rating agency in a decade), then oulook from Stable to Negative in Nov. 2013 </t>
  </si>
  <si>
    <t xml:space="preserve">Fitch 2014 Outlook : European Telecoms and Cable </t>
  </si>
  <si>
    <t xml:space="preserve">A firm commitment from both Telenet and Liberty Global that Telenet is committed to a 
more conservative leverage profile and distribution policy. This seems unlikely at present. 
</t>
  </si>
  <si>
    <t>=  =  =</t>
  </si>
  <si>
    <t>2 notches downgrade in August 2012 : from BB to B+ / Stable.</t>
  </si>
  <si>
    <t xml:space="preserve">Management target leverage remains net senior debt to EBITDA of 3.5x-4.5x. Finance leases add approximately 0.5x to these levels, implying a total net leverage of up to 5.0x. </t>
  </si>
  <si>
    <t xml:space="preserve">The proposed regulatory imposition of wholesale access to the cable network is presently not considered a significant near-term risk to the business. However, it is seen as an important precedent for the industry and likely to remain an unwelcome divergence of management attention. </t>
  </si>
  <si>
    <t>Downgrade in April 2013 : from A- to BBB+ / Stable.</t>
  </si>
  <si>
    <t>Govt support</t>
  </si>
  <si>
    <t>Role as GRE</t>
  </si>
  <si>
    <t>Govt link</t>
  </si>
  <si>
    <t>Limited</t>
  </si>
  <si>
    <t>Low</t>
  </si>
  <si>
    <t>Moderate</t>
  </si>
  <si>
    <t>Strong</t>
  </si>
  <si>
    <t>FT/ORA's rating history by Moody's</t>
  </si>
  <si>
    <t>Lowered from A3 = A- to Baa1 =  BBB+ / Negative in March 2013 (follwoing an outlook downgrade in Nov. 2012)</t>
  </si>
  <si>
    <t>Ebitda* = Ebitdar = Ebitda + Current OL</t>
  </si>
  <si>
    <t>FT/Orange</t>
  </si>
  <si>
    <t>(...) The expected deterioration in TPS's operating performance reflects (1) revenue declines in all segments with the exception of broadband; (2) MTR cuts imposed by the Polish NRA for 2013 (MTRs cut by 32% in Q1 2013 and then by a further 48% in July 2013); and (3) a fiercely competitive mobile market, in which the launch of unlimited flat-rate mobile offers will continue to affect TPS' revenues.</t>
  </si>
  <si>
    <t>(...) TPS has publicly committed to maintaining a maximum reported net debt/EBITDA ratio of 1.5x or below in the long term. Moody's will closely monitor (1) the extent to which the company might exceed this level in 2013; and (2) when it will return to a reported net debt/EBITDA ratio of below 1.5x as a result of its underlying cash flow generation and financial policies.</t>
  </si>
  <si>
    <t>(…) TPS' Baa1 rating reflects its leading position as an integrated incumbent operator in the Polish market, and Moody's expectation that the company will maintain its leadership within a tough regulatory environment and increasingly competitive market. The rating also reflects the company's (1) cost optimisation strategies and historically prudent financial policy; (2) conservative credit metrics to date; and (3) liquidity management, under FT's oversight.</t>
  </si>
  <si>
    <t>Lowered from BBB+ to BBB / Stable in Aug 2013 (following an outlook downgrade in Nov. 2012)</t>
  </si>
  <si>
    <r>
      <rPr>
        <sz val="10"/>
        <rFont val="Arial"/>
        <family val="2"/>
      </rPr>
      <t xml:space="preserve">= </t>
    </r>
    <r>
      <rPr>
        <sz val="10"/>
        <rFont val="Symbol"/>
        <family val="1"/>
        <charset val="2"/>
      </rPr>
      <t xml:space="preserve"> ¯</t>
    </r>
    <r>
      <rPr>
        <sz val="10"/>
        <rFont val="Arial"/>
        <family val="2"/>
      </rPr>
      <t xml:space="preserve"> -</t>
    </r>
  </si>
  <si>
    <t xml:space="preserve">For period averaged Debt ratios, strictly, extracted OL book values at given dates should be discounted with Cd rates based on prevailing (actual or theoretical) credit ratings rather than current ratings. </t>
  </si>
  <si>
    <t xml:space="preserve">Credit ratings do change over time, though upgrades/downgrades are only applied when serious circumstances with assumed lasting effects (at least for the next 18 months) justify such changes, not just temporary variations in financial ratios. In contrast, given "outlooks" may change more often, with smaller Cd impact. Yet, by definition, they may forecast a more or less short term rating change. </t>
  </si>
  <si>
    <t>For sovereign issuers, i.e. countries, it is more common to present their foreign currency ratings, even though a large portion of their debt is held by residents.</t>
  </si>
  <si>
    <t>There are then two types of ratings :</t>
  </si>
  <si>
    <t>2013 BIPT WACC 2/4</t>
  </si>
  <si>
    <r>
      <t xml:space="preserve">- </t>
    </r>
    <r>
      <rPr>
        <b/>
        <sz val="10"/>
        <rFont val="Arial"/>
        <family val="2"/>
      </rPr>
      <t xml:space="preserve">Belgium </t>
    </r>
    <r>
      <rPr>
        <sz val="10"/>
        <rFont val="Arial"/>
        <family val="2"/>
      </rPr>
      <t>since the government is Belgacom's main shareholder, also for illustration in WACC 1.</t>
    </r>
  </si>
  <si>
    <r>
      <t>Nevertheless, given current market uncertainties, Moody's does not expect Belgacom to make any transformational acquisitions and therefore considers it likely that the company will meet its published credit-metric guidance. However,</t>
    </r>
    <r>
      <rPr>
        <b/>
        <i/>
        <sz val="10"/>
        <color theme="1" tint="0.499984740745262"/>
        <rFont val="Arial"/>
        <family val="2"/>
      </rPr>
      <t xml:space="preserve"> Belgacom may make further use of its financial flexibility in the medium term, within the published limit of 2.0x-2.5x reported non-adjusted net debt/EBITDA.</t>
    </r>
  </si>
  <si>
    <t>1 notch downgrade 2 Dec 2011 : from A+ to A / Stable.</t>
  </si>
  <si>
    <t>SPs guidance</t>
  </si>
  <si>
    <t>3Q11 tD*/Ea*</t>
  </si>
  <si>
    <t>Same ratings if we had omitted OL.</t>
  </si>
  <si>
    <t>Foreign/local currency rating</t>
  </si>
  <si>
    <t>1 notch downgrade in January 2010 (following another one in Feb. 2009) : from Aa3 = AA- to A+ / Stable.</t>
  </si>
  <si>
    <t>LGI (Liberty Glb.)</t>
  </si>
  <si>
    <t>4Q12 tD*/Ea*</t>
  </si>
  <si>
    <t>Business challenges include growing exposure to premium content costs (mainly football rights), which in Fitch's analysis is adjusted at the EBITDA level (compared with Telenet's treatment as a capitalised cost), and margin and capex pressure driven by a mobile strategy which includes a subsidised smartphone offer, spectrum and infrastructure ownership.</t>
  </si>
  <si>
    <t>(...) The agency had previously expected leverage (including finance leases) to be managed up to around 4.0x and guided that a metric consistently trending in the 4.3x-4.5x range would pressure the ratings. Financial policy was identified as the single most significant threat to the ratings given the company's strong operational performance. Fitch's base case now envisages the metric trending in the high 4s through 2014 and potentially beyond, depending on future distributions.</t>
  </si>
  <si>
    <t>2Q13 D*/Ea*</t>
  </si>
  <si>
    <t>2Q12 D*/Ea* +1</t>
  </si>
  <si>
    <r>
      <rPr>
        <sz val="10"/>
        <color theme="1" tint="0.499984740745262"/>
        <rFont val="Arial"/>
        <family val="2"/>
      </rPr>
      <t>15 Dec. 2010 :</t>
    </r>
    <r>
      <rPr>
        <i/>
        <sz val="10"/>
        <color theme="1" tint="0.499984740745262"/>
        <rFont val="Arial"/>
        <family val="2"/>
      </rPr>
      <t xml:space="preserve"> We revised our outlook on the Kingdom of Belgium to negative from stable on Dec. 14, 2010. We continue to believe that the likelihood of timely and sufficient extraordinary government support for Belgacom - the majority state-owned telecoms incumbent in Belgium- is "moderate." In line with our criteria for rating </t>
    </r>
    <r>
      <rPr>
        <b/>
        <i/>
        <sz val="10"/>
        <color theme="1" tint="0.499984740745262"/>
        <rFont val="Arial"/>
        <family val="2"/>
      </rPr>
      <t>GREs</t>
    </r>
    <r>
      <rPr>
        <i/>
        <sz val="10"/>
        <color theme="1" tint="0.499984740745262"/>
        <rFont val="Arial"/>
        <family val="2"/>
      </rPr>
      <t>, we are revising the outlook on Belgacom to negative from stable. We are affirming the 'A+' rating.</t>
    </r>
    <r>
      <rPr>
        <b/>
        <i/>
        <sz val="10"/>
        <color theme="1" tint="0.499984740745262"/>
        <rFont val="Arial"/>
        <family val="2"/>
      </rPr>
      <t xml:space="preserve"> If we were to lower the sovereign rating by one notch, we would also lower the long-term rating on Belgacom by one notch.</t>
    </r>
  </si>
  <si>
    <r>
      <t xml:space="preserve">According to our criteria for rating GREs, we base our 'A' rating on Belgacom on the group's </t>
    </r>
    <r>
      <rPr>
        <b/>
        <i/>
        <sz val="10"/>
        <color theme="1" tint="0.499984740745262"/>
        <rFont val="Arial"/>
        <family val="2"/>
      </rPr>
      <t>SACP</t>
    </r>
    <r>
      <rPr>
        <i/>
        <sz val="10"/>
        <color theme="1" tint="0.499984740745262"/>
        <rFont val="Arial"/>
        <family val="2"/>
      </rPr>
      <t xml:space="preserve">, which we assess at 'a'. </t>
    </r>
    <r>
      <rPr>
        <b/>
        <i/>
        <sz val="10"/>
        <color theme="1" tint="0.499984740745262"/>
        <rFont val="Arial"/>
        <family val="2"/>
      </rPr>
      <t>The rating on the group is now in line with its SACP</t>
    </r>
    <r>
      <rPr>
        <i/>
        <sz val="10"/>
        <color theme="1" tint="0.499984740745262"/>
        <rFont val="Arial"/>
        <family val="2"/>
      </rPr>
      <t>. The rating also factors in our opinion that there is a "moderate" likelihood that the Belgian government would provide timely and sufficient extraordinary support to Belgacom, if it encountered periods of financial distress. This is based on our view of Belgacom's "limited" role for and "strong" link with the Belgian state.</t>
    </r>
  </si>
  <si>
    <r>
      <t xml:space="preserve">Belgacom's SACP is supported by its position as the leading integrated provider of telecoms services in Belgium. We view positively its full ownership of the country's market-leading mobile operator Proximus, the steady growth of its data and bundled products, and its strong free operating cash flow (FOCF) generation. Belgacom's credit quality also benefits from its </t>
    </r>
    <r>
      <rPr>
        <b/>
        <i/>
        <sz val="10"/>
        <color theme="1" tint="0.499984740745262"/>
        <rFont val="Arial"/>
        <family val="2"/>
      </rPr>
      <t>prudent financial policy</t>
    </r>
    <r>
      <rPr>
        <i/>
        <sz val="10"/>
        <color theme="1" tint="0.499984740745262"/>
        <rFont val="Arial"/>
        <family val="2"/>
      </rPr>
      <t xml:space="preserve">, illustrated by its leverage, which we view as moderate at </t>
    </r>
    <r>
      <rPr>
        <b/>
        <i/>
        <sz val="10"/>
        <color theme="1" tint="0.499984740745262"/>
        <rFont val="Arial"/>
        <family val="2"/>
      </rPr>
      <t>1.5x</t>
    </r>
    <r>
      <rPr>
        <i/>
        <sz val="10"/>
        <color theme="1" tint="0.499984740745262"/>
        <rFont val="Arial"/>
        <family val="2"/>
      </rPr>
      <t xml:space="preserve"> at the end of September 2011. </t>
    </r>
  </si>
  <si>
    <r>
      <rPr>
        <b/>
        <i/>
        <sz val="10"/>
        <color theme="1" tint="0.499984740745262"/>
        <rFont val="Arial"/>
        <family val="2"/>
      </rPr>
      <t>A move by Belgacom to a more aggressive financial policy</t>
    </r>
    <r>
      <rPr>
        <i/>
        <sz val="10"/>
        <color theme="1" tint="0.499984740745262"/>
        <rFont val="Arial"/>
        <family val="2"/>
      </rPr>
      <t xml:space="preserve">, a sustained weakening in the group's business risk profile, or a deterioration in the group's financial profile, as a result of a strongly unfavorable judgment relating to ongoing litigation, </t>
    </r>
    <r>
      <rPr>
        <b/>
        <i/>
        <sz val="10"/>
        <color theme="1" tint="0.499984740745262"/>
        <rFont val="Arial"/>
        <family val="2"/>
      </rPr>
      <t>could prompt us to lower our assessment of the SACP</t>
    </r>
    <r>
      <rPr>
        <i/>
        <sz val="10"/>
        <color theme="1" tint="0.499984740745262"/>
        <rFont val="Arial"/>
        <family val="2"/>
      </rPr>
      <t>.</t>
    </r>
  </si>
  <si>
    <r>
      <t xml:space="preserve">We are </t>
    </r>
    <r>
      <rPr>
        <b/>
        <i/>
        <sz val="10"/>
        <color theme="1" tint="0.499984740745262"/>
        <rFont val="Arial"/>
        <family val="2"/>
      </rPr>
      <t>unlikely to raise the SACP on Belgacom in the next couple of years</t>
    </r>
    <r>
      <rPr>
        <i/>
        <sz val="10"/>
        <color theme="1" tint="0.499984740745262"/>
        <rFont val="Arial"/>
        <family val="2"/>
      </rPr>
      <t>, given the strain we see on its business risk profile from competition and regulatory pressures.</t>
    </r>
  </si>
  <si>
    <r>
      <rPr>
        <sz val="10"/>
        <color theme="1" tint="0.499984740745262"/>
        <rFont val="Arial"/>
        <family val="2"/>
      </rPr>
      <t>10 Oct 2011 :</t>
    </r>
    <r>
      <rPr>
        <i/>
        <sz val="10"/>
        <color theme="1" tint="0.499984740745262"/>
        <rFont val="Arial"/>
        <family val="2"/>
      </rPr>
      <t xml:space="preserve"> Belgacom qualifies as a </t>
    </r>
    <r>
      <rPr>
        <b/>
        <i/>
        <sz val="10"/>
        <color theme="1" tint="0.499984740745262"/>
        <rFont val="Arial"/>
        <family val="2"/>
      </rPr>
      <t>GRI</t>
    </r>
    <r>
      <rPr>
        <i/>
        <sz val="10"/>
        <color theme="1" tint="0.499984740745262"/>
        <rFont val="Arial"/>
        <family val="2"/>
      </rPr>
      <t xml:space="preserve"> based on its 53.5% ownership by the government. As such, the rating reflects a combination of : </t>
    </r>
    <r>
      <rPr>
        <b/>
        <i/>
        <sz val="10"/>
        <color theme="1" tint="0.499984740745262"/>
        <rFont val="Arial"/>
        <family val="2"/>
      </rPr>
      <t xml:space="preserve">(i) </t>
    </r>
    <r>
      <rPr>
        <i/>
        <sz val="10"/>
        <color theme="1" tint="0.499984740745262"/>
        <rFont val="Arial"/>
        <family val="2"/>
      </rPr>
      <t xml:space="preserve">a </t>
    </r>
    <r>
      <rPr>
        <b/>
        <i/>
        <sz val="10"/>
        <color theme="1" tint="0.499984740745262"/>
        <rFont val="Arial"/>
        <family val="2"/>
      </rPr>
      <t xml:space="preserve">BCA </t>
    </r>
    <r>
      <rPr>
        <i/>
        <sz val="10"/>
        <color theme="1" tint="0.499984740745262"/>
        <rFont val="Arial"/>
        <family val="2"/>
      </rPr>
      <t xml:space="preserve">range of 5-7; </t>
    </r>
    <r>
      <rPr>
        <b/>
        <i/>
        <sz val="10"/>
        <color theme="1" tint="0.499984740745262"/>
        <rFont val="Arial"/>
        <family val="2"/>
      </rPr>
      <t>(ii)</t>
    </r>
    <r>
      <rPr>
        <i/>
        <sz val="10"/>
        <color theme="1" tint="0.499984740745262"/>
        <rFont val="Arial"/>
        <family val="2"/>
      </rPr>
      <t xml:space="preserve"> the Aa1 (rating on review for downgrade) of </t>
    </r>
    <r>
      <rPr>
        <b/>
        <i/>
        <sz val="10"/>
        <color theme="1" tint="0.499984740745262"/>
        <rFont val="Arial"/>
        <family val="2"/>
      </rPr>
      <t>Belgium</t>
    </r>
    <r>
      <rPr>
        <i/>
        <sz val="10"/>
        <color theme="1" tint="0.499984740745262"/>
        <rFont val="Arial"/>
        <family val="2"/>
      </rPr>
      <t xml:space="preserve">; </t>
    </r>
    <r>
      <rPr>
        <b/>
        <i/>
        <sz val="10"/>
        <color theme="1" tint="0.499984740745262"/>
        <rFont val="Arial"/>
        <family val="2"/>
      </rPr>
      <t>(iii)</t>
    </r>
    <r>
      <rPr>
        <i/>
        <sz val="10"/>
        <color theme="1" tint="0.499984740745262"/>
        <rFont val="Arial"/>
        <family val="2"/>
      </rPr>
      <t xml:space="preserve"> </t>
    </r>
    <r>
      <rPr>
        <b/>
        <i/>
        <sz val="10"/>
        <color theme="1" tint="0.499984740745262"/>
        <rFont val="Arial"/>
        <family val="2"/>
      </rPr>
      <t>moderate dependence</t>
    </r>
    <r>
      <rPr>
        <i/>
        <sz val="10"/>
        <color theme="1" tint="0.499984740745262"/>
        <rFont val="Arial"/>
        <family val="2"/>
      </rPr>
      <t xml:space="preserve">; and </t>
    </r>
    <r>
      <rPr>
        <b/>
        <i/>
        <sz val="10"/>
        <color theme="1" tint="0.499984740745262"/>
        <rFont val="Arial"/>
        <family val="2"/>
      </rPr>
      <t>(iv) strong support</t>
    </r>
    <r>
      <rPr>
        <i/>
        <sz val="10"/>
        <color theme="1" tint="0.499984740745262"/>
        <rFont val="Arial"/>
        <family val="2"/>
      </rPr>
      <t xml:space="preserve"> from the government.</t>
    </r>
  </si>
  <si>
    <r>
      <t xml:space="preserve">Belgacom's stable outlook reflects Moody's expectation that the company will sustain its financial ratios at current levels, with a retained cash flow (RCF)/debt ratio of between 25% and 30% and Debt/EBITDA </t>
    </r>
    <r>
      <rPr>
        <b/>
        <i/>
        <sz val="10"/>
        <color theme="1" tint="0.499984740745262"/>
        <rFont val="Arial"/>
        <family val="2"/>
      </rPr>
      <t>above 1.5x</t>
    </r>
    <r>
      <rPr>
        <i/>
        <sz val="10"/>
        <color theme="1" tint="0.499984740745262"/>
        <rFont val="Arial"/>
        <family val="2"/>
      </rPr>
      <t xml:space="preserve">. This expectation is based on Belgacom's balance between shareholder remuneration policies and strong cash flow generation capacity within a </t>
    </r>
    <r>
      <rPr>
        <b/>
        <i/>
        <sz val="10"/>
        <color theme="1" tint="0.499984740745262"/>
        <rFont val="Arial"/>
        <family val="2"/>
      </rPr>
      <t>prudent balance-sheet management strategy</t>
    </r>
    <r>
      <rPr>
        <i/>
        <sz val="10"/>
        <color theme="1" tint="0.499984740745262"/>
        <rFont val="Arial"/>
        <family val="2"/>
      </rPr>
      <t xml:space="preserve">. This approach </t>
    </r>
    <r>
      <rPr>
        <b/>
        <i/>
        <sz val="10"/>
        <color theme="1" tint="0.499984740745262"/>
        <rFont val="Arial"/>
        <family val="2"/>
      </rPr>
      <t>leaves some room</t>
    </r>
    <r>
      <rPr>
        <i/>
        <sz val="10"/>
        <color theme="1" tint="0.499984740745262"/>
        <rFont val="Arial"/>
        <family val="2"/>
      </rPr>
      <t xml:space="preserve"> for further increases in shareholder remuneration and/or additional debt-financed acquisitions.</t>
    </r>
  </si>
  <si>
    <r>
      <rPr>
        <b/>
        <i/>
        <sz val="10"/>
        <color theme="1" tint="0.499984740745262"/>
        <rFont val="Arial"/>
        <family val="2"/>
      </rPr>
      <t xml:space="preserve">Negative pressure </t>
    </r>
    <r>
      <rPr>
        <i/>
        <sz val="10"/>
        <color theme="1" tint="0.499984740745262"/>
        <rFont val="Arial"/>
        <family val="2"/>
      </rPr>
      <t xml:space="preserve">on Belgacom's rating would be likely to arise </t>
    </r>
    <r>
      <rPr>
        <b/>
        <i/>
        <sz val="10"/>
        <color theme="1" tint="0.499984740745262"/>
        <rFont val="Arial"/>
        <family val="2"/>
      </rPr>
      <t>if</t>
    </r>
    <r>
      <rPr>
        <i/>
        <sz val="10"/>
        <color theme="1" tint="0.499984740745262"/>
        <rFont val="Arial"/>
        <family val="2"/>
      </rPr>
      <t xml:space="preserve"> (i) the level of government support available to the company were to diminish; (ii) its RCF/debt ratio (before extraordinary dividends being deducted from RCF) were to further deteriorate to around 25%; </t>
    </r>
    <r>
      <rPr>
        <b/>
        <i/>
        <sz val="10"/>
        <color theme="1" tint="0.499984740745262"/>
        <rFont val="Arial"/>
        <family val="2"/>
      </rPr>
      <t>and/or</t>
    </r>
    <r>
      <rPr>
        <i/>
        <sz val="10"/>
        <color theme="1" tint="0.499984740745262"/>
        <rFont val="Arial"/>
        <family val="2"/>
      </rPr>
      <t xml:space="preserve"> </t>
    </r>
    <r>
      <rPr>
        <b/>
        <i/>
        <sz val="10"/>
        <color theme="1" tint="0.499984740745262"/>
        <rFont val="Arial"/>
        <family val="2"/>
      </rPr>
      <t>(iii)</t>
    </r>
    <r>
      <rPr>
        <i/>
        <sz val="10"/>
        <color theme="1" tint="0.499984740745262"/>
        <rFont val="Arial"/>
        <family val="2"/>
      </rPr>
      <t xml:space="preserve"> its debt/EBITDA ratio were to trend </t>
    </r>
    <r>
      <rPr>
        <b/>
        <i/>
        <sz val="10"/>
        <color theme="1" tint="0.499984740745262"/>
        <rFont val="Arial"/>
        <family val="2"/>
      </rPr>
      <t>higher than 2.0x</t>
    </r>
    <r>
      <rPr>
        <i/>
        <sz val="10"/>
        <color theme="1" tint="0.499984740745262"/>
        <rFont val="Arial"/>
        <family val="2"/>
      </rPr>
      <t>. In addition to the factors affecting Belgacom's BCA, the company's ratings could also be affected by changes to the ratings of the supporting government, or by changes in Moody's assessment of the level of default dependence and support described above.</t>
    </r>
  </si>
  <si>
    <r>
      <t xml:space="preserve">Last Credit Opinion, Dec. 2012 : </t>
    </r>
    <r>
      <rPr>
        <i/>
        <sz val="10"/>
        <color theme="1" tint="0.499984740745262"/>
        <rFont val="Arial"/>
        <family val="2"/>
      </rPr>
      <t xml:space="preserve">Belgacom's rating reflects the company's </t>
    </r>
    <r>
      <rPr>
        <b/>
        <i/>
        <sz val="10"/>
        <color theme="1" tint="0.499984740745262"/>
        <rFont val="Arial"/>
        <family val="2"/>
      </rPr>
      <t>conservative financial policy</t>
    </r>
    <r>
      <rPr>
        <i/>
        <sz val="10"/>
        <color theme="1" tint="0.499984740745262"/>
        <rFont val="Arial"/>
        <family val="2"/>
      </rPr>
      <t xml:space="preserve"> and strong operating cash flow, which is supported by its innovative broadband product offerings (including a very successful TV offering) and high-quality broadband network. In our view, Belgacom's robust cash flow generation...</t>
    </r>
    <r>
      <rPr>
        <sz val="10"/>
        <color theme="1" tint="0.499984740745262"/>
        <rFont val="Arial"/>
        <family val="2"/>
      </rPr>
      <t xml:space="preserve"> [Abstract cut - premium access.]</t>
    </r>
  </si>
  <si>
    <r>
      <rPr>
        <sz val="10"/>
        <color theme="1" tint="0.499984740745262"/>
        <rFont val="Arial"/>
        <family val="2"/>
      </rPr>
      <t>21 Jan. 2013 :</t>
    </r>
    <r>
      <rPr>
        <i/>
        <sz val="10"/>
        <color theme="1" tint="0.499984740745262"/>
        <rFont val="Arial"/>
        <family val="2"/>
      </rPr>
      <t xml:space="preserve"> As of Jan. 14, 2013, international cable operator </t>
    </r>
    <r>
      <rPr>
        <b/>
        <i/>
        <sz val="10"/>
        <color theme="1" tint="0.499984740745262"/>
        <rFont val="Arial"/>
        <family val="2"/>
      </rPr>
      <t>Liberty Global Inc. (LGI)</t>
    </r>
    <r>
      <rPr>
        <i/>
        <sz val="10"/>
        <color theme="1" tint="0.499984740745262"/>
        <rFont val="Arial"/>
        <family val="2"/>
      </rPr>
      <t xml:space="preserve">  has increased its ownership of Telenet to 58.4% from 50.1% of total issued shares. We now anticipate that </t>
    </r>
    <r>
      <rPr>
        <b/>
        <i/>
        <sz val="10"/>
        <color theme="1" tint="0.499984740745262"/>
        <rFont val="Arial"/>
        <family val="2"/>
      </rPr>
      <t>LGI</t>
    </r>
    <r>
      <rPr>
        <i/>
        <sz val="10"/>
        <color theme="1" tint="0.499984740745262"/>
        <rFont val="Arial"/>
        <family val="2"/>
      </rPr>
      <t xml:space="preserve"> will pursue a more aggressive financial policy at Telenet, including maintenance of higher debt leverage going forward (...) The stable outlook reflects our expectation that Telenet will report sustained revenue and EBITDA growth from increasing penetration of bundled products, and maintain Standard &amp; Poor's-adjusted gross debt leverage of more than </t>
    </r>
    <r>
      <rPr>
        <b/>
        <i/>
        <sz val="10"/>
        <color theme="1" tint="0.499984740745262"/>
        <rFont val="Arial"/>
        <family val="2"/>
      </rPr>
      <t>4.5x</t>
    </r>
    <r>
      <rPr>
        <i/>
        <sz val="10"/>
        <color theme="1" tint="0.499984740745262"/>
        <rFont val="Arial"/>
        <family val="2"/>
      </rPr>
      <t xml:space="preserve"> over the next 12-18 months.</t>
    </r>
  </si>
  <si>
    <r>
      <t xml:space="preserve">(…) We are revising our assessment of Telenet's financial risk profile to </t>
    </r>
    <r>
      <rPr>
        <b/>
        <i/>
        <sz val="10"/>
        <color theme="1" tint="0.499984740745262"/>
        <rFont val="Arial"/>
        <family val="2"/>
      </rPr>
      <t>"highly leveraged"</t>
    </r>
    <r>
      <rPr>
        <i/>
        <sz val="10"/>
        <color theme="1" tint="0.499984740745262"/>
        <rFont val="Arial"/>
        <family val="2"/>
      </rPr>
      <t xml:space="preserve"> from "aggressive" (…) </t>
    </r>
  </si>
  <si>
    <r>
      <t xml:space="preserve">That said, before considering a positive rating action, we will need to reassess LGI strategy and financial policy with regard to Telenet. Furthermore, the </t>
    </r>
    <r>
      <rPr>
        <b/>
        <i/>
        <sz val="10"/>
        <color theme="1" tint="0.499984740745262"/>
        <rFont val="Arial"/>
        <family val="2"/>
      </rPr>
      <t>small distinctions that we see between the credit quality of Telenet and LGI</t>
    </r>
    <r>
      <rPr>
        <i/>
        <sz val="10"/>
        <color theme="1" tint="0.499984740745262"/>
        <rFont val="Arial"/>
        <family val="2"/>
      </rPr>
      <t xml:space="preserve">, as well as LGI's control of Telenet's business strategy and financial policy would likely limit any potential future differential between the ratings on the two entities. </t>
    </r>
  </si>
  <si>
    <r>
      <t xml:space="preserve">We could </t>
    </r>
    <r>
      <rPr>
        <b/>
        <i/>
        <sz val="10"/>
        <color theme="1" tint="0.499984740745262"/>
        <rFont val="Arial"/>
        <family val="2"/>
      </rPr>
      <t>lower the rating if</t>
    </r>
    <r>
      <rPr>
        <i/>
        <sz val="10"/>
        <color theme="1" tint="0.499984740745262"/>
        <rFont val="Arial"/>
        <family val="2"/>
      </rPr>
      <t xml:space="preserve"> Telenet's ratio of adjusted debt to EBITDA were to increase to </t>
    </r>
    <r>
      <rPr>
        <b/>
        <i/>
        <sz val="10"/>
        <color theme="1" tint="0.499984740745262"/>
        <rFont val="Arial"/>
        <family val="2"/>
      </rPr>
      <t>more than 6</t>
    </r>
    <r>
      <rPr>
        <i/>
        <sz val="10"/>
        <color theme="1" tint="0.499984740745262"/>
        <rFont val="Arial"/>
        <family val="2"/>
      </rPr>
      <t xml:space="preserve">x, for example, as a result of an even more aggressive financial policy or operating underperformance. However, we view this scenario as </t>
    </r>
    <r>
      <rPr>
        <b/>
        <i/>
        <sz val="10"/>
        <color theme="1" tint="0.499984740745262"/>
        <rFont val="Arial"/>
        <family val="2"/>
      </rPr>
      <t>unlikely</t>
    </r>
    <r>
      <rPr>
        <i/>
        <sz val="10"/>
        <color theme="1" tint="0.499984740745262"/>
        <rFont val="Arial"/>
        <family val="2"/>
      </rPr>
      <t xml:space="preserve"> at this stage.</t>
    </r>
  </si>
  <si>
    <r>
      <rPr>
        <sz val="10"/>
        <color theme="1" tint="0.499984740745262"/>
        <rFont val="Arial"/>
        <family val="2"/>
      </rPr>
      <t xml:space="preserve">2 April 2013 : </t>
    </r>
    <r>
      <rPr>
        <i/>
        <sz val="10"/>
        <color theme="1" tint="0.499984740745262"/>
        <rFont val="Arial"/>
        <family val="2"/>
      </rPr>
      <t xml:space="preserve">The rating downgrade reflects the expected increase in gross leverage (to </t>
    </r>
    <r>
      <rPr>
        <b/>
        <i/>
        <sz val="10"/>
        <color theme="1" tint="0.499984740745262"/>
        <rFont val="Arial"/>
        <family val="2"/>
      </rPr>
      <t>5.2x</t>
    </r>
    <r>
      <rPr>
        <i/>
        <sz val="10"/>
        <color theme="1" tint="0.499984740745262"/>
        <rFont val="Arial"/>
        <family val="2"/>
      </rPr>
      <t xml:space="preserve">, as measured by Moody's, on a </t>
    </r>
    <r>
      <rPr>
        <b/>
        <i/>
        <sz val="10"/>
        <color theme="1" tint="0.499984740745262"/>
        <rFont val="Arial"/>
        <family val="2"/>
      </rPr>
      <t>2012</t>
    </r>
    <r>
      <rPr>
        <i/>
        <sz val="10"/>
        <color theme="1" tint="0.499984740745262"/>
        <rFont val="Arial"/>
        <family val="2"/>
      </rPr>
      <t xml:space="preserve"> pro forma basis) from the company's proposed shareholder return for 2013 of 950M€ (900M€ dividend and a share buy-back of up to 50M€). It also reflects Moody's expectation that over time Telenet's leverage will increase towards 5.5x or higher as the company's controlling shareholder </t>
    </r>
    <r>
      <rPr>
        <b/>
        <i/>
        <sz val="10"/>
        <color theme="1" tint="0.499984740745262"/>
        <rFont val="Arial"/>
        <family val="2"/>
      </rPr>
      <t>LGI</t>
    </r>
    <r>
      <rPr>
        <i/>
        <sz val="10"/>
        <color theme="1" tint="0.499984740745262"/>
        <rFont val="Arial"/>
        <family val="2"/>
      </rPr>
      <t xml:space="preserve"> implements an alignment of Telenet's leverage policy with that of LGI such that target leverage will be </t>
    </r>
    <r>
      <rPr>
        <b/>
        <i/>
        <sz val="10"/>
        <color theme="1" tint="0.499984740745262"/>
        <rFont val="Arial"/>
        <family val="2"/>
      </rPr>
      <t xml:space="preserve">4.0 to 5.0x net </t>
    </r>
    <r>
      <rPr>
        <i/>
        <sz val="10"/>
        <color theme="1" tint="0.499984740745262"/>
        <rFont val="Arial"/>
        <family val="2"/>
      </rPr>
      <t>total debt to annualized EBITDA (excluding financial leases) and possibly higher (...)</t>
    </r>
  </si>
  <si>
    <r>
      <rPr>
        <b/>
        <i/>
        <sz val="10"/>
        <color theme="1" tint="0.499984740745262"/>
        <rFont val="Arial"/>
        <family val="2"/>
      </rPr>
      <t>Upward rating pressure</t>
    </r>
    <r>
      <rPr>
        <i/>
        <sz val="10"/>
        <color theme="1" tint="0.499984740745262"/>
        <rFont val="Arial"/>
        <family val="2"/>
      </rPr>
      <t xml:space="preserve"> could develop</t>
    </r>
    <r>
      <rPr>
        <b/>
        <i/>
        <sz val="10"/>
        <color theme="1" tint="0.499984740745262"/>
        <rFont val="Arial"/>
        <family val="2"/>
      </rPr>
      <t xml:space="preserve"> if</t>
    </r>
    <r>
      <rPr>
        <i/>
        <sz val="10"/>
        <color theme="1" tint="0.499984740745262"/>
        <rFont val="Arial"/>
        <family val="2"/>
      </rPr>
      <t xml:space="preserve">, inter alia, the company demonstrates clear commitment to maintaining its gross debt to EBITDA ratio at or </t>
    </r>
    <r>
      <rPr>
        <b/>
        <i/>
        <sz val="10"/>
        <color theme="1" tint="0.499984740745262"/>
        <rFont val="Arial"/>
        <family val="2"/>
      </rPr>
      <t xml:space="preserve">below 5.0x </t>
    </r>
    <r>
      <rPr>
        <i/>
        <sz val="10"/>
        <color theme="1" tint="0.499984740745262"/>
        <rFont val="Arial"/>
        <family val="2"/>
      </rPr>
      <t xml:space="preserve">(as calculated by Moody's) </t>
    </r>
    <r>
      <rPr>
        <b/>
        <i/>
        <sz val="10"/>
        <color theme="1" tint="0.499984740745262"/>
        <rFont val="Arial"/>
        <family val="2"/>
      </rPr>
      <t xml:space="preserve">on a sustained basis </t>
    </r>
    <r>
      <rPr>
        <i/>
        <sz val="10"/>
        <color theme="1" tint="0.499984740745262"/>
        <rFont val="Arial"/>
        <family val="2"/>
      </rPr>
      <t>and shows improvement in its free cash flow generation (as defined by Moody's - post capex and dividends).</t>
    </r>
  </si>
  <si>
    <r>
      <t>(…) While Fitch considers management to exercise a high degree of autonomy and continues to</t>
    </r>
    <r>
      <rPr>
        <b/>
        <i/>
        <sz val="10"/>
        <color theme="1" tint="0.499984740745262"/>
        <rFont val="Arial"/>
        <family val="2"/>
      </rPr>
      <t xml:space="preserve"> rate Telenet on a standalone basis</t>
    </r>
    <r>
      <rPr>
        <i/>
        <sz val="10"/>
        <color theme="1" tint="0.499984740745262"/>
        <rFont val="Arial"/>
        <family val="2"/>
      </rPr>
      <t xml:space="preserve">, the agency considers </t>
    </r>
    <r>
      <rPr>
        <b/>
        <i/>
        <sz val="10"/>
        <color theme="1" tint="0.499984740745262"/>
        <rFont val="Arial"/>
        <family val="2"/>
      </rPr>
      <t>financial policy and leverage tolerance</t>
    </r>
    <r>
      <rPr>
        <i/>
        <sz val="10"/>
        <color theme="1" tint="0.499984740745262"/>
        <rFont val="Arial"/>
        <family val="2"/>
      </rPr>
      <t xml:space="preserve"> are </t>
    </r>
    <r>
      <rPr>
        <b/>
        <i/>
        <sz val="10"/>
        <color theme="1" tint="0.499984740745262"/>
        <rFont val="Arial"/>
        <family val="2"/>
      </rPr>
      <t>influenced by this ownership.</t>
    </r>
  </si>
  <si>
    <t>by Moody's or the mid-point 4.5x mentioned by S&amp;P's, modulo a possible small 0.2 underestimation as observed between 4Q12 Moody's gross leverage and our estimate.</t>
  </si>
  <si>
    <r>
      <t xml:space="preserve">OL </t>
    </r>
    <r>
      <rPr>
        <sz val="10"/>
        <color theme="0" tint="-0.499984740745262"/>
        <rFont val="Symbol"/>
        <family val="1"/>
        <charset val="2"/>
      </rPr>
      <t>»</t>
    </r>
    <r>
      <rPr>
        <sz val="9"/>
        <color theme="0" tint="-0.499984740745262"/>
        <rFont val="Arial"/>
        <family val="2"/>
      </rPr>
      <t xml:space="preserve"> </t>
    </r>
    <r>
      <rPr>
        <sz val="10"/>
        <color theme="0" tint="-0.499984740745262"/>
        <rFont val="Arial"/>
        <family val="2"/>
      </rPr>
      <t>0 for Telenet.</t>
    </r>
  </si>
  <si>
    <r>
      <t xml:space="preserve">Group </t>
    </r>
    <r>
      <rPr>
        <b/>
        <i/>
        <sz val="10"/>
        <color theme="1" tint="0.499984740745262"/>
        <rFont val="Arial"/>
        <family val="2"/>
      </rPr>
      <t>EBITDA in 2013 will likely drop more sharply than we had previously assumed</t>
    </r>
    <r>
      <rPr>
        <i/>
        <sz val="10"/>
        <color theme="1" tint="0.499984740745262"/>
        <rFont val="Arial"/>
        <family val="2"/>
      </rPr>
      <t>, and the restoration of stronger credit metrics by 2014 will consequently fall short of our previous expectations. The outlook is stable, reflecting our anticipation that EBITDA will stabilize by 2015, and that FT will maintain its strong business risk profile and deleverage by reducing absolute debt.</t>
    </r>
  </si>
  <si>
    <r>
      <t xml:space="preserve">2 Aug 2012 : </t>
    </r>
    <r>
      <rPr>
        <i/>
        <sz val="10"/>
        <color theme="1" tint="0.499984740745262"/>
        <rFont val="Arial"/>
        <family val="2"/>
      </rPr>
      <t xml:space="preserve">The change in rating outlook reflects Moody's view that FT's operating performance prospects might be affected by the increasingly competitive nature of the French mobile and fixed market segments, regulation and the increasing difficulty experienced by the company in executing operating cost cuts, despite the initiatives that management is implementing. </t>
    </r>
  </si>
  <si>
    <r>
      <t xml:space="preserve">1 Aug. 2013 : </t>
    </r>
    <r>
      <rPr>
        <i/>
        <sz val="10"/>
        <color theme="1" tint="0.499984740745262"/>
        <rFont val="Arial"/>
        <family val="2"/>
      </rPr>
      <t xml:space="preserve">TPS experienced a </t>
    </r>
    <r>
      <rPr>
        <b/>
        <i/>
        <sz val="10"/>
        <color theme="1" tint="0.499984740745262"/>
        <rFont val="Arial"/>
        <family val="2"/>
      </rPr>
      <t xml:space="preserve">significant drop in its EBITDA </t>
    </r>
    <r>
      <rPr>
        <i/>
        <sz val="10"/>
        <color theme="1" tint="0.499984740745262"/>
        <rFont val="Arial"/>
        <family val="2"/>
      </rPr>
      <t>and cash flows in the first half of 2013, which we expect to continue, albeit at a slower pace.</t>
    </r>
  </si>
  <si>
    <r>
      <t xml:space="preserve">TPS also faces significant cash outflows over the next 12 months, which, along with the weak performance, will lead to adjusted </t>
    </r>
    <r>
      <rPr>
        <b/>
        <sz val="10"/>
        <color theme="1" tint="0.499984740745262"/>
        <rFont val="Arial"/>
        <family val="2"/>
      </rPr>
      <t xml:space="preserve">leverage of about 2.0x </t>
    </r>
    <r>
      <rPr>
        <sz val="10"/>
        <color theme="1" tint="0.499984740745262"/>
        <rFont val="Arial"/>
        <family val="2"/>
      </rPr>
      <t>and negative discretionary cash flows [frequencies].</t>
    </r>
  </si>
  <si>
    <r>
      <t xml:space="preserve">The </t>
    </r>
    <r>
      <rPr>
        <b/>
        <sz val="10"/>
        <color theme="1" tint="0.499984740745262"/>
        <rFont val="Arial"/>
        <family val="2"/>
      </rPr>
      <t xml:space="preserve">stable outlook </t>
    </r>
    <r>
      <rPr>
        <sz val="10"/>
        <color theme="1" tint="0.499984740745262"/>
        <rFont val="Arial"/>
        <family val="2"/>
      </rPr>
      <t xml:space="preserve">reflects our view that TPS' balance sheet, notably its </t>
    </r>
    <r>
      <rPr>
        <b/>
        <sz val="10"/>
        <color theme="1" tint="0.499984740745262"/>
        <rFont val="Arial"/>
        <family val="2"/>
      </rPr>
      <t>relatively low indebtedness</t>
    </r>
    <r>
      <rPr>
        <sz val="10"/>
        <color theme="1" tint="0.499984740745262"/>
        <rFont val="Arial"/>
        <family val="2"/>
      </rPr>
      <t>, will limit the impact of additional operating difficulties.</t>
    </r>
  </si>
  <si>
    <r>
      <t xml:space="preserve">2 Aug. 2012 : </t>
    </r>
    <r>
      <rPr>
        <i/>
        <sz val="10"/>
        <color theme="1" tint="0.499984740745262"/>
        <rFont val="Arial"/>
        <family val="2"/>
      </rPr>
      <t>Concurrently</t>
    </r>
    <r>
      <rPr>
        <sz val="10"/>
        <color theme="1" tint="0.499984740745262"/>
        <rFont val="Arial"/>
        <family val="2"/>
      </rPr>
      <t xml:space="preserve"> [to above Moody's downgrade of FT's outlook]</t>
    </r>
    <r>
      <rPr>
        <i/>
        <sz val="10"/>
        <color theme="1" tint="0.499984740745262"/>
        <rFont val="Arial"/>
        <family val="2"/>
      </rPr>
      <t>, the rating outlook on FT's 50.7% owned and controlled Polish subsidiary, TPS (A3 Stable), is unaffected because of the underlying credit strength of the Polish subsidiary on a stand-alone basis.</t>
    </r>
  </si>
  <si>
    <r>
      <t xml:space="preserve">But 3 months later : </t>
    </r>
    <r>
      <rPr>
        <i/>
        <sz val="10"/>
        <color theme="1" tint="0.499984740745262"/>
        <rFont val="Arial"/>
        <family val="2"/>
      </rPr>
      <t>Moody's changes the outlook on TPS' A3 ratings to Negative. The outlook change reflects Moody's view that TPS will face an increasingly challenging operating environment, mainly due to the fiercely competitive nature of the Polish mobile and fixed market segments, and tough regulation.</t>
    </r>
  </si>
  <si>
    <r>
      <t xml:space="preserve">4 March 2013 : </t>
    </r>
    <r>
      <rPr>
        <i/>
        <sz val="10"/>
        <color theme="1" tint="0.499984740745262"/>
        <rFont val="Arial"/>
        <family val="2"/>
      </rPr>
      <t>We have downgraded TPS' ratings to Baa1 due to the uncertainty surrounding its ability to sustain historically strong financial metrics in the face of increasing competitive and regulatory pressures (…) TPS' recent full-year performance suggests that a more challenging operating environment is developing in Poland, in which the company suffered a fall in revenues of approximately 4.1% and a decline in reported EBITDA of around 8.9% in 2012 compared with 2011.</t>
    </r>
  </si>
  <si>
    <r>
      <t xml:space="preserve">An (unlikely) </t>
    </r>
    <r>
      <rPr>
        <b/>
        <i/>
        <sz val="10"/>
        <color theme="1" tint="0.499984740745262"/>
        <rFont val="Arial"/>
        <family val="2"/>
      </rPr>
      <t>rating upgrade</t>
    </r>
    <r>
      <rPr>
        <i/>
        <sz val="10"/>
        <color theme="1" tint="0.499984740745262"/>
        <rFont val="Arial"/>
        <family val="2"/>
      </rPr>
      <t xml:space="preserve"> could occur </t>
    </r>
    <r>
      <rPr>
        <b/>
        <i/>
        <sz val="10"/>
        <color theme="1" tint="0.499984740745262"/>
        <rFont val="Arial"/>
        <family val="2"/>
      </rPr>
      <t>if</t>
    </r>
    <r>
      <rPr>
        <i/>
        <sz val="10"/>
        <color theme="1" tint="0.499984740745262"/>
        <rFont val="Arial"/>
        <family val="2"/>
      </rPr>
      <t xml:space="preserve"> the operating environment were to improve substantially and the company could sustain improved financial ratios including adjusted </t>
    </r>
    <r>
      <rPr>
        <b/>
        <i/>
        <sz val="10"/>
        <color theme="1" tint="0.499984740745262"/>
        <rFont val="Arial"/>
        <family val="2"/>
      </rPr>
      <t>gross debt/EBITDA around 1.5x</t>
    </r>
    <r>
      <rPr>
        <i/>
        <sz val="10"/>
        <color theme="1" tint="0.499984740745262"/>
        <rFont val="Arial"/>
        <family val="2"/>
      </rPr>
      <t>. In addition, Moody's would require TPS to demonstrate significant deleveraging capacity by sustainably generating stronger positive free cash flow from both its fixed-line and wireless operations on the back of more supportive industry conditions.</t>
    </r>
  </si>
  <si>
    <r>
      <t xml:space="preserve">The </t>
    </r>
    <r>
      <rPr>
        <b/>
        <i/>
        <sz val="10"/>
        <color theme="1" tint="0.499984740745262"/>
        <rFont val="Arial"/>
        <family val="2"/>
      </rPr>
      <t>French state owns about 27%</t>
    </r>
    <r>
      <rPr>
        <i/>
        <sz val="10"/>
        <color theme="1" tint="0.499984740745262"/>
        <rFont val="Arial"/>
        <family val="2"/>
      </rPr>
      <t xml:space="preserve"> of FT's share capital and voting rights. Consequently, we consider FT to be a </t>
    </r>
    <r>
      <rPr>
        <b/>
        <i/>
        <sz val="10"/>
        <color theme="1" tint="0.499984740745262"/>
        <rFont val="Arial"/>
        <family val="2"/>
      </rPr>
      <t>GRE</t>
    </r>
    <r>
      <rPr>
        <i/>
        <sz val="10"/>
        <color theme="1" tint="0.499984740745262"/>
        <rFont val="Arial"/>
        <family val="2"/>
      </rPr>
      <t>. In line with our criteria on GREs, we assess the likelihood of timely and sufficient extraordinary government support for FT, if needed, as "low." We base this assessment on our view that FT's role as a GRE is of "limited importance" for the French state and that the link between FT and the government is "limited."</t>
    </r>
  </si>
  <si>
    <t>1Q13 tD*/Ea*</t>
  </si>
  <si>
    <t>GRE</t>
  </si>
  <si>
    <t>High</t>
  </si>
  <si>
    <r>
      <t xml:space="preserve">22 April 2013, credit rating downgrade on diminishing deleveraging prospects : </t>
    </r>
    <r>
      <rPr>
        <i/>
        <sz val="10"/>
        <color theme="1" tint="0.499984740745262"/>
        <rFont val="Arial"/>
        <family val="2"/>
      </rPr>
      <t>We think competitive and price pressures in FT's domestic mobile market will remain stiff in the next two years.</t>
    </r>
  </si>
  <si>
    <r>
      <t xml:space="preserve">The usual approach to composite rating consists in estimating the average rating between the 3 agencies (at least S&amp;P's &amp; Moody's), then </t>
    </r>
    <r>
      <rPr>
        <b/>
        <sz val="10"/>
        <rFont val="Arial"/>
        <family val="2"/>
      </rPr>
      <t>conservatively applying the lowest rating if the average stands between notches.</t>
    </r>
  </si>
  <si>
    <t>30 Oct 2012, credit rating downgrade on concern that Orange will struggle to raise prices and boost profitability amid competition at home from "discounter" Iliad : impact on financial flexibility and leverage.</t>
  </si>
  <si>
    <r>
      <t xml:space="preserve">In the absence of corrective measures, deteriorating cash flow as a result of competitive and regulatory pressures could impair FT's ability to sustain adjusted financial ratios such as adjusted </t>
    </r>
    <r>
      <rPr>
        <b/>
        <i/>
        <sz val="10"/>
        <color theme="1" tint="0.499984740745262"/>
        <rFont val="Arial"/>
        <family val="2"/>
      </rPr>
      <t>net debt/EBITDA ratio below 2.5x</t>
    </r>
    <r>
      <rPr>
        <i/>
        <sz val="10"/>
        <color theme="1" tint="0.499984740745262"/>
        <rFont val="Arial"/>
        <family val="2"/>
      </rPr>
      <t xml:space="preserve"> and adjusted retained cash flow/net debt ratio above 20%, in line with the current A3 rating level.</t>
    </r>
  </si>
  <si>
    <r>
      <rPr>
        <sz val="10"/>
        <rFont val="Symbol"/>
        <family val="1"/>
        <charset val="2"/>
      </rPr>
      <t>¬</t>
    </r>
    <r>
      <rPr>
        <sz val="9"/>
        <rFont val="Arial"/>
        <family val="2"/>
      </rPr>
      <t xml:space="preserve"> </t>
    </r>
    <r>
      <rPr>
        <sz val="10"/>
        <rFont val="Arial"/>
        <family val="2"/>
      </rPr>
      <t>?</t>
    </r>
  </si>
  <si>
    <r>
      <rPr>
        <b/>
        <i/>
        <sz val="10"/>
        <color theme="1" tint="0.499984740745262"/>
        <rFont val="Arial"/>
        <family val="2"/>
      </rPr>
      <t>Although the Baa1 rating does not factor in explicit support from FT (A3 negative), Moody's views positively the fact that the company is controlled and closely supervised by its parent</t>
    </r>
    <r>
      <rPr>
        <i/>
        <sz val="10"/>
        <color theme="1" tint="0.499984740745262"/>
        <rFont val="Arial"/>
        <family val="2"/>
      </rPr>
      <t xml:space="preserve">, which (1) controls the supervisory board of TPS (with seven out of 13 of the members nominated by FT); and (2) fully consolidates TPS into its own reported results. </t>
    </r>
    <r>
      <rPr>
        <b/>
        <i/>
        <sz val="10"/>
        <color theme="1" tint="0.499984740745262"/>
        <rFont val="Arial"/>
        <family val="2"/>
      </rPr>
      <t>More importantly, the rating also takes into consideration TPS' recently announced agreement with FT by which TPS will have access to funding provided by FT with the intention to secure TPS' financing needs.</t>
    </r>
  </si>
  <si>
    <r>
      <t xml:space="preserve">TPS also benefits from (1) the strength of FT's owned Orange brand; (2) its procurement agreements with FT and sharing of research and development (R&amp;D) expenses with the company; and (3) the perceived strong implicit support from FT. </t>
    </r>
    <r>
      <rPr>
        <b/>
        <i/>
        <sz val="10"/>
        <color theme="1" tint="0.499984740745262"/>
        <rFont val="Arial"/>
        <family val="2"/>
      </rPr>
      <t>Whilst TPS rating is predominantly based on a standalone assessment</t>
    </r>
    <r>
      <rPr>
        <i/>
        <sz val="10"/>
        <color theme="1" tint="0.499984740745262"/>
        <rFont val="Arial"/>
        <family val="2"/>
      </rPr>
      <t xml:space="preserve">, </t>
    </r>
    <r>
      <rPr>
        <b/>
        <i/>
        <sz val="10"/>
        <color theme="1" tint="0.499984740745262"/>
        <rFont val="Arial"/>
        <family val="2"/>
      </rPr>
      <t>Moody's nevertheless regards the company's credit profile as having a degree of correlation with that of FT.</t>
    </r>
  </si>
  <si>
    <r>
      <rPr>
        <b/>
        <i/>
        <sz val="10"/>
        <color theme="1" tint="0.499984740745262"/>
        <rFont val="Arial"/>
        <family val="2"/>
      </rPr>
      <t>A further rating downgrade</t>
    </r>
    <r>
      <rPr>
        <i/>
        <sz val="10"/>
        <color theme="1" tint="0.499984740745262"/>
        <rFont val="Arial"/>
        <family val="2"/>
      </rPr>
      <t xml:space="preserve"> could result </t>
    </r>
    <r>
      <rPr>
        <b/>
        <i/>
        <sz val="10"/>
        <color theme="1" tint="0.499984740745262"/>
        <rFont val="Arial"/>
        <family val="2"/>
      </rPr>
      <t>if</t>
    </r>
    <r>
      <rPr>
        <i/>
        <sz val="10"/>
        <color theme="1" tint="0.499984740745262"/>
        <rFont val="Arial"/>
        <family val="2"/>
      </rPr>
      <t xml:space="preserve"> there was an accelerated decline in TPS operational performance resulting in a significant deterioration in its credit metrics. An example of such a deterioration would be adjusted retained cash flow (RCF)/debt sustainably below 30% and adjusted </t>
    </r>
    <r>
      <rPr>
        <b/>
        <i/>
        <sz val="10"/>
        <color theme="1" tint="0.499984740745262"/>
        <rFont val="Arial"/>
        <family val="2"/>
      </rPr>
      <t xml:space="preserve">debt/EBITDA trending towards 2.5x. </t>
    </r>
    <r>
      <rPr>
        <i/>
        <sz val="10"/>
        <color theme="1" tint="0.499984740745262"/>
        <rFont val="Arial"/>
        <family val="2"/>
      </rPr>
      <t xml:space="preserve">As stated above, </t>
    </r>
    <r>
      <rPr>
        <b/>
        <i/>
        <sz val="10"/>
        <color theme="1" tint="0.499984740745262"/>
        <rFont val="Arial"/>
        <family val="2"/>
      </rPr>
      <t>any significant deviation from the publicly stated operating and financial committed guidelines</t>
    </r>
    <r>
      <rPr>
        <i/>
        <sz val="10"/>
        <color theme="1" tint="0.499984740745262"/>
        <rFont val="Arial"/>
        <family val="2"/>
      </rPr>
      <t xml:space="preserve"> (including management's reported net debt/EBITDA below 1.5x target ratio) would also exert pressure on the rating.</t>
    </r>
  </si>
  <si>
    <r>
      <rPr>
        <b/>
        <sz val="10"/>
        <rFont val="Arial"/>
        <family val="2"/>
      </rPr>
      <t xml:space="preserve">OL impact </t>
    </r>
    <r>
      <rPr>
        <sz val="10"/>
        <rFont val="Arial"/>
        <family val="2"/>
      </rPr>
      <t>: Mobistar the European SP most relying on OL (= 2/3 g excl. OL), Belgacom median (13%), Telenet the least (0%).</t>
    </r>
  </si>
  <si>
    <t xml:space="preserve">Mobistar </t>
  </si>
  <si>
    <t>Stakeholder's Summary Note</t>
  </si>
  <si>
    <t>Stakeholder's Note</t>
  </si>
  <si>
    <t>Excl. OL (for illustration) :</t>
  </si>
  <si>
    <t>Incl. OL</t>
  </si>
  <si>
    <t>Excl. OL :</t>
  </si>
  <si>
    <t>an estimated -20% slope from Mobile, crossing both Telenet's mid-range (from management's target D/Ebitda) and Belgacom's normative central estimate.</t>
  </si>
  <si>
    <t>Omitting OL</t>
  </si>
  <si>
    <r>
      <t xml:space="preserve">Net Debt (D) instead of gross debt (tD) in regulators' WACC. Off-balance sheet commitments : below ratios take </t>
    </r>
    <r>
      <rPr>
        <b/>
        <sz val="10"/>
        <rFont val="Arial"/>
        <family val="2"/>
      </rPr>
      <t xml:space="preserve">Operating Leases (OL) </t>
    </r>
    <r>
      <rPr>
        <sz val="10"/>
        <rFont val="Arial"/>
        <family val="2"/>
      </rPr>
      <t>into account. Market vs. Book values. Target gearing's horizon, recent vs. avg. values.</t>
    </r>
  </si>
  <si>
    <t>Cleaner presentation of extracted data from Bloomberg.</t>
  </si>
  <si>
    <t>Check if there is a similar deal for Mobistar</t>
  </si>
  <si>
    <r>
      <t>Summary May 2013 :</t>
    </r>
    <r>
      <rPr>
        <i/>
        <sz val="10"/>
        <color theme="1" tint="0.499984740745262"/>
        <rFont val="Arial"/>
        <family val="2"/>
      </rPr>
      <t xml:space="preserve"> </t>
    </r>
    <r>
      <rPr>
        <b/>
        <i/>
        <sz val="10"/>
        <color theme="1" tint="0.499984740745262"/>
        <rFont val="Arial"/>
        <family val="2"/>
      </rPr>
      <t>Our rating on TPS is capped by that on its controlling shareholder</t>
    </r>
    <r>
      <rPr>
        <i/>
        <sz val="10"/>
        <color theme="1" tint="0.499984740745262"/>
        <rFont val="Arial"/>
        <family val="2"/>
      </rPr>
      <t xml:space="preserve">, FT. This is due to </t>
    </r>
    <r>
      <rPr>
        <b/>
        <i/>
        <sz val="10"/>
        <color theme="1" tint="0.499984740745262"/>
        <rFont val="Arial"/>
        <family val="2"/>
      </rPr>
      <t xml:space="preserve">our view that FT exercises considerable control of TPS business strategy and financial … </t>
    </r>
    <r>
      <rPr>
        <sz val="10"/>
        <color theme="1" tint="0.499984740745262"/>
        <rFont val="Arial"/>
        <family val="2"/>
      </rPr>
      <t xml:space="preserve"> [Abstract cut - premium access.]</t>
    </r>
  </si>
  <si>
    <t>- S&amp;P's assertion that TPS' rating may not be better than on FT</t>
  </si>
  <si>
    <t>Building specifc Cd matrices by rating &amp; maturity just for them would not be reasonable for the purpose of this determination - if feasible : Bloomberg should provide composite British Industrial yields by rating class in pound sterling, but it is quite unlikely to propose equivalents yields for SWE, DK, NO &amp; CH smaller financial markets.</t>
  </si>
  <si>
    <t>[Belgacom and Telenet may provide aditional documents requiring premium access : recent S&amp;P's Summary note, Moody's Credit opinions, related industry analyses, etc.]</t>
  </si>
  <si>
    <t>Ratings &amp; Ratios (pdf)</t>
  </si>
  <si>
    <t>Country risk</t>
  </si>
  <si>
    <t>Industry risk</t>
  </si>
  <si>
    <t>Business risk</t>
  </si>
  <si>
    <t>FFO/tD</t>
  </si>
  <si>
    <t>tD/Ea</t>
  </si>
  <si>
    <t>&gt; 60%</t>
  </si>
  <si>
    <t>45-60%</t>
  </si>
  <si>
    <t>30-45%</t>
  </si>
  <si>
    <t>20-30%</t>
  </si>
  <si>
    <t>12-20%</t>
  </si>
  <si>
    <t>&lt; 12%</t>
  </si>
  <si>
    <t>&lt; 25%</t>
  </si>
  <si>
    <t>25-35%</t>
  </si>
  <si>
    <t>35-45%</t>
  </si>
  <si>
    <t>45-50%</t>
  </si>
  <si>
    <t>50-60%</t>
  </si>
  <si>
    <t>- Local-currency ratings for non-sovereign issuers are an opinion of an entity's ability and willingness to meet all of its financial obligations on a timely basis, regardless of the currency in which those obligations are denominated and absent transfer and convertibility restrictions.</t>
  </si>
  <si>
    <t xml:space="preserve">So, for firms' WACC estimation, LT local-currency ratings are the most appropriate ratings (as Damodaran also reminds). </t>
  </si>
  <si>
    <t>Financial governance and policies/risk tolerance</t>
  </si>
  <si>
    <t>Cash flow adequacy</t>
  </si>
  <si>
    <t>Capital structure/asset protection</t>
  </si>
  <si>
    <t>Liquidity/short-term factors</t>
  </si>
  <si>
    <t>Degree of capital intensity, flexibility regarding Capex and other cash needs, incl. acquisitions and shareholder distribution</t>
  </si>
  <si>
    <t>See also :</t>
  </si>
  <si>
    <t>Recurrent operating or capital subsidies</t>
  </si>
  <si>
    <t>Price ceilings</t>
  </si>
  <si>
    <t>Access to preferential funding</t>
  </si>
  <si>
    <t>Risky project mandates</t>
  </si>
  <si>
    <t>Availability of centralized group liquidity resources</t>
  </si>
  <si>
    <t>Directives to provide loss-making goods and services</t>
  </si>
  <si>
    <t>Conferring monopoly powers</t>
  </si>
  <si>
    <t>Double leverage, high shareholder-distribution policies</t>
  </si>
  <si>
    <t>Favorable government contracts</t>
  </si>
  <si>
    <t>Aggressive financial expectations from owners</t>
  </si>
  <si>
    <t>Supportive regulation</t>
  </si>
  <si>
    <t>Unfavorable regulatory, tax, or legal regime</t>
  </si>
  <si>
    <t>Dividend policies, equity issuance flexibility or restriction</t>
  </si>
  <si>
    <t>Applicable tax regime</t>
  </si>
  <si>
    <t>Existing guarantees or lines of credit</t>
  </si>
  <si>
    <t>Use of a group brand</t>
  </si>
  <si>
    <t>Provision of services (property, investment, payroll, shares sales force, etc.)</t>
  </si>
  <si>
    <t>Committed capital or liquidity injection</t>
  </si>
  <si>
    <t>Support of financial system</t>
  </si>
  <si>
    <t>Special taxes</t>
  </si>
  <si>
    <t>Special shareholder distributions</t>
  </si>
  <si>
    <t>Recapitalizations with common equity or hybrid instruments</t>
  </si>
  <si>
    <t>One-off transfers of risk from an issuer to a governmental entity, its parent or an affiliate to alleviate future stress</t>
  </si>
  <si>
    <t>Targeted increase in some form of ongoing support to a specific entity beyond promised or planned levels</t>
  </si>
  <si>
    <t xml:space="preserve">The SACP Includes Ongoing Interaction/Influence… </t>
  </si>
  <si>
    <t>Examples of positive influence on SACP :</t>
  </si>
  <si>
    <t>Examples of negative influence on SACP :</t>
  </si>
  <si>
    <t>Examples of potential extraordinary support :</t>
  </si>
  <si>
    <t>Examples of potential extraordinary interference :</t>
  </si>
  <si>
    <t>Discrete liquidity support that govts, parents, or affiliates provide to specific entities</t>
  </si>
  <si>
    <t>Loans from the parent or govt, or through affiliates or govt-owned banks</t>
  </si>
  <si>
    <t>Arrangement of a solvency rescue package directly from the govt or through other market participants</t>
  </si>
  <si>
    <t>Asset- or cash-stripping the issuer at the behest of the group or govt to service other obligations of the group or govt</t>
  </si>
  <si>
    <t>Profitability / Peer</t>
  </si>
  <si>
    <t>Accounting and disclosure practices</t>
  </si>
  <si>
    <t>Role-link matrix for assessing the likelihood of extraordinary government support :</t>
  </si>
  <si>
    <t>vs. govt rating</t>
  </si>
  <si>
    <t>(columns : likelihood of support).</t>
  </si>
  <si>
    <r>
      <rPr>
        <b/>
        <i/>
        <sz val="10"/>
        <rFont val="Arial"/>
        <family val="2"/>
      </rPr>
      <t>Financial Risk</t>
    </r>
    <r>
      <rPr>
        <i/>
        <sz val="10"/>
        <rFont val="Arial"/>
        <family val="2"/>
      </rPr>
      <t xml:space="preserve"> Indicative Ratios (Corporates)</t>
    </r>
  </si>
  <si>
    <r>
      <t xml:space="preserve">Rating </t>
    </r>
    <r>
      <rPr>
        <b/>
        <u/>
        <sz val="10"/>
        <rFont val="Arial"/>
        <family val="2"/>
      </rPr>
      <t>GREs:</t>
    </r>
    <r>
      <rPr>
        <u/>
        <sz val="10"/>
        <rFont val="Arial"/>
        <family val="2"/>
      </rPr>
      <t xml:space="preserve"> Methodology And Assumptions</t>
    </r>
  </si>
  <si>
    <r>
      <t xml:space="preserve">- </t>
    </r>
    <r>
      <rPr>
        <b/>
        <i/>
        <sz val="10"/>
        <rFont val="Arial"/>
        <family val="2"/>
      </rPr>
      <t>Case 1 : The subsidiary is essentially not a GRE</t>
    </r>
    <r>
      <rPr>
        <i/>
        <sz val="10"/>
        <rFont val="Arial"/>
        <family val="2"/>
      </rPr>
      <t>.  We rate the subsidiary primarily from a parent-subsidiary perspective, taking as a reference the parent's SACP.</t>
    </r>
  </si>
  <si>
    <r>
      <t xml:space="preserve">- </t>
    </r>
    <r>
      <rPr>
        <b/>
        <i/>
        <sz val="10"/>
        <rFont val="Arial"/>
        <family val="2"/>
      </rPr>
      <t xml:space="preserve">Case  2: </t>
    </r>
    <r>
      <rPr>
        <i/>
        <sz val="10"/>
        <rFont val="Arial"/>
        <family val="2"/>
      </rPr>
      <t xml:space="preserve">The subsidiary stands, vis-à-vis the govt, in the </t>
    </r>
    <r>
      <rPr>
        <b/>
        <i/>
        <sz val="10"/>
        <rFont val="Arial"/>
        <family val="2"/>
      </rPr>
      <t>moderate-to-low corner of the GRE role-link matrix</t>
    </r>
    <r>
      <rPr>
        <i/>
        <sz val="10"/>
        <rFont val="Arial"/>
        <family val="2"/>
      </rPr>
      <t>. We consider both GRE and parent-subsidiary approaches, but focus more on the latter.</t>
    </r>
  </si>
  <si>
    <t>In the triangle :</t>
  </si>
  <si>
    <t>ICR higher than SACP</t>
  </si>
  <si>
    <r>
      <t xml:space="preserve">Ex. : Govt AA [= Belgium], Parent's ICR A [= Belgacom], Parents SACP bbb+ [Belgacom a], Subsdiary's SACP bbb-     </t>
    </r>
    <r>
      <rPr>
        <i/>
        <sz val="10"/>
        <rFont val="Symbol"/>
        <family val="1"/>
        <charset val="2"/>
      </rPr>
      <t>®</t>
    </r>
    <r>
      <rPr>
        <i/>
        <sz val="9"/>
        <rFont val="Arial"/>
        <family val="2"/>
      </rPr>
      <t xml:space="preserve"> </t>
    </r>
    <r>
      <rPr>
        <i/>
        <sz val="10"/>
        <rFont val="Arial"/>
        <family val="2"/>
      </rPr>
      <t>Subsdiary's ICR typically between BBB- and BBB+.</t>
    </r>
  </si>
  <si>
    <r>
      <t xml:space="preserve">We typically consider the rationale for extraordinary govt support to be significantly weaker for the subsidiary than for the parent (for a variety of reasons: indirect link, role of lower importance to the govt, operations in a different country, possibility of group restructuring / divestments / strategic revisions in a period of stress, etc.). Ex. with same inputs   </t>
    </r>
    <r>
      <rPr>
        <sz val="10"/>
        <rFont val="Symbol"/>
        <family val="1"/>
        <charset val="2"/>
      </rPr>
      <t>®</t>
    </r>
    <r>
      <rPr>
        <i/>
        <sz val="9"/>
        <rFont val="Arial"/>
        <family val="2"/>
      </rPr>
      <t xml:space="preserve"> </t>
    </r>
    <r>
      <rPr>
        <i/>
        <sz val="10"/>
        <rFont val="Arial"/>
        <family val="2"/>
      </rPr>
      <t>Subsdiary's ICR typically between BBB- and A.</t>
    </r>
  </si>
  <si>
    <r>
      <t xml:space="preserve">- </t>
    </r>
    <r>
      <rPr>
        <b/>
        <i/>
        <sz val="10"/>
        <rFont val="Arial"/>
        <family val="2"/>
      </rPr>
      <t>Case 3 : The subsidiary is a prominent GRE</t>
    </r>
    <r>
      <rPr>
        <i/>
        <sz val="10"/>
        <rFont val="Arial"/>
        <family val="2"/>
      </rPr>
      <t xml:space="preserve">. In situations where, despite its subsidiary status, the GRE discharges important policy or other functions, we consider both GRE and parent-subsidiary approaches but will likely place more weight on the former. And the subsidiary's ICR is not necessarily limited by that of its parent. </t>
    </r>
  </si>
  <si>
    <t>- In other cases, we may consider the subsidiary could itself qualify as a GRE, because of the prominence of its role and/or links with the government. Some subsidiaries might even be more important to the government than their parent holding if they provide a crucial service to the population for instance. </t>
  </si>
  <si>
    <t>Moody's Rating Symbols and Definitions</t>
  </si>
  <si>
    <r>
      <t xml:space="preserve">GRE's ICR with </t>
    </r>
    <r>
      <rPr>
        <b/>
        <sz val="10"/>
        <rFont val="Arial"/>
        <family val="2"/>
      </rPr>
      <t>Moderate</t>
    </r>
    <r>
      <rPr>
        <sz val="10"/>
        <rFont val="Arial"/>
        <family val="2"/>
      </rPr>
      <t xml:space="preserve"> likelihood of support :</t>
    </r>
  </si>
  <si>
    <t>General Definitions</t>
  </si>
  <si>
    <t>tD/Capital</t>
  </si>
  <si>
    <t>Moreover, our assessment of financial risk is not as simplistic as looking at a few ratios. It encompasses :</t>
  </si>
  <si>
    <t>Ebitda vs. CFO &amp; FCF</t>
  </si>
  <si>
    <t>- FOCF = Free operating cash flow = CFO - Capex</t>
  </si>
  <si>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Deferred tax</t>
    </r>
  </si>
  <si>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Working Capital</t>
    </r>
  </si>
  <si>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Capex</t>
    </r>
  </si>
  <si>
    <t>… which require more explicit assumptions about line items that are challenging to predict accurately :</t>
  </si>
  <si>
    <t>- Foreign-currency ratings refer to an entity's ability and willingness to meet its foreign currency denominated financial obligations as they come due. For banks and corporates, foreign currency foreign-currency ratings incorporate additional transfer and convertibility risks (from the likelihood of various restrictions imposed by the government).</t>
  </si>
  <si>
    <t>More an issue for emerging markets</t>
  </si>
  <si>
    <r>
      <t xml:space="preserve">- The most important distinction is between </t>
    </r>
    <r>
      <rPr>
        <b/>
        <sz val="10"/>
        <rFont val="Arial"/>
        <family val="2"/>
      </rPr>
      <t>investment grade</t>
    </r>
    <r>
      <rPr>
        <sz val="10"/>
        <rFont val="Arial"/>
        <family val="2"/>
      </rPr>
      <t xml:space="preserve"> and non-investment grade firms. Some institutional investors are constrained from holding bonds with below-investment grade ratings </t>
    </r>
    <r>
      <rPr>
        <sz val="10"/>
        <color theme="1" tint="0.499984740745262"/>
        <rFont val="Arial"/>
        <family val="2"/>
      </rPr>
      <t>(some pension funds are even contractually constrained from holding anything less secure than AAA securities, hence some technical difficulties with US T-bonds downgrades).</t>
    </r>
  </si>
  <si>
    <r>
      <t xml:space="preserve">- In this sheet, we later refer credit rating agencies as </t>
    </r>
    <r>
      <rPr>
        <b/>
        <sz val="10"/>
        <rFont val="Arial"/>
        <family val="2"/>
      </rPr>
      <t>'agencies'</t>
    </r>
    <r>
      <rPr>
        <sz val="10"/>
        <rFont val="Arial"/>
        <family val="2"/>
      </rPr>
      <t>, credit rating as</t>
    </r>
    <r>
      <rPr>
        <b/>
        <sz val="10"/>
        <rFont val="Arial"/>
        <family val="2"/>
      </rPr>
      <t xml:space="preserve"> 'rating'</t>
    </r>
    <r>
      <rPr>
        <sz val="10"/>
        <rFont val="Arial"/>
        <family val="2"/>
      </rPr>
      <t xml:space="preserve"> and credit rating analysts as</t>
    </r>
    <r>
      <rPr>
        <b/>
        <sz val="10"/>
        <rFont val="Arial"/>
        <family val="2"/>
      </rPr>
      <t xml:space="preserve"> 'analysts'.</t>
    </r>
  </si>
  <si>
    <r>
      <t xml:space="preserve">- CFO = Cash from operations = FFO </t>
    </r>
    <r>
      <rPr>
        <sz val="10"/>
        <rFont val="Symbol"/>
        <family val="1"/>
        <charset val="2"/>
      </rPr>
      <t>±</t>
    </r>
    <r>
      <rPr>
        <sz val="10"/>
        <rFont val="Arial"/>
        <family val="2"/>
      </rPr>
      <t xml:space="preserve"> change in Working Capital</t>
    </r>
  </si>
  <si>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Dividends</t>
    </r>
  </si>
  <si>
    <r>
      <t xml:space="preserve">  FCF(F) = Free cash-flow (to the firm) = Ebit.(1-t) +D&amp;A </t>
    </r>
    <r>
      <rPr>
        <sz val="10"/>
        <rFont val="Symbol"/>
        <family val="1"/>
        <charset val="2"/>
      </rPr>
      <t>±</t>
    </r>
    <r>
      <rPr>
        <sz val="10"/>
        <rFont val="Arial"/>
        <family val="2"/>
      </rPr>
      <t xml:space="preserve"> WC changes – Capex = FOCF + interest - t.Ebit </t>
    </r>
  </si>
  <si>
    <t>Cash-flow used in DCF</t>
  </si>
  <si>
    <t>Cf. in particular Fitch's note :</t>
  </si>
  <si>
    <t xml:space="preserve">More thorough (yet clear and interesting) analysis from </t>
  </si>
  <si>
    <t>- Idem with (FFO + Interest) or (Ebitda - Capex) at the numerator, modulo OL adjustments.</t>
  </si>
  <si>
    <t xml:space="preserve">Tables by likelihood of support from §29. </t>
  </si>
  <si>
    <t>(No table for Low support : see below.)</t>
  </si>
  <si>
    <t>Tables by govt rating from §61</t>
  </si>
  <si>
    <t>¯</t>
  </si>
  <si>
    <t>From §52</t>
  </si>
  <si>
    <r>
      <rPr>
        <sz val="10"/>
        <rFont val="Arial"/>
        <family val="2"/>
      </rPr>
      <t>Rating a</t>
    </r>
    <r>
      <rPr>
        <b/>
        <sz val="10"/>
        <rFont val="Arial"/>
        <family val="2"/>
      </rPr>
      <t xml:space="preserve"> GRE's subsidiaries </t>
    </r>
    <r>
      <rPr>
        <sz val="10"/>
        <rFont val="Arial"/>
        <family val="2"/>
      </rPr>
      <t>:</t>
    </r>
  </si>
  <si>
    <t>ORA (BBB+, with</t>
  </si>
  <si>
    <t>France now AA)</t>
  </si>
  <si>
    <t xml:space="preserve">Rating Methodology : Global Pay TV, Cable and Direct to Home Satellite Op. </t>
  </si>
  <si>
    <t>To determine the overall rating, we convert each of the 11 sub-factor ratings into a numeric value based upon the scale below.</t>
  </si>
  <si>
    <r>
      <t xml:space="preserve">- Larger </t>
    </r>
    <r>
      <rPr>
        <b/>
        <i/>
        <sz val="10"/>
        <rFont val="Arial"/>
        <family val="2"/>
      </rPr>
      <t>scale</t>
    </r>
    <r>
      <rPr>
        <i/>
        <sz val="10"/>
        <rFont val="Arial"/>
        <family val="2"/>
      </rPr>
      <t>, which usually goes hand in hand with geographic and business diversity, reduces the risks of a regional weakness or a business downturn. Scale also enhances ability to absorb a temporary disruption, acquisition or a capital investment mistake; can create greater leverage with suppliers; enhances access to capital markets and increases financing flexibility; finally, enhances ability to bundle products, increasingly a competitive advantage, and confers a sense of market leadership that can bring superior access to customers.</t>
    </r>
  </si>
  <si>
    <t>- Management Quality</t>
  </si>
  <si>
    <t>- Corporate Governance</t>
  </si>
  <si>
    <t>- Financial Controls</t>
  </si>
  <si>
    <t>- Liquidity Management</t>
  </si>
  <si>
    <t>- Competition will intensify</t>
  </si>
  <si>
    <t>- Regulation will remain important</t>
  </si>
  <si>
    <t>- Capital intensity will persist</t>
  </si>
  <si>
    <t>- M&amp;A activity expected to remain high</t>
  </si>
  <si>
    <t>Out of 25 assigned ratings :</t>
  </si>
  <si>
    <r>
      <t xml:space="preserve">- </t>
    </r>
    <r>
      <rPr>
        <b/>
        <i/>
        <sz val="10"/>
        <rFont val="Arial"/>
        <family val="2"/>
      </rPr>
      <t>Market share</t>
    </r>
    <r>
      <rPr>
        <i/>
        <sz val="10"/>
        <rFont val="Arial"/>
        <family val="2"/>
      </rPr>
      <t xml:space="preserve"> : small SPs typically have strong positions in niche markets. However, we may not view a SP’s market share as “leading” when a wider definition of the market is more appropriate.</t>
    </r>
  </si>
  <si>
    <t>Aa</t>
  </si>
  <si>
    <t>Baa</t>
  </si>
  <si>
    <t>Ba</t>
  </si>
  <si>
    <t>Caa</t>
  </si>
  <si>
    <t>&lt; 0.5</t>
  </si>
  <si>
    <t>0.5-1.0</t>
  </si>
  <si>
    <t>1.0-2.0</t>
  </si>
  <si>
    <t>2.0-2.75</t>
  </si>
  <si>
    <t>2.75-3.75</t>
  </si>
  <si>
    <t>3.75-6.0</t>
  </si>
  <si>
    <t>&gt; 6.0</t>
  </si>
  <si>
    <r>
      <rPr>
        <sz val="10"/>
        <color theme="1" tint="0.499984740745262"/>
        <rFont val="Arial"/>
        <family val="2"/>
      </rPr>
      <t>Appendix :</t>
    </r>
    <r>
      <rPr>
        <i/>
        <sz val="10"/>
        <color theme="1" tint="0.499984740745262"/>
        <rFont val="Arial"/>
        <family val="2"/>
      </rPr>
      <t xml:space="preserve"> Key Rating Issues Going Into the Next Decade</t>
    </r>
  </si>
  <si>
    <t>®</t>
  </si>
  <si>
    <t xml:space="preserve">- Diversified carriers </t>
  </si>
  <si>
    <t>- Shareholder pressure is likely to increase.</t>
  </si>
  <si>
    <r>
      <t xml:space="preserve">- </t>
    </r>
    <r>
      <rPr>
        <b/>
        <sz val="10"/>
        <rFont val="Arial"/>
        <family val="2"/>
      </rPr>
      <t>Fixed</t>
    </r>
    <r>
      <rPr>
        <sz val="10"/>
        <rFont val="Arial"/>
        <family val="2"/>
      </rPr>
      <t xml:space="preserve"> (only) SPs</t>
    </r>
  </si>
  <si>
    <r>
      <t xml:space="preserve">- </t>
    </r>
    <r>
      <rPr>
        <b/>
        <sz val="10"/>
        <rFont val="Arial"/>
        <family val="2"/>
      </rPr>
      <t>Mobile</t>
    </r>
    <r>
      <rPr>
        <sz val="10"/>
        <rFont val="Arial"/>
        <family val="2"/>
      </rPr>
      <t xml:space="preserve"> SPs</t>
    </r>
  </si>
  <si>
    <t>&amp; scale</t>
  </si>
  <si>
    <t>- Event risk</t>
  </si>
  <si>
    <t>INTRODUCTION</t>
  </si>
  <si>
    <r>
      <t xml:space="preserve">Graphs &amp; comments from col.  T </t>
    </r>
    <r>
      <rPr>
        <b/>
        <sz val="10"/>
        <rFont val="Symbol"/>
        <family val="1"/>
        <charset val="2"/>
      </rPr>
      <t>®</t>
    </r>
  </si>
  <si>
    <r>
      <rPr>
        <sz val="10"/>
        <rFont val="Arial"/>
        <family val="2"/>
      </rPr>
      <t>Based on LTM</t>
    </r>
    <r>
      <rPr>
        <sz val="10"/>
        <color theme="1" tint="0.499984740745262"/>
        <rFont val="Arial"/>
        <family val="2"/>
      </rPr>
      <t xml:space="preserve"> data from closest quarter to 3Q10 for public SPs, end previous year for private and non-US SPs.</t>
    </r>
  </si>
  <si>
    <t>In some limited circumstances the benefits of being a large player in a small primary market may be underestimated by the revenue metric. This will be particularly so for ex-incumbent SPs that remain leading players in markets with GDPs that are relatively small by global standards. Where that is the case, our mapping examples may show the total revenues factor at one or two rating categories above the level that would result from reported revenues.</t>
  </si>
  <si>
    <r>
      <t>Stand-Alone Credit Profiles</t>
    </r>
    <r>
      <rPr>
        <b/>
        <u/>
        <sz val="10"/>
        <rFont val="Arial"/>
        <family val="2"/>
      </rPr>
      <t xml:space="preserve"> (SACP)</t>
    </r>
    <r>
      <rPr>
        <u/>
        <sz val="10"/>
        <rFont val="Arial"/>
        <family val="2"/>
      </rPr>
      <t xml:space="preserve"> : One Component Of A Rating</t>
    </r>
  </si>
  <si>
    <t>Other selected excerpts (for the purpose of this determination) :</t>
  </si>
  <si>
    <t>See also for Telenet (pdf, April 2013) :</t>
  </si>
  <si>
    <t>(Moody's also considered this 2009 pdf :</t>
  </si>
  <si>
    <t>Loss Given Default for Speculative-Grade Non-Financial Companies)</t>
  </si>
  <si>
    <t>For Factor 1 = Scale / Business Model / Competitive Environment / Technology (27%), analysis differentiating :</t>
  </si>
  <si>
    <t>Each credit agency mention several ratings : short-term notes vs. long-term debt (also : subordinated, senior/junior, etc), sometimes for individual debt issues (instrument ratings).</t>
  </si>
  <si>
    <t xml:space="preserve">Only issuer's long-term rating matters since WACC is built with LT Cd, not an average Cd blending ST &amp; LT Cd (cf. Note 4 / WACC 4). </t>
  </si>
  <si>
    <t>Data collection for % Mobile estimation from Bloomberg screenshots + research on financial reports :  calculations &amp; comments.</t>
  </si>
  <si>
    <r>
      <t xml:space="preserve">Outputs </t>
    </r>
    <r>
      <rPr>
        <u/>
        <sz val="10"/>
        <rFont val="Arial"/>
        <family val="2"/>
      </rPr>
      <t>&amp; Inputs</t>
    </r>
  </si>
  <si>
    <t>Capital</t>
  </si>
  <si>
    <r>
      <rPr>
        <b/>
        <sz val="10"/>
        <rFont val="Symbol"/>
        <family val="1"/>
        <charset val="2"/>
      </rPr>
      <t>D</t>
    </r>
    <r>
      <rPr>
        <b/>
        <sz val="10"/>
        <rFont val="Arial"/>
        <family val="2"/>
      </rPr>
      <t xml:space="preserve"> Avg. tD*/Ea*</t>
    </r>
  </si>
  <si>
    <t>tD*/Capital</t>
  </si>
  <si>
    <t>Avg. tD*/Cap</t>
  </si>
  <si>
    <r>
      <rPr>
        <b/>
        <sz val="10"/>
        <rFont val="Wingdings"/>
        <charset val="2"/>
      </rPr>
      <t>ä</t>
    </r>
    <r>
      <rPr>
        <b/>
        <sz val="10"/>
        <rFont val="Arial"/>
        <family val="2"/>
      </rPr>
      <t xml:space="preserve"> tD*/Cap</t>
    </r>
  </si>
  <si>
    <t>Eb incl. preferred stocks (S&amp;P's at least).</t>
  </si>
  <si>
    <t>Also Capital does not include OL.</t>
  </si>
  <si>
    <t>This section presents :</t>
  </si>
  <si>
    <t>Govt Support</t>
  </si>
  <si>
    <t>Role as GRE/GRI</t>
  </si>
  <si>
    <t>Same difference between tD/Ea and D/Ea (0.2 for averages) by omitting OL.</t>
  </si>
  <si>
    <t>Adj. tD*/Ebitda*</t>
  </si>
  <si>
    <r>
      <rPr>
        <sz val="10"/>
        <color theme="1" tint="0.499984740745262"/>
        <rFont val="Arial"/>
        <family val="2"/>
      </rPr>
      <t xml:space="preserve">13 Aug. 2012 : </t>
    </r>
    <r>
      <rPr>
        <i/>
        <sz val="10"/>
        <color theme="1" tint="0.499984740745262"/>
        <rFont val="Arial"/>
        <family val="2"/>
      </rPr>
      <t xml:space="preserve">The rating actions follow Telenet's announcement of its intention to raise approximately 700M€ in new senior secured debt to fund a share buyback of approximately 656M€. The combination of these transactions will result in leverage increasing by roughly one turn of EBITDA, taking unadjusted </t>
    </r>
    <r>
      <rPr>
        <b/>
        <i/>
        <sz val="10"/>
        <color theme="1" tint="0.499984740745262"/>
        <rFont val="Arial"/>
        <family val="2"/>
      </rPr>
      <t xml:space="preserve">net debt EBITDA </t>
    </r>
    <r>
      <rPr>
        <i/>
        <sz val="10"/>
        <color theme="1" tint="0.499984740745262"/>
        <rFont val="Arial"/>
        <family val="2"/>
      </rPr>
      <t>to above 5.0x at both 1H12 (pro-forma) and forecast FY2012.</t>
    </r>
  </si>
  <si>
    <r>
      <t xml:space="preserve">(FL </t>
    </r>
    <r>
      <rPr>
        <sz val="10"/>
        <color theme="1" tint="0.499984740745262"/>
        <rFont val="Symbol"/>
        <family val="1"/>
        <charset val="2"/>
      </rPr>
      <t>¹</t>
    </r>
    <r>
      <rPr>
        <sz val="10"/>
        <color theme="1" tint="0.499984740745262"/>
        <rFont val="Arial"/>
        <family val="2"/>
      </rPr>
      <t xml:space="preserve"> OL : cf. Note 2)</t>
    </r>
  </si>
  <si>
    <r>
      <rPr>
        <sz val="10"/>
        <color theme="1" tint="0.499984740745262"/>
        <rFont val="Arial"/>
        <family val="2"/>
      </rPr>
      <t xml:space="preserve">From </t>
    </r>
    <r>
      <rPr>
        <u/>
        <sz val="10"/>
        <color theme="1" tint="0.499984740745262"/>
        <rFont val="Arial"/>
        <family val="2"/>
      </rPr>
      <t>"2014 Outlook : European Telecoms and Cable"</t>
    </r>
    <r>
      <rPr>
        <sz val="10"/>
        <color theme="1" tint="0.499984740745262"/>
        <rFont val="Arial"/>
        <family val="2"/>
      </rPr>
      <t>, possible short-term ratings triggers :</t>
    </r>
  </si>
  <si>
    <t>- Telenet's financial policy might be set in accordance with LGI's, resulting in very similar credit quality as writes S&amp;P's, Telenet seems to be still rated on a standalone basis (and not just by Fitch) : if its credit metrics were to depart from its own and LGI's typical values, LGI's shareholding would probably have little impact, in contrast to Belgacom with respect to the Belgian state.</t>
  </si>
  <si>
    <t>FT/ORA</t>
  </si>
  <si>
    <t>- Primarily for Mobistar's relationship with FT/ORA, similar to TPS, with seemingly a strong impact on affiliates' ratings in the case of this group,</t>
  </si>
  <si>
    <t>- From TPS, as an illustration of the impact of disappointing results on analysts' perceptions (and tone),</t>
  </si>
  <si>
    <t>Stable at A3 = A- with a Negative outlook since Aug. 2012.</t>
  </si>
  <si>
    <r>
      <t xml:space="preserve">Nov 2012 : </t>
    </r>
    <r>
      <rPr>
        <i/>
        <sz val="10"/>
        <color theme="1" tint="0.499984740745262"/>
        <rFont val="Arial"/>
        <family val="2"/>
      </rPr>
      <t xml:space="preserve">FT's A3 ratings </t>
    </r>
    <r>
      <rPr>
        <b/>
        <i/>
        <sz val="10"/>
        <color theme="1" tint="0.499984740745262"/>
        <rFont val="Arial"/>
        <family val="2"/>
      </rPr>
      <t>unaffected by France downgrade.</t>
    </r>
  </si>
  <si>
    <r>
      <t xml:space="preserve">We think FT will deleverage by trimming absolute debt and that its fully adjusted ratios of debt to EBITDA and FFO to debt will remain </t>
    </r>
    <r>
      <rPr>
        <b/>
        <i/>
        <sz val="10"/>
        <color theme="1" tint="0.499984740745262"/>
        <rFont val="Arial"/>
        <family val="2"/>
      </rPr>
      <t xml:space="preserve">below 3x </t>
    </r>
    <r>
      <rPr>
        <i/>
        <sz val="10"/>
        <color theme="1" tint="0.499984740745262"/>
        <rFont val="Arial"/>
        <family val="2"/>
      </rPr>
      <t xml:space="preserve">and at about 30% respectively, which we see as </t>
    </r>
    <r>
      <rPr>
        <b/>
        <i/>
        <sz val="10"/>
        <color theme="1" tint="0.499984740745262"/>
        <rFont val="Arial"/>
        <family val="2"/>
      </rPr>
      <t>commensurate with the rating</t>
    </r>
    <r>
      <rPr>
        <i/>
        <sz val="10"/>
        <color theme="1" tint="0.499984740745262"/>
        <rFont val="Arial"/>
        <family val="2"/>
      </rPr>
      <t xml:space="preserve">. We could, however, consider a </t>
    </r>
    <r>
      <rPr>
        <b/>
        <i/>
        <sz val="10"/>
        <color theme="1" tint="0.499984740745262"/>
        <rFont val="Arial"/>
        <family val="2"/>
      </rPr>
      <t>positive rating action if</t>
    </r>
    <r>
      <rPr>
        <i/>
        <sz val="10"/>
        <color theme="1" tint="0.499984740745262"/>
        <rFont val="Arial"/>
        <family val="2"/>
      </rPr>
      <t xml:space="preserve"> FT maintained its strong business risk profile and strengthened its balance sheet more than we currently envisage, including </t>
    </r>
    <r>
      <rPr>
        <b/>
        <i/>
        <sz val="10"/>
        <color theme="1" tint="0.499984740745262"/>
        <rFont val="Arial"/>
        <family val="2"/>
      </rPr>
      <t>debt to EBITDA below 2.5x.</t>
    </r>
  </si>
  <si>
    <t>Puzzling : TPS' reported D/Ebitda at 1.0x at  least since 4Q12, same from Bloom. &amp; tD/Ea at 1.1x, tD*/Ea* at 1.2x.</t>
  </si>
  <si>
    <r>
      <t>Ea yoy</t>
    </r>
    <r>
      <rPr>
        <sz val="10"/>
        <color theme="1" tint="0.499984740745262"/>
        <rFont val="Wingdings"/>
        <charset val="2"/>
      </rPr>
      <t>ä</t>
    </r>
  </si>
  <si>
    <r>
      <t>Ea* yoy</t>
    </r>
    <r>
      <rPr>
        <sz val="10"/>
        <color theme="1" tint="0.499984740745262"/>
        <rFont val="Wingdings"/>
        <charset val="2"/>
      </rPr>
      <t>ä</t>
    </r>
  </si>
  <si>
    <t>Impact on Mobistar's rating vs. TPS'</t>
  </si>
  <si>
    <t>=</t>
  </si>
  <si>
    <t>* Other transfers possibly and relatively less substantial.</t>
  </si>
  <si>
    <t>But compared to TPS, Mobistar's mere smaller size should make any rescue from FT easier if required by serious circumstances.</t>
  </si>
  <si>
    <r>
      <t xml:space="preserve">- For Mobistar, the </t>
    </r>
    <r>
      <rPr>
        <b/>
        <sz val="10"/>
        <rFont val="Arial"/>
        <family val="2"/>
      </rPr>
      <t>same controlling shareholder as TPS, and with a similar stake</t>
    </r>
    <r>
      <rPr>
        <sz val="10"/>
        <rFont val="Arial"/>
        <family val="2"/>
      </rPr>
      <t xml:space="preserve"> (52.9%)</t>
    </r>
  </si>
  <si>
    <t>* A supervision by FT possibly and generally less tight, except maybe in current difficult times both for Mobistar and the group,</t>
  </si>
  <si>
    <r>
      <t xml:space="preserve">» </t>
    </r>
    <r>
      <rPr>
        <sz val="10"/>
        <rFont val="Arial"/>
        <family val="2"/>
      </rPr>
      <t xml:space="preserve">or </t>
    </r>
    <r>
      <rPr>
        <sz val="10"/>
        <rFont val="Symbol"/>
        <family val="1"/>
        <charset val="2"/>
      </rPr>
      <t>­</t>
    </r>
    <r>
      <rPr>
        <sz val="10"/>
        <rFont val="Arial"/>
        <family val="2"/>
      </rPr>
      <t xml:space="preserve"> a portion of a notch ?</t>
    </r>
  </si>
  <si>
    <t>- Repeatedly or significantly missing targets which have been publicly stated may also have a negative impact by itself, as with share prices. (Between 3Q12-1Q13, TPS' Market Cap. suddenly dropped by almost as much as Mobistar's since mid-2011.)</t>
  </si>
  <si>
    <r>
      <t xml:space="preserve">- And </t>
    </r>
    <r>
      <rPr>
        <b/>
        <sz val="10"/>
        <rFont val="Arial"/>
        <family val="2"/>
      </rPr>
      <t xml:space="preserve">Mobistar is not rated. </t>
    </r>
  </si>
  <si>
    <r>
      <t xml:space="preserve">- Mobistar is around 50% smaller than TPS, is less diversified </t>
    </r>
    <r>
      <rPr>
        <sz val="10"/>
        <rFont val="Arial"/>
        <family val="2"/>
      </rPr>
      <t>(in revenue terms)</t>
    </r>
    <r>
      <rPr>
        <b/>
        <sz val="10"/>
        <rFont val="Arial"/>
        <family val="2"/>
      </rPr>
      <t>, is not the historic or market leading SP</t>
    </r>
  </si>
  <si>
    <r>
      <t xml:space="preserve">- </t>
    </r>
    <r>
      <rPr>
        <b/>
        <sz val="10"/>
        <rFont val="Arial"/>
        <family val="2"/>
      </rPr>
      <t>Mobistar's falling Ebitda is another feature shared with ORA &amp; TPS</t>
    </r>
    <r>
      <rPr>
        <sz val="10"/>
        <rFont val="Arial"/>
        <family val="2"/>
      </rPr>
      <t>, though clearly not unique to this group. In this respect, Mobistar roughly stands between ORA &amp; TPS.</t>
    </r>
  </si>
  <si>
    <r>
      <rPr>
        <sz val="10"/>
        <rFont val="Symbol"/>
        <family val="1"/>
        <charset val="2"/>
      </rPr>
      <t>¯</t>
    </r>
    <r>
      <rPr>
        <sz val="10"/>
        <rFont val="Arial"/>
        <family val="2"/>
      </rPr>
      <t xml:space="preserve"> A portion of a notch for its actual Cd ? </t>
    </r>
  </si>
  <si>
    <r>
      <t xml:space="preserve">Initially =, </t>
    </r>
    <r>
      <rPr>
        <sz val="10"/>
        <rFont val="Symbol"/>
        <family val="1"/>
        <charset val="2"/>
      </rPr>
      <t>¯</t>
    </r>
    <r>
      <rPr>
        <sz val="9"/>
        <rFont val="Arial"/>
        <family val="2"/>
      </rPr>
      <t xml:space="preserve"> </t>
    </r>
    <r>
      <rPr>
        <sz val="10"/>
        <rFont val="Arial"/>
        <family val="2"/>
      </rPr>
      <t>a portion of a notch end of period.</t>
    </r>
  </si>
  <si>
    <r>
      <rPr>
        <b/>
        <sz val="10"/>
        <rFont val="Symbol"/>
        <family val="1"/>
        <charset val="2"/>
      </rPr>
      <t>D</t>
    </r>
    <r>
      <rPr>
        <b/>
        <sz val="10"/>
        <rFont val="Arial"/>
        <family val="2"/>
      </rPr>
      <t xml:space="preserve">  tD*/Ea*</t>
    </r>
  </si>
  <si>
    <t xml:space="preserve">1H10-1H13 Avg. </t>
  </si>
  <si>
    <t>1H12-1H13 Avg.</t>
  </si>
  <si>
    <t>Current Rating</t>
  </si>
  <si>
    <t>D*/Ea*</t>
  </si>
  <si>
    <t>Freely available documents, with simple web registration for those from agencies (most sector and company reports are delivered only with premium access).</t>
  </si>
  <si>
    <t>Composite Rating</t>
  </si>
  <si>
    <t>Historical Ratings Recap</t>
  </si>
  <si>
    <t>(If not too time-consuming, i.e. if historical composite ratings can be extracted from Bloomberg.)</t>
  </si>
  <si>
    <t>Recap table for historical ratings at the very end of this sheet.</t>
  </si>
  <si>
    <t xml:space="preserve">Tele2 </t>
  </si>
  <si>
    <t>AAA(-)</t>
  </si>
  <si>
    <t>- Except for Telenet, Mobistar, ORA &amp; TPS, and to a lesser extent ILD, SNC &amp; TEL2.</t>
  </si>
  <si>
    <t>- But including for Belgacom (at least for the time being) : was actually rated A+ (corporate yields n/a) until 3Q11, on average.</t>
  </si>
  <si>
    <t>Synthetic ratings in italics</t>
  </si>
  <si>
    <t>Italics : synthetic rating</t>
  </si>
  <si>
    <t>Values to copy &amp; paste</t>
  </si>
  <si>
    <t>where :</t>
  </si>
  <si>
    <t>Large differences for very comparable SPs : debt financing can be more a question of management style, sometimes clearly stemming from the main shareholder's - cf. S&amp;P's observations on Telenet/Liberty Global on next sheet 'Ratings' - and/or, up to a certain level for that matter, the founder's more personal credit risk aversion.</t>
  </si>
  <si>
    <t>- And E is the market value of equity.</t>
  </si>
  <si>
    <t>En ought to be lower than Eb, equity's book value.</t>
  </si>
  <si>
    <t>Filo-fisc (pdf)</t>
  </si>
  <si>
    <r>
      <t xml:space="preserve">En </t>
    </r>
    <r>
      <rPr>
        <b/>
        <sz val="10"/>
        <rFont val="Symbol"/>
        <family val="1"/>
        <charset val="2"/>
      </rPr>
      <t>»</t>
    </r>
    <r>
      <rPr>
        <b/>
        <sz val="9"/>
        <rFont val="Arial"/>
        <family val="2"/>
      </rPr>
      <t xml:space="preserve"> </t>
    </r>
    <r>
      <rPr>
        <b/>
        <sz val="10"/>
        <rFont val="Arial"/>
        <family val="2"/>
      </rPr>
      <t>Eb</t>
    </r>
  </si>
  <si>
    <r>
      <t>Also note this fiscal measure</t>
    </r>
    <r>
      <rPr>
        <b/>
        <sz val="10"/>
        <rFont val="Arial"/>
        <family val="2"/>
      </rPr>
      <t xml:space="preserve"> do not apply when shareholder's </t>
    </r>
  </si>
  <si>
    <t>Accounting tools</t>
  </si>
  <si>
    <t>See around :</t>
  </si>
  <si>
    <t>Avg. P/B</t>
  </si>
  <si>
    <r>
      <rPr>
        <sz val="10"/>
        <rFont val="Wingdings"/>
        <charset val="2"/>
      </rPr>
      <t>ä</t>
    </r>
    <r>
      <rPr>
        <sz val="10"/>
        <rFont val="Arial"/>
        <family val="2"/>
      </rPr>
      <t xml:space="preserve"> P/B</t>
    </r>
  </si>
  <si>
    <t>Yr. Avg. P/B</t>
  </si>
  <si>
    <t>For Telenet, its consolidated statements show that this situation is rather related to substantial shareholder return programs : share repurchase &amp; dividend.</t>
  </si>
  <si>
    <t xml:space="preserve">Ministry : </t>
  </si>
  <si>
    <r>
      <t xml:space="preserve">E/Eb </t>
    </r>
    <r>
      <rPr>
        <sz val="10"/>
        <rFont val="Arial"/>
        <family val="2"/>
      </rPr>
      <t>(by quarters)</t>
    </r>
  </si>
  <si>
    <r>
      <t xml:space="preserve">E/Eb </t>
    </r>
    <r>
      <rPr>
        <sz val="10"/>
        <rFont val="Arial"/>
        <family val="2"/>
      </rPr>
      <t>(end of year)</t>
    </r>
  </si>
  <si>
    <t>- Opposite table shows benchmarked E/Eb, ranked by decreasing period averages (for instance).</t>
  </si>
  <si>
    <t>* Small quasi pure-players stand at the opposite ends of the spectrum : Mobistar vs. SNC, Telenet vs. ILD.</t>
  </si>
  <si>
    <t>* (Nordic/Swiss cluster rather in the first half.)</t>
  </si>
  <si>
    <t>* BT's values unfortunately look nonsensical.</t>
  </si>
  <si>
    <r>
      <t xml:space="preserve">- </t>
    </r>
    <r>
      <rPr>
        <b/>
        <sz val="10"/>
        <rFont val="Arial"/>
        <family val="2"/>
      </rPr>
      <t>Mobistar</t>
    </r>
    <r>
      <rPr>
        <sz val="10"/>
        <rFont val="Arial"/>
        <family val="2"/>
      </rPr>
      <t>'s E/Eb ratios are clearly impacted by the drop of its market cap since mid 2011.</t>
    </r>
  </si>
  <si>
    <r>
      <t xml:space="preserve">Remark :  above E/Eb are computed from extracted data for market cap and shareholder's equity. We initially collected </t>
    </r>
    <r>
      <rPr>
        <b/>
        <sz val="10"/>
        <color theme="1" tint="0.499984740745262"/>
        <rFont val="Arial"/>
        <family val="2"/>
      </rPr>
      <t>price-to-book ratio (P/B)</t>
    </r>
    <r>
      <rPr>
        <sz val="10"/>
        <color theme="1" tint="0.499984740745262"/>
        <rFont val="Arial"/>
        <family val="2"/>
      </rPr>
      <t>. However :</t>
    </r>
  </si>
  <si>
    <t>Notwithstanding this, we are reluctant to consider these values for Belgian generic SPs - even their relative positioning - because :</t>
  </si>
  <si>
    <t>- We tend to think that they actually encompass significantly distinct realities and financial practices, which have nothing to do with the Fixed vs. Mobile issue</t>
  </si>
  <si>
    <t>- We do not know the components of these indexes, but we suspect that the Mobile ratios, for instance, are heavily skewed by VOD's P/B moving around 1x. And such a low level is likely to be inappropriate for Mobistar &amp; Belgian Mobile (all Belgian SPs for that matter).</t>
  </si>
  <si>
    <r>
      <t xml:space="preserve">- In previous determinations, En was approximated by Eb, thus possiby implying overstated </t>
    </r>
    <r>
      <rPr>
        <sz val="10"/>
        <rFont val="Symbol"/>
        <family val="1"/>
        <charset val="2"/>
      </rPr>
      <t>D</t>
    </r>
    <r>
      <rPr>
        <sz val="10"/>
        <rFont val="Arial"/>
        <family val="2"/>
      </rPr>
      <t>not.</t>
    </r>
  </si>
  <si>
    <r>
      <t xml:space="preserve">- Yet, until now, no stakeholder (Belgacom in particular) made any objection about this, so that we propose to keep this </t>
    </r>
    <r>
      <rPr>
        <b/>
        <sz val="10"/>
        <rFont val="Arial"/>
        <family val="2"/>
      </rPr>
      <t>approximation :</t>
    </r>
  </si>
  <si>
    <t>1H11-1H13</t>
  </si>
  <si>
    <t xml:space="preserve">Belgacom </t>
  </si>
  <si>
    <t xml:space="preserve">Min </t>
  </si>
  <si>
    <r>
      <rPr>
        <sz val="10"/>
        <rFont val="Symbol"/>
        <family val="1"/>
        <charset val="2"/>
      </rPr>
      <t>®</t>
    </r>
    <r>
      <rPr>
        <sz val="9"/>
        <rFont val="Arial"/>
        <family val="2"/>
      </rPr>
      <t xml:space="preserve"> </t>
    </r>
    <r>
      <rPr>
        <sz val="10"/>
        <rFont val="Arial"/>
        <family val="2"/>
      </rPr>
      <t>E/Ebitda*</t>
    </r>
  </si>
  <si>
    <r>
      <rPr>
        <sz val="10"/>
        <color theme="0" tint="-0.499984740745262"/>
        <rFont val="Symbol"/>
        <family val="1"/>
        <charset val="2"/>
      </rPr>
      <t>®</t>
    </r>
    <r>
      <rPr>
        <sz val="10"/>
        <color theme="0" tint="-0.499984740745262"/>
        <rFont val="Arial"/>
        <family val="2"/>
      </rPr>
      <t xml:space="preserve"> Fixed</t>
    </r>
  </si>
  <si>
    <r>
      <t xml:space="preserve"> </t>
    </r>
    <r>
      <rPr>
        <sz val="10"/>
        <color theme="0" tint="-0.499984740745262"/>
        <rFont val="Symbol"/>
        <family val="1"/>
        <charset val="2"/>
      </rPr>
      <t>®</t>
    </r>
    <r>
      <rPr>
        <sz val="9"/>
        <color theme="0" tint="-0.499984740745262"/>
        <rFont val="Arial"/>
        <family val="2"/>
      </rPr>
      <t xml:space="preserve"> </t>
    </r>
    <r>
      <rPr>
        <sz val="10"/>
        <color theme="0" tint="-0.499984740745262"/>
        <rFont val="Arial"/>
        <family val="2"/>
      </rPr>
      <t>g between :</t>
    </r>
  </si>
  <si>
    <t>(E/Eb)</t>
  </si>
  <si>
    <t>- Note that, once more, no general rule may be inferred from other European values, as shown in the opposite table.</t>
  </si>
  <si>
    <t>Market Cap.</t>
  </si>
  <si>
    <t>Rnot</t>
  </si>
  <si>
    <t>t/(1-t)(1-g)</t>
  </si>
  <si>
    <r>
      <rPr>
        <b/>
        <sz val="10"/>
        <rFont val="Symbol"/>
        <family val="1"/>
        <charset val="2"/>
      </rPr>
      <t>D</t>
    </r>
    <r>
      <rPr>
        <b/>
        <sz val="10"/>
        <rFont val="Arial"/>
        <family val="2"/>
      </rPr>
      <t>not</t>
    </r>
  </si>
  <si>
    <t>GEARINGS &amp; Enot/E</t>
  </si>
  <si>
    <r>
      <t xml:space="preserve">Enot/E (and </t>
    </r>
    <r>
      <rPr>
        <b/>
        <u/>
        <sz val="10"/>
        <rFont val="Symbol"/>
        <family val="1"/>
        <charset val="2"/>
      </rPr>
      <t>D</t>
    </r>
    <r>
      <rPr>
        <b/>
        <u/>
        <sz val="10"/>
        <rFont val="Arial"/>
        <family val="2"/>
      </rPr>
      <t>not)</t>
    </r>
  </si>
  <si>
    <r>
      <t xml:space="preserve">E/Enot (and </t>
    </r>
    <r>
      <rPr>
        <b/>
        <sz val="10"/>
        <rFont val="Symbol"/>
        <family val="1"/>
        <charset val="2"/>
      </rPr>
      <t>D</t>
    </r>
    <r>
      <rPr>
        <b/>
        <sz val="10"/>
        <rFont val="Arial"/>
        <family val="2"/>
      </rPr>
      <t>not)</t>
    </r>
  </si>
  <si>
    <t>Whereas generic SPs are modeled in a steady-state, one may consider that, strictly, we should not ignore (almost) realized values for real SPs' and this partially fiscal parameter, i.e. :</t>
  </si>
  <si>
    <r>
      <t xml:space="preserve">BIPT 2013 Enot/E (&amp; </t>
    </r>
    <r>
      <rPr>
        <b/>
        <sz val="10"/>
        <color theme="0"/>
        <rFont val="Symbol"/>
        <family val="1"/>
        <charset val="2"/>
      </rPr>
      <t>D</t>
    </r>
    <r>
      <rPr>
        <b/>
        <sz val="10"/>
        <color theme="0"/>
        <rFont val="Arial"/>
        <family val="2"/>
      </rPr>
      <t>not)</t>
    </r>
  </si>
  <si>
    <t>En/E</t>
  </si>
  <si>
    <t>End of sheet</t>
  </si>
  <si>
    <t>Prix sur actif net des opérateurs belges</t>
  </si>
  <si>
    <t>Fonds propres sur Ebitda des opérateurs belges</t>
  </si>
  <si>
    <t>t/(1-t).(1-g).Rnot</t>
  </si>
  <si>
    <r>
      <rPr>
        <b/>
        <sz val="10"/>
        <rFont val="Symbol"/>
        <family val="1"/>
        <charset val="2"/>
      </rPr>
      <t>®</t>
    </r>
    <r>
      <rPr>
        <b/>
        <sz val="8"/>
        <rFont val="Arial"/>
        <family val="2"/>
      </rPr>
      <t xml:space="preserve"> </t>
    </r>
    <r>
      <rPr>
        <b/>
        <sz val="10"/>
        <rFont val="Arial"/>
        <family val="2"/>
      </rPr>
      <t>Eb/E</t>
    </r>
  </si>
  <si>
    <r>
      <rPr>
        <b/>
        <sz val="10"/>
        <rFont val="Symbol"/>
        <family val="1"/>
        <charset val="2"/>
      </rPr>
      <t>®</t>
    </r>
    <r>
      <rPr>
        <b/>
        <sz val="8"/>
        <rFont val="Arial"/>
        <family val="2"/>
      </rPr>
      <t xml:space="preserve"> </t>
    </r>
    <r>
      <rPr>
        <b/>
        <sz val="10"/>
        <rFont val="Symbol"/>
        <family val="1"/>
        <charset val="2"/>
      </rPr>
      <t>D</t>
    </r>
    <r>
      <rPr>
        <b/>
        <sz val="10"/>
        <rFont val="Arial"/>
        <family val="2"/>
      </rPr>
      <t>not</t>
    </r>
  </si>
  <si>
    <t>Stakeholder's Note :</t>
  </si>
  <si>
    <r>
      <t xml:space="preserve">All composite ratings set at current ratings, except on : Mobistar, Telenet, ORA &amp; TPS and to a lesser extent ILD, SNC &amp; TEL2. But including Belgacom (for the time being) : was </t>
    </r>
    <r>
      <rPr>
        <sz val="10"/>
        <color theme="4"/>
        <rFont val="Arial"/>
        <family val="2"/>
      </rPr>
      <t>actually rated A+ until 3Q11</t>
    </r>
    <r>
      <rPr>
        <sz val="10"/>
        <color theme="1"/>
        <rFont val="Arial"/>
        <family val="2"/>
      </rPr>
      <t xml:space="preserve">, on average, but A+ yields n/a </t>
    </r>
  </si>
  <si>
    <t>Check if/to which extent Mobistar has missed Ebitda targets for the last HYs.</t>
  </si>
  <si>
    <t>Operating lease expenses are really financial expenses, and should be treated as such. Accounting standards allow them to be treated as operating expenses. This program will convert commitments to make operating leases into debt and adjust the operating income accordingly, by adding back the imputed interest expense on this debt.</t>
  </si>
  <si>
    <r>
      <t xml:space="preserve">- All </t>
    </r>
    <r>
      <rPr>
        <b/>
        <sz val="10"/>
        <rFont val="Arial"/>
        <family val="2"/>
      </rPr>
      <t>period's ratings</t>
    </r>
    <r>
      <rPr>
        <sz val="10"/>
        <rFont val="Arial"/>
        <family val="2"/>
      </rPr>
      <t xml:space="preserve"> set at current ratings except for Belgian SPs, ORA &amp; TPS</t>
    </r>
  </si>
  <si>
    <t>Years : n =</t>
  </si>
  <si>
    <t>Avg OL/n =</t>
  </si>
  <si>
    <t>q =</t>
  </si>
  <si>
    <t>1/(1+Cd)</t>
  </si>
  <si>
    <t>An input to adjust Ebitda with OL, thus EV/Ebitda and D/Ebitda. (Not found through Bloomberg.)</t>
  </si>
  <si>
    <t>- n-1 instead of n, as current OL is likely to be generally higher than OL/n (as in Damodaran's exemple)</t>
  </si>
  <si>
    <r>
      <t xml:space="preserve">Instead of "crunching" around 3x21 financial reports, we approximate </t>
    </r>
    <r>
      <rPr>
        <b/>
        <sz val="10"/>
        <rFont val="Arial"/>
        <family val="2"/>
      </rPr>
      <t xml:space="preserve">OL expense current year </t>
    </r>
    <r>
      <rPr>
        <sz val="10"/>
        <rFont val="Arial"/>
        <family val="2"/>
      </rPr>
      <t xml:space="preserve">by </t>
    </r>
    <r>
      <rPr>
        <b/>
        <sz val="10"/>
        <rFont val="Arial"/>
        <family val="2"/>
      </rPr>
      <t>OL/(n-1)</t>
    </r>
    <r>
      <rPr>
        <sz val="10"/>
        <rFont val="Arial"/>
        <family val="2"/>
      </rPr>
      <t>, with :</t>
    </r>
  </si>
  <si>
    <t>from next year, as a 'debt'</t>
  </si>
  <si>
    <t>With :    a =</t>
  </si>
  <si>
    <t>And k from 1 to n (instead of 0 to n-1)</t>
  </si>
  <si>
    <r>
      <rPr>
        <sz val="10"/>
        <rFont val="Symbol"/>
        <family val="1"/>
        <charset val="2"/>
      </rPr>
      <t>®</t>
    </r>
    <r>
      <rPr>
        <sz val="9"/>
        <rFont val="Arial"/>
        <family val="2"/>
      </rPr>
      <t xml:space="preserve"> </t>
    </r>
    <r>
      <rPr>
        <sz val="10"/>
        <rFont val="Arial"/>
        <family val="2"/>
      </rPr>
      <t xml:space="preserve">S = </t>
    </r>
  </si>
  <si>
    <t xml:space="preserve">(1-q^(n+1))/(1-q) - 1 = (1-q^n).q/(1-q) </t>
  </si>
  <si>
    <t>S. avg OL =</t>
  </si>
  <si>
    <t>Here : Cd =</t>
  </si>
  <si>
    <t>Might be a lucky example, but, overall, this simplified calculation should provide fair estimates.</t>
  </si>
  <si>
    <t>(1-1/(1+Cd)^n)/Cd</t>
  </si>
  <si>
    <t>No automatic update !</t>
  </si>
  <si>
    <t>Belgian SPs :</t>
  </si>
  <si>
    <t>End sheet</t>
  </si>
  <si>
    <t>(All in €.)</t>
  </si>
  <si>
    <t>Peers considered in other regulatory determinations</t>
  </si>
  <si>
    <t>Mob.TeleSyst.</t>
  </si>
  <si>
    <t>TEF Deutschl.</t>
  </si>
  <si>
    <t>TalkTalk Tel.</t>
  </si>
  <si>
    <r>
      <rPr>
        <sz val="10"/>
        <color theme="1"/>
        <rFont val="Symbol"/>
        <family val="1"/>
        <charset val="2"/>
      </rPr>
      <t>®</t>
    </r>
    <r>
      <rPr>
        <sz val="9"/>
        <color theme="1"/>
        <rFont val="Arial"/>
        <family val="2"/>
      </rPr>
      <t xml:space="preserve"> In Europe, possibly at the level of tiny SNC ? Less concerned by Mobistar : in DJ</t>
    </r>
  </si>
  <si>
    <t xml:space="preserve"> Stoxx</t>
  </si>
  <si>
    <r>
      <rPr>
        <sz val="10"/>
        <color theme="1"/>
        <rFont val="Symbol"/>
        <family val="1"/>
        <charset val="2"/>
      </rPr>
      <t>®</t>
    </r>
    <r>
      <rPr>
        <sz val="9"/>
        <color theme="1"/>
        <rFont val="Arial"/>
        <family val="2"/>
      </rPr>
      <t xml:space="preserve"> Unclear : high P/B would imply relatively low market gearing, possibly decreasing </t>
    </r>
  </si>
  <si>
    <t>WACC ??</t>
  </si>
  <si>
    <t>Investigate (equity) analysts reports for Belgian SPs.</t>
  </si>
  <si>
    <r>
      <rPr>
        <sz val="10"/>
        <rFont val="Symbol"/>
        <family val="1"/>
        <charset val="2"/>
      </rPr>
      <t>®</t>
    </r>
    <r>
      <rPr>
        <sz val="8"/>
        <rFont val="Arial"/>
        <family val="2"/>
      </rPr>
      <t xml:space="preserve"> </t>
    </r>
    <r>
      <rPr>
        <sz val="10"/>
        <rFont val="Arial"/>
        <family val="2"/>
      </rPr>
      <t xml:space="preserve">For Mobile : </t>
    </r>
    <r>
      <rPr>
        <b/>
        <sz val="10"/>
        <rFont val="Arial"/>
        <family val="2"/>
      </rPr>
      <t>"E/R"</t>
    </r>
    <r>
      <rPr>
        <sz val="10"/>
        <rFont val="Arial"/>
        <family val="2"/>
      </rPr>
      <t xml:space="preserve"> =</t>
    </r>
  </si>
  <si>
    <t>Add section for geo segments extracted from Bloom</t>
  </si>
  <si>
    <t>EV/Ebitda for 2005, 2006, 2007, 1H09</t>
  </si>
  <si>
    <t>From :</t>
  </si>
  <si>
    <t>At the source of many determinations.</t>
  </si>
  <si>
    <t>(Obviously a simplification.)</t>
  </si>
  <si>
    <t>A general rule for Fixed/Mobile may not be derived from this chart : country and SP specific issues are likely to prevail. However, we note that :</t>
  </si>
  <si>
    <t>- If evolutions on the 'British axis' are not strictly parallel, at least lines do not crossed each other.</t>
  </si>
  <si>
    <r>
      <rPr>
        <b/>
        <sz val="10"/>
        <color theme="1"/>
        <rFont val="Symbol"/>
        <family val="1"/>
        <charset val="2"/>
      </rPr>
      <t>D</t>
    </r>
    <r>
      <rPr>
        <b/>
        <sz val="8"/>
        <color theme="1"/>
        <rFont val="Arial"/>
        <family val="2"/>
      </rPr>
      <t xml:space="preserve"> </t>
    </r>
    <r>
      <rPr>
        <b/>
        <sz val="10"/>
        <color theme="1"/>
        <rFont val="Arial"/>
        <family val="2"/>
      </rPr>
      <t>BIPT 2010</t>
    </r>
  </si>
  <si>
    <r>
      <t xml:space="preserve">D </t>
    </r>
    <r>
      <rPr>
        <b/>
        <sz val="10"/>
        <color theme="0" tint="-0.499984740745262"/>
        <rFont val="Arial"/>
        <family val="2"/>
      </rPr>
      <t>Adj.</t>
    </r>
  </si>
  <si>
    <t>1H10-13</t>
  </si>
  <si>
    <t>Ampli.</t>
  </si>
  <si>
    <r>
      <t xml:space="preserve">E/R </t>
    </r>
    <r>
      <rPr>
        <sz val="10"/>
        <color theme="1"/>
        <rFont val="Symbol"/>
        <family val="1"/>
        <charset val="2"/>
      </rPr>
      <t xml:space="preserve">» </t>
    </r>
    <r>
      <rPr>
        <sz val="10"/>
        <color theme="1"/>
        <rFont val="Arial"/>
        <family val="2"/>
      </rPr>
      <t>1 &amp; stable</t>
    </r>
  </si>
  <si>
    <t xml:space="preserve">" All of the quantitative credit metrics incorporate Moody’s standard adjustments to income statement, cash flow statement and balance sheet amounts for restructuring, impairment, off-balance sheet accounts, receivable securitization programs, under-funded pension obligations, and recurring operating leases. " </t>
  </si>
  <si>
    <t>Yet, these perspectives may not prevent the regulator from opting for distinct ratios :</t>
  </si>
  <si>
    <t>(Issues though with PT's Ebitda : cf. 'Cleaner Data'.)</t>
  </si>
  <si>
    <t xml:space="preserve">End sheet </t>
  </si>
  <si>
    <t xml:space="preserve">While the proposed PV OL model allows for yearly credit rating sequences, we believe that such a stricter and time consuming analysis on D* should have a minimal impact for most SPs, even more after smoothing discrepancies between credit rating agencies (we may use only one rating by SP &amp; period). In addition, yields generally do not change overnight following credit rating movements. Such evolutions are often anticipated by market players, not least because of preceding "warnings" issued by credit rating agencies themselves (actually, their observations are sometimes reproached for lagging behind market prices.) </t>
  </si>
  <si>
    <r>
      <t xml:space="preserve">Historical ratings </t>
    </r>
    <r>
      <rPr>
        <sz val="10"/>
        <rFont val="Arial"/>
        <family val="2"/>
      </rPr>
      <t>are here presented</t>
    </r>
    <r>
      <rPr>
        <b/>
        <sz val="10"/>
        <rFont val="Arial"/>
        <family val="2"/>
      </rPr>
      <t xml:space="preserve"> for :</t>
    </r>
  </si>
  <si>
    <t>For these SPs, βd is at least already cleared from any currency mismatch the proposed forrmulation : both numerator and denominator in €.</t>
  </si>
  <si>
    <t>Moddy's :</t>
  </si>
  <si>
    <t xml:space="preserve">Fitch : </t>
  </si>
  <si>
    <t>S&amp;P :</t>
  </si>
  <si>
    <r>
      <rPr>
        <b/>
        <sz val="10"/>
        <rFont val="Arial"/>
        <family val="2"/>
      </rPr>
      <t>ICR</t>
    </r>
    <r>
      <rPr>
        <sz val="10"/>
        <rFont val="Arial"/>
        <family val="2"/>
      </rPr>
      <t xml:space="preserve"> = Issuer Credit Rating</t>
    </r>
  </si>
  <si>
    <r>
      <rPr>
        <b/>
        <sz val="10"/>
        <rFont val="Arial"/>
        <family val="2"/>
      </rPr>
      <t>CFR</t>
    </r>
    <r>
      <rPr>
        <sz val="10"/>
        <rFont val="Arial"/>
        <family val="2"/>
      </rPr>
      <t xml:space="preserve"> = Corporate Family Rating </t>
    </r>
  </si>
  <si>
    <r>
      <rPr>
        <b/>
        <sz val="10"/>
        <rFont val="Arial"/>
        <family val="2"/>
      </rPr>
      <t>IDR</t>
    </r>
    <r>
      <rPr>
        <sz val="10"/>
        <rFont val="Arial"/>
        <family val="2"/>
      </rPr>
      <t xml:space="preserve"> = Issuer Default Rating</t>
    </r>
  </si>
  <si>
    <t>As mentioned, there are 3 main credit rating agencies (in the western world) : Standard &amp; Poor's, Moody's and Fitch.</t>
  </si>
  <si>
    <t>could be fair in order to estimate actual historical Cd for intermediate PV OL calculation, it is naturally out of question for Cd's regulatory determination, even for a small cap.</t>
  </si>
  <si>
    <t>Thefore, some underlined hyperlinks require login. If the link does not work properly : right click / modify hyperlink / copy address / paste on browser's bar.</t>
  </si>
  <si>
    <t>Rating a GRE above the rating on its govt from §42 (e.g. OTE &amp; Greece).</t>
  </si>
  <si>
    <t>See hereafter for Belgacom &amp; ORA's GRE &amp; SACP profiles.</t>
  </si>
  <si>
    <t>Belgium (AA, but negative outloook x3)</t>
  </si>
  <si>
    <r>
      <t xml:space="preserve">As a matter of fact, </t>
    </r>
    <r>
      <rPr>
        <b/>
        <sz val="10"/>
        <rFont val="Arial"/>
        <family val="2"/>
      </rPr>
      <t>this matrix addresses a company's SACP</t>
    </r>
    <r>
      <rPr>
        <sz val="10"/>
        <rFont val="Arial"/>
        <family val="2"/>
      </rPr>
      <t xml:space="preserve"> : </t>
    </r>
    <r>
      <rPr>
        <i/>
        <sz val="10"/>
        <rFont val="Arial"/>
        <family val="2"/>
      </rPr>
      <t>it does not take into account of external influences, which could pertain in the case of GREs or subsidiaries that in our view may benefit or suffer from affiliation with a stronger or weaker group.</t>
    </r>
  </si>
  <si>
    <t>- Whereas generic SPs are modeled in a steady state.</t>
  </si>
  <si>
    <t>è</t>
  </si>
  <si>
    <t>Preferred dividends sometimes added to gross interests.</t>
  </si>
  <si>
    <t>Ebit sometimes replace by Ebitda.</t>
  </si>
  <si>
    <t>Preferred dividends sometimes added.</t>
  </si>
  <si>
    <t>Belgacom (A &amp; a)</t>
  </si>
  <si>
    <t>Agencies' Key Acronyms</t>
  </si>
  <si>
    <t>Fitch's</t>
  </si>
  <si>
    <r>
      <rPr>
        <b/>
        <sz val="10"/>
        <rFont val="Arial"/>
        <family val="2"/>
      </rPr>
      <t xml:space="preserve">Belgium : </t>
    </r>
    <r>
      <rPr>
        <sz val="10"/>
        <rFont val="Arial"/>
        <family val="2"/>
      </rPr>
      <t xml:space="preserve"> AA+ until Q3 2011 than AA, with a Negative outlook for the 3 agencies, as of today. (Composite rating would be rather AA- without Fitch.)</t>
    </r>
  </si>
  <si>
    <r>
      <t xml:space="preserve">Graphs from Moody's  </t>
    </r>
    <r>
      <rPr>
        <sz val="10"/>
        <color theme="1" tint="0.499984740745262"/>
        <rFont val="Wingdings"/>
        <charset val="2"/>
      </rPr>
      <t>æ</t>
    </r>
  </si>
  <si>
    <t>- And finally, Mobistar's synthetic rating for the realized period, as well as its 'normalized' rating for the forthcoming period.</t>
  </si>
  <si>
    <r>
      <rPr>
        <b/>
        <sz val="10"/>
        <rFont val="Arial"/>
        <family val="2"/>
      </rPr>
      <t>(Historical) Belgacom</t>
    </r>
    <r>
      <rPr>
        <sz val="10"/>
        <rFont val="Arial"/>
        <family val="2"/>
      </rPr>
      <t xml:space="preserve"> </t>
    </r>
    <r>
      <rPr>
        <b/>
        <sz val="10"/>
        <rFont val="Arial"/>
        <family val="2"/>
      </rPr>
      <t>:</t>
    </r>
    <r>
      <rPr>
        <sz val="10"/>
        <rFont val="Arial"/>
        <family val="2"/>
      </rPr>
      <t xml:space="preserve"> A+ until Q3 2011, then A / Stable, 3 notches = 1 rating class below Belgium's. </t>
    </r>
  </si>
  <si>
    <r>
      <t>- Therefore, in our central scenario, there is</t>
    </r>
    <r>
      <rPr>
        <b/>
        <sz val="10"/>
        <rFont val="Arial"/>
        <family val="2"/>
      </rPr>
      <t xml:space="preserve"> no reason to adjust Telenet's current rating</t>
    </r>
    <r>
      <rPr>
        <sz val="10"/>
        <rFont val="Arial"/>
        <family val="2"/>
      </rPr>
      <t xml:space="preserve"> with a stable outlook. </t>
    </r>
  </si>
  <si>
    <r>
      <rPr>
        <b/>
        <sz val="10"/>
        <rFont val="Arial"/>
        <family val="2"/>
      </rPr>
      <t>FT/ORA :</t>
    </r>
    <r>
      <rPr>
        <sz val="10"/>
        <rFont val="Arial"/>
        <family val="2"/>
      </rPr>
      <t xml:space="preserve"> A- then BBB+ from April 2013. 5/6 notches below France : such a spread would not be allowed if FT's GRE status was deemed stronger : FT's ICR  </t>
    </r>
    <r>
      <rPr>
        <sz val="10"/>
        <rFont val="Symbol"/>
        <family val="1"/>
        <charset val="2"/>
      </rPr>
      <t>»</t>
    </r>
    <r>
      <rPr>
        <sz val="10"/>
        <rFont val="Arial"/>
        <family val="2"/>
      </rPr>
      <t xml:space="preserve"> SACP, at least up to a certain point.</t>
    </r>
  </si>
  <si>
    <r>
      <rPr>
        <b/>
        <sz val="10"/>
        <rFont val="Arial"/>
        <family val="2"/>
      </rPr>
      <t>TPS</t>
    </r>
    <r>
      <rPr>
        <sz val="10"/>
        <rFont val="Arial"/>
        <family val="2"/>
      </rPr>
      <t xml:space="preserve"> </t>
    </r>
    <r>
      <rPr>
        <b/>
        <sz val="10"/>
        <rFont val="Arial"/>
        <family val="2"/>
      </rPr>
      <t>:</t>
    </r>
    <r>
      <rPr>
        <sz val="10"/>
        <rFont val="Arial"/>
        <family val="2"/>
      </rPr>
      <t xml:space="preserve"> BBB+ until Aug. 2013 then BBB, </t>
    </r>
    <r>
      <rPr>
        <b/>
        <sz val="10"/>
        <rFont val="Arial"/>
        <family val="2"/>
      </rPr>
      <t>1 notch below ORA.</t>
    </r>
    <r>
      <rPr>
        <sz val="10"/>
        <rFont val="Arial"/>
        <family val="2"/>
      </rPr>
      <t xml:space="preserve"> </t>
    </r>
  </si>
  <si>
    <t>Note that agencies seem to keep some flexibility on whether a downgrade could result from the worsening of one factor or their combined deteroriation.</t>
  </si>
  <si>
    <t>Mkt Cap / Belgacom's Mkt Cap (€)</t>
  </si>
  <si>
    <t>1H12 - 1H13</t>
  </si>
  <si>
    <t>td/cap.</t>
  </si>
  <si>
    <r>
      <rPr>
        <sz val="10"/>
        <rFont val="Wingdings"/>
        <charset val="2"/>
      </rPr>
      <t>ä</t>
    </r>
    <r>
      <rPr>
        <sz val="9"/>
        <rFont val="Arial"/>
        <family val="2"/>
      </rPr>
      <t xml:space="preserve"> </t>
    </r>
    <r>
      <rPr>
        <sz val="10"/>
        <rFont val="Arial"/>
        <family val="2"/>
      </rPr>
      <t>Cd</t>
    </r>
  </si>
  <si>
    <r>
      <rPr>
        <sz val="10"/>
        <rFont val="Wingdings"/>
        <charset val="2"/>
      </rPr>
      <t>ä</t>
    </r>
    <r>
      <rPr>
        <sz val="9"/>
        <rFont val="Arial"/>
        <family val="2"/>
      </rPr>
      <t xml:space="preserve"> </t>
    </r>
    <r>
      <rPr>
        <sz val="10"/>
        <rFont val="Arial"/>
        <family val="2"/>
      </rPr>
      <t>WACC</t>
    </r>
  </si>
  <si>
    <r>
      <t xml:space="preserve">Rating </t>
    </r>
    <r>
      <rPr>
        <sz val="10"/>
        <rFont val="Wingdings"/>
        <charset val="2"/>
      </rPr>
      <t>æ</t>
    </r>
  </si>
  <si>
    <r>
      <rPr>
        <sz val="10"/>
        <rFont val="Wingdings"/>
        <charset val="2"/>
      </rPr>
      <t>ä</t>
    </r>
    <r>
      <rPr>
        <sz val="9"/>
        <rFont val="Arial"/>
        <family val="2"/>
      </rPr>
      <t xml:space="preserve"> </t>
    </r>
    <r>
      <rPr>
        <sz val="10"/>
        <rFont val="Arial"/>
        <family val="2"/>
      </rPr>
      <t>d</t>
    </r>
  </si>
  <si>
    <r>
      <rPr>
        <sz val="10"/>
        <rFont val="Wingdings"/>
        <charset val="2"/>
      </rPr>
      <t>ä</t>
    </r>
    <r>
      <rPr>
        <sz val="9"/>
        <rFont val="Arial"/>
        <family val="2"/>
      </rPr>
      <t xml:space="preserve"> βd</t>
    </r>
  </si>
  <si>
    <r>
      <rPr>
        <sz val="10"/>
        <rFont val="Wingdings"/>
        <charset val="2"/>
      </rPr>
      <t>ä</t>
    </r>
    <r>
      <rPr>
        <sz val="9"/>
        <rFont val="Arial"/>
        <family val="2"/>
      </rPr>
      <t xml:space="preserve"> βa</t>
    </r>
  </si>
  <si>
    <t>Remarks :</t>
  </si>
  <si>
    <r>
      <t>- Logically,</t>
    </r>
    <r>
      <rPr>
        <b/>
        <sz val="10"/>
        <rFont val="Arial"/>
        <family val="2"/>
      </rPr>
      <t xml:space="preserve"> the lower the rating (downgrade), the higher the WACC :</t>
    </r>
  </si>
  <si>
    <r>
      <rPr>
        <sz val="10"/>
        <color theme="1" tint="0.499984740745262"/>
        <rFont val="Wingdings"/>
        <charset val="2"/>
      </rPr>
      <t>ä</t>
    </r>
    <r>
      <rPr>
        <sz val="9"/>
        <color theme="1" tint="0.499984740745262"/>
        <rFont val="Arial"/>
        <family val="2"/>
      </rPr>
      <t xml:space="preserve"> </t>
    </r>
    <r>
      <rPr>
        <sz val="10"/>
        <color theme="1" tint="0.499984740745262"/>
        <rFont val="Arial"/>
        <family val="2"/>
      </rPr>
      <t>Cd</t>
    </r>
  </si>
  <si>
    <r>
      <rPr>
        <sz val="10"/>
        <color theme="1" tint="0.499984740745262"/>
        <rFont val="Wingdings"/>
        <charset val="2"/>
      </rPr>
      <t>æ</t>
    </r>
    <r>
      <rPr>
        <sz val="9"/>
        <color theme="1" tint="0.499984740745262"/>
        <rFont val="Arial"/>
        <family val="2"/>
      </rPr>
      <t xml:space="preserve"> </t>
    </r>
    <r>
      <rPr>
        <sz val="10"/>
        <color theme="1" tint="0.499984740745262"/>
        <rFont val="Arial"/>
        <family val="2"/>
      </rPr>
      <t>PV OL</t>
    </r>
  </si>
  <si>
    <r>
      <rPr>
        <sz val="10"/>
        <color theme="1" tint="0.499984740745262"/>
        <rFont val="Wingdings"/>
        <charset val="2"/>
      </rPr>
      <t>æ</t>
    </r>
    <r>
      <rPr>
        <sz val="9"/>
        <color theme="1" tint="0.499984740745262"/>
        <rFont val="Arial"/>
        <family val="2"/>
      </rPr>
      <t xml:space="preserve"> D*</t>
    </r>
  </si>
  <si>
    <r>
      <rPr>
        <sz val="10"/>
        <color theme="1" tint="0.499984740745262"/>
        <rFont val="Wingdings"/>
        <charset val="2"/>
      </rPr>
      <t>æ</t>
    </r>
    <r>
      <rPr>
        <sz val="9"/>
        <color theme="1" tint="0.499984740745262"/>
        <rFont val="Arial"/>
        <family val="2"/>
      </rPr>
      <t xml:space="preserve"> </t>
    </r>
    <r>
      <rPr>
        <sz val="10"/>
        <color theme="1" tint="0.499984740745262"/>
        <rFont val="Arial"/>
        <family val="2"/>
      </rPr>
      <t>g*</t>
    </r>
  </si>
  <si>
    <r>
      <rPr>
        <sz val="10"/>
        <rFont val="Wingdings"/>
        <charset val="2"/>
      </rPr>
      <t>ä</t>
    </r>
    <r>
      <rPr>
        <sz val="9"/>
        <rFont val="Arial"/>
        <family val="2"/>
      </rPr>
      <t xml:space="preserve"> </t>
    </r>
    <r>
      <rPr>
        <sz val="10"/>
        <rFont val="Arial"/>
        <family val="2"/>
      </rPr>
      <t>WACC : main rating's (direct) impact</t>
    </r>
  </si>
  <si>
    <t>RATING METRICS</t>
  </si>
  <si>
    <t>Note that, in their reports, agencies and analysts do not refer to market-value-based measures (i.e their equity-side counterparts), thus to market gearings g.</t>
  </si>
  <si>
    <t>Preferred stocks sometimes added to tD.</t>
  </si>
  <si>
    <t>OL - mplications for lessees' credit</t>
  </si>
  <si>
    <t>Preliminary Remarks</t>
  </si>
  <si>
    <t>- Implemented metrics with values for rated SPs and comparison with their ratings.</t>
  </si>
  <si>
    <r>
      <rPr>
        <b/>
        <i/>
        <sz val="10"/>
        <color theme="1" tint="0.499984740745262"/>
        <rFont val="Arial"/>
        <family val="2"/>
      </rPr>
      <t>Negative ratings pressure</t>
    </r>
    <r>
      <rPr>
        <i/>
        <sz val="10"/>
        <color theme="1" tint="0.499984740745262"/>
        <rFont val="Arial"/>
        <family val="2"/>
      </rPr>
      <t xml:space="preserve"> could ensue</t>
    </r>
    <r>
      <rPr>
        <b/>
        <i/>
        <sz val="10"/>
        <color theme="1" tint="0.499984740745262"/>
        <rFont val="Arial"/>
        <family val="2"/>
      </rPr>
      <t xml:space="preserve"> if </t>
    </r>
    <r>
      <rPr>
        <i/>
        <sz val="10"/>
        <color theme="1" tint="0.499984740745262"/>
        <rFont val="Arial"/>
        <family val="2"/>
      </rPr>
      <t xml:space="preserve">: (i) leverage moves towards a ratio of </t>
    </r>
    <r>
      <rPr>
        <b/>
        <i/>
        <sz val="10"/>
        <color theme="1" tint="0.499984740745262"/>
        <rFont val="Arial"/>
        <family val="2"/>
      </rPr>
      <t>6.0x</t>
    </r>
    <r>
      <rPr>
        <i/>
        <sz val="10"/>
        <color theme="1" tint="0.499984740745262"/>
        <rFont val="Arial"/>
        <family val="2"/>
      </rPr>
      <t xml:space="preserve"> Gross Debt/ EBITDA (as adjusted by Moody's) and/or the company experiences a marked deterioration in operating performance; (ii) free cash flow (pre-dividend) turns negative for a sustained period of time and (iii) liquidity becomes constrained.</t>
    </r>
  </si>
  <si>
    <r>
      <t xml:space="preserve">- </t>
    </r>
    <r>
      <rPr>
        <b/>
        <sz val="10"/>
        <rFont val="Arial"/>
        <family val="2"/>
      </rPr>
      <t>RCF</t>
    </r>
    <r>
      <rPr>
        <sz val="10"/>
        <rFont val="Arial"/>
        <family val="2"/>
      </rPr>
      <t xml:space="preserve"> = Retained cash flow after deducting dividends</t>
    </r>
  </si>
  <si>
    <r>
      <t xml:space="preserve">- For </t>
    </r>
    <r>
      <rPr>
        <b/>
        <sz val="10"/>
        <rFont val="Arial"/>
        <family val="2"/>
      </rPr>
      <t>Damodaran</t>
    </r>
    <r>
      <rPr>
        <sz val="10"/>
        <rFont val="Arial"/>
        <family val="2"/>
      </rPr>
      <t xml:space="preserve">, the (Ebit) </t>
    </r>
    <r>
      <rPr>
        <b/>
        <sz val="10"/>
        <rFont val="Arial"/>
        <family val="2"/>
      </rPr>
      <t>coverage ratio</t>
    </r>
    <r>
      <rPr>
        <sz val="10"/>
        <rFont val="Arial"/>
        <family val="2"/>
      </rPr>
      <t xml:space="preserve"> is the most appropriate metric to derive synthetic ratings. He also adds in 'Applied Corporate Finance' : </t>
    </r>
  </si>
  <si>
    <t>(Hence, this relatively long analysis.)</t>
  </si>
  <si>
    <t>AGENCIES APPROACHES</t>
  </si>
  <si>
    <r>
      <t xml:space="preserve">- </t>
    </r>
    <r>
      <rPr>
        <b/>
        <sz val="10"/>
        <rFont val="Arial"/>
        <family val="2"/>
      </rPr>
      <t>FFO</t>
    </r>
    <r>
      <rPr>
        <sz val="10"/>
        <rFont val="Arial"/>
        <family val="2"/>
      </rPr>
      <t xml:space="preserve"> </t>
    </r>
    <r>
      <rPr>
        <b/>
        <sz val="10"/>
        <rFont val="Arial"/>
        <family val="2"/>
      </rPr>
      <t>(used for FFO/tD)</t>
    </r>
    <r>
      <rPr>
        <sz val="10"/>
        <rFont val="Arial"/>
        <family val="2"/>
      </rPr>
      <t xml:space="preserve"> = Funds from operations = </t>
    </r>
    <r>
      <rPr>
        <sz val="10"/>
        <color theme="0" tint="-0.499984740745262"/>
        <rFont val="Arial"/>
        <family val="2"/>
      </rPr>
      <t>Net income from continuing operations + Depreciation + Amortization + deferred income taxes + other noncash items</t>
    </r>
    <r>
      <rPr>
        <sz val="9"/>
        <rFont val="Arial"/>
        <family val="2"/>
      </rPr>
      <t xml:space="preserve"> </t>
    </r>
    <r>
      <rPr>
        <sz val="9"/>
        <rFont val="Symbol"/>
        <family val="1"/>
        <charset val="2"/>
      </rPr>
      <t>»</t>
    </r>
    <r>
      <rPr>
        <sz val="9"/>
        <rFont val="Arial"/>
        <family val="2"/>
      </rPr>
      <t xml:space="preserve"> </t>
    </r>
    <r>
      <rPr>
        <sz val="10"/>
        <rFont val="Arial"/>
        <family val="2"/>
      </rPr>
      <t>Ebitda - (tax - deferred tax) - interest</t>
    </r>
  </si>
  <si>
    <t>- The same applies to generic SPs, but then the key question is from which SP(s) would they be initially profiled. This is progressively addressed in the next section.</t>
  </si>
  <si>
    <t>- Reversing axis and drawing vertical lines from given tD/Ebitda, for instance, in order to determine ratings would be misleading.</t>
  </si>
  <si>
    <t>So, we need to further investigate ratings drivers, yet within reason : credit rating - an industry with very few players - is a complex topic by itself. This section provides :</t>
  </si>
  <si>
    <t xml:space="preserve">tD/Capital indicatives ranges are for average corporates. </t>
  </si>
  <si>
    <t>See ex. with US utilities  :</t>
  </si>
  <si>
    <t>They substantially differ, for instance, for utilities and in our case with Telcos (see above benchmark, an apparent paradox being their values closer to our market-based g*).</t>
  </si>
  <si>
    <t>(Profitability unknown/not investigated)</t>
  </si>
  <si>
    <t>(See above Mkt Cap/Belgacom's)</t>
  </si>
  <si>
    <t>- Some intermediary judgements and preliminary estimates.</t>
  </si>
  <si>
    <r>
      <rPr>
        <b/>
        <sz val="10"/>
        <rFont val="Arial"/>
        <family val="2"/>
      </rPr>
      <t>ii)</t>
    </r>
    <r>
      <rPr>
        <sz val="10"/>
        <rFont val="Arial"/>
        <family val="2"/>
      </rPr>
      <t xml:space="preserve"> However, it could be easily and reasonably assume that the</t>
    </r>
    <r>
      <rPr>
        <b/>
        <sz val="10"/>
        <rFont val="Arial"/>
        <family val="2"/>
      </rPr>
      <t xml:space="preserve"> govt support should be 'Low'</t>
    </r>
    <r>
      <rPr>
        <sz val="10"/>
        <rFont val="Arial"/>
        <family val="2"/>
      </rPr>
      <t xml:space="preserve"> for a Belgian generic integrated SP : see above description of 'Low' govt support.</t>
    </r>
  </si>
  <si>
    <t xml:space="preserve">- (One may also consider that 'Case 2' would suit Belgacom's Fixed services, whereas 'Case 1' would be acceptable for Proximus. But this determination is not about Belgacom's branches.) </t>
  </si>
  <si>
    <r>
      <t xml:space="preserve">- 15 with 1 notch </t>
    </r>
    <r>
      <rPr>
        <sz val="10"/>
        <rFont val="Symbol"/>
        <family val="1"/>
        <charset val="2"/>
      </rPr>
      <t>D</t>
    </r>
    <r>
      <rPr>
        <sz val="10"/>
        <rFont val="Arial"/>
        <family val="2"/>
      </rPr>
      <t xml:space="preserve"> from GIR</t>
    </r>
  </si>
  <si>
    <r>
      <t xml:space="preserve">- 5 with 2 notch </t>
    </r>
    <r>
      <rPr>
        <sz val="10"/>
        <rFont val="Symbol"/>
        <family val="1"/>
        <charset val="2"/>
      </rPr>
      <t>D</t>
    </r>
    <r>
      <rPr>
        <sz val="10"/>
        <rFont val="Arial"/>
        <family val="2"/>
      </rPr>
      <t xml:space="preserve"> from GIR</t>
    </r>
  </si>
  <si>
    <r>
      <t xml:space="preserve">- 1 with 3 notch </t>
    </r>
    <r>
      <rPr>
        <sz val="10"/>
        <rFont val="Symbol"/>
        <family val="1"/>
        <charset val="2"/>
      </rPr>
      <t>D</t>
    </r>
    <r>
      <rPr>
        <sz val="10"/>
        <rFont val="Arial"/>
        <family val="2"/>
      </rPr>
      <t xml:space="preserve"> from GIR</t>
    </r>
  </si>
  <si>
    <t>As of Dec. 2010. Belgacom not included.</t>
  </si>
  <si>
    <r>
      <t xml:space="preserve">Moody's Rating Methodology : Global </t>
    </r>
    <r>
      <rPr>
        <b/>
        <u/>
        <sz val="10"/>
        <rFont val="Arial"/>
        <family val="2"/>
      </rPr>
      <t>Telecommunications</t>
    </r>
    <r>
      <rPr>
        <u/>
        <sz val="10"/>
        <rFont val="Arial"/>
        <family val="2"/>
      </rPr>
      <t xml:space="preserve"> Industry (pdf, Dec. 2010)</t>
    </r>
  </si>
  <si>
    <t xml:space="preserve">This paragraph presents mainly for info </t>
  </si>
  <si>
    <t>- 4 = GIR</t>
  </si>
  <si>
    <t>Aggregate Weighted Total Factor Score x give then and a Grid-Indicated Rating :</t>
  </si>
  <si>
    <t>- The GRI’s standalone risk (BCA) and the supporting government's rating</t>
  </si>
  <si>
    <t xml:space="preserve">- Dependence : an estimate of the default correlation between the two entities, incl. various Scorecard estimates </t>
  </si>
  <si>
    <r>
      <t xml:space="preserve">In </t>
    </r>
    <r>
      <rPr>
        <u/>
        <sz val="10"/>
        <rFont val="Arial"/>
        <family val="2"/>
      </rPr>
      <t xml:space="preserve">Rating Methodology - </t>
    </r>
    <r>
      <rPr>
        <b/>
        <u/>
        <sz val="10"/>
        <rFont val="Arial"/>
        <family val="2"/>
      </rPr>
      <t>GRIs</t>
    </r>
    <r>
      <rPr>
        <u/>
        <sz val="10"/>
        <rFont val="Arial"/>
        <family val="2"/>
      </rPr>
      <t xml:space="preserve"> (pdf, July 2010)</t>
    </r>
    <r>
      <rPr>
        <sz val="10"/>
        <rFont val="Arial"/>
        <family val="2"/>
      </rPr>
      <t>, as for S&amp;P's, Moody's Joint Default Analysis accounts for :</t>
    </r>
  </si>
  <si>
    <t>- Support : an estimate of the likelihood of extraordinary government support, with % Ownership as the sole metric.</t>
  </si>
  <si>
    <t>This would require Grid estimates for Belgacom anyway (n/a).</t>
  </si>
  <si>
    <r>
      <rPr>
        <sz val="10"/>
        <rFont val="Arial"/>
        <family val="2"/>
      </rPr>
      <t xml:space="preserve">Fitch's </t>
    </r>
    <r>
      <rPr>
        <u/>
        <sz val="10"/>
        <rFont val="Arial"/>
        <family val="2"/>
      </rPr>
      <t xml:space="preserve">Corporate Rating Methodology </t>
    </r>
  </si>
  <si>
    <t>- On its website, Fitch mentions a sector specific report, Rating Telecom Companies (Aug 2012), requiring premium access.</t>
  </si>
  <si>
    <t>Belgium's rating history by Moody's</t>
  </si>
  <si>
    <t>WIP (just for table's illustration)</t>
  </si>
  <si>
    <t>S&amp;P's Ratios and Adjustments</t>
  </si>
  <si>
    <r>
      <rPr>
        <sz val="10"/>
        <rFont val="Arial"/>
        <family val="2"/>
      </rPr>
      <t xml:space="preserve">In </t>
    </r>
    <r>
      <rPr>
        <u/>
        <sz val="10"/>
        <rFont val="Arial"/>
        <family val="2"/>
      </rPr>
      <t>Key Credit Factors for the Telecommunications and Cable Industry</t>
    </r>
    <r>
      <rPr>
        <sz val="10"/>
        <rFont val="Arial"/>
        <family val="2"/>
      </rPr>
      <t>,</t>
    </r>
  </si>
  <si>
    <r>
      <t xml:space="preserve">Competitive position </t>
    </r>
    <r>
      <rPr>
        <sz val="10"/>
        <rFont val="Symbol"/>
        <family val="1"/>
        <charset val="2"/>
      </rPr>
      <t>¯</t>
    </r>
  </si>
  <si>
    <t>Group comparison</t>
  </si>
  <si>
    <t>- Operating efficiency</t>
  </si>
  <si>
    <r>
      <t xml:space="preserve">- Scale, scope, and diversity   </t>
    </r>
    <r>
      <rPr>
        <sz val="10"/>
        <rFont val="Symbol"/>
        <family val="1"/>
        <charset val="2"/>
      </rPr>
      <t>®</t>
    </r>
  </si>
  <si>
    <r>
      <t xml:space="preserve">- Competitive advantage </t>
    </r>
    <r>
      <rPr>
        <b/>
        <i/>
        <sz val="10"/>
        <rFont val="Arial"/>
        <family val="2"/>
      </rPr>
      <t>(including market share)</t>
    </r>
  </si>
  <si>
    <t>Geographic diversity</t>
  </si>
  <si>
    <t>Factors that influence business stability and enable realization of scale economies, incl. :</t>
  </si>
  <si>
    <t>Ebitda margin with a 3-point scale : below avg. (&lt; 25% Telecoms, &lt; 30% Cable) / avg. / above avg. (&gt; 40%)</t>
  </si>
  <si>
    <r>
      <t xml:space="preserve">- Profitability  </t>
    </r>
    <r>
      <rPr>
        <sz val="10"/>
        <rFont val="Symbol"/>
        <family val="1"/>
        <charset val="2"/>
      </rPr>
      <t>®</t>
    </r>
  </si>
  <si>
    <t>Footprint's size, network or other segment-relevant measures</t>
  </si>
  <si>
    <t>Product diversity incl. ability to offer a competitive suite of services</t>
  </si>
  <si>
    <t>Volatility of profitability a six-point scale using standard error of regression.</t>
  </si>
  <si>
    <t>- "Size" encompasses or is closely related to several other notions such as scale, scope, market share, etc.</t>
  </si>
  <si>
    <r>
      <t xml:space="preserve">- (And one may be dismayed by metrics's weights, although they are not fully independent  </t>
    </r>
    <r>
      <rPr>
        <sz val="10"/>
        <rFont val="Wingdings"/>
        <charset val="2"/>
      </rPr>
      <t>æ</t>
    </r>
    <r>
      <rPr>
        <sz val="10"/>
        <rFont val="Arial"/>
        <family val="2"/>
      </rPr>
      <t>)</t>
    </r>
  </si>
  <si>
    <t>Table below ranks SPs first by rating, then by LTM (or last) tD*/Ebitda*.</t>
  </si>
  <si>
    <t>Page 499 (freely available online).</t>
  </si>
  <si>
    <r>
      <t xml:space="preserve">(Temporarily) set at A for the full period : corporate A+ yields not collected but </t>
    </r>
    <r>
      <rPr>
        <sz val="10"/>
        <color theme="1" tint="0.499984740745262"/>
        <rFont val="Symbol"/>
        <family val="1"/>
        <charset val="2"/>
      </rPr>
      <t>D</t>
    </r>
    <r>
      <rPr>
        <sz val="10"/>
        <color theme="1" tint="0.499984740745262"/>
        <rFont val="Arial"/>
        <family val="2"/>
      </rPr>
      <t xml:space="preserve"> with AA is already very slim.</t>
    </r>
  </si>
  <si>
    <r>
      <t xml:space="preserve">- From previous D*/Ebitda* assumptions on 'normalized' Belgacom's (cf. 'Gearings'), tD*/Ebitda* adjusted for </t>
    </r>
    <r>
      <rPr>
        <sz val="10"/>
        <rFont val="Symbol"/>
        <family val="1"/>
        <charset val="2"/>
      </rPr>
      <t>D</t>
    </r>
    <r>
      <rPr>
        <sz val="9"/>
        <rFont val="Arial"/>
        <family val="2"/>
      </rPr>
      <t xml:space="preserve"> </t>
    </r>
    <r>
      <rPr>
        <sz val="10"/>
        <rFont val="Arial"/>
        <family val="2"/>
      </rPr>
      <t xml:space="preserve">agencies/Marpij become   </t>
    </r>
    <r>
      <rPr>
        <sz val="10"/>
        <rFont val="Symbol"/>
        <family val="1"/>
        <charset val="2"/>
      </rPr>
      <t>®</t>
    </r>
  </si>
  <si>
    <t>- But, we notice that our 3Q11 value is around 0.2 lower than 1.5x mentioned both by S&amp;P's and Moody's at that time. We therefore also add this spread.</t>
  </si>
  <si>
    <t>­</t>
  </si>
  <si>
    <t>Remark : as an anecdotal observation, it seems that, if Belgacom were to signicantly and quickly change its financial policy, credit analysts might not appreciate the surprise but a move towards higher financial leverage would not be in their mind utterly heretic either (allocating some newly raised funds also to domestic "transformational" projects?).</t>
  </si>
  <si>
    <t>RATING VARIATIONS</t>
  </si>
  <si>
    <t>Quaterly composite ratings for βd (simplification for βd's weekly or daily debt premium component), yearly for PV OL - with (pending possible improvements) all ratings set at current values,</t>
  </si>
  <si>
    <t>BIPT 2013 RATING</t>
  </si>
  <si>
    <r>
      <t xml:space="preserve">è </t>
    </r>
    <r>
      <rPr>
        <b/>
        <sz val="10"/>
        <rFont val="Arial"/>
        <family val="2"/>
      </rPr>
      <t>Metrics</t>
    </r>
  </si>
  <si>
    <t>We rather move to Moody's bottom-line, i.e. possibly adjust latter estimates to integrate its assigned rating to Belgacom.</t>
  </si>
  <si>
    <r>
      <rPr>
        <b/>
        <sz val="10"/>
        <rFont val="Wingdings"/>
        <charset val="2"/>
      </rPr>
      <t>è</t>
    </r>
    <r>
      <rPr>
        <b/>
        <sz val="10"/>
        <rFont val="Arial"/>
        <family val="2"/>
      </rPr>
      <t xml:space="preserve"> Hypothetical Belgacom </t>
    </r>
  </si>
  <si>
    <t>- We could hardly find more contrasting financial policies than between Belgacom and Telenet - which incidentally is only 1/4 less 'Mobile' than Belgacom.</t>
  </si>
  <si>
    <r>
      <rPr>
        <b/>
        <sz val="10"/>
        <rFont val="Arial"/>
        <family val="2"/>
      </rPr>
      <t>i)</t>
    </r>
    <r>
      <rPr>
        <sz val="10"/>
        <rFont val="Arial"/>
        <family val="2"/>
      </rPr>
      <t xml:space="preserve"> Regarding the issue of the relationship between the ratings on a controling shareholder and its affiliates, we note :</t>
    </r>
  </si>
  <si>
    <r>
      <rPr>
        <b/>
        <sz val="10"/>
        <rFont val="Arial"/>
        <family val="2"/>
      </rPr>
      <t>ii)</t>
    </r>
    <r>
      <rPr>
        <sz val="10"/>
        <rFont val="Arial"/>
        <family val="2"/>
      </rPr>
      <t xml:space="preserve"> On a standalone basis, we also remind that : </t>
    </r>
  </si>
  <si>
    <t>(+ Ebitda margin)</t>
  </si>
  <si>
    <r>
      <rPr>
        <b/>
        <sz val="10"/>
        <rFont val="Arial"/>
        <family val="2"/>
      </rPr>
      <t>iii)</t>
    </r>
    <r>
      <rPr>
        <sz val="10"/>
        <rFont val="Arial"/>
        <family val="2"/>
      </rPr>
      <t xml:space="preserve"> Ebitda stands at the denominator of key credit rating financial ratios. For FT &amp; TPS, Ebitda decline along with rather dim perspectives seem the main driver for rating &amp; outlook downgrades.</t>
    </r>
  </si>
  <si>
    <r>
      <rPr>
        <sz val="10"/>
        <rFont val="Wingdings"/>
        <charset val="2"/>
      </rPr>
      <t>è</t>
    </r>
    <r>
      <rPr>
        <b/>
        <sz val="10"/>
        <rFont val="Arial"/>
        <family val="2"/>
      </rPr>
      <t xml:space="preserve"> Profile</t>
    </r>
  </si>
  <si>
    <r>
      <rPr>
        <b/>
        <sz val="10"/>
        <rFont val="Wingdings"/>
        <charset val="2"/>
      </rPr>
      <t>è</t>
    </r>
    <r>
      <rPr>
        <b/>
        <sz val="10"/>
        <rFont val="Arial"/>
        <family val="2"/>
      </rPr>
      <t xml:space="preserve"> Hypothetical Telenet</t>
    </r>
  </si>
  <si>
    <r>
      <t xml:space="preserve">- Similarily, </t>
    </r>
    <r>
      <rPr>
        <b/>
        <sz val="10"/>
        <rFont val="Arial"/>
        <family val="2"/>
      </rPr>
      <t xml:space="preserve">Koller et al </t>
    </r>
    <r>
      <rPr>
        <sz val="10"/>
        <rFont val="Arial"/>
        <family val="2"/>
      </rPr>
      <t>consider in Valuation</t>
    </r>
    <r>
      <rPr>
        <b/>
        <sz val="10"/>
        <rFont val="Arial"/>
        <family val="2"/>
      </rPr>
      <t xml:space="preserve"> </t>
    </r>
    <r>
      <rPr>
        <sz val="10"/>
        <rFont val="Arial"/>
        <family val="2"/>
      </rPr>
      <t>(McKinsey) that coverage is the main rating's driver, but not only :</t>
    </r>
  </si>
  <si>
    <t>Required data series could not be collected to build appropriate estimates for FFO and coverage ratios (preferably in a benchmark analysis, although publicly available agency notes mention some thresholds which are relevant to the sector).</t>
  </si>
  <si>
    <t xml:space="preserve">is also interesting and intelligible. But it does not provide any data with mentioned indicators (and Belgacom is not rated by Fitch, unlike Telenet). </t>
  </si>
  <si>
    <r>
      <rPr>
        <b/>
        <sz val="10"/>
        <rFont val="Arial"/>
        <family val="2"/>
      </rPr>
      <t>i)</t>
    </r>
    <r>
      <rPr>
        <sz val="10"/>
        <rFont val="Arial"/>
        <family val="2"/>
      </rPr>
      <t xml:space="preserve"> As stated, our hypothetical scenarios assume variations of key metrics, FFO*/tD* in particular (and coverage not mentioned here), along with </t>
    </r>
    <r>
      <rPr>
        <b/>
        <sz val="10"/>
        <rFont val="Arial"/>
        <family val="2"/>
      </rPr>
      <t>changes in indebtedness measured by tD*/Ebitda*</t>
    </r>
    <r>
      <rPr>
        <sz val="10"/>
        <rFont val="Arial"/>
        <family val="2"/>
      </rPr>
      <t xml:space="preserve"> (in absence of reference to tD*/Capital), all other things being equal. </t>
    </r>
  </si>
  <si>
    <t>- Analysts comments, and S&amp;P's and Moody's methodologies outlined in the previous section, suggest that Belgacom would likely lose one notch in the central scenario.</t>
  </si>
  <si>
    <r>
      <rPr>
        <b/>
        <sz val="10"/>
        <rFont val="Arial"/>
        <family val="2"/>
      </rPr>
      <t>iii)</t>
    </r>
    <r>
      <rPr>
        <sz val="10"/>
        <rFont val="Arial"/>
        <family val="2"/>
      </rPr>
      <t xml:space="preserve"> Then, given S&amp;P's GRE table for </t>
    </r>
    <r>
      <rPr>
        <b/>
        <sz val="10"/>
        <rFont val="Arial"/>
        <family val="2"/>
      </rPr>
      <t>Moderate likelihood of</t>
    </r>
    <r>
      <rPr>
        <sz val="10"/>
        <rFont val="Arial"/>
        <family val="2"/>
      </rPr>
      <t xml:space="preserve"> </t>
    </r>
    <r>
      <rPr>
        <b/>
        <sz val="10"/>
        <rFont val="Arial"/>
        <family val="2"/>
      </rPr>
      <t>govt support</t>
    </r>
    <r>
      <rPr>
        <sz val="10"/>
        <rFont val="Arial"/>
        <family val="2"/>
      </rPr>
      <t xml:space="preserve">, final Belgacom's ICR would also lose one notch only in the Low scenario. The same could apply according to Moody's perspective, although this is slightly less clear : </t>
    </r>
  </si>
  <si>
    <t>- Yet, Moody's didn't downgrade Belgacom as S&amp;P's did when Belgium was downgraded (but it did it twice in the preceding 3 years)</t>
  </si>
  <si>
    <t>- Used terms suggest that Moody's consider a slightly stronger Belgacom - govt relationship</t>
  </si>
  <si>
    <t xml:space="preserve">Eventually, no impact for the composite rating based on the lowest rating if there is only one notch spread </t>
  </si>
  <si>
    <r>
      <rPr>
        <b/>
        <sz val="10"/>
        <rFont val="Arial"/>
        <family val="2"/>
      </rPr>
      <t xml:space="preserve">i) </t>
    </r>
    <r>
      <rPr>
        <sz val="10"/>
        <rFont val="Arial"/>
        <family val="2"/>
      </rPr>
      <t xml:space="preserve">The </t>
    </r>
    <r>
      <rPr>
        <b/>
        <sz val="10"/>
        <rFont val="Arial"/>
        <family val="2"/>
      </rPr>
      <t>GRE issue</t>
    </r>
    <r>
      <rPr>
        <sz val="10"/>
        <rFont val="Arial"/>
        <family val="2"/>
      </rPr>
      <t xml:space="preserve"> seems to further complexifies rating estimation since it requires additional assumptions about the generic SP's profile, at least in Belgium :</t>
    </r>
  </si>
  <si>
    <t>- On one hand, there is an incumbent SP with a clear GRE status</t>
  </si>
  <si>
    <t xml:space="preserve">- On the other, there are alternative SPs without any GRE privilege, but still benefiting from some sort of supoport by their respective main shareholders, as it is reminded in the next section. </t>
  </si>
  <si>
    <r>
      <t xml:space="preserve">We may rate the GRE the same as its </t>
    </r>
    <r>
      <rPr>
        <b/>
        <i/>
        <sz val="10"/>
        <rFont val="Arial"/>
        <family val="2"/>
      </rPr>
      <t>SACP</t>
    </r>
    <r>
      <rPr>
        <i/>
        <sz val="10"/>
        <rFont val="Arial"/>
        <family val="2"/>
      </rPr>
      <t xml:space="preserve"> where we believe that the likelihood of govt support is </t>
    </r>
    <r>
      <rPr>
        <b/>
        <i/>
        <sz val="10"/>
        <rFont val="Arial"/>
        <family val="2"/>
      </rPr>
      <t>Low</t>
    </r>
    <r>
      <rPr>
        <i/>
        <sz val="10"/>
        <rFont val="Arial"/>
        <family val="2"/>
      </rPr>
      <t xml:space="preserve"> (..) This is the case, for instance, for </t>
    </r>
    <r>
      <rPr>
        <b/>
        <i/>
        <sz val="10"/>
        <rFont val="Arial"/>
        <family val="2"/>
      </rPr>
      <t>a GRE performing a function that other market participants could easily undertake</t>
    </r>
    <r>
      <rPr>
        <i/>
        <sz val="10"/>
        <rFont val="Arial"/>
        <family val="2"/>
      </rPr>
      <t xml:space="preserve"> and that the private sector usually operates in other countries, </t>
    </r>
    <r>
      <rPr>
        <b/>
        <i/>
        <sz val="10"/>
        <rFont val="Arial"/>
        <family val="2"/>
      </rPr>
      <t>or where the government acts mostly as a regulator and its interventions have the primary objective of enhancing (or in some cases protecting) the functioning of the relevant industry segment, regardless of ownership</t>
    </r>
    <r>
      <rPr>
        <i/>
        <sz val="10"/>
        <rFont val="Arial"/>
        <family val="2"/>
      </rPr>
      <t>.</t>
    </r>
  </si>
  <si>
    <r>
      <t xml:space="preserve">So 'Low' remains an appropriate characterization </t>
    </r>
    <r>
      <rPr>
        <sz val="10"/>
        <rFont val="Symbol"/>
        <family val="1"/>
        <charset val="2"/>
      </rPr>
      <t>®</t>
    </r>
    <r>
      <rPr>
        <sz val="10"/>
        <rFont val="Arial"/>
        <family val="2"/>
      </rPr>
      <t xml:space="preserve"> </t>
    </r>
    <r>
      <rPr>
        <b/>
        <sz val="10"/>
        <rFont val="Arial"/>
        <family val="2"/>
      </rPr>
      <t>ICR = SACP</t>
    </r>
  </si>
  <si>
    <r>
      <t xml:space="preserve">Moody's lists </t>
    </r>
    <r>
      <rPr>
        <i/>
        <sz val="10"/>
        <rFont val="Arial"/>
        <family val="2"/>
      </rPr>
      <t>assumptions, limitations and rating considerations that are not covered in the Grid</t>
    </r>
    <r>
      <rPr>
        <sz val="10"/>
        <rFont val="Arial"/>
        <family val="2"/>
      </rPr>
      <t>, including :</t>
    </r>
  </si>
  <si>
    <t>- Its 30p. dedicated to the telecoms sector are very pedagogic (a bit old and very global, though). Its final sections might also be considered as an invitation to humility for practitioners : with its own data, analyses and analytical grid, Moody's seldom end up with Grid-Indicated Ratings (GIR) matching its own assigned ratings. See mentioned caveats for Moody's Grid</t>
  </si>
  <si>
    <t>GRE - Moderate govt support</t>
  </si>
  <si>
    <t>- Adjusted rating estimates for already rated Belgian SPs, along with their 'normalized' values/assumptions from the 'Gearing' sheet,</t>
  </si>
  <si>
    <t>- Adjustements also for generic SPs' ratings from Belgacom's,</t>
  </si>
  <si>
    <r>
      <rPr>
        <b/>
        <sz val="10"/>
        <rFont val="Arial"/>
        <family val="2"/>
      </rPr>
      <t>ii)</t>
    </r>
    <r>
      <rPr>
        <sz val="10"/>
        <rFont val="Arial"/>
        <family val="2"/>
      </rPr>
      <t xml:space="preserve"> Regarding </t>
    </r>
    <r>
      <rPr>
        <b/>
        <sz val="10"/>
        <rFont val="Arial"/>
        <family val="2"/>
      </rPr>
      <t>SACP/BCA</t>
    </r>
    <r>
      <rPr>
        <sz val="10"/>
        <rFont val="Arial"/>
        <family val="2"/>
      </rPr>
      <t xml:space="preserve"> ratings :</t>
    </r>
  </si>
  <si>
    <r>
      <rPr>
        <b/>
        <sz val="10"/>
        <rFont val="Wingdings"/>
        <charset val="2"/>
      </rPr>
      <t>è</t>
    </r>
    <r>
      <rPr>
        <b/>
        <sz val="10"/>
        <rFont val="Arial"/>
        <family val="2"/>
      </rPr>
      <t xml:space="preserve"> Revised Generic Ratings</t>
    </r>
  </si>
  <si>
    <t xml:space="preserve">- With a smaller scale, the hypothetical SP may hardly outperform Belgacom's already 'Strong' business profile </t>
  </si>
  <si>
    <r>
      <t>- All these factors weight in agencies' assessment of the '</t>
    </r>
    <r>
      <rPr>
        <b/>
        <sz val="10"/>
        <rFont val="Arial"/>
        <family val="2"/>
      </rPr>
      <t xml:space="preserve">Business Risk' profile. </t>
    </r>
    <r>
      <rPr>
        <sz val="10"/>
        <rFont val="Arial"/>
        <family val="2"/>
      </rPr>
      <t>This part of their analyses is addressed aside from all other previously mentioned indicators, which regard 'Financial Strength' (although they are not fully independent).</t>
    </r>
  </si>
  <si>
    <t>- Even if Belgian SPs enjoyed some geographic diversity (which is not the case, BICS and ORA Luxembourg aside), the generic SP ought to be a pure-domestic player - yet fully covering the Kingdom.</t>
  </si>
  <si>
    <t>Belgacom may confirm ?</t>
  </si>
  <si>
    <t>(Then 1 / 0 / 1 notche)</t>
  </si>
  <si>
    <r>
      <t xml:space="preserve">- For a stand-alone Mobile SP : between 'Minimal' and 'Modest' </t>
    </r>
    <r>
      <rPr>
        <b/>
        <sz val="10"/>
        <color theme="1"/>
        <rFont val="Symbol"/>
        <family val="1"/>
        <charset val="2"/>
      </rPr>
      <t>®</t>
    </r>
    <r>
      <rPr>
        <b/>
        <sz val="9"/>
        <color theme="1"/>
        <rFont val="Arial"/>
        <family val="2"/>
      </rPr>
      <t xml:space="preserve"> </t>
    </r>
    <r>
      <rPr>
        <b/>
        <sz val="10"/>
        <color theme="1"/>
        <rFont val="Arial"/>
        <family val="2"/>
      </rPr>
      <t>SACP around bbb</t>
    </r>
  </si>
  <si>
    <r>
      <t xml:space="preserve">- For a stand-alone Fixed : 'Intermediate' SP </t>
    </r>
    <r>
      <rPr>
        <b/>
        <sz val="10"/>
        <color theme="1"/>
        <rFont val="Symbol"/>
        <family val="1"/>
        <charset val="2"/>
      </rPr>
      <t>®</t>
    </r>
    <r>
      <rPr>
        <b/>
        <sz val="10"/>
        <color theme="1"/>
        <rFont val="Arial"/>
        <family val="2"/>
      </rPr>
      <t xml:space="preserve"> SACP at bb+</t>
    </r>
  </si>
  <si>
    <r>
      <t xml:space="preserve">* Fixed in integrated SP </t>
    </r>
    <r>
      <rPr>
        <b/>
        <sz val="10"/>
        <color theme="1"/>
        <rFont val="Symbol"/>
        <family val="1"/>
        <charset val="2"/>
      </rPr>
      <t>®</t>
    </r>
    <r>
      <rPr>
        <b/>
        <sz val="10"/>
        <color theme="1"/>
        <rFont val="Arial"/>
        <family val="2"/>
      </rPr>
      <t xml:space="preserve"> SACP at bbb</t>
    </r>
  </si>
  <si>
    <r>
      <t xml:space="preserve">* Mobile in integrated SP </t>
    </r>
    <r>
      <rPr>
        <b/>
        <sz val="10"/>
        <color theme="1"/>
        <rFont val="Symbol"/>
        <family val="1"/>
        <charset val="2"/>
      </rPr>
      <t>®</t>
    </r>
    <r>
      <rPr>
        <b/>
        <sz val="9"/>
        <color theme="1"/>
        <rFont val="Arial"/>
        <family val="2"/>
      </rPr>
      <t xml:space="preserve"> </t>
    </r>
    <r>
      <rPr>
        <b/>
        <sz val="10"/>
        <color theme="1"/>
        <rFont val="Arial"/>
        <family val="2"/>
      </rPr>
      <t>SACP around a-/bbb+</t>
    </r>
  </si>
  <si>
    <t xml:space="preserve">From S&amp;P's matrix, 'Satisfactory' Business risk involves with previous Financial Risk profiles  : </t>
  </si>
  <si>
    <t xml:space="preserve">- (A Business Risk profile lower than 'Fair', i.e. 'Weak', is overstretched for any reasonably efficient Belgian generic SP.) </t>
  </si>
  <si>
    <t>Previous sheets present the only differentiated features which are identifiable at this stage, in practice for ratings :</t>
  </si>
  <si>
    <r>
      <rPr>
        <sz val="9"/>
        <rFont val="Arial"/>
        <family val="2"/>
      </rPr>
      <t>*</t>
    </r>
    <r>
      <rPr>
        <sz val="10"/>
        <rFont val="Arial"/>
        <family val="2"/>
      </rPr>
      <t xml:space="preserve">  Our main available Financial Risk metric : tD*/Ebitda* </t>
    </r>
  </si>
  <si>
    <t>* Whereas Business Risk profiles may not be differentiated, as stated in § iii : 'Satisfactory' both for Fixed and Mobile.</t>
  </si>
  <si>
    <t xml:space="preserve">- Yet, with 3 market players in Belgium, govt may not be totally passive if one of them were to default, entailing possible bankruptcy, thus a telecom market left with only 2 players. </t>
  </si>
  <si>
    <r>
      <t xml:space="preserve">* Mobile in integrated SP </t>
    </r>
    <r>
      <rPr>
        <b/>
        <sz val="10"/>
        <color theme="1"/>
        <rFont val="Symbol"/>
        <family val="1"/>
        <charset val="2"/>
      </rPr>
      <t>®</t>
    </r>
    <r>
      <rPr>
        <b/>
        <sz val="9"/>
        <color theme="1"/>
        <rFont val="Arial"/>
        <family val="2"/>
      </rPr>
      <t xml:space="preserve"> </t>
    </r>
    <r>
      <rPr>
        <b/>
        <sz val="10"/>
        <color theme="1"/>
        <rFont val="Arial"/>
        <family val="2"/>
      </rPr>
      <t>ICR around A/A-</t>
    </r>
  </si>
  <si>
    <r>
      <t xml:space="preserve">* Fixed in integrated SP </t>
    </r>
    <r>
      <rPr>
        <b/>
        <sz val="10"/>
        <color theme="1"/>
        <rFont val="Symbol"/>
        <family val="1"/>
        <charset val="2"/>
      </rPr>
      <t>®</t>
    </r>
    <r>
      <rPr>
        <b/>
        <sz val="10"/>
        <color theme="1"/>
        <rFont val="Arial"/>
        <family val="2"/>
      </rPr>
      <t xml:space="preserve"> ICR at BBB+</t>
    </r>
  </si>
  <si>
    <t>(Partially) by S&amp;P's metrics and through its view on Belgacom,</t>
  </si>
  <si>
    <r>
      <rPr>
        <b/>
        <sz val="10"/>
        <rFont val="Arial"/>
        <family val="2"/>
      </rPr>
      <t>iii)</t>
    </r>
    <r>
      <rPr>
        <sz val="10"/>
        <rFont val="Arial"/>
        <family val="2"/>
      </rPr>
      <t xml:space="preserve"> If we consider generic stand-alone pure-players rather than subsidiaries of a larger integrated SP, govt support would be even lower with possibly no GRE status at all (above 'Case 1'). At ICR's level, this does not change anything.</t>
    </r>
  </si>
  <si>
    <t>adjusted in following developments.</t>
  </si>
  <si>
    <r>
      <rPr>
        <sz val="10"/>
        <rFont val="Arial"/>
        <family val="2"/>
      </rPr>
      <t>Applied Cd then should regard yields in local currency.</t>
    </r>
    <r>
      <rPr>
        <sz val="10"/>
        <color theme="1" tint="0.499984740745262"/>
        <rFont val="Arial"/>
        <family val="2"/>
      </rPr>
      <t xml:space="preserve"> </t>
    </r>
    <r>
      <rPr>
        <sz val="10"/>
        <rFont val="Arial"/>
        <family val="2"/>
      </rPr>
      <t>For SPs which are not based in the Eurozone</t>
    </r>
    <r>
      <rPr>
        <sz val="10"/>
        <color theme="1" tint="0.499984740745262"/>
        <rFont val="Arial"/>
        <family val="2"/>
      </rPr>
      <t xml:space="preserve">, converting in € their D &amp; OL book values, Ebitda as well for financial ratios, through historical FX rates (then possibly applying ratings in foreign currency - see hereafter) might not do the trick with yields derived from Eurozone corporate bonds. </t>
    </r>
  </si>
  <si>
    <t>Preliminary Approximations</t>
  </si>
  <si>
    <t xml:space="preserve">Implemented Metrics </t>
  </si>
  <si>
    <t>By narrowing the field to these implementable metrics, we implictly assume that they fully drive the Financial Risk component of SPs' synthetic ratings; in other words, that overlooked ratios move along with Ebitda/tD (and Capital/tD), all other things being equal.</t>
  </si>
  <si>
    <t>Although corresponding graphs suggest logical trends, none of them is able to provide, by itself, reasonnably accurate rating predictions (especially around BBB).</t>
  </si>
  <si>
    <t>- Should we have been able to calculate appropriate coverage ratios, we would have maybe attempted to build a 2-factor scorecard (in the manner applied to Belgacom's peers) with estimation of the most appropriate weights for coverage and size (probabky a non-linear relationship because of Kohler's observation with respect to extreme sizes).</t>
  </si>
  <si>
    <t xml:space="preserve">- (Note the peculiar situation of OTE, with debt levels and size comparable to TKA but a very poor rating which could be related to Greece's (even worse) rating, CCC-.) </t>
  </si>
  <si>
    <t>- A more general view on rating determination, beyond the mere consideration of financial ratios, with links to some methodological guidelines.</t>
  </si>
  <si>
    <t>(Only factor with indicated metrics :)</t>
  </si>
  <si>
    <r>
      <t>- While Belgacom's weights a bit more than half of the sector's Market Cap in Belgium, this average SP would account for around a third, i.e. a bit more than half the size of Belgacom (</t>
    </r>
    <r>
      <rPr>
        <sz val="10"/>
        <color theme="1"/>
        <rFont val="Symbol"/>
        <family val="1"/>
        <charset val="2"/>
      </rPr>
      <t xml:space="preserve">» </t>
    </r>
    <r>
      <rPr>
        <sz val="10"/>
        <color theme="1"/>
        <rFont val="Arial"/>
        <family val="2"/>
      </rPr>
      <t xml:space="preserve">Telenet's). This </t>
    </r>
    <r>
      <rPr>
        <b/>
        <sz val="10"/>
        <color theme="1"/>
        <rFont val="Arial"/>
        <family val="2"/>
      </rPr>
      <t>smaller size/scale</t>
    </r>
    <r>
      <rPr>
        <sz val="10"/>
        <color theme="1"/>
        <rFont val="Arial"/>
        <family val="2"/>
      </rPr>
      <t xml:space="preserve"> is the main reason for the proposed downgrade of around 1 level from Belgacom's.</t>
    </r>
  </si>
  <si>
    <t>- We use the term 'conservatively' because, in S&amp;P's matrix, between 'Strong' and 'Satisfactory' Business Risk profiles, ratings are actually separated by two notches (until 'Significant' Financial Risk). Yet, we believe there should be a siginificant premium for enjoying a dominant position as Belgacom does, something the generic SP may not achieve, by definition. So, strictly, this not just about size.</t>
  </si>
  <si>
    <r>
      <t xml:space="preserve">- Second, in the current environment where converging services offering has moved from a KSF to an almost prerequisite, the Business Risk profile of a very small </t>
    </r>
    <r>
      <rPr>
        <b/>
        <sz val="10"/>
        <color theme="1"/>
        <rFont val="Arial"/>
        <family val="2"/>
      </rPr>
      <t>&amp;</t>
    </r>
    <r>
      <rPr>
        <sz val="10"/>
        <color theme="1"/>
        <rFont val="Arial"/>
        <family val="2"/>
      </rPr>
      <t xml:space="preserve"> single-activity SP may not be qualified as "satisfactory" (although we don't know the precise definition of S&amp;P's 'Satisfactory' label). It is the combination of these 2 factors, small &amp; single business, that significantly downgrade their profile, in our view. Otherwise, huge and geographically diversified Vodafone would not enjoy an excellent A- rating. </t>
    </r>
  </si>
  <si>
    <r>
      <t xml:space="preserve">- Also, for these hypothetical SPs, we may </t>
    </r>
    <r>
      <rPr>
        <b/>
        <sz val="10"/>
        <color theme="1"/>
        <rFont val="Arial"/>
        <family val="2"/>
      </rPr>
      <t>not differentiate Fixed line's and Mobile's Business Risk profiles</t>
    </r>
    <r>
      <rPr>
        <sz val="10"/>
        <color theme="1"/>
        <rFont val="Arial"/>
        <family val="2"/>
      </rPr>
      <t xml:space="preserve"> (in terms of rating assessment), i.e. consider that an average Mobile SP should have a better profile than its Fixed line counterpart - or vice-versa. Situations of real Belgian SPs are far too contrasted to infer any general rule in this respect. We may only hypothetize that each generic SP is performing as best as its size and single activity feature allow along with its (identical) peers.</t>
    </r>
  </si>
  <si>
    <t>- (As far as Belgacom is concerned, one may argue that its Fixed line services have probably a better Business Risk profile than Proximus, which is relatively more exposed to competitive pressure.)</t>
  </si>
  <si>
    <t xml:space="preserve">- More precisely, by stand-alone SP, we mean a single-activity operator with no sister entity (company or B.U with separated accounts allowing for a specific cost model) operating in the other business, in Belgium and at a comparable scale. </t>
  </si>
  <si>
    <t xml:space="preserve">- This approach does not necessarily imply that these entities then should be individually rated, no more than that they would be individually listed and/or individually raise debt financing (which, generally, would not be very efficient either). In essence, it is rather about estimating the impact of a given activity on the generic group's rating - or its gearing as in the previous sheet, or its Beta as in WACC 3. </t>
  </si>
  <si>
    <t>- In the present case, the question becomes : what SACP would be assigned to the Belgian generic integrated SP if it had Fixed or Mobile features - while still enjoying group synergies, scale, etc. ?</t>
  </si>
  <si>
    <t>Before analyzing the degree of support the integrated SP itself may get from its main shareholder(s).</t>
  </si>
  <si>
    <t xml:space="preserve">- By definition of a generic SP, govt support should be 'Low' - at best. This SP should be an average (but performing) player; its survival should not be essential for the economy. </t>
  </si>
  <si>
    <t xml:space="preserve">- (Difference of rating impacts between Low govt support and no support at all may be perceptible only when Financial Risk indicators becomes quite worrying ?) </t>
  </si>
  <si>
    <r>
      <t xml:space="preserve">- </t>
    </r>
    <r>
      <rPr>
        <b/>
        <i/>
        <sz val="10"/>
        <rFont val="Arial"/>
        <family val="2"/>
      </rPr>
      <t>Regulation</t>
    </r>
    <r>
      <rPr>
        <i/>
        <sz val="10"/>
        <rFont val="Arial"/>
        <family val="2"/>
      </rPr>
      <t xml:space="preserve"> impacts ratings primarily because it can help or hinder the ability of a company to predictably grow its return on investment. Its impact is primarily felt in the way it influences the competitive environment. Sub-factor assessed on 4 aspects : (i) support for return on investment; (ii) predictability; (iii) regulatory barriers to entry, such as propensity for additional licenses or concessions to be issued; and (iv) level of reliance on a regulated revenue stream or service subsidies. </t>
    </r>
    <r>
      <rPr>
        <sz val="10"/>
        <rFont val="Arial"/>
        <family val="2"/>
      </rPr>
      <t xml:space="preserve">[Regulation's assessment also varies according to the SP : what is positive for one may not be good for another SP.] </t>
    </r>
  </si>
  <si>
    <r>
      <t xml:space="preserve">No predetermined weights but we tend to </t>
    </r>
    <r>
      <rPr>
        <b/>
        <i/>
        <sz val="10"/>
        <rFont val="Arial"/>
        <family val="2"/>
      </rPr>
      <t>weight Business Risk slightly more than Financial Risk</t>
    </r>
    <r>
      <rPr>
        <i/>
        <sz val="10"/>
        <rFont val="Arial"/>
        <family val="2"/>
      </rPr>
      <t xml:space="preserve"> when differentiating among investment-grade ratings, conversely for speculative-grade issuers.</t>
    </r>
  </si>
  <si>
    <r>
      <t xml:space="preserve">- Financial Strength </t>
    </r>
    <r>
      <rPr>
        <sz val="10"/>
        <rFont val="Arial"/>
        <family val="2"/>
      </rPr>
      <t>[ 47% : a bit less than the rest, like in S&amp;P's assessment with investment grade firms ] :</t>
    </r>
  </si>
  <si>
    <t xml:space="preserve">We skip here any attempt to infer generic Fixed &amp; Mobile ratings "according" to Moody's as we did with S&amp;P's from Belgacom's. </t>
  </si>
  <si>
    <t>This last section before concluding presents :</t>
  </si>
  <si>
    <t>- The evolution of key SPs' actual and composite ratings (beside Belgium's sovereign ratings), with extracts from agencies' freely available documents/abstracts showing how analysts ultimately motivate and summarize changes in assigned ratings/outlooks</t>
  </si>
  <si>
    <r>
      <t xml:space="preserve">è </t>
    </r>
    <r>
      <rPr>
        <b/>
        <sz val="10"/>
        <rFont val="Arial"/>
        <family val="2"/>
      </rPr>
      <t>Generic SPs' Business Risk Profiles</t>
    </r>
  </si>
  <si>
    <t>Preliminary SACP Estimates</t>
  </si>
  <si>
    <r>
      <rPr>
        <b/>
        <sz val="10"/>
        <rFont val="Wingdings"/>
        <charset val="2"/>
      </rPr>
      <t>è</t>
    </r>
    <r>
      <rPr>
        <b/>
        <sz val="9"/>
        <rFont val="Arial"/>
        <family val="2"/>
      </rPr>
      <t xml:space="preserve"> </t>
    </r>
    <r>
      <rPr>
        <b/>
        <sz val="10"/>
        <rFont val="Arial"/>
        <family val="2"/>
      </rPr>
      <t>Preliminary SACP Estimates</t>
    </r>
  </si>
  <si>
    <r>
      <rPr>
        <sz val="10"/>
        <rFont val="Wingdings"/>
        <charset val="2"/>
      </rPr>
      <t>è</t>
    </r>
    <r>
      <rPr>
        <sz val="9"/>
        <rFont val="Arial"/>
        <family val="2"/>
      </rPr>
      <t xml:space="preserve"> </t>
    </r>
    <r>
      <rPr>
        <b/>
        <sz val="10"/>
        <rFont val="Arial"/>
        <family val="2"/>
      </rPr>
      <t>Preliminary Rating Estimates</t>
    </r>
  </si>
  <si>
    <r>
      <t xml:space="preserve">è </t>
    </r>
    <r>
      <rPr>
        <b/>
        <sz val="10"/>
        <rFont val="Arial"/>
        <family val="2"/>
      </rPr>
      <t xml:space="preserve">Generic SPs GRE Status </t>
    </r>
  </si>
  <si>
    <t>Motivations given for the ratings on FT/ORA and its subsiary in Poland, TPS, are interesting essentially for the following reasons :</t>
  </si>
  <si>
    <t>- (From FT, as an illustration of the marginal impact of a 'low' GRE/GRI profile compared to Belgacom's),</t>
  </si>
  <si>
    <t>- And for the ratings themselves, both at intermediate BBB+, in spite of significantly distinct leverage ratios (yet to relate to above issues).</t>
  </si>
  <si>
    <t xml:space="preserve">- Conversely, one may consider that there is some room for efficiency gains at Belgacom's and that the generic SP should be assumed to outperform Belgacom on several key Business Risk criteria (beside scale related factors). But with prevailing telecoms market's conditions/growth in Belgium and anywhere else in Europe, the bottom-line is that Belgacom's already 'Strong' profile (or almost) is unlikely to be simultaneously achievable by all domestic-only players, even if they are super-efficient. </t>
  </si>
  <si>
    <r>
      <rPr>
        <sz val="10"/>
        <color theme="1"/>
        <rFont val="Arial"/>
        <family val="2"/>
      </rPr>
      <t>- First, each of these SPs would be around half the size of the generic integrated SP, or 1/6 Belgium's telecom market, probably putting them at the (low) "extreme" Kohler is thinking of.</t>
    </r>
  </si>
  <si>
    <t>At least implictly, this is the same approach as those applied in determinations seeking differentiated WACC parameters and values from a real SP, e.g. Belgacom's Fixed line in the past, or BT's Openreach. Except that the proposed approach is here hypothetical on two counts, the 'base' integrated SP being already virtual.</t>
  </si>
  <si>
    <t xml:space="preserve">- This would move Mobile's ICR (= SACP) from A/A- to a clearer A- rating, </t>
  </si>
  <si>
    <t xml:space="preserve">- Whereas Fixed's ICR would remain unchanged at BBB+ by S&amp;P's matrix, but in the wider Baa = BBB class by Moody's scale, </t>
  </si>
  <si>
    <t>and probably closer to that rating given its suggested corresponding range (2.0-2.75x).</t>
  </si>
  <si>
    <r>
      <rPr>
        <b/>
        <sz val="10"/>
        <rFont val="Arial"/>
        <family val="2"/>
      </rPr>
      <t>ii)</t>
    </r>
    <r>
      <rPr>
        <sz val="10"/>
        <rFont val="Arial"/>
        <family val="2"/>
      </rPr>
      <t xml:space="preserve"> However, we should also be consistent with above cautious downward ajustment on 'normalized' Belgacom's forward-looking rating</t>
    </r>
  </si>
  <si>
    <r>
      <rPr>
        <b/>
        <sz val="10"/>
        <rFont val="Arial"/>
        <family val="2"/>
      </rPr>
      <t>iv)</t>
    </r>
    <r>
      <rPr>
        <sz val="10"/>
        <rFont val="Arial"/>
        <family val="2"/>
      </rPr>
      <t xml:space="preserve"> Finally, we also note that the triple </t>
    </r>
    <r>
      <rPr>
        <b/>
        <sz val="10"/>
        <rFont val="Arial"/>
        <family val="2"/>
      </rPr>
      <t>negative outlook on Belgium's sovereign ratings</t>
    </r>
    <r>
      <rPr>
        <sz val="10"/>
        <rFont val="Arial"/>
        <family val="2"/>
      </rPr>
      <t>. Therefore, if this determination were specifically about Belgacom, as a precaution, we would consent to consider a forward-looking AA- for Belgium, rather than current AA. This implies :</t>
    </r>
  </si>
  <si>
    <t>BBB+/BBB</t>
  </si>
  <si>
    <t>If we consistently apply the agencies/Marpij tD*/Ebitda* spread of 0.2 observed with Belgacom, we obtain the following adj. tD*/Ebitda* :</t>
  </si>
  <si>
    <t>(Still not the final proposal)</t>
  </si>
  <si>
    <t xml:space="preserve">- The 'High' scenario differs from Belgacom's actual situation at 2Q13  by a leverage only 0.1x higher : Belgacom would keep its SACP/BCA at 'a'. </t>
  </si>
  <si>
    <t>- And possibly another one in the 'Low' scenario.</t>
  </si>
  <si>
    <t>- Also, from agencies' observations, illustrative 'High' rating could be raised by 1 notch to match Liberty's (upgraded by S&amp;P last June at Moody's BB- level) = Telenet's previous rating; whereas the 'Low' rating would remain at B+.</t>
  </si>
  <si>
    <t>Whatever its business strengths, Telenet's rating is attuned to its financial leverage, and this high leverage is clearly too remote from the ratio estimated for the Fixed SP (2.3x net).</t>
  </si>
  <si>
    <r>
      <rPr>
        <sz val="10"/>
        <rFont val="Symbol"/>
        <family val="1"/>
        <charset val="2"/>
      </rPr>
      <t>¯</t>
    </r>
    <r>
      <rPr>
        <sz val="9"/>
        <rFont val="Arial"/>
        <family val="2"/>
      </rPr>
      <t xml:space="preserve"> Around 2 </t>
    </r>
    <r>
      <rPr>
        <sz val="10"/>
        <rFont val="Arial"/>
        <family val="2"/>
      </rPr>
      <t>notches, especially since Mobistar's perspectives have been trimmed ?</t>
    </r>
  </si>
  <si>
    <t>?</t>
  </si>
  <si>
    <r>
      <rPr>
        <b/>
        <sz val="10"/>
        <rFont val="Arial"/>
        <family val="2"/>
      </rPr>
      <t>iv)</t>
    </r>
    <r>
      <rPr>
        <sz val="10"/>
        <rFont val="Arial"/>
        <family val="2"/>
      </rPr>
      <t xml:space="preserve"> With almost no cash, Mobistar's net Debt and gross Debt ratios are the same : </t>
    </r>
  </si>
  <si>
    <r>
      <t xml:space="preserve">- </t>
    </r>
    <r>
      <rPr>
        <b/>
        <sz val="10"/>
        <rFont val="Arial"/>
        <family val="2"/>
      </rPr>
      <t xml:space="preserve">FT's </t>
    </r>
    <r>
      <rPr>
        <sz val="10"/>
        <rFont val="Arial"/>
        <family val="2"/>
      </rPr>
      <t>possibly</t>
    </r>
    <r>
      <rPr>
        <b/>
        <sz val="10"/>
        <rFont val="Arial"/>
        <family val="2"/>
      </rPr>
      <t xml:space="preserve"> upward impact </t>
    </r>
    <r>
      <rPr>
        <sz val="10"/>
        <rFont val="Arial"/>
        <family val="2"/>
      </rPr>
      <t xml:space="preserve">on TPS' rating, according to Moody's, through close supervision, debt financing support, in addition to various operational synergies and marketing transfers. We tend to believe that Mobistar could be slightly more autonomous, with : </t>
    </r>
  </si>
  <si>
    <r>
      <t xml:space="preserve">» </t>
    </r>
    <r>
      <rPr>
        <sz val="9"/>
        <rFont val="Arial"/>
        <family val="2"/>
      </rPr>
      <t xml:space="preserve">or </t>
    </r>
    <r>
      <rPr>
        <sz val="9"/>
        <rFont val="Symbol"/>
        <family val="1"/>
        <charset val="2"/>
      </rPr>
      <t>­</t>
    </r>
    <r>
      <rPr>
        <sz val="8.1"/>
        <rFont val="Arial"/>
        <family val="2"/>
      </rPr>
      <t xml:space="preserve"> </t>
    </r>
    <r>
      <rPr>
        <sz val="9"/>
        <rFont val="Arial"/>
        <family val="2"/>
      </rPr>
      <t>a portion of a notche (the latter factor possibly overriding the former) ?</t>
    </r>
  </si>
  <si>
    <r>
      <t xml:space="preserve">Remark : initial Mobistar's estimates (across period) were simply based on current TPS' rating. The </t>
    </r>
    <r>
      <rPr>
        <b/>
        <sz val="10"/>
        <rFont val="Arial"/>
        <family val="2"/>
      </rPr>
      <t>circularity issue</t>
    </r>
    <r>
      <rPr>
        <sz val="10"/>
        <rFont val="Arial"/>
        <family val="2"/>
      </rPr>
      <t xml:space="preserve"> has a limited impact here because this synthetic rating is just partially based on Mobistar's leverage.</t>
    </r>
  </si>
  <si>
    <r>
      <t xml:space="preserve">Overall, </t>
    </r>
    <r>
      <rPr>
        <b/>
        <sz val="10"/>
        <rFont val="Arial"/>
        <family val="2"/>
      </rPr>
      <t>for Mobistar's actual Cd used for its PV OL</t>
    </r>
    <r>
      <rPr>
        <sz val="10"/>
        <rFont val="Arial"/>
        <family val="2"/>
      </rPr>
      <t xml:space="preserve">, we assume a rating </t>
    </r>
    <r>
      <rPr>
        <b/>
        <sz val="10"/>
        <rFont val="Arial"/>
        <family val="2"/>
      </rPr>
      <t xml:space="preserve">2 notches below TPS, though with a downgrade prior to TPS : from BBB- to BB+ </t>
    </r>
    <r>
      <rPr>
        <sz val="10"/>
        <rFont val="Arial"/>
        <family val="2"/>
      </rPr>
      <t>since</t>
    </r>
    <r>
      <rPr>
        <b/>
        <sz val="10"/>
        <rFont val="Arial"/>
        <family val="2"/>
      </rPr>
      <t xml:space="preserve"> </t>
    </r>
    <r>
      <rPr>
        <sz val="10"/>
        <rFont val="Arial"/>
        <family val="2"/>
      </rPr>
      <t>end 2012, for instance, to take into account a likely earlier general downgrade of Mobistar's situation (not just by Ebitda growth) and perspectives.</t>
    </r>
  </si>
  <si>
    <r>
      <rPr>
        <sz val="10"/>
        <rFont val="Wingdings"/>
        <charset val="2"/>
      </rPr>
      <t>è</t>
    </r>
    <r>
      <rPr>
        <sz val="9"/>
        <rFont val="Arial"/>
        <family val="2"/>
      </rPr>
      <t xml:space="preserve"> </t>
    </r>
    <r>
      <rPr>
        <b/>
        <sz val="10"/>
        <rFont val="Arial"/>
        <family val="2"/>
      </rPr>
      <t>Hypothetical Mobistar</t>
    </r>
  </si>
  <si>
    <r>
      <rPr>
        <sz val="10"/>
        <rFont val="Wingdings"/>
        <charset val="2"/>
      </rPr>
      <t>è</t>
    </r>
    <r>
      <rPr>
        <sz val="9"/>
        <rFont val="Arial"/>
        <family val="2"/>
      </rPr>
      <t xml:space="preserve"> </t>
    </r>
    <r>
      <rPr>
        <b/>
        <sz val="10"/>
        <rFont val="Arial"/>
        <family val="2"/>
      </rPr>
      <t>'Historical' Mobistar</t>
    </r>
  </si>
  <si>
    <r>
      <t xml:space="preserve">For a more 'normalized' forward-looking rating estimate (i.e. if this determination was specifically about Mobistar's allowed returns), we would rather consider a rating </t>
    </r>
    <r>
      <rPr>
        <b/>
        <sz val="10"/>
        <rFont val="Arial"/>
        <family val="2"/>
      </rPr>
      <t>1 notch above the current hypothetical BB+</t>
    </r>
    <r>
      <rPr>
        <sz val="10"/>
        <rFont val="Arial"/>
        <family val="2"/>
      </rPr>
      <t>, mainly because, in Belgium, the regulator may not consent to compensate for a deteriorated credit profile at least partially due to more company/group specific reasons.</t>
    </r>
  </si>
  <si>
    <t>- (Here, the lack of rating may not be taken into account, as mentioned at the begining of this sheet.)</t>
  </si>
  <si>
    <t>- Mobistar would probably argue that the recent decrease of its business performances should be rather related to narrowing perspectives in the Belgium's Fixed market. But overall, without going through again the previous analysis, such a hypothetical rating remain 2 notches below ORA's, 3 before its downgrade and 2 below TPS' own downgrade.</t>
  </si>
  <si>
    <t xml:space="preserve">1H13 </t>
  </si>
  <si>
    <t>Avg</t>
  </si>
  <si>
    <t>+ Countries' credit ratings, for info (with regulators' Rf asset).</t>
  </si>
  <si>
    <t>Evolution des VE/Ebitda ajustés des opérateurs belges</t>
  </si>
  <si>
    <t>Fixe</t>
  </si>
  <si>
    <t>ACM°</t>
  </si>
  <si>
    <t>CMT°</t>
  </si>
  <si>
    <r>
      <rPr>
        <i/>
        <sz val="10"/>
        <color theme="0" tint="-0.14999847407452621"/>
        <rFont val="Symbol"/>
        <family val="1"/>
        <charset val="2"/>
      </rPr>
      <t>»</t>
    </r>
    <r>
      <rPr>
        <i/>
        <sz val="10"/>
        <color theme="0" tint="-0.14999847407452621"/>
        <rFont val="Arial"/>
        <family val="2"/>
      </rPr>
      <t>Fixe</t>
    </r>
  </si>
  <si>
    <r>
      <rPr>
        <sz val="10"/>
        <color theme="0" tint="-0.249977111117893"/>
        <rFont val="Symbol"/>
        <family val="1"/>
        <charset val="2"/>
      </rPr>
      <t>»</t>
    </r>
    <r>
      <rPr>
        <sz val="8"/>
        <color theme="0" tint="-0.249977111117893"/>
        <rFont val="Arial"/>
        <family val="2"/>
      </rPr>
      <t xml:space="preserve"> </t>
    </r>
    <r>
      <rPr>
        <sz val="10"/>
        <color theme="0" tint="-0.249977111117893"/>
        <rFont val="Arial"/>
        <family val="2"/>
      </rPr>
      <t>Fixe</t>
    </r>
  </si>
  <si>
    <r>
      <rPr>
        <sz val="10"/>
        <color theme="0" tint="-0.499984740745262"/>
        <rFont val="Symbol"/>
        <family val="1"/>
        <charset val="2"/>
      </rPr>
      <t>»</t>
    </r>
    <r>
      <rPr>
        <sz val="8"/>
        <color theme="0" tint="-0.499984740745262"/>
        <rFont val="Arial"/>
        <family val="2"/>
      </rPr>
      <t xml:space="preserve"> </t>
    </r>
    <r>
      <rPr>
        <sz val="10"/>
        <color theme="0" tint="-0.499984740745262"/>
        <rFont val="Arial"/>
        <family val="2"/>
      </rPr>
      <t>Fixe</t>
    </r>
  </si>
  <si>
    <t>Finlande</t>
  </si>
  <si>
    <t>PV/BV OL</t>
  </si>
  <si>
    <t xml:space="preserve">Avg. PV/BV </t>
  </si>
  <si>
    <t>2010-2012</t>
  </si>
  <si>
    <t>1T11-2T13</t>
  </si>
  <si>
    <r>
      <t xml:space="preserve">With X0 = value for Belgacom, d = X/Xo-1 if X&gt;Xo, X0/X-1 otherwise </t>
    </r>
    <r>
      <rPr>
        <sz val="10"/>
        <rFont val="Symbol"/>
        <family val="1"/>
        <charset val="2"/>
      </rPr>
      <t>®</t>
    </r>
  </si>
  <si>
    <t>Δnot = t/(1-t).(1-g).Rnot.En/E</t>
  </si>
  <si>
    <t>%Mobile (last)</t>
  </si>
  <si>
    <t>Eb/E</t>
  </si>
  <si>
    <t>Ebita*/Eb</t>
  </si>
  <si>
    <t>Avg. Ea*/Eb</t>
  </si>
  <si>
    <t>Ebitda/Eb</t>
  </si>
  <si>
    <r>
      <rPr>
        <sz val="10"/>
        <rFont val="Symbol"/>
        <family val="1"/>
        <charset val="2"/>
      </rPr>
      <t>®</t>
    </r>
    <r>
      <rPr>
        <sz val="9"/>
        <rFont val="Arial"/>
        <family val="2"/>
      </rPr>
      <t xml:space="preserve"> </t>
    </r>
    <r>
      <rPr>
        <sz val="10"/>
        <rFont val="Arial"/>
        <family val="2"/>
      </rPr>
      <t>E/Ebitda</t>
    </r>
  </si>
  <si>
    <r>
      <t xml:space="preserve">General Methodology: </t>
    </r>
    <r>
      <rPr>
        <b/>
        <u/>
        <sz val="10"/>
        <rFont val="Arial"/>
        <family val="2"/>
      </rPr>
      <t>Business Risk/Financial Risk</t>
    </r>
    <r>
      <rPr>
        <u/>
        <sz val="10"/>
        <rFont val="Arial"/>
        <family val="2"/>
      </rPr>
      <t xml:space="preserve"> Matrix Expanded</t>
    </r>
  </si>
  <si>
    <t>Perspectives</t>
  </si>
  <si>
    <t>Non</t>
  </si>
  <si>
    <t>TO WACC 3 &amp; 4</t>
  </si>
  <si>
    <t>With agency typical spread of 0.2x</t>
  </si>
  <si>
    <t>% Belgacom's Mkt Cap</t>
  </si>
  <si>
    <r>
      <rPr>
        <b/>
        <sz val="10"/>
        <rFont val="Arial"/>
        <family val="2"/>
      </rPr>
      <t>(Historical) Telenet :</t>
    </r>
    <r>
      <rPr>
        <sz val="10"/>
        <rFont val="Arial"/>
        <family val="2"/>
      </rPr>
      <t xml:space="preserve"> BB- until Aug. 2012 then B+ / Stable, 1 notch below Liberty Global.</t>
    </r>
  </si>
  <si>
    <r>
      <rPr>
        <sz val="10"/>
        <color theme="1" tint="0.499984740745262"/>
        <rFont val="Arial"/>
        <family val="2"/>
      </rPr>
      <t>2 Dec. 2011 :</t>
    </r>
    <r>
      <rPr>
        <i/>
        <sz val="10"/>
        <color theme="1" tint="0.499984740745262"/>
        <rFont val="Arial"/>
        <family val="2"/>
      </rPr>
      <t xml:space="preserve"> We lowered the LT rating on the Kingdom of Belgium to 'AA' from 'AA+' on Nov. 25, 2011 (...) In line with our criteria for GREs, we are lowering our LT rating on Belgacom to 'A' from 'A+'. The stable outlook reflects our view that Belgacom will maintain a strong business position in Belgium's telecoms market, continue to generate solid free operating cash flow, and maintain S&amp;P's-adjusted leverage </t>
    </r>
    <r>
      <rPr>
        <b/>
        <i/>
        <sz val="10"/>
        <color theme="1" tint="0.499984740745262"/>
        <rFont val="Arial"/>
        <family val="2"/>
      </rPr>
      <t>below 2.0x</t>
    </r>
    <r>
      <rPr>
        <i/>
        <sz val="10"/>
        <color theme="1" tint="0.499984740745262"/>
        <rFont val="Arial"/>
        <family val="2"/>
      </rPr>
      <t xml:space="preserve"> over the next 18 months.</t>
    </r>
  </si>
  <si>
    <t>(1st Graph : replace Belgacom's comparators by / or add Euro Telco &amp; BEL20.)</t>
  </si>
  <si>
    <t>(Tables : add total size = EV in € ?)</t>
  </si>
  <si>
    <r>
      <rPr>
        <b/>
        <sz val="10"/>
        <color theme="1"/>
        <rFont val="Arial"/>
        <family val="2"/>
      </rPr>
      <t xml:space="preserve">i) </t>
    </r>
    <r>
      <rPr>
        <sz val="10"/>
        <color theme="1"/>
        <rFont val="Arial"/>
        <family val="2"/>
      </rPr>
      <t>The</t>
    </r>
    <r>
      <rPr>
        <b/>
        <sz val="10"/>
        <color theme="1"/>
        <rFont val="Arial"/>
        <family val="2"/>
      </rPr>
      <t xml:space="preserve"> </t>
    </r>
    <r>
      <rPr>
        <sz val="10"/>
        <color theme="1"/>
        <rFont val="Arial"/>
        <family val="2"/>
      </rPr>
      <t>s</t>
    </r>
    <r>
      <rPr>
        <sz val="10"/>
        <color theme="1"/>
        <rFont val="Arial"/>
        <family val="2"/>
      </rPr>
      <t xml:space="preserve">ample show highly diverse market caps, e.g. at 1H13 : Vodafone = 18x Belgacom, more than 100x Mobistar. </t>
    </r>
    <r>
      <rPr>
        <sz val="10"/>
        <color theme="1"/>
        <rFont val="Arial"/>
        <family val="2"/>
      </rPr>
      <t/>
    </r>
  </si>
  <si>
    <t>Source : Professor Thore Johnsen, Cost of Capital for Norwegian Mobile Operators, 21 February 2013</t>
  </si>
  <si>
    <r>
      <rPr>
        <b/>
        <sz val="10"/>
        <color theme="1"/>
        <rFont val="Arial"/>
        <family val="2"/>
      </rPr>
      <t xml:space="preserve">ii) </t>
    </r>
    <r>
      <rPr>
        <sz val="10"/>
        <color theme="1"/>
        <rFont val="Arial"/>
        <family val="2"/>
      </rPr>
      <t xml:space="preserve">For the period of analysis, a large variety of </t>
    </r>
    <r>
      <rPr>
        <b/>
        <sz val="10"/>
        <color theme="1"/>
        <rFont val="Arial"/>
        <family val="2"/>
      </rPr>
      <t>market cap growths</t>
    </r>
    <r>
      <rPr>
        <sz val="10"/>
        <color theme="1"/>
        <rFont val="Arial"/>
        <family val="2"/>
      </rPr>
      <t xml:space="preserve"> is also observed - and almost as much within Belgium as across the whole European sample. </t>
    </r>
  </si>
  <si>
    <t>- A striking feature from benchmarked market cap growths is the top 3 positions held by Fixed (quasi) pure-players.</t>
  </si>
  <si>
    <r>
      <t>Telenet according to Fitch : "</t>
    </r>
    <r>
      <rPr>
        <i/>
        <sz val="10"/>
        <rFont val="Arial"/>
        <family val="2"/>
      </rPr>
      <t xml:space="preserve">Multi-play penetration is high (at 73% at 2Q13), supporting one of the highest ARPU and revenue growth performances in the sector – with Telenet among the strongest in the peer group. And Lower more flexible cost base than incumbent operators." </t>
    </r>
    <r>
      <rPr>
        <sz val="10"/>
        <rFont val="Arial"/>
        <family val="2"/>
      </rPr>
      <t xml:space="preserve">
</t>
    </r>
  </si>
  <si>
    <t>(at least Europe vs. RoW).</t>
  </si>
  <si>
    <t>* Yet, the growth of Telenet's and Iliad's market cap may also largely relates to their performance and perspectives in their (rather) new business line : Mobile.</t>
  </si>
  <si>
    <r>
      <t xml:space="preserve">* BT, according to Fitch : </t>
    </r>
    <r>
      <rPr>
        <i/>
        <sz val="10"/>
        <rFont val="Arial"/>
        <family val="2"/>
      </rPr>
      <t xml:space="preserve">"one of the most successful cost- cutting incumbents (increased EBITDA). Now using cost savings to fund an aggressive entry into pay-TV." </t>
    </r>
    <r>
      <rPr>
        <sz val="10"/>
        <rFont val="Arial"/>
        <family val="2"/>
      </rPr>
      <t xml:space="preserve">
</t>
    </r>
  </si>
  <si>
    <t xml:space="preserve">e.g. Consumer vs. Enterprise (when not just Countries) : it generally started to be implemented from 2009 </t>
  </si>
  <si>
    <t>% Ebitda / % Revenue &gt; 1?</t>
  </si>
  <si>
    <t>(Mobile % Revenues were not collected.)</t>
  </si>
  <si>
    <r>
      <t xml:space="preserve">** Source : The Brattle Group for ACM, March 2012 (cf. table from column AC </t>
    </r>
    <r>
      <rPr>
        <sz val="10"/>
        <color theme="1"/>
        <rFont val="Symbol"/>
        <family val="1"/>
        <charset val="2"/>
      </rPr>
      <t>®</t>
    </r>
    <r>
      <rPr>
        <sz val="10"/>
        <color theme="1"/>
        <rFont val="Arial"/>
        <family val="2"/>
      </rPr>
      <t>)</t>
    </r>
  </si>
  <si>
    <t>In our case (and whether on avg or at the time of Brattle's analysis), TDC is at the outer border of the Fixed group. This may stem from different appreciations on what activity (e.g. ICT, equipment sales, etc.) should be included in Fixed Line, or in Mobile, or simply "neutralized" i.e. left out of total Fixed+Mobile.</t>
  </si>
  <si>
    <t>- OTE</t>
  </si>
  <si>
    <t>- TPS</t>
  </si>
  <si>
    <t>- TeliaSonera</t>
  </si>
  <si>
    <t>- Tele2</t>
  </si>
  <si>
    <r>
      <t xml:space="preserve">- and (especially) </t>
    </r>
    <r>
      <rPr>
        <sz val="10"/>
        <color rgb="FF0070C0"/>
        <rFont val="Arial"/>
        <family val="2"/>
      </rPr>
      <t>Sonaecom</t>
    </r>
    <r>
      <rPr>
        <sz val="10"/>
        <rFont val="Arial"/>
        <family val="2"/>
      </rPr>
      <t>,</t>
    </r>
  </si>
  <si>
    <r>
      <t xml:space="preserve">- but also for </t>
    </r>
    <r>
      <rPr>
        <b/>
        <sz val="10"/>
        <color rgb="FF0070C0"/>
        <rFont val="Arial"/>
        <family val="2"/>
      </rPr>
      <t>Mobistar</t>
    </r>
    <r>
      <rPr>
        <sz val="10"/>
        <color theme="1"/>
        <rFont val="Arial"/>
        <family val="2"/>
      </rPr>
      <t xml:space="preserve"> : although its Fixed Ebitda is negative, we still attach some weight to this activity by averaging Mobile % Rev. and 100% (instead of 100%).</t>
    </r>
  </si>
  <si>
    <r>
      <t xml:space="preserve">- Similarily, we maintain </t>
    </r>
    <r>
      <rPr>
        <b/>
        <sz val="10"/>
        <color theme="1"/>
        <rFont val="Arial"/>
        <family val="2"/>
      </rPr>
      <t>Telenet</t>
    </r>
    <r>
      <rPr>
        <sz val="10"/>
        <color theme="1"/>
        <rFont val="Arial"/>
        <family val="2"/>
      </rPr>
      <t>'s Mobile % Revenues, although, as a full MVNO, its margin for this activity should be lower than for a SP operating on its own infrastructure : given the high growth profile of Telenet's Mobile business, we consider here as well that it could appropriately be "priced" by % Revenues.</t>
    </r>
  </si>
  <si>
    <r>
      <t xml:space="preserve">- As far as </t>
    </r>
    <r>
      <rPr>
        <b/>
        <sz val="10"/>
        <rFont val="Arial"/>
        <family val="2"/>
      </rPr>
      <t>Belgacom</t>
    </r>
    <r>
      <rPr>
        <sz val="10"/>
        <rFont val="Arial"/>
        <family val="2"/>
      </rPr>
      <t xml:space="preserve"> is concerned, it is possible that its "E/R" ratio is actually below 1, given that the Fixed line landscape seems less competitive in Belgium than the Mobile business. But we would refrain from implementing any quantitative adjustment from Mobile % Revenues.</t>
    </r>
  </si>
  <si>
    <t>- DT, not estimated after 2010, which could actually be at the Fixed/Mobile "border" (see below)</t>
  </si>
  <si>
    <t>- and, to a lesser extent, TIT &amp; ELI.</t>
  </si>
  <si>
    <t>- TKA</t>
  </si>
  <si>
    <t>- PT</t>
  </si>
  <si>
    <t>- TKA : we have revisited our initial rough approximates which were at odds with DJ Stoxx &amp; CMT's findings.</t>
  </si>
  <si>
    <t>- KPN, "Fixed" for DJ Stoxx and CMT : for this reason, we have finally opted for adjusted estimates instead of original Bloomberg values which seemed imprecise in this case and put KPN stands at the level of 'Mobile' TLSN &amp; TEL2.</t>
  </si>
  <si>
    <r>
      <rPr>
        <b/>
        <sz val="10"/>
        <color theme="1"/>
        <rFont val="Arial"/>
        <family val="2"/>
      </rPr>
      <t>i)</t>
    </r>
    <r>
      <rPr>
        <sz val="10"/>
        <color theme="1"/>
        <rFont val="Arial"/>
        <family val="2"/>
      </rPr>
      <t xml:space="preserve"> In 2010, we carried out a regression analysis, EV/Ebitda vs. Mobile % Ebitda ('M%E'), in order to </t>
    </r>
    <r>
      <rPr>
        <b/>
        <sz val="10"/>
        <color theme="1"/>
        <rFont val="Arial"/>
        <family val="2"/>
      </rPr>
      <t>refine Mobile's market value weighting</t>
    </r>
    <r>
      <rPr>
        <sz val="10"/>
        <color theme="1"/>
        <rFont val="Arial"/>
        <family val="2"/>
      </rPr>
      <t xml:space="preserve"> (using Mobile % Ebitda up to 2008 - generally no longer available after that). It suggested a M%E amplification (x) of around 25% across sample (with data cuts) : Adj. % Mobile = M%E.(1+x) / [(M%E.(1+x) + (1-M%E)] = M%E.(1+x)/(1+x.M%E).</t>
    </r>
  </si>
  <si>
    <t xml:space="preserve">Impact is naturally marginal at the opposite ends of the spectrum : this essentially regards the middle ground, where SPs are converging or attempting to do so. </t>
  </si>
  <si>
    <r>
      <rPr>
        <b/>
        <sz val="10"/>
        <color theme="1"/>
        <rFont val="Arial"/>
        <family val="2"/>
      </rPr>
      <t>ii)</t>
    </r>
    <r>
      <rPr>
        <sz val="10"/>
        <color theme="1"/>
        <rFont val="Arial"/>
        <family val="2"/>
      </rPr>
      <t xml:space="preserve"> As stated at the beginning of this analysis with remarks about market cap growths, strong variations in valuation may alter the determination of appropriate forward-looking market gearing ratios for generic SPs (as well as real SPs). For a regulator, this could be a sensitive area since any related adjustment might be interpreted as a judgment on whether a given firm is fairly priced by the market or unfairly. But this is not about making such a call, rather to only determine fair gearing levels, thus regulatory WACC rates, for the sake of all stakeholders, out of SPs' current good or bad fortune. </t>
    </r>
  </si>
  <si>
    <r>
      <t xml:space="preserve">Consequently, the evolution of Belgian SP's EV/Ebitda is also analyzed to infer more appropriate </t>
    </r>
    <r>
      <rPr>
        <b/>
        <sz val="10"/>
        <color theme="1"/>
        <rFont val="Arial"/>
        <family val="2"/>
      </rPr>
      <t xml:space="preserve">EV/Ebitda levels </t>
    </r>
    <r>
      <rPr>
        <sz val="10"/>
        <color theme="1"/>
        <rFont val="Arial"/>
        <family val="2"/>
      </rPr>
      <t>for this determination, especially for Mobistar and the Belgian Mobile generic SP.</t>
    </r>
  </si>
  <si>
    <t>Trailing P/E = month-end price / Last 12 months of available reported earnings (Trailing EPS)</t>
  </si>
  <si>
    <t>Forward P/E = most recent price / consensus estimates for earnings in the next 12 months (NTM EPS)</t>
  </si>
  <si>
    <t>PEG ratio = NTM P/E divided by NTM earnings growth</t>
  </si>
  <si>
    <r>
      <t xml:space="preserve">Operating leases (OL) not only impact Net Debt, thus EV, but Ebitda as well by adding current year OL expenses : cf. Damodaran's comments in 'Operating Leases', and proposed proxy for Ebitda*. For EV/Ebitda, the impact of OL-related adjustments is generally small. Proposed </t>
    </r>
    <r>
      <rPr>
        <b/>
        <sz val="10"/>
        <color theme="1"/>
        <rFont val="Arial"/>
        <family val="2"/>
      </rPr>
      <t>adj. EV/Ebitda</t>
    </r>
    <r>
      <rPr>
        <sz val="10"/>
        <color theme="1"/>
        <rFont val="Arial"/>
        <family val="2"/>
      </rPr>
      <t xml:space="preserve"> is simply a weighted average of EV/Ebitda with OL and without : added forms on following graphs are based on a default setting of adj. EV/Ebitda = 100%  EV*/Ebitda*. See Line 1. (No impact here on related comments.)</t>
    </r>
  </si>
  <si>
    <t>Hereafter, indexes P/E (and EV/Sales) are presented for info. Among valuation multiples, P/E - or even better, PEG (Price/Earnings to Growth) - should be the ultimate judge as they are based on earnings. But partially available results may not be workable. And while being fundamental to assess a firm as a whole, earnings incorporate items which are not related to our focus of interest : other financial gains &amp; losses, deferred taxes, etc. EV/Ebitda remains a good metric to compare relative valuations of businesses operating within a same sector, including in an industry as capital intensive as telecoms (by adding back D&amp;A to Ebit, Ebitda prevents distinct useful life estimates from affecting comparisons).</t>
  </si>
  <si>
    <r>
      <t xml:space="preserve">Following more or less homogeneous </t>
    </r>
    <r>
      <rPr>
        <b/>
        <sz val="10"/>
        <color theme="1"/>
        <rFont val="Arial"/>
        <family val="2"/>
      </rPr>
      <t xml:space="preserve">'clusters' </t>
    </r>
    <r>
      <rPr>
        <sz val="10"/>
        <color theme="1"/>
        <rFont val="Arial"/>
        <family val="2"/>
      </rPr>
      <t>may be differentiated, especially in the graph with average 1H10-1H13 values :</t>
    </r>
  </si>
  <si>
    <r>
      <rPr>
        <sz val="10"/>
        <color theme="1"/>
        <rFont val="Symbol"/>
        <family val="1"/>
        <charset val="2"/>
      </rPr>
      <t>®</t>
    </r>
    <r>
      <rPr>
        <sz val="9"/>
        <color theme="1"/>
        <rFont val="Arial"/>
        <family val="2"/>
      </rPr>
      <t xml:space="preserve"> </t>
    </r>
    <r>
      <rPr>
        <sz val="10"/>
        <color theme="1"/>
        <rFont val="Arial"/>
        <family val="2"/>
      </rPr>
      <t>Telenet and Iliad : small caps, high growth, especially in their new Mobile business. Although we qualify Telenet as a (rather) new Mobile entrant, it operates as a MVNO since 2006, nowdays as a full MVNO on Mobistar's network. And it acquired 3G &amp; 2G spectrum end June 2011.</t>
    </r>
  </si>
  <si>
    <r>
      <rPr>
        <sz val="10"/>
        <color theme="1"/>
        <rFont val="Symbol"/>
        <family val="1"/>
        <charset val="2"/>
      </rPr>
      <t>®</t>
    </r>
    <r>
      <rPr>
        <sz val="10"/>
        <color theme="1"/>
        <rFont val="Arial"/>
        <family val="2"/>
      </rPr>
      <t xml:space="preserve"> Quasi pure-players, large cap, mainly operating in the same market - though the UK accounts for a minority revenue share for Vodafone (30% revenues out of Europe). This feature may partially explain the valuation spread, while is BT is "locked" on the domestic Fixed market under tight regulatory supervision (but VOD slow on 4G).</t>
    </r>
  </si>
  <si>
    <r>
      <rPr>
        <sz val="10"/>
        <color theme="1"/>
        <rFont val="Symbol"/>
        <family val="1"/>
        <charset val="2"/>
      </rPr>
      <t>®</t>
    </r>
    <r>
      <rPr>
        <sz val="10"/>
        <color theme="1"/>
        <rFont val="Arial"/>
        <family val="2"/>
      </rPr>
      <t xml:space="preserve"> Relying on local (domestic/Scandinavian/Baltic) market dynamics with advanced features and, especially for Telenor, on emerging markets far away (maybe too risky for some investors, also for large European players). Ultimately, valuation relates to management skills and to growth potential of established &amp; targeted markets.</t>
    </r>
  </si>
  <si>
    <t>The latter's slope more or less matches the apparent trend between small quasi pure-players : not plotted because small Fixed SP's high EV/Ebitda is partially related to their growth in Mobile services, in addition to a strong core business performance which may not represent the average situation of a hypothetical Fixed domestic SP.</t>
  </si>
  <si>
    <t>Positive slope on this cluster (with Iliad's spectacular entrance on the French Mobile market). But an interesting point is their increasing EV/Ebitda with %Mobile : compare 1H13 with 2009 and period avg.</t>
  </si>
  <si>
    <t>For the whole sample, EV/Ebitda range from to 4x to 8x, vs. almost 3-10x at 1H13 : is the market getting more selective, with a clearer view on players' ability to stand up to challenges ?</t>
  </si>
  <si>
    <t>(Manual lines for avg by SP.)</t>
  </si>
  <si>
    <r>
      <rPr>
        <sz val="10"/>
        <color theme="1"/>
        <rFont val="Wingdings 3"/>
        <family val="1"/>
        <charset val="2"/>
      </rPr>
      <t>Õ</t>
    </r>
    <r>
      <rPr>
        <sz val="9"/>
        <color theme="1"/>
        <rFont val="Arial"/>
        <family val="2"/>
      </rPr>
      <t xml:space="preserve"> </t>
    </r>
    <r>
      <rPr>
        <sz val="10"/>
        <color theme="1"/>
        <rFont val="Arial"/>
        <family val="2"/>
      </rPr>
      <t>Mobistar's EV/Ebitda losses since mid 2011 diluted in Belgian weighted average (avg 6.2x for 1H10 - 1H13)</t>
    </r>
  </si>
  <si>
    <r>
      <rPr>
        <b/>
        <sz val="10"/>
        <color theme="1"/>
        <rFont val="Arial"/>
        <family val="2"/>
      </rPr>
      <t>Mobistar</t>
    </r>
    <r>
      <rPr>
        <sz val="10"/>
        <color theme="1"/>
        <rFont val="Arial"/>
        <family val="2"/>
      </rPr>
      <t>'s situation is clearly aside, with a spectacular drop since 2Q11, to the point that its relative valuation is now moving below Belgacom's when it used to be around +1x higher. Therefore, we propose to favour a scenario with a ratio between 5x and 6x for the generic Mobile SP (though previous assumption for the amplification factor 'x' implies an EV/Ebitda a bit lower than 5.5x)</t>
    </r>
  </si>
  <si>
    <t>Reasons for these diffferent treatments for Mobistar (&amp; Belgacom) on one side, Telenet on the other, are further developed in the next sheet 'Gearings'.</t>
  </si>
  <si>
    <t xml:space="preserve">Nowthstanding this, for Telenet, this intermediate EV/Ebitda analysis is secondary because of Telenet's stated target D/Ebitda : around 4x. Telenet's management seems not to expect a significant decrease in its EV/Ebitda in the forseeable future, otherwise its already high market gearing, above 40%, would increase accordingly. </t>
  </si>
  <si>
    <t>(If we consider an alternative scenario with Belgacom's EV/Ebitda, or even lower, as it may look logical and as implied in the following chart with indices, Telenet's gearing would be as high as 100% ! )</t>
  </si>
  <si>
    <t>- Since Iliad's entrance on the Frenche Mobile market (1Q12), its EV/Ebitda has got very close to Telenet's.</t>
  </si>
  <si>
    <t>With Eurofirst indexes, EV/Ebitda are steadily higher for Mobile services. The spread has actually increased : from +20% for Mobile's EV/Ebitda compared to Fixed line's at 2Q10, to +45% at 2Q13. (We also note rising EV/Ebitda in 2013 : impact of large caps such as VOD.)</t>
  </si>
  <si>
    <r>
      <t>KPN &amp; TDC</t>
    </r>
    <r>
      <rPr>
        <sz val="10"/>
        <rFont val="Arial"/>
        <family val="2"/>
      </rPr>
      <t>.</t>
    </r>
  </si>
  <si>
    <t>Belgacom's closest comparators are estimated at the end of this sheet : among them,</t>
  </si>
  <si>
    <t>Simple avg for 'integrated' SPs, i.e. for neither Fixed nor Mobile SPs by Brattle's criteria :</t>
  </si>
  <si>
    <t>BGC</t>
  </si>
  <si>
    <t>Peer</t>
  </si>
  <si>
    <t>Simple avg</t>
  </si>
  <si>
    <t>BGC peers</t>
  </si>
  <si>
    <t>Since 1Q11</t>
  </si>
  <si>
    <t>BELG peers</t>
  </si>
  <si>
    <t>'Continental' Incumbents</t>
  </si>
  <si>
    <t>Seemingly a positive slope for the 'Continental' SPs, as at the end of the analyzed period. Given the rather flat picture with period averages, there might have been a tipping point in between, i.e. a time frame during which slopes were rather negative.</t>
  </si>
  <si>
    <t>For the Nordic/Swiss SPs, valuation generally higher than for 'Continental' incumbents, but more widespread here than in following years. A slope seemingly negative. A cluster ahead of its peers by a couple of years ?</t>
  </si>
  <si>
    <r>
      <rPr>
        <sz val="10"/>
        <color theme="1"/>
        <rFont val="Symbol"/>
        <family val="1"/>
        <charset val="2"/>
      </rPr>
      <t>®</t>
    </r>
    <r>
      <rPr>
        <sz val="9"/>
        <color theme="1"/>
        <rFont val="Arial"/>
        <family val="2"/>
      </rPr>
      <t xml:space="preserve"> </t>
    </r>
    <r>
      <rPr>
        <sz val="10"/>
        <color theme="1"/>
        <rFont val="Arial"/>
        <family val="2"/>
      </rPr>
      <t>On average for the period, they tend to distance themselves from the 'Continental' cluster to which they should belong. The main reason for this is their very large footprint in Latin America (beside other European markets for Telefonica), larger than their domestic (or European) operations and with significantly higher growth.</t>
    </r>
  </si>
  <si>
    <t>Iberian SPs are coming back to the 'Continental' cluster : growth prospects are slowing down in LatAm, still significantly higher than in Europe though, especially troubled domestic economies.</t>
  </si>
  <si>
    <t>On top of 'Continental' incumbents.</t>
  </si>
  <si>
    <t>- Among 'Continental' Incumbents, the trend seems rather flat for the period, while being possibly and slightly positive at its both ends : a likely swing in between - whereas Swisso-Nordic SPs might be one (or half a) swing ahead ?</t>
  </si>
  <si>
    <r>
      <t xml:space="preserve">We propose to intially limit the subset to SPs within a relative average "distance" of </t>
    </r>
    <r>
      <rPr>
        <b/>
        <sz val="10"/>
        <color theme="1"/>
        <rFont val="Arial"/>
        <family val="2"/>
      </rPr>
      <t xml:space="preserve">0.5 </t>
    </r>
    <r>
      <rPr>
        <sz val="10"/>
        <color theme="1"/>
        <rFont val="Arial"/>
        <family val="2"/>
      </rPr>
      <t xml:space="preserve">(i.e. with avg discrepancies </t>
    </r>
    <r>
      <rPr>
        <sz val="10"/>
        <color theme="1"/>
        <rFont val="Symbol"/>
        <family val="1"/>
        <charset val="2"/>
      </rPr>
      <t>£</t>
    </r>
    <r>
      <rPr>
        <sz val="10"/>
        <color theme="1"/>
        <rFont val="Arial"/>
        <family val="2"/>
      </rPr>
      <t xml:space="preserve"> 50%).</t>
    </r>
  </si>
  <si>
    <r>
      <t xml:space="preserve">- In contrast, </t>
    </r>
    <r>
      <rPr>
        <b/>
        <sz val="10"/>
        <color theme="1"/>
        <rFont val="Arial"/>
        <family val="2"/>
      </rPr>
      <t xml:space="preserve">PT </t>
    </r>
    <r>
      <rPr>
        <sz val="10"/>
        <color theme="1"/>
        <rFont val="Arial"/>
        <family val="2"/>
      </rPr>
      <t>is actually more a Brazilian SP since 2011 than a European operator. Its average "distance" from Belgacom would be certainly much higher if operating markets' features were added to the previous basic grid of analysis (while KPN would probably gets closer to Belgacom). Consequently, we propose to consider :</t>
    </r>
  </si>
  <si>
    <t>- For period's averages, we propose not to further adjust % Mobile (any adjustment on the British axis would just push Vodafone a bit closer to 100% Mobile) :</t>
  </si>
  <si>
    <t>- For 1H13 values, we propose a small amplification, except for the Nordic/Swiss cluster :</t>
  </si>
  <si>
    <t xml:space="preserve">x (1H13) = </t>
  </si>
  <si>
    <r>
      <t xml:space="preserve">See </t>
    </r>
    <r>
      <rPr>
        <u/>
        <sz val="10"/>
        <color theme="1" tint="0.499984740745262"/>
        <rFont val="Arial"/>
        <family val="2"/>
      </rPr>
      <t>impact</t>
    </r>
    <r>
      <rPr>
        <sz val="10"/>
        <color theme="1" tint="0.499984740745262"/>
        <rFont val="Arial"/>
        <family val="2"/>
      </rPr>
      <t>.</t>
    </r>
  </si>
  <si>
    <r>
      <t xml:space="preserve">- Usually, in regulatory determinations, market caps differences are not considered as an issue when benchmarking WACC parameters. Actually, even within the traditional CAPM framework, </t>
    </r>
    <r>
      <rPr>
        <b/>
        <sz val="10"/>
        <color theme="1"/>
        <rFont val="Arial"/>
        <family val="2"/>
      </rPr>
      <t>size matters, with a rather subtle impact though.</t>
    </r>
  </si>
  <si>
    <r>
      <t xml:space="preserve">* In particular, </t>
    </r>
    <r>
      <rPr>
        <i/>
        <sz val="10"/>
        <color theme="1"/>
        <rFont val="Arial"/>
        <family val="2"/>
      </rPr>
      <t>all other things being equal</t>
    </r>
    <r>
      <rPr>
        <sz val="10"/>
        <color theme="1"/>
        <rFont val="Arial"/>
        <family val="2"/>
      </rPr>
      <t>, a large cap will tend to have more broadly diversified investors (cf. WACC 1 / 'ERP') than a small cap, and possibly a better credit rating (cf. 'Ratings'), thus possibly a stronger ability to tap debt.</t>
    </r>
  </si>
  <si>
    <t>* In contrast, if large caps also tend to be more internationally diversified, or exhibit lower earning growths, these features may be addressed to streamline the sample of comparators, regardless of the market cap. Also, two firms operating on the same maket(s), with similar mixes of services, operational leverages (costs flexibility) and reference markets, should exhibit similar asset betas, no matter their respective sizes.</t>
  </si>
  <si>
    <t>(Norway) NPT's basic principles</t>
  </si>
  <si>
    <t>And size effects on WACC</t>
  </si>
  <si>
    <r>
      <rPr>
        <sz val="10"/>
        <rFont val="Arial"/>
        <family val="2"/>
      </rPr>
      <t xml:space="preserve">Excerpt from Moody's "Outlook for European cable TV operators in 2014" </t>
    </r>
    <r>
      <rPr>
        <i/>
        <sz val="10"/>
        <rFont val="Arial"/>
        <family val="2"/>
      </rPr>
      <t>: "Moody's expects cable operators' competitive positions to be underpinned by the convergence of fixed and mobile technologies in the form of "quad-play", which will serve to bolster and increase customer retention. While mobile services will on average generate only incremental revenues, for some companies, such as Belgium's Telenet, mobile can become a significant revenue driver."</t>
    </r>
  </si>
  <si>
    <t>(+ equity analyst reports for BT).</t>
  </si>
  <si>
    <r>
      <t xml:space="preserve">Consequently, we propose to </t>
    </r>
    <r>
      <rPr>
        <b/>
        <sz val="10"/>
        <color theme="1"/>
        <rFont val="Arial"/>
        <family val="2"/>
      </rPr>
      <t>maintain Mobile % Revenues</t>
    </r>
    <r>
      <rPr>
        <sz val="10"/>
        <color theme="1"/>
        <rFont val="Arial"/>
        <family val="2"/>
      </rPr>
      <t xml:space="preserve"> in order to approximate Mobile % Ebitda, </t>
    </r>
    <r>
      <rPr>
        <b/>
        <sz val="10"/>
        <rFont val="Arial"/>
        <family val="2"/>
      </rPr>
      <t>except when Mobile % Ebitda is available or relevant</t>
    </r>
    <r>
      <rPr>
        <b/>
        <sz val="10"/>
        <color rgb="FF0070C0"/>
        <rFont val="Arial"/>
        <family val="2"/>
      </rPr>
      <t xml:space="preserve"> (in blue) : </t>
    </r>
    <r>
      <rPr>
        <sz val="10"/>
        <color rgb="FF0070C0"/>
        <rFont val="Arial"/>
        <family val="2"/>
      </rPr>
      <t/>
    </r>
  </si>
  <si>
    <t>regressing :</t>
  </si>
  <si>
    <t>BIPT 2010</t>
  </si>
  <si>
    <t>In CMT's approach, it seems that SPs which are not clearly Mobile are put in the Fixed category - as indices :</t>
  </si>
  <si>
    <r>
      <rPr>
        <b/>
        <sz val="10"/>
        <color theme="1"/>
        <rFont val="Arial"/>
        <family val="2"/>
      </rPr>
      <t>Indices</t>
    </r>
    <r>
      <rPr>
        <sz val="10"/>
        <color theme="1"/>
        <rFont val="Arial"/>
        <family val="2"/>
      </rPr>
      <t xml:space="preserve"> such as DJ Stoxx may not apply criteria as strict as Brattle's to avoid ending with very few firms in each sub-sector : it seems that every telecom operator has to belong to either one these Fixed/Mobile sub-sectors, provided they meet various general criteria, e.g. market cap/free float size, liquidity, etc. °</t>
    </r>
  </si>
  <si>
    <t xml:space="preserve">This relativizes the interest of sector indices essentially composed of integrated SPs for a regulatory determination. (Components for later considered FTSE Eurofirst indices could not be identified.) </t>
  </si>
  <si>
    <t xml:space="preserve">They are interesting though for cross-checking or adjusting/correcting estimates : </t>
  </si>
  <si>
    <t>- More sophisticated models do include small cap or illiquidity premia : cf. WACC 1 / 'Note 1'. Yet, see opposite the opinion of Pr Thore Johnsen for Norway's NPT, who asks :</t>
  </si>
  <si>
    <r>
      <rPr>
        <i/>
        <sz val="10"/>
        <rFont val="Arial"/>
        <family val="2"/>
      </rPr>
      <t>"</t>
    </r>
    <r>
      <rPr>
        <i/>
        <u/>
        <sz val="10"/>
        <rFont val="Arial"/>
        <family val="2"/>
      </rPr>
      <t xml:space="preserve">Why should customers pay for any size effect </t>
    </r>
    <r>
      <rPr>
        <u/>
        <sz val="10"/>
        <rFont val="Arial"/>
        <family val="2"/>
      </rPr>
      <t>?</t>
    </r>
    <r>
      <rPr>
        <sz val="10"/>
        <rFont val="Arial"/>
        <family val="2"/>
      </rPr>
      <t xml:space="preserve">" </t>
    </r>
  </si>
  <si>
    <t xml:space="preserve">This question may be related to the general issue of (a)symmetry for new entrants, which should be a relevant concern for </t>
  </si>
  <si>
    <r>
      <t xml:space="preserve">only a few years, by EC recommendation. For this reason, we tend to agree that </t>
    </r>
    <r>
      <rPr>
        <b/>
        <sz val="10"/>
        <color theme="1"/>
        <rFont val="Arial"/>
        <family val="2"/>
      </rPr>
      <t>no small size premium</t>
    </r>
    <r>
      <rPr>
        <sz val="10"/>
        <color theme="1"/>
        <rFont val="Arial"/>
        <family val="2"/>
      </rPr>
      <t xml:space="preserve"> should be added to the cost of equity or WACC of alternative SPs - as long as this is not required for the average generic SP in the considered universe. (Such a premium </t>
    </r>
    <r>
      <rPr>
        <i/>
        <sz val="10"/>
        <color theme="1"/>
        <rFont val="Arial"/>
        <family val="2"/>
      </rPr>
      <t xml:space="preserve">might </t>
    </r>
    <r>
      <rPr>
        <sz val="10"/>
        <color theme="1"/>
        <rFont val="Arial"/>
        <family val="2"/>
      </rPr>
      <t>be suitable in a narrow universe such as Belgian Cable.)</t>
    </r>
  </si>
  <si>
    <r>
      <t xml:space="preserve">- For this determination, the key evolution here to take into account is the </t>
    </r>
    <r>
      <rPr>
        <b/>
        <sz val="10"/>
        <rFont val="Arial"/>
        <family val="2"/>
      </rPr>
      <t>sharp fall of Mobistar's market cap</t>
    </r>
    <r>
      <rPr>
        <sz val="10"/>
        <rFont val="Arial"/>
        <family val="2"/>
      </rPr>
      <t xml:space="preserve">. </t>
    </r>
    <r>
      <rPr>
        <sz val="10"/>
        <color theme="1" tint="0.499984740745262"/>
        <rFont val="Arial"/>
        <family val="2"/>
      </rPr>
      <t>(Sure, Mobistar is not the only one in this situation among benchmarked European SPs : see KPN, for instance. But it can be latter observed that, in terms of EV/Ebitda, the decrease of KPN's relative valuation is rather moderate in comparison with the fall of its market cap.)</t>
    </r>
    <r>
      <rPr>
        <sz val="10"/>
        <rFont val="Arial"/>
        <family val="2"/>
      </rPr>
      <t xml:space="preserve"> This, in contrast, may alter the estimation of an appropriate market gearing D/(D+E) for the generic Mobile SP : see ensuing analyses.</t>
    </r>
  </si>
  <si>
    <t>(100% Bloomberg inputs - for this metric, they do not seem always very reliable - &amp; 1H13 n/a)</t>
  </si>
  <si>
    <r>
      <t xml:space="preserve">- DT : </t>
    </r>
    <r>
      <rPr>
        <sz val="10"/>
        <color rgb="FFC00000"/>
        <rFont val="Wingdings 3"/>
        <family val="1"/>
        <charset val="2"/>
      </rPr>
      <t>Õ</t>
    </r>
    <r>
      <rPr>
        <sz val="10"/>
        <color rgb="FFC00000"/>
        <rFont val="Arial"/>
        <family val="2"/>
      </rPr>
      <t xml:space="preserve"> "Mobile"</t>
    </r>
    <r>
      <rPr>
        <sz val="10"/>
        <color theme="1"/>
        <rFont val="Arial"/>
        <family val="2"/>
      </rPr>
      <t xml:space="preserve"> for DJ Stoxx (but "Fixed" for CMT) while available Bloomberg Mobile % Rev. estimates (61%) put DT below "Fixed" TEF (64%). In absence of other data, we keep DT original estimates but add "</t>
    </r>
    <r>
      <rPr>
        <sz val="10"/>
        <color theme="1"/>
        <rFont val="Symbol"/>
        <family val="1"/>
        <charset val="2"/>
      </rPr>
      <t>®</t>
    </r>
    <r>
      <rPr>
        <sz val="10"/>
        <color theme="1"/>
        <rFont val="Arial"/>
        <family val="2"/>
      </rPr>
      <t>" on graphs.</t>
    </r>
  </si>
  <si>
    <t xml:space="preserve">As a general rule, we have only included SPs from the European Economic Area </t>
  </si>
  <si>
    <t xml:space="preserve">(+neutral Switzerland). </t>
  </si>
  <si>
    <t>"Axis" notion to be revised in final WACC : rather curves for gearing and E/Enot, as with asset betas and credit ratings.</t>
  </si>
  <si>
    <t>for less precise estimates.</t>
  </si>
  <si>
    <r>
      <rPr>
        <sz val="10"/>
        <color theme="0" tint="-0.499984740745262"/>
        <rFont val="Symbol"/>
        <family val="1"/>
        <charset val="2"/>
      </rPr>
      <t>­</t>
    </r>
    <r>
      <rPr>
        <i/>
        <sz val="10"/>
        <color theme="0" tint="-0.499984740745262"/>
        <rFont val="Arial"/>
        <family val="2"/>
      </rPr>
      <t>Grey italics</t>
    </r>
    <r>
      <rPr>
        <sz val="10"/>
        <color theme="0" tint="-0.499984740745262"/>
        <rFont val="Symbol"/>
        <family val="1"/>
        <charset val="2"/>
      </rPr>
      <t>¯</t>
    </r>
    <r>
      <rPr>
        <i/>
        <sz val="10"/>
        <color theme="0" tint="-0.499984740745262"/>
        <rFont val="Arial"/>
        <family val="2"/>
      </rPr>
      <t xml:space="preserve"> </t>
    </r>
  </si>
  <si>
    <r>
      <rPr>
        <i/>
        <sz val="10"/>
        <color theme="0" tint="-0.499984740745262"/>
        <rFont val="Arial"/>
        <family val="2"/>
      </rPr>
      <t xml:space="preserve">Imprecise </t>
    </r>
    <r>
      <rPr>
        <sz val="10"/>
        <color theme="0" tint="-0.499984740745262"/>
        <rFont val="Arial"/>
        <family val="2"/>
      </rPr>
      <t>Mobile % Revenues may rather regard :</t>
    </r>
  </si>
  <si>
    <t>- In contrast, we maintain Iliad's Mobile % Revenues in spite of a logical negative/low Ebitda for its fledgling but fast growing Mobile business (it is certainly not negatively valued by the market).</t>
  </si>
  <si>
    <t>° In this respect, and in contrast with Mobistar, we note the absence of Telenet and Iliad from DJ Stoxx Europe Fixed Line Telecoms. (But Telenet is a member of the DJ Stoxx 600 index since March 2010.)</t>
  </si>
  <si>
    <r>
      <t xml:space="preserve">Yet, this purpose of EV/Ebitda analysis is </t>
    </r>
    <r>
      <rPr>
        <b/>
        <sz val="10"/>
        <color theme="1"/>
        <rFont val="Arial"/>
        <family val="2"/>
      </rPr>
      <t>now rather secondary</t>
    </r>
    <r>
      <rPr>
        <sz val="10"/>
        <color theme="1"/>
        <rFont val="Arial"/>
        <family val="2"/>
      </rPr>
      <t xml:space="preserve"> in comparison with the new following one. </t>
    </r>
  </si>
  <si>
    <r>
      <t>Modulo minority interests, which are negligible for Belgian SPs :</t>
    </r>
    <r>
      <rPr>
        <b/>
        <sz val="10"/>
        <color theme="1"/>
        <rFont val="Arial"/>
        <family val="2"/>
      </rPr>
      <t xml:space="preserve"> g = D/(D+E) </t>
    </r>
    <r>
      <rPr>
        <b/>
        <sz val="10"/>
        <color theme="1"/>
        <rFont val="Symbol"/>
        <family val="1"/>
        <charset val="2"/>
      </rPr>
      <t>»</t>
    </r>
    <r>
      <rPr>
        <b/>
        <sz val="10"/>
        <color theme="1"/>
        <rFont val="Arial"/>
        <family val="2"/>
      </rPr>
      <t xml:space="preserve"> D/EV = (D/Ebitda) / (EV/Bitda).</t>
    </r>
    <r>
      <rPr>
        <sz val="10"/>
        <color theme="1"/>
        <rFont val="Arial"/>
        <family val="2"/>
      </rPr>
      <t xml:space="preserve"> Cf. next sheet 'Gearings, E&amp;Enot', where a similar decomposition is applied to E/Enot.</t>
    </r>
  </si>
  <si>
    <r>
      <t xml:space="preserve">The standard acronym for Ebitda* is </t>
    </r>
    <r>
      <rPr>
        <b/>
        <sz val="10"/>
        <rFont val="Arial"/>
        <family val="2"/>
      </rPr>
      <t xml:space="preserve">EBITDAR </t>
    </r>
    <r>
      <rPr>
        <sz val="10"/>
        <rFont val="Arial"/>
        <family val="2"/>
      </rPr>
      <t xml:space="preserve">(before </t>
    </r>
    <r>
      <rPr>
        <b/>
        <sz val="10"/>
        <rFont val="Arial"/>
        <family val="2"/>
      </rPr>
      <t>R</t>
    </r>
    <r>
      <rPr>
        <sz val="10"/>
        <rFont val="Arial"/>
        <family val="2"/>
      </rPr>
      <t>ent), but we keep using * for a consistent presentation of OL-adj. metrics.</t>
    </r>
  </si>
  <si>
    <r>
      <t>More on EV/x multiples</t>
    </r>
    <r>
      <rPr>
        <sz val="10"/>
        <rFont val="Arial"/>
        <family val="2"/>
      </rPr>
      <t xml:space="preserve"> (Damodaran, pdf).</t>
    </r>
  </si>
  <si>
    <r>
      <rPr>
        <sz val="10"/>
        <color theme="1"/>
        <rFont val="Symbol"/>
        <family val="1"/>
        <charset val="2"/>
      </rPr>
      <t>®</t>
    </r>
    <r>
      <rPr>
        <sz val="10"/>
        <color theme="1"/>
        <rFont val="Arial"/>
        <family val="2"/>
      </rPr>
      <t xml:space="preserve"> With a balanced Fixed/Mobile mix, and within this 'cluster', two types of operators : SPs such as Belgacom mainly relying on their domestic Fixed line business stronghold, and SPs with a significantly higher Mobile share because they had no other choice than to find growth in other markets (typically in geo-politic spheres of influence, or US for T-Mobile/DT), starting with Mobile services.</t>
    </r>
  </si>
  <si>
    <t xml:space="preserve">Once again, this adjustment has a marginal impact, and for key quasi pure-players, it is close to zero (even more at WACC level). </t>
  </si>
  <si>
    <t xml:space="preserve">In 'Note 2', it is argued that recent values and trends for SP-specific WACC parameters, gearing in particular, are probably more interesting for forward-looking estimates. </t>
  </si>
  <si>
    <t>(Collect SPs Earnings for direct P/E calculation.)</t>
  </si>
  <si>
    <t>This table presents adjusted % Mobile with a small uplift from % Mobile only for 1H13 (and no further adjustment for the Suisso-Nordic SPs).</t>
  </si>
  <si>
    <t>For a Fixed/Mobile WACC determination, the Belgium market provides a rare opportunity to have quasi pure-players for both services. Had there not been any apparent valuation distortion around these SPs, this whole analysis would have been almost pointless (except for some of its qualitative appreciations). But :</t>
  </si>
  <si>
    <t>- Telenet's high valuation is due to a growth profile (whose contribution from Mobile operations is larger than their revenues share), and this profile may not be representative for general Fixed line services in Belgium, Belgacom's in particular.</t>
  </si>
  <si>
    <t>- Mobistar's market cap has plummeted since 2011 (also Belgacom's but to a much lesser extent). Without judging whether it is fair or not, due mainly to external or (and) internal / Orange group issues, the consequence of this is that its market cap based financial ratios, notably gearing, may not be really under control.</t>
  </si>
  <si>
    <t>Iliad's and (tiny) Sonaecom's inputs respectively exhibit similar or comparable issues. Inputs from the 'British axis' should be relativised because of BT's semingly exceptional operational performance, Vodafone's international profile (beside a huge market cap) offsetting some domestic pressure, and possibly other local specifities.</t>
  </si>
  <si>
    <t>the period (limited circularity issue here, as final % Mobile remain an indirect input).</t>
  </si>
  <si>
    <t xml:space="preserve">In WACC 4, the estimated Fixed/Mobile WACC spread before notional discount is similar to its value in BIPT 2010. At less than 10% of the WACC, it is now globally more consistent with the amplification factor x applied to % Mobile by the end of </t>
  </si>
  <si>
    <t>In the future, among listed SPs, BT could become the only pure-player (except possible functional separations and Netcos), and many RAs may adopt a single WACC, modulo some premium (super fast broadband) or discount (local loop).</t>
  </si>
  <si>
    <t>This section's Fixed/Mobile analyses would become almost irrelevant - if only feasible. In order to infer appropriate domestic "norms", benchmarking analyses may rather address other differentiating features between SPs, e.g. : degree of exposure to categorized markets (in terms of growth and risk profile, competitive intensity, etc.) and market positioning (incumbent SP vs. recent entrant) to adjust estimates, at least on a qualitative basis. This is what we have attempted to do in a simplistic fashion with proposed 'clusters', and hereafter with the determination of Belgacom's closest peers.</t>
  </si>
  <si>
    <t>'Relative debt levels' : D/Ebitda and g = D/(D+E).</t>
  </si>
  <si>
    <t>This section aims at estimating Belgacom's closest peers, beyond the previous general characterization of Belgacom as a 'Continental' incumbent SP. Its purpose, here, is mainly to lighten graphs with recent historic evolutions, and compare relative debt levels and asset betas within this peer group, so that more appropriate 'normative' values may be inferred for Belgacom. These values may then impact those assigned to the generic SPs. (Eventually, only Belgacom's 'normative' debt levels from its peers' average values have here some impact.)</t>
  </si>
  <si>
    <t>- The 'distance' of operators from Belgacom may be graphically assessed from previous adj. EV/Ebitda vs. % Mobile charts, when this distance is only based on this two metrics, and with equal weights. (Naturally, later benchmarked parameters - financial leverage ratios and betas - must be excluded, otherwise this would twist the very purpose of their analysis.)</t>
  </si>
  <si>
    <t>- The table below shows for integrated SPs, i.e. neither Fixed nor Mobile by Brattle's criteria, 'distances' from Belgacom by adding market cap to adj. EV/Ebitda and %Mobile (all on average for the period of analysis), then "distorting" their 3D space : a customised Euclidean distance.</t>
  </si>
  <si>
    <r>
      <t xml:space="preserve">- Poland's telecom market may lag behind Belgium's in terms of Fixed and Mobile penetration (?), for instance. But </t>
    </r>
    <r>
      <rPr>
        <b/>
        <sz val="10"/>
        <color theme="1"/>
        <rFont val="Arial"/>
        <family val="2"/>
      </rPr>
      <t>TPS</t>
    </r>
    <r>
      <rPr>
        <sz val="10"/>
        <color theme="1"/>
        <rFont val="Arial"/>
        <family val="2"/>
      </rPr>
      <t xml:space="preserve"> is likely to remain a close comparator for Belgacom in a refined analysis.</t>
    </r>
  </si>
  <si>
    <t>For the main operator of Belgium, a country rather small and at the crossroads of Europe, this list intuitively makes sense.   In addition to KPN &amp; TKA, it includes the 'continental' side of the Swisso-Nordic cluster, and a touch of Southern and Eastern Europe SPs. And beside the latter, these SPs' domestic markets have comparable sizes. Even with a small 10% weight, the market cap criterion excludes ORA and DT. Yet, we believe this remains appropriate for this illustrative short list.</t>
  </si>
  <si>
    <t>Peer analysis not useful for Belgacom's E/Eb either.</t>
  </si>
  <si>
    <t>Since 1Q11 :</t>
  </si>
  <si>
    <t>Following a common EV/Ebitda re-adjustement for Belgian and many other SPs by 1Q11, Belgacom's "plateau" stands around 5x. We propose to consider this rounded figure for the current level of Belgacom's relative valuation, at the level of Belgacom's peers for that period since 1Q11</t>
  </si>
  <si>
    <t xml:space="preserve">For indebtedness, size also matters as erlier stated. But at the level of Belgacom, we consider that market cap is a rather secondary criteria; whereas valuation multiple adj. EV/Ebitda should be the prominent factor to sort profiles within this subset of comparators. This approach may be (ideally, should be) extended to other criteria, such as those mentioned at the end of the above analysis for % Mobile analysis, as long as they can be somehow quantify. </t>
  </si>
  <si>
    <t xml:space="preserve"> Avg.</t>
  </si>
  <si>
    <t>1H10 - 1H13 avg.</t>
  </si>
  <si>
    <t>BIPT 2013 adj. % MOBILE</t>
  </si>
  <si>
    <t>Calculations with 1H13 data, instead of period avg, deleted by mistake. Beside OTE &amp; PT, only TDC, TIT and KPN were under 0.5. Iliad, now with the same %Mobile and d =0.6 in mkt cap, remained clearly excluded because of its high valuation.</t>
  </si>
  <si>
    <r>
      <rPr>
        <b/>
        <sz val="10"/>
        <rFont val="Arial"/>
        <family val="2"/>
      </rPr>
      <t xml:space="preserve">i) </t>
    </r>
    <r>
      <rPr>
        <sz val="10"/>
        <rFont val="Arial"/>
        <family val="2"/>
      </rPr>
      <t>Regardings gearings, this sheet first analyzes D/Ebitda, which is cleared from valuation issues (cf. 'Profiles'), before addressing market gearings :</t>
    </r>
  </si>
  <si>
    <r>
      <rPr>
        <b/>
        <sz val="10"/>
        <rFont val="Arial"/>
        <family val="2"/>
      </rPr>
      <t>ii)</t>
    </r>
    <r>
      <rPr>
        <sz val="10"/>
        <rFont val="Arial"/>
        <family val="2"/>
      </rPr>
      <t xml:space="preserve"> This sheet ends with a shorter section dedicated to </t>
    </r>
    <r>
      <rPr>
        <b/>
        <sz val="10"/>
        <rFont val="Arial"/>
        <family val="2"/>
      </rPr>
      <t>E/Enot</t>
    </r>
    <r>
      <rPr>
        <sz val="10"/>
        <rFont val="Arial"/>
        <family val="2"/>
      </rPr>
      <t xml:space="preserve"> : a component for the impact of Belgium's 'notional discount' on pre-tax WACC rates. Eventually, this ratio is partially inferred from assumptions and findings laid out in previous sections.</t>
    </r>
  </si>
  <si>
    <t>Contrasted situation, between Telenet on one side, and Belgacom/Mobistar on the other. Positive Belgacom-Mobistar slope. Belgacom much below its peers, except TPS.</t>
  </si>
  <si>
    <t>Belgacom-Mobistar positive slope similar to 1H10-1H13 avg, except that it stands at slightly higher levels (see below).</t>
  </si>
  <si>
    <r>
      <t>(</t>
    </r>
    <r>
      <rPr>
        <sz val="10"/>
        <rFont val="Symbol"/>
        <family val="1"/>
        <charset val="2"/>
      </rPr>
      <t>¯</t>
    </r>
    <r>
      <rPr>
        <sz val="9"/>
        <rFont val="Arial"/>
        <family val="2"/>
      </rPr>
      <t xml:space="preserve"> </t>
    </r>
    <r>
      <rPr>
        <sz val="10"/>
        <rFont val="Arial"/>
        <family val="2"/>
      </rPr>
      <t>Telenet's note on Ebitda : may explain why they mention D/Ebitda = 4.2x at 2Q13, when we get 4.4x with or without OL.)</t>
    </r>
  </si>
  <si>
    <r>
      <t xml:space="preserve">Slightly negative slope on the British axis, the reverse without OL </t>
    </r>
    <r>
      <rPr>
        <sz val="10"/>
        <color theme="1" tint="0.34998626667073579"/>
        <rFont val="Symbol"/>
        <family val="1"/>
        <charset val="2"/>
      </rPr>
      <t>®</t>
    </r>
    <r>
      <rPr>
        <sz val="10"/>
        <color theme="1" tint="0.34998626667073579"/>
        <rFont val="Arial"/>
        <family val="2"/>
      </rPr>
      <t xml:space="preserve"> opposite move to the Belgacom-Mobistar line.</t>
    </r>
  </si>
  <si>
    <t>Avg. g*</t>
  </si>
  <si>
    <r>
      <rPr>
        <sz val="10"/>
        <color rgb="FFFFDA65"/>
        <rFont val="Symbol"/>
        <family val="1"/>
        <charset val="2"/>
      </rPr>
      <t>¬</t>
    </r>
    <r>
      <rPr>
        <sz val="9"/>
        <color rgb="FFFFDA65"/>
        <rFont val="Arial"/>
        <family val="2"/>
      </rPr>
      <t xml:space="preserve"> </t>
    </r>
    <r>
      <rPr>
        <sz val="10"/>
        <color rgb="FFFFDA65"/>
        <rFont val="Arial"/>
        <family val="2"/>
      </rPr>
      <t xml:space="preserve">Consider 3.5x and g = 39%, in consistence with the caution applied to Belgacom &amp; Mobistar (higher Cd). </t>
    </r>
  </si>
  <si>
    <t>Stable around 10% / then up to 33%</t>
  </si>
  <si>
    <t>Resp. a bit below 17%</t>
  </si>
  <si>
    <t>Belgacom's gearing has been rather stable around average values a bit below 20%, slightly increasing in 2012, and further rising by 2Q13. We propose to consider these 20% as a minimum for Belgacom. From the previous D/Ebitda analysis, we are on the view that 50% is a more relevant maximum than its latest gearing, and that 40% makes an appropriate central case.</t>
  </si>
  <si>
    <t>Also, directly, g* = 50% for its closest peers at 2Q13 (simple or weighted average by relative 'distance'), 43% for the whole period.</t>
  </si>
  <si>
    <r>
      <t>Cf. '</t>
    </r>
    <r>
      <rPr>
        <u/>
        <sz val="10"/>
        <color theme="1" tint="0.34998626667073579"/>
        <rFont val="Arial"/>
        <family val="2"/>
      </rPr>
      <t>Calculations</t>
    </r>
    <r>
      <rPr>
        <sz val="10"/>
        <color theme="1" tint="0.34998626667073579"/>
        <rFont val="Arial"/>
        <family val="2"/>
      </rPr>
      <t>'.</t>
    </r>
  </si>
  <si>
    <t>In the UK, we note a decreasing trend, rather small for Vodafone, deeper for BT which started the period at rather high levels. BT has reduced a bit its D* (-10% in absolute terms, as Vodafone), BT's high market cap growth making for the rest.</t>
  </si>
  <si>
    <t>For 'Gearings' illustration : g* vs. g*  =</t>
  </si>
  <si>
    <t>D = net Debt, Ea = Ebitda, * = with OL.</t>
  </si>
  <si>
    <t>Same 2Q13 values, but with marks applied to the graph with average values :</t>
  </si>
  <si>
    <t>If we had only considered actual current gearings, we would have proposed a rather flat Belgian gearing axis, between 45% (Mobile) - 50% (Fixed), while stating that these values would also be appropriate for Belgacom (g* = 50% for its closest peers, saying nothing of values for all 'Continental' incumbents).</t>
  </si>
  <si>
    <r>
      <t xml:space="preserve">But we believe that the strong correction applied from Mobistar's actual gearing is appropriate. The </t>
    </r>
    <r>
      <rPr>
        <b/>
        <sz val="10"/>
        <rFont val="Arial"/>
        <family val="2"/>
      </rPr>
      <t xml:space="preserve">narrow darker band </t>
    </r>
    <r>
      <rPr>
        <sz val="10"/>
        <rFont val="Arial"/>
        <family val="2"/>
      </rPr>
      <t xml:space="preserve">shows our proposal for Belgium's SPs with mid-points given by its central arrow : from Mobile mid-point, this straight line goes through our central normative case for Belgacom as well as Telenet's central gearing. </t>
    </r>
  </si>
  <si>
    <r>
      <t xml:space="preserve">Without OL, D/Ebitda </t>
    </r>
    <r>
      <rPr>
        <sz val="10"/>
        <color theme="1" tint="0.499984740745262"/>
        <rFont val="Symbol"/>
        <family val="1"/>
        <charset val="2"/>
      </rPr>
      <t>»</t>
    </r>
    <r>
      <rPr>
        <sz val="10"/>
        <color theme="1" tint="0.499984740745262"/>
        <rFont val="Arial"/>
        <family val="2"/>
      </rPr>
      <t xml:space="preserve"> 1x for Mobile and is 0.13 lower for Belgacom compared to its central 'normalized' estimate with OL.</t>
    </r>
  </si>
  <si>
    <t>Key graph of this sheet :</t>
  </si>
  <si>
    <t>- The arrow darker band delimits ranges determined for Telenet &amp; Mobile.</t>
  </si>
  <si>
    <t>- The lightest surface delimits actual Belgian values.</t>
  </si>
  <si>
    <t>* In next 'Ratings' sheet, with a rating for the generic integrated SP better than for its Fixed &amp; Mobile branches (and not just because of mere size effect).</t>
  </si>
  <si>
    <t>- WACC impact with other '2013 WACC 3' inputs : + 0.20% for Fixed.</t>
  </si>
  <si>
    <t>Remark : values would be significantly lower for Belgacom &amp; Mobistar if we were to assess an actual average gearing* for the forthcoming regulatory period - not average normative gearings* (for their entire avg. assets economic lives). For the next 3 years, former values could be closer to 30% for Belgacom (current level), and to Min/Max avg. = 33% for Mobistar (if its situation improves, otherwise closer to 40%).</t>
  </si>
  <si>
    <r>
      <rPr>
        <b/>
        <sz val="10"/>
        <rFont val="Arial"/>
        <family val="2"/>
      </rPr>
      <t>i)</t>
    </r>
    <r>
      <rPr>
        <sz val="10"/>
        <rFont val="Arial"/>
        <family val="2"/>
      </rPr>
      <t xml:space="preserve"> In 2010, from BIPT's WACC formula incorporating the effect of Belgium's 'notional discount', we determined that this fiscal measure implies a standard pre-tax WACC subtracted by :</t>
    </r>
  </si>
  <si>
    <t>- Rnot is the notional discount discount rate, addressed in WACC 1,</t>
  </si>
  <si>
    <t>- En (or Enot) is the perimeter of shareholder's equity (Eb) to which the 'notional discount' measure may apply,</t>
  </si>
  <si>
    <r>
      <rPr>
        <b/>
        <sz val="10"/>
        <rFont val="Arial"/>
        <family val="2"/>
      </rPr>
      <t>ii)</t>
    </r>
    <r>
      <rPr>
        <sz val="10"/>
        <rFont val="Arial"/>
        <family val="2"/>
      </rPr>
      <t xml:space="preserve"> Regarding En, Belgium's</t>
    </r>
  </si>
  <si>
    <r>
      <t>general Tax Code</t>
    </r>
    <r>
      <rPr>
        <sz val="10"/>
        <rFont val="Arial"/>
        <family val="2"/>
      </rPr>
      <t xml:space="preserve"> more precisely states the following :</t>
    </r>
  </si>
  <si>
    <t>" L’application de la déduction des intérêts notionnels suppose les fonds propres positifs. Si les fonds propres de la société sont négatifs, ou si les pertes reportées sont égales au capital lors du calcul du capital à risque, la société ne peut qu’appliquer la réserve d’investissement, et ce pour autant qu’au cours de l’exercice, il y ait un accroissement des réserves taxées et qu’elle bénéficie du tarif réduit de l’impôt des sociétés. "</t>
  </si>
  <si>
    <r>
      <rPr>
        <b/>
        <sz val="10"/>
        <rFont val="Arial"/>
        <family val="2"/>
      </rPr>
      <t>iii)</t>
    </r>
    <r>
      <rPr>
        <sz val="10"/>
        <rFont val="Arial"/>
        <family val="2"/>
      </rPr>
      <t xml:space="preserve"> </t>
    </r>
    <r>
      <rPr>
        <b/>
        <sz val="10"/>
        <rFont val="Arial"/>
        <family val="2"/>
      </rPr>
      <t xml:space="preserve">Benchmarked E/Eb </t>
    </r>
    <r>
      <rPr>
        <sz val="10"/>
        <rFont val="Arial"/>
        <family val="2"/>
      </rPr>
      <t>do not seem very helpful.</t>
    </r>
  </si>
  <si>
    <t xml:space="preserve">But from a regulatory point of view, it would be inappropriate (unfair) to relieve its WACC rate - furthemore the Fixed rate - from any notional discount because of financial practices likely to be both rather peculiar to this firm and temporary (whatever its good reasons for this negative shareholder's equity). </t>
  </si>
  <si>
    <t>Peers avg</t>
  </si>
  <si>
    <t>MOBILE % REV. or EBITDA</t>
  </si>
  <si>
    <t>% Mobile per FY or HY</t>
  </si>
  <si>
    <t xml:space="preserve">% Mobile vs. adj. EV/Ebitda </t>
  </si>
  <si>
    <t>Conclusion for i)</t>
  </si>
  <si>
    <t>Conclusion for ii)</t>
  </si>
  <si>
    <t>Just to visualize impact : leave at 100% otherwise.</t>
  </si>
  <si>
    <r>
      <rPr>
        <b/>
        <sz val="10"/>
        <rFont val="Arial"/>
        <family val="2"/>
      </rPr>
      <t xml:space="preserve">Labels in bold </t>
    </r>
    <r>
      <rPr>
        <sz val="10"/>
        <rFont val="Arial"/>
        <family val="2"/>
      </rPr>
      <t>on graphs :</t>
    </r>
  </si>
  <si>
    <t>Belgacom's closest peers + Mobistar &amp; Telenet.</t>
  </si>
  <si>
    <r>
      <t xml:space="preserve">- When a firm's management provides guidance regarding its target debt level, it usually considers </t>
    </r>
    <r>
      <rPr>
        <b/>
        <sz val="10"/>
        <rFont val="Arial"/>
        <family val="2"/>
      </rPr>
      <t xml:space="preserve">D/Ebitda, </t>
    </r>
    <r>
      <rPr>
        <sz val="10"/>
        <rFont val="Arial"/>
        <family val="2"/>
      </rPr>
      <t xml:space="preserve">e.g. 2x. But this typically without OL adjustments (until expected new IASB/FASB recommendations on this matter - cf. 'Note 2'), hence above configurable parameter. For this ratio, the difference between estimates taking and not taking OL into account is larger than between their EV/Ebitda equivalents, especially for Mobistar : EV adds market cap E (and minority interest) to net debt D, see table   </t>
    </r>
    <r>
      <rPr>
        <sz val="10"/>
        <rFont val="Symbol"/>
        <family val="1"/>
        <charset val="2"/>
      </rPr>
      <t>®</t>
    </r>
  </si>
  <si>
    <r>
      <t xml:space="preserve">The difference beween D+E and EV is Minority Interests (MI). As portions of (D+E), These MI are usually negligible, without or without OL, at least for Belgian SPs    </t>
    </r>
    <r>
      <rPr>
        <sz val="10"/>
        <rFont val="Symbol"/>
        <family val="1"/>
        <charset val="2"/>
      </rPr>
      <t>®</t>
    </r>
  </si>
  <si>
    <t>- Alternatively, we could ask involved SPs if they consider that current levels are indeed appropriate on a forward-looking basis or to (publicly) admit that they have somehow lose control of their market gearings... (Our analysis may not prevent them to give their views and perspectives about this.)</t>
  </si>
  <si>
    <r>
      <t xml:space="preserve">- Note that, in absence of workable coverage ratios and other relevant multiples, D/Ebitda analysis remains useful to infer </t>
    </r>
    <r>
      <rPr>
        <b/>
        <sz val="10"/>
        <rFont val="Arial"/>
        <family val="2"/>
      </rPr>
      <t>synthetic credit ratings</t>
    </r>
    <r>
      <rPr>
        <sz val="10"/>
        <rFont val="Arial"/>
        <family val="2"/>
      </rPr>
      <t xml:space="preserve"> (next sheet). We also remind that credit rating analysts do not omit, in their case, off-balance sheet commitments.</t>
    </r>
  </si>
  <si>
    <r>
      <t xml:space="preserve">If we had not sensed likely biases induced by valuation issues, the following intermediary D/Ebitda analysis would have been omitted in order to estimate appropriate gearings for Belgian SPs. In theory, </t>
    </r>
    <r>
      <rPr>
        <b/>
        <sz val="10"/>
        <rFont val="Arial"/>
        <family val="2"/>
      </rPr>
      <t>gearing, and even more D/Ebitda, are partially under management control</t>
    </r>
    <r>
      <rPr>
        <sz val="10"/>
        <rFont val="Arial"/>
        <family val="2"/>
      </rPr>
      <t xml:space="preserve">. </t>
    </r>
  </si>
  <si>
    <t>Yet, when a firm is already committed to a significant amount of more or less LT debt, it may not easily adjust its indebtedness (through anticipated repayment?) when coping with falling market cap or, to a lesser extent, weaker than expected Ebitda (in which case the management would be more responsible).</t>
  </si>
  <si>
    <r>
      <t xml:space="preserve">Do not delete </t>
    </r>
    <r>
      <rPr>
        <sz val="10"/>
        <color theme="1" tint="0.499984740745262"/>
        <rFont val="Symbol"/>
        <family val="1"/>
        <charset val="2"/>
      </rPr>
      <t>®</t>
    </r>
  </si>
  <si>
    <t>Do not insert column until S</t>
  </si>
  <si>
    <t>1H10-1H13 avg.</t>
  </si>
  <si>
    <t>- The grey vertical line shows the gearing of a generic integrated SP - 50% Fixed, 50% Mobile as the Belgian's market, in revenues.</t>
  </si>
  <si>
    <r>
      <rPr>
        <b/>
        <sz val="10"/>
        <rFont val="Arial"/>
        <family val="2"/>
      </rPr>
      <t>Increased debt levels</t>
    </r>
    <r>
      <rPr>
        <sz val="10"/>
        <rFont val="Arial"/>
        <family val="2"/>
      </rPr>
      <t xml:space="preserve"> for almost all SPs, especially those which where are at the bottom of D/Ebitda - Belgacom in particular, but already heavily indebted Telenet as well, by sample's standard around 2.1-2.4x. We remind that, for the last two semesters, Debt could be raised at a rather </t>
    </r>
    <r>
      <rPr>
        <b/>
        <sz val="10"/>
        <rFont val="Arial"/>
        <family val="2"/>
      </rPr>
      <t>cheap cost</t>
    </r>
    <r>
      <rPr>
        <sz val="10"/>
        <rFont val="Arial"/>
        <family val="2"/>
      </rPr>
      <t xml:space="preserve"> for most SPs : cf. WACC 1/ Rf &amp; Cd / Evolution of European corporate 10Y spreads by credit rating.</t>
    </r>
  </si>
  <si>
    <r>
      <t xml:space="preserve">Beside, in an Oct 2011 note, Moody's refers to Belgacom's </t>
    </r>
    <r>
      <rPr>
        <i/>
        <sz val="10"/>
        <rFont val="Arial"/>
        <family val="2"/>
      </rPr>
      <t>"published limit of 2.0x-2.5x reported non-adjusted net debt/EBITDA"</t>
    </r>
    <r>
      <rPr>
        <sz val="10"/>
        <rFont val="Arial"/>
        <family val="2"/>
      </rPr>
      <t xml:space="preserve"> (cf. 'Ratings').</t>
    </r>
  </si>
  <si>
    <r>
      <t xml:space="preserve">Should this determination be based on Belgacom's WACC, we would rather retain a D/Ebitda ratio between </t>
    </r>
    <r>
      <rPr>
        <b/>
        <sz val="10"/>
        <rFont val="Arial"/>
        <family val="2"/>
      </rPr>
      <t>1.5x-2.5x</t>
    </r>
    <r>
      <rPr>
        <sz val="10"/>
        <rFont val="Arial"/>
        <family val="2"/>
      </rPr>
      <t>, a bit below current peers' levels because WACC 1 conservatively assumes a scenario with more expensive debt on average than current levels : central case at 2x.</t>
    </r>
  </si>
  <si>
    <r>
      <rPr>
        <b/>
        <sz val="10"/>
        <rFont val="Arial"/>
        <family val="2"/>
      </rPr>
      <t>Mobistar</t>
    </r>
    <r>
      <rPr>
        <sz val="10"/>
        <rFont val="Arial"/>
        <family val="2"/>
      </rPr>
      <t xml:space="preserve"> has also steadily increased its debt level, joigning the 1.5x-2x range (or above 1x excl. OL). Whether or not this might be partially due to lower than expected Ebitda (?), this ranges also generally corresponds to values for Mobile quasi pure-players, although VOD is not surprisingly evolving at slightly higher levels. Taking into account caveats previously mentioned for Belgacom, we propose to consider D/Ebitda </t>
    </r>
    <r>
      <rPr>
        <b/>
        <sz val="10"/>
        <rFont val="Symbol"/>
        <family val="1"/>
        <charset val="2"/>
      </rPr>
      <t>»</t>
    </r>
    <r>
      <rPr>
        <b/>
        <sz val="9"/>
        <rFont val="Arial"/>
        <family val="2"/>
      </rPr>
      <t xml:space="preserve"> </t>
    </r>
    <r>
      <rPr>
        <b/>
        <sz val="10"/>
        <rFont val="Arial"/>
        <family val="2"/>
      </rPr>
      <t>1.5x</t>
    </r>
    <r>
      <rPr>
        <sz val="10"/>
        <rFont val="Arial"/>
        <family val="2"/>
      </rPr>
      <t xml:space="preserve"> for the</t>
    </r>
  </si>
  <si>
    <t>Analyses here a bit more developped in the Word version.</t>
  </si>
  <si>
    <r>
      <t>Belgian Mobile SP (</t>
    </r>
    <r>
      <rPr>
        <sz val="10"/>
        <rFont val="Symbol"/>
        <family val="1"/>
        <charset val="2"/>
      </rPr>
      <t>»</t>
    </r>
    <r>
      <rPr>
        <sz val="9"/>
        <rFont val="Arial"/>
        <family val="2"/>
      </rPr>
      <t xml:space="preserve"> </t>
    </r>
    <r>
      <rPr>
        <sz val="10"/>
        <rFont val="Arial"/>
        <family val="2"/>
      </rPr>
      <t xml:space="preserve">1x excl. OL). </t>
    </r>
    <r>
      <rPr>
        <b/>
        <sz val="10"/>
        <rFont val="Arial"/>
        <family val="2"/>
      </rPr>
      <t>With the assumption of EV/Ebitda</t>
    </r>
  </si>
  <si>
    <r>
      <rPr>
        <b/>
        <sz val="10"/>
        <rFont val="Arial"/>
        <family val="2"/>
      </rPr>
      <t>Belgacom</t>
    </r>
    <r>
      <rPr>
        <sz val="10"/>
        <rFont val="Arial"/>
        <family val="2"/>
      </rPr>
      <t xml:space="preserve">'s D/Ebitda is evolving at significantly lower levels than its peers : around 1x vs. 2x-3x, TPS aside. (The start of the debt crisis may have triggered a more or less swift readjustment from TDC &amp; TIT in the first semesters). Belgacom's D/Ebitda is also regularly increasing, a progressive recalibration that could lead Belgacom above 1.5x. </t>
    </r>
  </si>
  <si>
    <r>
      <rPr>
        <b/>
        <sz val="10"/>
        <rFont val="Arial"/>
        <family val="2"/>
      </rPr>
      <t>Telenet</t>
    </r>
    <r>
      <rPr>
        <sz val="10"/>
        <rFont val="Arial"/>
        <family val="2"/>
      </rPr>
      <t xml:space="preserve"> asserts a target D/Ebitda of 3.5x-4.5x vs 4.2x-4.4x currently (almost no OL). This implies a </t>
    </r>
    <r>
      <rPr>
        <b/>
        <sz val="10"/>
        <rFont val="Arial"/>
        <family val="2"/>
      </rPr>
      <t>gearing range</t>
    </r>
  </si>
  <si>
    <t xml:space="preserve">- Mobistar is the SP relying the most on OL, </t>
  </si>
  <si>
    <t>As proportion of gearing or net debt :</t>
  </si>
  <si>
    <t>- Belgacom median,</t>
  </si>
  <si>
    <t>- Telenet the least.</t>
  </si>
  <si>
    <t>But, this is definitely not a Fixed vs. Mobile issue, nor a cultural/country issue : see BT &amp; VOD, TLSN &amp; TEL2, PT &amp; SNC. It is rather about management style.</t>
  </si>
  <si>
    <t>Belgacom and peers</t>
  </si>
  <si>
    <t>Quasi pure-players : British SPs, ILD &amp; SNC</t>
  </si>
  <si>
    <t>- This would be actually preferable : it would be normal for an integrated SP to have D/Ebitda and gearing above resp. Fixed-Mobile lines. This would be similar to what we already consider :</t>
  </si>
  <si>
    <r>
      <t xml:space="preserve">- A "twisted" axis should also be applied to following </t>
    </r>
    <r>
      <rPr>
        <sz val="10"/>
        <color rgb="FFFFDA65"/>
        <rFont val="Symbol"/>
        <family val="1"/>
        <charset val="2"/>
      </rPr>
      <t>D</t>
    </r>
    <r>
      <rPr>
        <sz val="10"/>
        <color rgb="FFFFDA65"/>
        <rFont val="Arial"/>
        <family val="2"/>
      </rPr>
      <t xml:space="preserve">not analysis (with possibly a similar impact on post </t>
    </r>
    <r>
      <rPr>
        <sz val="10"/>
        <color rgb="FFFFDA65"/>
        <rFont val="Symbol"/>
        <family val="1"/>
        <charset val="2"/>
      </rPr>
      <t>D</t>
    </r>
    <r>
      <rPr>
        <sz val="10"/>
        <color rgb="FFFFDA65"/>
        <rFont val="Arial"/>
        <family val="2"/>
      </rPr>
      <t>not WACC).</t>
    </r>
  </si>
  <si>
    <t>Post frozen 2013 Word report observation :</t>
  </si>
  <si>
    <r>
      <t>'</t>
    </r>
    <r>
      <rPr>
        <u/>
        <sz val="10"/>
        <color rgb="FFFFDA65"/>
        <rFont val="Arial"/>
        <family val="2"/>
      </rPr>
      <t>Axis</t>
    </r>
    <r>
      <rPr>
        <sz val="10"/>
        <color rgb="FFFFDA65"/>
        <rFont val="Arial"/>
        <family val="2"/>
      </rPr>
      <t>' notion to "twist" in 2014 WACC.</t>
    </r>
  </si>
  <si>
    <t>(Check guidance from BELG's peers.)</t>
  </si>
  <si>
    <t>BIPT 2013 GEARING</t>
  </si>
  <si>
    <r>
      <t xml:space="preserve">sheet. Drawing a line between these values, we reach </t>
    </r>
    <r>
      <rPr>
        <b/>
        <sz val="10"/>
        <rFont val="Arial"/>
        <family val="2"/>
      </rPr>
      <t xml:space="preserve">for Fixed services D/Ebitda = </t>
    </r>
  </si>
  <si>
    <t>(a bit below Belgacom's).</t>
  </si>
  <si>
    <r>
      <t>In a similar fashion to Rnot, En is based on its value by the</t>
    </r>
    <r>
      <rPr>
        <b/>
        <sz val="10"/>
        <rFont val="Arial"/>
        <family val="2"/>
      </rPr>
      <t xml:space="preserve"> end of the previous fical year.</t>
    </r>
  </si>
  <si>
    <t xml:space="preserve">E.g. for fiscal year 2014, so tax due in 2015 : value as of 31 Dec. 2013. </t>
  </si>
  <si>
    <t>- For real SPs, we would need E/En projections for end 2013 &amp; 2014,</t>
  </si>
  <si>
    <t>= Total Assets - Total Liabilities.</t>
  </si>
  <si>
    <r>
      <t>equity is negative</t>
    </r>
    <r>
      <rPr>
        <sz val="10"/>
        <rFont val="Arial"/>
        <family val="2"/>
      </rPr>
      <t>.</t>
    </r>
  </si>
  <si>
    <r>
      <t xml:space="preserve">- Extract from </t>
    </r>
    <r>
      <rPr>
        <u/>
        <sz val="10"/>
        <rFont val="Arial"/>
        <family val="2"/>
      </rPr>
      <t>Cefip</t>
    </r>
    <r>
      <rPr>
        <sz val="10"/>
        <rFont val="Arial"/>
        <family val="2"/>
      </rPr>
      <t xml:space="preserve"> :</t>
    </r>
  </si>
  <si>
    <r>
      <t xml:space="preserve">- Negative shareloder's equity, as it can later observed in the case of </t>
    </r>
    <r>
      <rPr>
        <b/>
        <sz val="10"/>
        <rFont val="Arial"/>
        <family val="2"/>
      </rPr>
      <t>Telenet</t>
    </r>
    <r>
      <rPr>
        <sz val="10"/>
        <rFont val="Arial"/>
        <family val="2"/>
      </rPr>
      <t xml:space="preserve">, does not necessarily mean that the firm is in trouble. </t>
    </r>
  </si>
  <si>
    <r>
      <t xml:space="preserve">- Beside for </t>
    </r>
    <r>
      <rPr>
        <b/>
        <sz val="10"/>
        <rFont val="Arial"/>
        <family val="2"/>
      </rPr>
      <t>Belgacom</t>
    </r>
    <r>
      <rPr>
        <sz val="10"/>
        <rFont val="Arial"/>
        <family val="2"/>
      </rPr>
      <t xml:space="preserve"> : </t>
    </r>
  </si>
  <si>
    <t>* Once again a beacon of relative stability, with values standing between 2x (1&amp;2Q13) and around 2.5x for the last 2 years or more;</t>
  </si>
  <si>
    <t>* Values which are globally in line with its peers'.</t>
  </si>
  <si>
    <t>Add omitted peers avg in 2014 Word.</t>
  </si>
  <si>
    <r>
      <t xml:space="preserve">- </t>
    </r>
    <r>
      <rPr>
        <b/>
        <sz val="10"/>
        <rFont val="Arial"/>
        <family val="2"/>
      </rPr>
      <t>Telenet</t>
    </r>
    <r>
      <rPr>
        <sz val="10"/>
        <rFont val="Arial"/>
        <family val="2"/>
      </rPr>
      <t>'s case seems easy : no notional discount, at least for 2012 and 2013, and probably neither or close to zero for fiscal year 2014.</t>
    </r>
  </si>
  <si>
    <t>* No trend by SP size.</t>
  </si>
  <si>
    <t>- Bloomberg's extractions turned out far too uncomplete to infer any appropriate P/B level for each SP;</t>
  </si>
  <si>
    <t>- We also noticed relatively small discrepancies between Bloomberg's few available P/B ratios and our calculations. This may stem from differences in considered perimeters for the shareholder's equity, either including or excluding intangible assets and goodwill (unclear which definition is applied by Bloomberg in each case).</t>
  </si>
  <si>
    <t>- Mobile at lower levels than Fixed services;</t>
  </si>
  <si>
    <t>- All values within a 1x-2.5x range, getting narrower at 1.5x-2x by mid-2013;</t>
  </si>
  <si>
    <t>No difference between Bloomberg's tickers for Total S.E. and just S.E.</t>
  </si>
  <si>
    <r>
      <rPr>
        <b/>
        <sz val="10"/>
        <rFont val="Arial"/>
        <family val="2"/>
      </rPr>
      <t>v)</t>
    </r>
    <r>
      <rPr>
        <sz val="10"/>
        <rFont val="Arial"/>
        <family val="2"/>
      </rPr>
      <t xml:space="preserve"> We earlier mentioned that recent Mobistar's P/B are likely to be heavily impacted by the drop of its market cap, a regular issue since the beginning of this analysis. </t>
    </r>
  </si>
  <si>
    <r>
      <t>Given that minority interests in Belgian SPs are marginal</t>
    </r>
    <r>
      <rPr>
        <sz val="8.1"/>
        <rFont val="Arial"/>
        <family val="2"/>
      </rPr>
      <t xml:space="preserve"> </t>
    </r>
    <r>
      <rPr>
        <sz val="10"/>
        <rFont val="Arial"/>
        <family val="2"/>
      </rPr>
      <t/>
    </r>
  </si>
  <si>
    <r>
      <t xml:space="preserve">(see </t>
    </r>
    <r>
      <rPr>
        <u/>
        <sz val="10"/>
        <rFont val="Arial"/>
        <family val="2"/>
      </rPr>
      <t>above</t>
    </r>
    <r>
      <rPr>
        <sz val="10"/>
        <rFont val="Arial"/>
        <family val="2"/>
      </rPr>
      <t xml:space="preserve">) : </t>
    </r>
  </si>
  <si>
    <r>
      <t xml:space="preserve">- Ultimately, we need to assess </t>
    </r>
    <r>
      <rPr>
        <b/>
        <sz val="10"/>
        <rFont val="Arial"/>
        <family val="2"/>
      </rPr>
      <t>market gearings g</t>
    </r>
    <r>
      <rPr>
        <sz val="10"/>
        <rFont val="Arial"/>
        <family val="2"/>
      </rPr>
      <t>.</t>
    </r>
    <r>
      <rPr>
        <b/>
        <sz val="10"/>
        <rFont val="Arial"/>
        <family val="2"/>
      </rPr>
      <t xml:space="preserve"> </t>
    </r>
    <r>
      <rPr>
        <sz val="10"/>
        <rFont val="Arial"/>
        <family val="2"/>
      </rPr>
      <t xml:space="preserve">Those may be directly observed, or decomposed through the relationship </t>
    </r>
    <r>
      <rPr>
        <b/>
        <sz val="10"/>
        <rFont val="Arial"/>
        <family val="2"/>
      </rPr>
      <t/>
    </r>
  </si>
  <si>
    <r>
      <t xml:space="preserve">g = D/(D+E) </t>
    </r>
    <r>
      <rPr>
        <b/>
        <sz val="10"/>
        <rFont val="Symbol"/>
        <family val="1"/>
        <charset val="2"/>
      </rPr>
      <t>»</t>
    </r>
    <r>
      <rPr>
        <b/>
        <sz val="10"/>
        <rFont val="Arial"/>
        <family val="2"/>
      </rPr>
      <t xml:space="preserve"> D/EV = (D/Ebitda) / (EV/Ebitda)</t>
    </r>
  </si>
  <si>
    <r>
      <rPr>
        <b/>
        <sz val="10"/>
        <rFont val="Arial"/>
        <family val="2"/>
      </rPr>
      <t xml:space="preserve">E </t>
    </r>
    <r>
      <rPr>
        <b/>
        <sz val="10"/>
        <rFont val="Symbol"/>
        <family val="1"/>
        <charset val="2"/>
      </rPr>
      <t>»</t>
    </r>
    <r>
      <rPr>
        <b/>
        <sz val="10"/>
        <rFont val="Arial"/>
        <family val="2"/>
      </rPr>
      <t xml:space="preserve"> EV - D</t>
    </r>
    <r>
      <rPr>
        <sz val="10"/>
        <rFont val="Arial"/>
        <family val="2"/>
      </rPr>
      <t xml:space="preserve">, and </t>
    </r>
    <r>
      <rPr>
        <b/>
        <sz val="10"/>
        <rFont val="Arial"/>
        <family val="2"/>
      </rPr>
      <t xml:space="preserve">E/Eb </t>
    </r>
    <r>
      <rPr>
        <b/>
        <sz val="10"/>
        <rFont val="Symbol"/>
        <family val="1"/>
        <charset val="2"/>
      </rPr>
      <t>»</t>
    </r>
    <r>
      <rPr>
        <b/>
        <sz val="10"/>
        <rFont val="Arial"/>
        <family val="2"/>
      </rPr>
      <t xml:space="preserve"> [(EV/Ebitda) - (D/Ebitda)].Ebitda/Eb</t>
    </r>
  </si>
  <si>
    <t>Ebitda*/Eb</t>
  </si>
  <si>
    <r>
      <rPr>
        <b/>
        <sz val="10"/>
        <rFont val="Arial"/>
        <family val="2"/>
      </rPr>
      <t>1H11</t>
    </r>
    <r>
      <rPr>
        <sz val="10"/>
        <rFont val="Arial"/>
        <family val="2"/>
      </rPr>
      <t xml:space="preserve"> - 1H13 avg.</t>
    </r>
  </si>
  <si>
    <r>
      <t xml:space="preserve">Ebitda/Eb* </t>
    </r>
    <r>
      <rPr>
        <sz val="10"/>
        <rFont val="Arial"/>
        <family val="2"/>
      </rPr>
      <t>(by quarters)</t>
    </r>
  </si>
  <si>
    <t xml:space="preserve">2009 - 2012 avg. </t>
  </si>
  <si>
    <t>Ranked by 1H10-1H13 avg.</t>
  </si>
  <si>
    <t>Ranked by 1H11-1H13 avg.</t>
  </si>
  <si>
    <r>
      <t xml:space="preserve">- Regarding </t>
    </r>
    <r>
      <rPr>
        <b/>
        <sz val="10"/>
        <rFont val="Arial"/>
        <family val="2"/>
      </rPr>
      <t>Belgacom</t>
    </r>
    <r>
      <rPr>
        <sz val="10"/>
        <rFont val="Arial"/>
        <family val="2"/>
      </rPr>
      <t>, its</t>
    </r>
  </si>
  <si>
    <t>actually for the whole period of analysis.</t>
  </si>
  <si>
    <t>- Possibly do the same with last gearings for the component t/(1-t).(1-g),</t>
  </si>
  <si>
    <t>- And apply respective annual Rnot to En/Eb and t/(1-t).(1-g).</t>
  </si>
  <si>
    <t xml:space="preserve">Except at the end of the period of analysis, Belgacom's ratio is lower than for its peers avg, with a 'plateau' at around 1x since mid-2011. </t>
  </si>
  <si>
    <r>
      <t xml:space="preserve">Therefore, our preferred approach consists in </t>
    </r>
    <r>
      <rPr>
        <b/>
        <sz val="10"/>
        <rFont val="Arial"/>
        <family val="2"/>
      </rPr>
      <t>using previous valuation as well as indebtedness assumptions</t>
    </r>
    <r>
      <rPr>
        <sz val="10"/>
        <rFont val="Arial"/>
        <family val="2"/>
      </rPr>
      <t xml:space="preserve"> for the sake of this determination's general consistency.</t>
    </r>
  </si>
  <si>
    <r>
      <rPr>
        <sz val="10"/>
        <color theme="1" tint="0.499984740745262"/>
        <rFont val="Arial"/>
        <family val="2"/>
      </rPr>
      <t>'</t>
    </r>
    <r>
      <rPr>
        <u/>
        <sz val="10"/>
        <color theme="1" tint="0.499984740745262"/>
        <rFont val="Arial"/>
        <family val="2"/>
      </rPr>
      <t>Profiles</t>
    </r>
    <r>
      <rPr>
        <sz val="10"/>
        <color theme="1" tint="0.499984740745262"/>
        <rFont val="Arial"/>
        <family val="2"/>
      </rPr>
      <t>'.)</t>
    </r>
  </si>
  <si>
    <t>(Cf. observed changes around mid-2011 in</t>
  </si>
  <si>
    <r>
      <rPr>
        <b/>
        <sz val="10"/>
        <color theme="1" tint="0.34998626667073579"/>
        <rFont val="Arial"/>
        <family val="2"/>
      </rPr>
      <t>iv)</t>
    </r>
    <r>
      <rPr>
        <sz val="10"/>
        <color theme="1" tint="0.34998626667073579"/>
        <rFont val="Arial"/>
        <family val="2"/>
      </rPr>
      <t xml:space="preserve"> Opposite graph shows the evolution of</t>
    </r>
    <r>
      <rPr>
        <b/>
        <sz val="10"/>
        <color theme="1" tint="0.34998626667073579"/>
        <rFont val="Arial"/>
        <family val="2"/>
      </rPr>
      <t xml:space="preserve"> market indexes' P/B</t>
    </r>
    <r>
      <rPr>
        <sz val="10"/>
        <color theme="1" tint="0.34998626667073579"/>
        <rFont val="Arial"/>
        <family val="2"/>
      </rPr>
      <t xml:space="preserve">, with : </t>
    </r>
  </si>
  <si>
    <t>- A small surge until mid-2011, already observed in SPs' market caps, and a sharper rise since end 2012.</t>
  </si>
  <si>
    <t>Notwithstanding this, as for Belgacom's Ebitda*/Eb, period = 2y avg.</t>
  </si>
  <si>
    <r>
      <rPr>
        <b/>
        <sz val="10"/>
        <rFont val="Arial"/>
        <family val="2"/>
      </rPr>
      <t>Mobile</t>
    </r>
    <r>
      <rPr>
        <sz val="10"/>
        <rFont val="Arial"/>
        <family val="2"/>
      </rPr>
      <t xml:space="preserve"> services.</t>
    </r>
  </si>
  <si>
    <r>
      <t xml:space="preserve">- </t>
    </r>
    <r>
      <rPr>
        <b/>
        <sz val="10"/>
        <rFont val="Arial"/>
        <family val="2"/>
      </rPr>
      <t>Telenet</t>
    </r>
    <r>
      <rPr>
        <sz val="10"/>
        <rFont val="Arial"/>
        <family val="2"/>
      </rPr>
      <t>'s values logically remain unworkable.</t>
    </r>
  </si>
  <si>
    <r>
      <t>-</t>
    </r>
    <r>
      <rPr>
        <b/>
        <sz val="10"/>
        <rFont val="Arial"/>
        <family val="2"/>
      </rPr>
      <t xml:space="preserve"> Mobistar</t>
    </r>
    <r>
      <rPr>
        <sz val="10"/>
        <rFont val="Arial"/>
        <family val="2"/>
      </rPr>
      <t xml:space="preserve">'s values still fluctuate (yet much less than its E/Eb). This may be related to the large amount of Mobistar's OL, for which we had to carry out quaterly smoothing out of annual figures </t>
    </r>
    <r>
      <rPr>
        <sz val="10"/>
        <color theme="1" tint="0.34998626667073579"/>
        <rFont val="Arial"/>
        <family val="2"/>
      </rPr>
      <t>(the lack of bounce by 2Q13 is due to the temporary use of 2012 OL for 2013)</t>
    </r>
    <r>
      <rPr>
        <sz val="10"/>
        <rFont val="Arial"/>
        <family val="2"/>
      </rPr>
      <t>.</t>
    </r>
  </si>
  <si>
    <t>At 2Q13</t>
  </si>
  <si>
    <r>
      <rPr>
        <b/>
        <sz val="10"/>
        <rFont val="Arial"/>
        <family val="2"/>
      </rPr>
      <t xml:space="preserve">vi) </t>
    </r>
    <r>
      <rPr>
        <sz val="10"/>
        <rFont val="Arial"/>
        <family val="2"/>
      </rPr>
      <t xml:space="preserve">Here we reach the limits of the exercise : we still need a value for </t>
    </r>
    <r>
      <rPr>
        <b/>
        <sz val="10"/>
        <rFont val="Arial"/>
        <family val="2"/>
      </rPr>
      <t>Belgian Fixed services</t>
    </r>
    <r>
      <rPr>
        <sz val="10"/>
        <rFont val="Arial"/>
        <family val="2"/>
      </rPr>
      <t xml:space="preserve">. For this purpose, we consider appropriate to </t>
    </r>
    <r>
      <rPr>
        <b/>
        <sz val="10"/>
        <rFont val="Arial"/>
        <family val="2"/>
      </rPr>
      <t xml:space="preserve">extend the Belgacom-Mobistar trend at the Eb/E level, </t>
    </r>
    <r>
      <rPr>
        <sz val="10"/>
        <rFont val="Arial"/>
        <family val="2"/>
      </rPr>
      <t>a more direct input standing at not and WACC numerator, rather than :</t>
    </r>
  </si>
  <si>
    <t>- The reverse i.e. price-to-book ratio which is at the denominator;</t>
  </si>
  <si>
    <t>However, we rather keep Belgacom's Ebitda*/Eb, otherwise implied key price-to-book ratio would stand at 3x, i.e. 50% above peers avg.</t>
  </si>
  <si>
    <t>Below tables recapitulate assumptions and findings from previous sections and this one (Ebitda*/Eb).</t>
  </si>
  <si>
    <r>
      <t xml:space="preserve">- Min/Max are shown with respect to Eb/E and </t>
    </r>
    <r>
      <rPr>
        <sz val="10"/>
        <color theme="1" tint="0.499984740745262"/>
        <rFont val="Symbol"/>
        <family val="1"/>
        <charset val="2"/>
      </rPr>
      <t>D</t>
    </r>
    <r>
      <rPr>
        <sz val="10"/>
        <color theme="1" tint="0.499984740745262"/>
        <rFont val="Arial"/>
        <family val="2"/>
      </rPr>
      <t>not. And since the latter comes as a WACC discount, in WACC 4, columns for these Min/Max values are interchanged.</t>
    </r>
  </si>
  <si>
    <r>
      <t xml:space="preserve">This approach is also applied to Telenet's illustrative </t>
    </r>
    <r>
      <rPr>
        <sz val="10"/>
        <rFont val="Symbol"/>
        <family val="1"/>
        <charset val="2"/>
      </rPr>
      <t>D</t>
    </r>
    <r>
      <rPr>
        <sz val="10"/>
        <rFont val="Arial"/>
        <family val="2"/>
      </rPr>
      <t>not and WACC.</t>
    </r>
  </si>
  <si>
    <t>This involves an analysis substituting E by Ebitda* : Ebitda*/Eb is not a classic ratio, but it provides more "palatable" values, at least for Mobistar/Mobile (and for an unusual WACC issue).</t>
  </si>
  <si>
    <t xml:space="preserve">- Or even the reverse of here analyzed Ebitda*/Eb, an intermediary ratio generally amplifying differences, and leading in the present case to a negative value for Fixed services. </t>
  </si>
  <si>
    <r>
      <t>Mobistar/</t>
    </r>
    <r>
      <rPr>
        <b/>
        <sz val="10"/>
        <rFont val="Arial"/>
        <family val="2"/>
      </rPr>
      <t xml:space="preserve">Mobile </t>
    </r>
    <r>
      <rPr>
        <sz val="10"/>
        <rFont val="Arial"/>
        <family val="2"/>
      </rPr>
      <t xml:space="preserve">  </t>
    </r>
    <r>
      <rPr>
        <sz val="10"/>
        <color theme="0" tint="-0.34998626667073579"/>
        <rFont val="Arial"/>
        <family val="2"/>
      </rPr>
      <t>Min</t>
    </r>
  </si>
  <si>
    <t>Price-to-Book E/Eb</t>
  </si>
  <si>
    <t>Avg &amp; 2Q13</t>
  </si>
  <si>
    <r>
      <t xml:space="preserve">- Following last point vi), shown </t>
    </r>
    <r>
      <rPr>
        <i/>
        <sz val="10"/>
        <rFont val="Arial"/>
        <family val="2"/>
      </rPr>
      <t>Ebitda*/Eb</t>
    </r>
    <r>
      <rPr>
        <sz val="10"/>
        <rFont val="Arial"/>
        <family val="2"/>
      </rPr>
      <t xml:space="preserve"> and </t>
    </r>
    <r>
      <rPr>
        <i/>
        <sz val="10"/>
        <rFont val="Arial"/>
        <family val="2"/>
      </rPr>
      <t>E/Eb</t>
    </r>
    <r>
      <rPr>
        <sz val="10"/>
        <rFont val="Arial"/>
        <family val="2"/>
      </rPr>
      <t xml:space="preserve"> for Fixed services areinferred from calculated Eb/E with Belgacom-Mobistar slope. Idem for Telenet.</t>
    </r>
  </si>
  <si>
    <t>With Min</t>
  </si>
  <si>
    <t>With Max</t>
  </si>
  <si>
    <t xml:space="preserve">Fixed </t>
  </si>
  <si>
    <t>»</t>
  </si>
  <si>
    <r>
      <t xml:space="preserve">- No axis anymore with a more consistent 39% gearing for Telenet : a slightly concave curve instead, leading to g </t>
    </r>
    <r>
      <rPr>
        <sz val="10"/>
        <color rgb="FFFFDA65"/>
        <rFont val="Symbol"/>
        <family val="1"/>
        <charset val="2"/>
      </rPr>
      <t>»</t>
    </r>
    <r>
      <rPr>
        <sz val="10"/>
        <color rgb="FFFFDA65"/>
        <rFont val="Arial"/>
        <family val="2"/>
      </rPr>
      <t xml:space="preserve"> 37% for Fixed line.</t>
    </r>
  </si>
  <si>
    <t>* In WACC3 for asset betas, with a Fixed-Belgacom-Mobile curve, which is there convex (more diversified Belgacom logically below the Fixed-Mobile line);</t>
  </si>
  <si>
    <t>Also, we do not here estimate values omitting OL.</t>
  </si>
  <si>
    <r>
      <t xml:space="preserve">- Use 4Q12 En/E for 2014 </t>
    </r>
    <r>
      <rPr>
        <sz val="10"/>
        <color theme="1" tint="0.34998626667073579"/>
        <rFont val="Symbol"/>
        <family val="1"/>
        <charset val="2"/>
      </rPr>
      <t>D</t>
    </r>
    <r>
      <rPr>
        <sz val="10"/>
        <color theme="1" tint="0.34998626667073579"/>
        <rFont val="Arial"/>
        <family val="2"/>
      </rPr>
      <t xml:space="preserve">not and 2Q13 values as temporary proxies for end 2013, thus 2015 </t>
    </r>
    <r>
      <rPr>
        <sz val="10"/>
        <color theme="1" tint="0.34998626667073579"/>
        <rFont val="Symbol"/>
        <family val="1"/>
        <charset val="2"/>
      </rPr>
      <t>D</t>
    </r>
    <r>
      <rPr>
        <sz val="10"/>
        <color theme="1" tint="0.34998626667073579"/>
        <rFont val="Arial"/>
        <family val="2"/>
      </rPr>
      <t xml:space="preserve">not (likely to be zero for Telenet in particular), </t>
    </r>
  </si>
  <si>
    <r>
      <t xml:space="preserve">However such an approach would bring extra complexity in WACC 4 final table, this just for illustrative WACC rates and a rather secondary input. (Or, conversely, a direct </t>
    </r>
    <r>
      <rPr>
        <sz val="10"/>
        <color theme="1" tint="0.34998626667073579"/>
        <rFont val="Symbol"/>
        <family val="1"/>
        <charset val="2"/>
      </rPr>
      <t>D</t>
    </r>
    <r>
      <rPr>
        <sz val="10"/>
        <color theme="1" tint="0.34998626667073579"/>
        <rFont val="Arial"/>
        <family val="2"/>
      </rPr>
      <t xml:space="preserve">not injection would hide its variable components from the model). Its rationable is also disputable from a regulatory perspective. Therefore, real SPs' </t>
    </r>
    <r>
      <rPr>
        <sz val="10"/>
        <color theme="1" tint="0.34998626667073579"/>
        <rFont val="Symbol"/>
        <family val="1"/>
        <charset val="2"/>
      </rPr>
      <t>D</t>
    </r>
    <r>
      <rPr>
        <sz val="10"/>
        <color theme="1" tint="0.34998626667073579"/>
        <rFont val="Arial"/>
        <family val="2"/>
      </rPr>
      <t>not are modeled as for generic SPs, with avg g, avg Eb/E &amp; avg Rnot :</t>
    </r>
  </si>
  <si>
    <t>With tax rate :</t>
  </si>
  <si>
    <t xml:space="preserve">And avg Rnot from WACC1 : </t>
  </si>
  <si>
    <r>
      <t>To possibly revise in 2014 WACC. (</t>
    </r>
    <r>
      <rPr>
        <sz val="10"/>
        <color rgb="FFFFDA65"/>
        <rFont val="Arial"/>
        <family val="2"/>
      </rPr>
      <t>Difference because of Belgacom's normalized D/Ebitda lower than for peers.)</t>
    </r>
  </si>
  <si>
    <t>(Check again.)</t>
  </si>
  <si>
    <t>5.1 Profils Opérateurs</t>
  </si>
  <si>
    <t>Part du Mobile</t>
  </si>
  <si>
    <t>Poids moyens du Mobile sur la période d'analyse et catégorisations</t>
  </si>
  <si>
    <t>° Source : The Brattle Group pour ACM, 2012 (CMT : régulateur espagnol)</t>
  </si>
  <si>
    <t>Capi. boursière</t>
  </si>
  <si>
    <t>Capitalisations boursières des opérateurs européens comparés, en euro</t>
  </si>
  <si>
    <t xml:space="preserve">Croissance des capitalisations boursières sur la période d'analyse, en euro </t>
  </si>
  <si>
    <t>Évolution de capitalisations boursières, base 1 à la mi-2010, en monnaie locale</t>
  </si>
  <si>
    <t>% Mobile vs. valo.</t>
  </si>
  <si>
    <t>EV/Ebitda et poids moyens du Mobile sur 1S10-1S13</t>
  </si>
  <si>
    <t>Comparateurs de Belgacom et "distances" relatives sur la période d'analyse</t>
  </si>
  <si>
    <t>Critère C :</t>
  </si>
  <si>
    <t>Pondération p :</t>
  </si>
  <si>
    <t>1S10-1S13</t>
  </si>
  <si>
    <t>% Capitalisation boursière de l'échantillon</t>
  </si>
  <si>
    <t>Comparateurs de BGC</t>
  </si>
  <si>
    <t>Valo. des op. hyp.</t>
  </si>
  <si>
    <t>Évolution des leviers financiers de marché des opérateurs Belges</t>
  </si>
  <si>
    <t>EV/Ebitda moyens sur la pérode d'analyse</t>
  </si>
  <si>
    <t>5.2 Levier Financier</t>
  </si>
  <si>
    <t>Mesure de la dette</t>
  </si>
  <si>
    <t>Impacts des locations opérationnelles sur le levier financier sur 1S10-1S13</t>
  </si>
  <si>
    <t>Évolution du ratio D/Ebitda de Belgacom et de ses comparateurs</t>
  </si>
  <si>
    <t>Mobistar et Mobile</t>
  </si>
  <si>
    <t>Évolution du ratio D/Ebitda des opérateurs (quasi) Mobiles</t>
  </si>
  <si>
    <t>Leviers financiers des comparateurs de Belgacom</t>
  </si>
  <si>
    <t>2T13</t>
  </si>
  <si>
    <t>Pondération</t>
  </si>
  <si>
    <t>Telenet et Fixe</t>
  </si>
  <si>
    <t>Évolution du ratio D/Ebitda des opérateurs (quasi) Fixes</t>
  </si>
  <si>
    <r>
      <t xml:space="preserve">Evolution du ratio D/Ebitda ajusté des (quasi) </t>
    </r>
    <r>
      <rPr>
        <b/>
        <i/>
        <u/>
        <sz val="10"/>
        <color theme="0" tint="-0.499984740745262"/>
        <rFont val="Arial"/>
        <family val="2"/>
      </rPr>
      <t>pure-players</t>
    </r>
  </si>
  <si>
    <t>Evolution du ratio D/Ebitda des opérateurs Belges</t>
  </si>
  <si>
    <t>NU</t>
  </si>
  <si>
    <t>Leviers financiers et poids du Mobile à la mi-2013</t>
  </si>
  <si>
    <t>(Conclusion)</t>
  </si>
  <si>
    <t>Leviers financiers des opérateurs hypothétiques</t>
  </si>
  <si>
    <r>
      <t xml:space="preserve">vs. </t>
    </r>
    <r>
      <rPr>
        <b/>
        <sz val="10"/>
        <rFont val="Arial"/>
        <family val="2"/>
      </rPr>
      <t>40%</t>
    </r>
    <r>
      <rPr>
        <sz val="10"/>
        <rFont val="Arial"/>
        <family val="2"/>
      </rPr>
      <t xml:space="preserve"> in 2010.</t>
    </r>
  </si>
  <si>
    <r>
      <t xml:space="preserve">vs. </t>
    </r>
    <r>
      <rPr>
        <b/>
        <sz val="10"/>
        <rFont val="Arial"/>
        <family val="2"/>
      </rPr>
      <t>32%</t>
    </r>
    <r>
      <rPr>
        <sz val="10"/>
        <rFont val="Arial"/>
        <family val="2"/>
      </rPr>
      <t xml:space="preserve"> in 2010.</t>
    </r>
  </si>
  <si>
    <r>
      <t xml:space="preserve">vs. </t>
    </r>
    <r>
      <rPr>
        <b/>
        <sz val="10"/>
        <rFont val="Arial"/>
        <family val="2"/>
      </rPr>
      <t>25%</t>
    </r>
    <r>
      <rPr>
        <sz val="10"/>
        <rFont val="Arial"/>
        <family val="2"/>
      </rPr>
      <t xml:space="preserve"> in 2010.</t>
    </r>
  </si>
  <si>
    <r>
      <t xml:space="preserve">(The central arrow crossing the central estimates for the three listed Belgian SPs' 'normalized' gearings provides the appropriate level for a Belgian </t>
    </r>
    <r>
      <rPr>
        <b/>
        <sz val="10"/>
        <color theme="1" tint="0.499984740745262"/>
        <rFont val="Arial"/>
        <family val="2"/>
      </rPr>
      <t>generic integrated SP</t>
    </r>
    <r>
      <rPr>
        <sz val="10"/>
        <color theme="1" tint="0.499984740745262"/>
        <rFont val="Arial"/>
        <family val="2"/>
      </rPr>
      <t xml:space="preserve"> with a 50% Fixed 50% Mobile business mix : around 37%.)</t>
    </r>
  </si>
  <si>
    <t>Eb/E 2010</t>
  </si>
  <si>
    <r>
      <t xml:space="preserve">Eb/E </t>
    </r>
    <r>
      <rPr>
        <b/>
        <sz val="10"/>
        <rFont val="Arial"/>
        <family val="2"/>
      </rPr>
      <t>2010</t>
    </r>
  </si>
  <si>
    <r>
      <t xml:space="preserve">0.24 </t>
    </r>
    <r>
      <rPr>
        <sz val="10"/>
        <rFont val="Arial"/>
        <family val="2"/>
      </rPr>
      <t>(= Belgacom's)</t>
    </r>
  </si>
  <si>
    <t xml:space="preserve">Cf. 'axis vs. curve' gearing issue : axis to possibly "twist" here as well. But only 2 available points this time : unclear whether this curve should be convex or rather concave (more likely). </t>
  </si>
  <si>
    <t>Leviers financiers retenus par d'autres régulateurs européens</t>
  </si>
  <si>
    <r>
      <rPr>
        <sz val="10"/>
        <color theme="0" tint="-0.499984740745262"/>
        <rFont val="Wingdings 3"/>
        <family val="1"/>
        <charset val="2"/>
      </rPr>
      <t>9</t>
    </r>
    <r>
      <rPr>
        <sz val="8"/>
        <color theme="0" tint="-0.499984740745262"/>
        <rFont val="Arial"/>
        <family val="2"/>
      </rPr>
      <t xml:space="preserve"> </t>
    </r>
    <r>
      <rPr>
        <sz val="10"/>
        <color theme="0" tint="-0.499984740745262"/>
        <rFont val="Arial"/>
        <family val="2"/>
      </rPr>
      <t>Direct on Word report.</t>
    </r>
  </si>
  <si>
    <t>5.3 Déduction Not.</t>
  </si>
  <si>
    <t>Prix sur actif net</t>
  </si>
  <si>
    <t>Décomposition</t>
  </si>
  <si>
    <t>Prix sur actif net d'indices de marché télécoms</t>
  </si>
  <si>
    <t>Calcul de la déduction notionnelle</t>
  </si>
  <si>
    <t>5.4 Notation Crédit</t>
  </si>
  <si>
    <t>(E/Eb 2010)</t>
  </si>
  <si>
    <t>0,24%</t>
  </si>
  <si>
    <t>Dnot 2010</t>
  </si>
  <si>
    <t>Vs. in 2010 :</t>
  </si>
  <si>
    <r>
      <rPr>
        <sz val="10"/>
        <rFont val="Symbol"/>
        <family val="1"/>
        <charset val="2"/>
      </rPr>
      <t>D</t>
    </r>
    <r>
      <rPr>
        <sz val="10"/>
        <rFont val="Arial"/>
        <family val="2"/>
      </rPr>
      <t>not is usually considered as a minor item in BIPT's WACC determination. But, this time, its impact is far from being marginal on the final Fixed/Mobile WACC spread.</t>
    </r>
  </si>
  <si>
    <t>Notations crédit, leviers d'endettement et tailles relatives à la mi-2013</t>
  </si>
  <si>
    <t>Capi. °</t>
  </si>
  <si>
    <t xml:space="preserve">° Capitalisation boursière en Euro sur celle de Belgacom. </t>
  </si>
  <si>
    <t xml:space="preserve">Classement par notation crédit décroissante puis tD/Ebitda croissant. </t>
  </si>
  <si>
    <t xml:space="preserve">Perspectives données respectivement par S&amp;P, Moody's et Fitch </t>
  </si>
  <si>
    <t>NF compos.</t>
  </si>
  <si>
    <t>Royaume-Uni</t>
  </si>
  <si>
    <t>Croissances des Ebitdar d'Orange, Mobistar et TPS</t>
  </si>
  <si>
    <t>Évolution des leviers d'endettement ajustés d'opérateurs non notés et de TPS</t>
  </si>
  <si>
    <t>Notation crédit des opérateurs hypothétiques</t>
  </si>
  <si>
    <t xml:space="preserve">FIXE </t>
  </si>
  <si>
    <t>Intermédiaire</t>
  </si>
  <si>
    <t>Fort levier</t>
  </si>
  <si>
    <t>Modeste</t>
  </si>
  <si>
    <t>Satisfaisant</t>
  </si>
  <si>
    <t>Solide</t>
  </si>
  <si>
    <t>Satis./Juste</t>
  </si>
  <si>
    <t>Risque financier</t>
  </si>
  <si>
    <t>Risque d'affaires</t>
  </si>
  <si>
    <t>En glissement annuel</t>
  </si>
  <si>
    <t>1H10 -1H13 avg</t>
  </si>
  <si>
    <t>NU = not used</t>
  </si>
  <si>
    <t>Transposed values from § 'Calculations'</t>
  </si>
  <si>
    <t>TDC, KPN, TIT, TPS, SCM &amp; TKA among closest peers for Belgacom for the period.</t>
  </si>
  <si>
    <t>Cd is closely related to credit rating so that we need to infer synthetic ratings for hypothetical SPs, i.e. play the role of a credit rating analyst (in a very simplistic fashion) and assign ratings to these SPs primarily upon their assumed financial ratios, but not only (see hereafter qualitative considerations).</t>
  </si>
  <si>
    <t xml:space="preserve">ii) But before that : for PV OL estimates of benchmarked SPs which are not rated </t>
  </si>
  <si>
    <r>
      <t xml:space="preserve">We need credit rating for all benchmarked SPs : their (pre-tax) Cd is an input to capitalize leases and resulting PV is an input for gearing, thus asset beta as well. Consequently, synthetic ratings also have to be inferred for SPs which are not rated, in the present case : </t>
    </r>
    <r>
      <rPr>
        <b/>
        <sz val="10"/>
        <rFont val="Arial"/>
        <family val="2"/>
      </rPr>
      <t>Mobistar, TEL2, ILD, SNC, i.e.</t>
    </r>
    <r>
      <rPr>
        <sz val="10"/>
        <rFont val="Arial"/>
        <family val="2"/>
      </rPr>
      <t xml:space="preserve"> the </t>
    </r>
    <r>
      <rPr>
        <b/>
        <sz val="10"/>
        <rFont val="Arial"/>
        <family val="2"/>
      </rPr>
      <t>small</t>
    </r>
    <r>
      <rPr>
        <sz val="10"/>
        <rFont val="Arial"/>
        <family val="2"/>
      </rPr>
      <t xml:space="preserve">est </t>
    </r>
    <r>
      <rPr>
        <b/>
        <sz val="10"/>
        <rFont val="Arial"/>
        <family val="2"/>
      </rPr>
      <t>SPs</t>
    </r>
    <r>
      <rPr>
        <sz val="10"/>
        <rFont val="Arial"/>
        <family val="2"/>
      </rPr>
      <t xml:space="preserve"> (SNC, Mobistar) and/or the smallest quasi pure-players / incumbent challengers (TEL2, ILD) - except Telenet.</t>
    </r>
  </si>
  <si>
    <t>- In a stricter approach, Debt's market values, rather than book values, should be used for market gearings (cf. 'Note 2'), so that we would need Cd, thus credit ratings, even in (a quasi) absence of OL.</t>
  </si>
  <si>
    <t>- For an entity lacking of any credit rating, i.e. independent and recognized credit quality expertise for lessors, Cd could theoretically at least incorporate a small premium. While this consideration</t>
  </si>
  <si>
    <r>
      <t xml:space="preserve">i) For the Cost of Debt Cd of modeled hypothetical SPs </t>
    </r>
    <r>
      <rPr>
        <sz val="10"/>
        <rFont val="Arial"/>
        <family val="2"/>
      </rPr>
      <t>in WACC 4</t>
    </r>
  </si>
  <si>
    <r>
      <t>iii) And also for Debt Betas βd</t>
    </r>
    <r>
      <rPr>
        <sz val="10"/>
        <rFont val="Arial"/>
        <family val="2"/>
      </rPr>
      <t xml:space="preserve"> in WACC 3</t>
    </r>
  </si>
  <si>
    <t>Whatever the chosen approach to βd, it is better to consider prices or yields to constant maturities. Such yields are approximated through various interpolations in composite bond indexes by rating class.</t>
  </si>
  <si>
    <t>- Because of these new items ii) &amp; iii), this determination's analysis on credit rating takes a larger importance than in BIPT 2010.</t>
  </si>
  <si>
    <r>
      <rPr>
        <sz val="10"/>
        <color theme="1" tint="0.499984740745262"/>
        <rFont val="Wingdings"/>
        <charset val="2"/>
      </rPr>
      <t>ä</t>
    </r>
    <r>
      <rPr>
        <sz val="9"/>
        <color theme="1" tint="0.499984740745262"/>
        <rFont val="Arial"/>
        <family val="2"/>
      </rPr>
      <t xml:space="preserve"> </t>
    </r>
    <r>
      <rPr>
        <sz val="10"/>
        <color theme="1" tint="0.499984740745262"/>
        <rFont val="Arial"/>
        <family val="2"/>
      </rPr>
      <t xml:space="preserve">WACC up to optimal g*, </t>
    </r>
    <r>
      <rPr>
        <sz val="10"/>
        <color theme="1" tint="0.499984740745262"/>
        <rFont val="Wingdings"/>
        <charset val="2"/>
      </rPr>
      <t>æ</t>
    </r>
    <r>
      <rPr>
        <sz val="10"/>
        <color theme="1" tint="0.499984740745262"/>
        <rFont val="Arial"/>
        <family val="2"/>
      </rPr>
      <t xml:space="preserve"> otherwise.</t>
    </r>
  </si>
  <si>
    <t>i) Current instead of historical credit ratings in PV OL and βd</t>
  </si>
  <si>
    <r>
      <t>-</t>
    </r>
    <r>
      <rPr>
        <b/>
        <sz val="10"/>
        <rFont val="Arial"/>
        <family val="2"/>
      </rPr>
      <t xml:space="preserve"> Mobistar's affiliates </t>
    </r>
    <r>
      <rPr>
        <sz val="10"/>
        <rFont val="Arial"/>
        <family val="2"/>
      </rPr>
      <t xml:space="preserve">: strategic shareholder ORA and rated "sister" company TPS </t>
    </r>
  </si>
  <si>
    <r>
      <t>-</t>
    </r>
    <r>
      <rPr>
        <b/>
        <sz val="10"/>
        <rFont val="Arial"/>
        <family val="2"/>
      </rPr>
      <t xml:space="preserve"> </t>
    </r>
    <r>
      <rPr>
        <sz val="10"/>
        <rFont val="Arial"/>
        <family val="2"/>
      </rPr>
      <t xml:space="preserve">Belgian rated SPs </t>
    </r>
    <r>
      <rPr>
        <b/>
        <sz val="10"/>
        <rFont val="Arial"/>
        <family val="2"/>
      </rPr>
      <t>Belgacom &amp; Telenet</t>
    </r>
  </si>
  <si>
    <t>In the WACC 3, βd is decomposed in several items, including the debt premium d = Cd - Rf.</t>
  </si>
  <si>
    <t>The same applies to data series considered in WACC 3 for d, thus βd.</t>
  </si>
  <si>
    <t>ii) Cd yields in € instead of local currency</t>
  </si>
  <si>
    <r>
      <t xml:space="preserve">Overall, we believe that these approximations are really acceptable, </t>
    </r>
    <r>
      <rPr>
        <b/>
        <sz val="10"/>
        <rFont val="Arial"/>
        <family val="2"/>
      </rPr>
      <t xml:space="preserve">impact should be marginal. </t>
    </r>
    <r>
      <rPr>
        <sz val="10"/>
        <rFont val="Arial"/>
        <family val="2"/>
      </rPr>
      <t xml:space="preserve">In the present exercise, this is first about deriving reasonably accurate OL-adjusted metrics for Belgian SPs, and globally fair ones for all other benchmarked SPs. </t>
    </r>
  </si>
  <si>
    <t>i) Issuer's LT local-currency ratings for firms</t>
  </si>
  <si>
    <t>ii) Equivalences between Moody's and S&amp;P's ratings</t>
  </si>
  <si>
    <t xml:space="preserve">- Fitch uses the same symbols as S&amp;P's (although their precise definition may slightly differ). </t>
  </si>
  <si>
    <t>- Following table shows commonly accepted equivalences between Moody's and S&amp;P's ratings :</t>
  </si>
  <si>
    <t>iii) Composite ratings</t>
  </si>
  <si>
    <r>
      <t xml:space="preserve">Table below shows </t>
    </r>
    <r>
      <rPr>
        <b/>
        <sz val="10"/>
        <rFont val="Arial"/>
        <family val="2"/>
      </rPr>
      <t>SPs' current LT local currency ratings</t>
    </r>
    <r>
      <rPr>
        <sz val="10"/>
        <rFont val="Arial"/>
        <family val="2"/>
      </rPr>
      <t xml:space="preserve"> from Bloomberg screenshots </t>
    </r>
    <r>
      <rPr>
        <sz val="10"/>
        <color theme="0" tint="-0.499984740745262"/>
        <rFont val="Arial"/>
        <family val="2"/>
      </rPr>
      <t>plus</t>
    </r>
    <r>
      <rPr>
        <sz val="10"/>
        <rFont val="Arial"/>
        <family val="2"/>
      </rPr>
      <t xml:space="preserve"> </t>
    </r>
    <r>
      <rPr>
        <sz val="10"/>
        <color theme="0" tint="-0.499984740745262"/>
        <rFont val="Arial"/>
        <family val="2"/>
      </rPr>
      <t>IR &amp; other web sites;</t>
    </r>
  </si>
  <si>
    <t>- Inferred equivalent &amp; composite ratings;</t>
  </si>
  <si>
    <t xml:space="preserve">then : </t>
  </si>
  <si>
    <r>
      <t xml:space="preserve">- </t>
    </r>
    <r>
      <rPr>
        <sz val="9"/>
        <rFont val="Arial"/>
        <family val="2"/>
      </rPr>
      <t>In "</t>
    </r>
    <r>
      <rPr>
        <sz val="9"/>
        <rFont val="Symbol"/>
        <family val="1"/>
        <charset val="2"/>
      </rPr>
      <t>D</t>
    </r>
    <r>
      <rPr>
        <sz val="9"/>
        <rFont val="Arial"/>
        <family val="2"/>
      </rPr>
      <t>" c</t>
    </r>
    <r>
      <rPr>
        <sz val="10"/>
        <rFont val="Arial"/>
        <family val="2"/>
      </rPr>
      <t>olumn : resp. S&amp;P's, Moody's and Fitch's rating discrepancies in notches from estimated composite ratings ("-" for no rating);</t>
    </r>
  </si>
  <si>
    <r>
      <t xml:space="preserve">- In "Outlook" column, a recap of their resp. outlooks with : = stable, </t>
    </r>
    <r>
      <rPr>
        <sz val="10"/>
        <rFont val="Symbol"/>
        <family val="1"/>
        <charset val="2"/>
      </rPr>
      <t>­</t>
    </r>
    <r>
      <rPr>
        <sz val="10"/>
        <rFont val="Arial"/>
        <family val="2"/>
      </rPr>
      <t xml:space="preserve"> positive, </t>
    </r>
    <r>
      <rPr>
        <sz val="10"/>
        <rFont val="Symbol"/>
        <family val="1"/>
        <charset val="2"/>
      </rPr>
      <t>¯</t>
    </r>
    <r>
      <rPr>
        <sz val="10"/>
        <rFont val="Arial"/>
        <family val="2"/>
      </rPr>
      <t xml:space="preserve"> negative.</t>
    </r>
  </si>
  <si>
    <r>
      <t xml:space="preserve">Table below shows </t>
    </r>
    <r>
      <rPr>
        <b/>
        <sz val="10"/>
        <rFont val="Arial"/>
        <family val="2"/>
      </rPr>
      <t xml:space="preserve">countries' ratings </t>
    </r>
    <r>
      <rPr>
        <sz val="10"/>
        <rFont val="Arial"/>
        <family val="2"/>
      </rPr>
      <t>(for info) :</t>
    </r>
  </si>
  <si>
    <r>
      <t xml:space="preserve">- Some key quantitative metrics considered by analysts to assess a lessee's </t>
    </r>
    <r>
      <rPr>
        <b/>
        <sz val="10"/>
        <rFont val="Arial"/>
        <family val="2"/>
      </rPr>
      <t>Financial Strength/Risk</t>
    </r>
    <r>
      <rPr>
        <sz val="10"/>
        <rFont val="Arial"/>
        <family val="2"/>
      </rPr>
      <t xml:space="preserve"> - beside its Business Risk profile - or by academics and consultants to estimate synthetic ratings;</t>
    </r>
  </si>
  <si>
    <r>
      <t xml:space="preserve">Eventually, this section shows the </t>
    </r>
    <r>
      <rPr>
        <b/>
        <sz val="10"/>
        <rFont val="Arial"/>
        <family val="2"/>
      </rPr>
      <t>limits of relying only on these metrics</t>
    </r>
    <r>
      <rPr>
        <sz val="10"/>
        <rFont val="Arial"/>
        <family val="2"/>
      </rPr>
      <t xml:space="preserve"> in order to infer appropriate rating rules for the sector. Notwithstanding this, the next section considers that they should be relevant when estimating, from a given rated SP's profile, impact of metrics variation on its hypothetical rating, all other things being equal.</t>
    </r>
  </si>
  <si>
    <r>
      <rPr>
        <b/>
        <sz val="10"/>
        <rFont val="Arial"/>
        <family val="2"/>
      </rPr>
      <t>i)</t>
    </r>
    <r>
      <rPr>
        <sz val="10"/>
        <rFont val="Arial"/>
        <family val="2"/>
      </rPr>
      <t xml:space="preserve"> As mentioned in 'Note 2', </t>
    </r>
    <r>
      <rPr>
        <b/>
        <sz val="10"/>
        <rFont val="Arial"/>
        <family val="2"/>
      </rPr>
      <t>OL are always taken into account</t>
    </r>
    <r>
      <rPr>
        <sz val="10"/>
        <rFont val="Arial"/>
        <family val="2"/>
      </rPr>
      <t xml:space="preserve"> in agencies' metrics, even though this fact is usually not reminded in their company reports (just in methodological notes). </t>
    </r>
  </si>
  <si>
    <t>Note that, from here, we use the symbol * for OL-adjusted values only in our own tables and estimates : otherwise, it would apply almost everywhere else.</t>
  </si>
  <si>
    <r>
      <rPr>
        <b/>
        <sz val="10"/>
        <rFont val="Arial"/>
        <family val="2"/>
      </rPr>
      <t>ii)</t>
    </r>
    <r>
      <rPr>
        <sz val="10"/>
        <rFont val="Arial"/>
        <family val="2"/>
      </rPr>
      <t xml:space="preserve"> Rating metrics, such as those below, essentially regard Debt-related ratios. Even though they may not directly provide accurate synthetic ratings, a consequence of the previous remark (which should be apparent since the Introduction) is an exercise open up in a </t>
    </r>
    <r>
      <rPr>
        <b/>
        <sz val="10"/>
        <rFont val="Arial"/>
        <family val="2"/>
      </rPr>
      <t>circular logic</t>
    </r>
    <r>
      <rPr>
        <sz val="10"/>
        <rFont val="Arial"/>
        <family val="2"/>
      </rPr>
      <t xml:space="preserve"> : Debt-related ratios require Cd estimation, which requires rating. But, this may be addressed through an </t>
    </r>
    <r>
      <rPr>
        <b/>
        <sz val="10"/>
        <rFont val="Arial"/>
        <family val="2"/>
      </rPr>
      <t>iterative process</t>
    </r>
    <r>
      <rPr>
        <sz val="10"/>
        <rFont val="Arial"/>
        <family val="2"/>
      </rPr>
      <t xml:space="preserve"> : see hereafter the case for Mobistar.</t>
    </r>
  </si>
  <si>
    <r>
      <rPr>
        <b/>
        <sz val="10"/>
        <rFont val="Arial"/>
        <family val="2"/>
      </rPr>
      <t>iii)</t>
    </r>
    <r>
      <rPr>
        <sz val="10"/>
        <rFont val="Arial"/>
        <family val="2"/>
      </rPr>
      <t xml:space="preserve"> As also mentioned in 'Note 2', all </t>
    </r>
    <r>
      <rPr>
        <b/>
        <sz val="10"/>
        <rFont val="Arial"/>
        <family val="2"/>
      </rPr>
      <t>agencies'</t>
    </r>
    <r>
      <rPr>
        <sz val="10"/>
        <rFont val="Arial"/>
        <family val="2"/>
      </rPr>
      <t xml:space="preserve"> financial ratios are derived with </t>
    </r>
    <r>
      <rPr>
        <b/>
        <sz val="10"/>
        <rFont val="Arial"/>
        <family val="2"/>
      </rPr>
      <t xml:space="preserve">in-house adjustments </t>
    </r>
    <r>
      <rPr>
        <sz val="10"/>
        <rFont val="Arial"/>
        <family val="2"/>
      </rPr>
      <t xml:space="preserve">on the perimeters of Debt, Capital, Ebitda etc. Those are likely to incorporate other items compared to our own measurements, generally on top of them (e.g. under-funded pension obligations), but possibly also in deduction (eg. excl. non-recurring OL), beside our approximations for PV OL. </t>
    </r>
  </si>
  <si>
    <t>- So, for a given date or period, it is normal to observe some small differences in ratios, between agencies' values and between them and our estimates. (See hereafter links for agencies' general methodologies with further details and explanations regarding used financial ratios.)</t>
  </si>
  <si>
    <t>- For this reason, our own quantitative estimates are later adjusted in order to take into account small discrepancies observed in some instances.</t>
  </si>
  <si>
    <t>For some tables, we also remind 'Ea' shortcut for Ebitda (actually EbitdaR).</t>
  </si>
  <si>
    <t xml:space="preserve">- In its "Rating Methodology for the Global Telecommunications Industry", Moody's more precisely states that : </t>
  </si>
  <si>
    <r>
      <rPr>
        <sz val="10"/>
        <color theme="1" tint="0.499984740745262"/>
        <rFont val="Symbol"/>
        <family val="1"/>
        <charset val="2"/>
      </rPr>
      <t>¬</t>
    </r>
    <r>
      <rPr>
        <sz val="9"/>
        <color theme="1" tint="0.499984740745262"/>
        <rFont val="Arial"/>
        <family val="2"/>
      </rPr>
      <t xml:space="preserve"> </t>
    </r>
    <r>
      <rPr>
        <sz val="10"/>
        <color theme="1" tint="0.499984740745262"/>
        <rFont val="Arial"/>
        <family val="2"/>
      </rPr>
      <t>Idem for Fitch. (S&amp;P ?)</t>
    </r>
  </si>
  <si>
    <r>
      <rPr>
        <b/>
        <sz val="10"/>
        <rFont val="Arial"/>
        <family val="2"/>
      </rPr>
      <t>ii)</t>
    </r>
    <r>
      <rPr>
        <sz val="10"/>
        <rFont val="Arial"/>
        <family val="2"/>
      </rPr>
      <t xml:space="preserve"> </t>
    </r>
    <r>
      <rPr>
        <b/>
        <sz val="10"/>
        <rFont val="Arial"/>
        <family val="2"/>
      </rPr>
      <t>For tD</t>
    </r>
    <r>
      <rPr>
        <sz val="10"/>
        <rFont val="Arial"/>
        <family val="2"/>
      </rPr>
      <t xml:space="preserve"> (or LT Debt)</t>
    </r>
    <r>
      <rPr>
        <b/>
        <sz val="10"/>
        <rFont val="Arial"/>
        <family val="2"/>
      </rPr>
      <t xml:space="preserve"> /Capital : Capital = tD + Eb + MI</t>
    </r>
    <r>
      <rPr>
        <sz val="10"/>
        <rFont val="Arial"/>
        <family val="2"/>
      </rPr>
      <t>,</t>
    </r>
    <r>
      <rPr>
        <b/>
        <sz val="10"/>
        <rFont val="Arial"/>
        <family val="2"/>
      </rPr>
      <t xml:space="preserve"> </t>
    </r>
    <r>
      <rPr>
        <sz val="10"/>
        <rFont val="Arial"/>
        <family val="2"/>
      </rPr>
      <t xml:space="preserve">with </t>
    </r>
    <r>
      <rPr>
        <b/>
        <sz val="10"/>
        <rFont val="Arial"/>
        <family val="2"/>
      </rPr>
      <t>Eb = shareholder equity</t>
    </r>
    <r>
      <rPr>
        <sz val="10"/>
        <rFont val="Arial"/>
        <family val="2"/>
      </rPr>
      <t xml:space="preserve"> (cf. 'E&amp;Enot') and MI = minority interests : Capital differs from 'tEV' (EV+cash) by using Eb instead of E.</t>
    </r>
  </si>
  <si>
    <r>
      <rPr>
        <b/>
        <sz val="10"/>
        <rFont val="Arial"/>
        <family val="2"/>
      </rPr>
      <t>iii)</t>
    </r>
    <r>
      <rPr>
        <sz val="10"/>
        <rFont val="Arial"/>
        <family val="2"/>
      </rPr>
      <t xml:space="preserve"> Other terms include, among others, the following…</t>
    </r>
  </si>
  <si>
    <r>
      <rPr>
        <b/>
        <sz val="10"/>
        <rFont val="Arial"/>
        <family val="2"/>
      </rPr>
      <t xml:space="preserve">iv) "Coverage" </t>
    </r>
    <r>
      <rPr>
        <sz val="10"/>
        <rFont val="Arial"/>
        <family val="2"/>
      </rPr>
      <t>is</t>
    </r>
    <r>
      <rPr>
        <b/>
        <sz val="10"/>
        <rFont val="Arial"/>
        <family val="2"/>
      </rPr>
      <t xml:space="preserve"> </t>
    </r>
    <r>
      <rPr>
        <sz val="10"/>
        <rFont val="Arial"/>
        <family val="2"/>
      </rPr>
      <t>a measure of a firm’s ability to cover the cost of its borrowed capital (to comply in particular with its short-term debt service obligations) through operating income or cash flow :</t>
    </r>
  </si>
  <si>
    <t>- But in the context of OL : (Ebit Interest) Coverage = (Operating income + Lease expense - Depreciation on leased asset) / (Interest +imputed Lease interest), with Lease interest = Cd.PV(OL).</t>
  </si>
  <si>
    <r>
      <t>- In its primary and most common definition, (Ebit Interest) Coverage =</t>
    </r>
    <r>
      <rPr>
        <b/>
        <sz val="10"/>
        <rFont val="Arial"/>
        <family val="2"/>
      </rPr>
      <t xml:space="preserve"> Ebit / Interest</t>
    </r>
    <r>
      <rPr>
        <sz val="10"/>
        <rFont val="Arial"/>
        <family val="2"/>
      </rPr>
      <t>.</t>
    </r>
  </si>
  <si>
    <r>
      <rPr>
        <b/>
        <sz val="10"/>
        <rFont val="Arial"/>
        <family val="2"/>
      </rPr>
      <t>i)</t>
    </r>
    <r>
      <rPr>
        <sz val="10"/>
        <rFont val="Arial"/>
        <family val="2"/>
      </rPr>
      <t xml:space="preserve"> In the next section 'Rating Variation', it can be obseved that </t>
    </r>
    <r>
      <rPr>
        <b/>
        <sz val="10"/>
        <rFont val="Arial"/>
        <family val="2"/>
      </rPr>
      <t>analysts' summary notes</t>
    </r>
    <r>
      <rPr>
        <sz val="10"/>
        <rFont val="Arial"/>
        <family val="2"/>
      </rPr>
      <t xml:space="preserve"> : </t>
    </r>
  </si>
  <si>
    <r>
      <t xml:space="preserve">- Almost equally refer to </t>
    </r>
    <r>
      <rPr>
        <b/>
        <sz val="10"/>
        <rFont val="Arial"/>
        <family val="2"/>
      </rPr>
      <t>FFO (or RCF) /tD</t>
    </r>
    <r>
      <rPr>
        <sz val="10"/>
        <rFont val="Arial"/>
        <family val="2"/>
      </rPr>
      <t xml:space="preserve"> than to leverage </t>
    </r>
    <r>
      <rPr>
        <b/>
        <sz val="10"/>
        <rFont val="Arial"/>
        <family val="2"/>
      </rPr>
      <t>tD/Ebitda</t>
    </r>
    <r>
      <rPr>
        <sz val="10"/>
        <rFont val="Arial"/>
        <family val="2"/>
      </rPr>
      <t>, both of them viewed by S&amp;P's</t>
    </r>
    <r>
      <rPr>
        <b/>
        <sz val="10"/>
        <rFont val="Arial"/>
        <family val="2"/>
      </rPr>
      <t xml:space="preserve"> as </t>
    </r>
    <r>
      <rPr>
        <sz val="10"/>
        <rFont val="Arial"/>
        <family val="2"/>
      </rPr>
      <t>"core debt-payback" ratios;</t>
    </r>
  </si>
  <si>
    <t>- Whereas coverage defined in relation with interest expenses is notably absent (though naturally included in their comprehensive analyses).</t>
  </si>
  <si>
    <t>- Idem for tD/Capital, although it is presented in S&amp;P's general methodology as one of its three key "Financial Risk Indicative Ratios", along with FFO/tD and tD/Ebitda.</t>
  </si>
  <si>
    <r>
      <t xml:space="preserve">In agencies' sector notes, it may also be observed that they typically consider </t>
    </r>
    <r>
      <rPr>
        <b/>
        <sz val="10"/>
        <rFont val="Arial"/>
        <family val="2"/>
      </rPr>
      <t>LTM (Last 12 Months) data</t>
    </r>
    <r>
      <rPr>
        <sz val="10"/>
        <rFont val="Arial"/>
        <family val="2"/>
      </rPr>
      <t>, beside most probably forecasts, e.g. for the next 18 months.</t>
    </r>
  </si>
  <si>
    <r>
      <rPr>
        <b/>
        <sz val="10"/>
        <rFont val="Arial"/>
        <family val="2"/>
      </rPr>
      <t>ii)</t>
    </r>
    <r>
      <rPr>
        <sz val="10"/>
        <rFont val="Arial"/>
        <family val="2"/>
      </rPr>
      <t xml:space="preserve"> In contrast : </t>
    </r>
  </si>
  <si>
    <t xml:space="preserve">"While the illustrative grid mapping uses gross debt, it should be noted that there are situations in which we may consider net debt to be a better indicator of an issuer’s financial strength. </t>
  </si>
  <si>
    <t>For example, a company may have pre-funded debt maturities or otherwise holds a substantial amount of cash on its balance sheet that we expect will be used for business enhancing activities. Some companies have a long track record of maintaining substantial cash balances that are not dedicated to a specific investment purpose but rather provide a safety cushion."</t>
  </si>
  <si>
    <r>
      <t>For Moody's : "</t>
    </r>
    <r>
      <rPr>
        <i/>
        <sz val="10"/>
        <rFont val="Arial"/>
        <family val="2"/>
      </rPr>
      <t>the coverage ratio is particularly meaningful for speculative grade companies, especially in an environment of rising interest rates."</t>
    </r>
  </si>
  <si>
    <t>"The first step would be to develop a score based upon multiple ratios. In making this extension, though, note that complexity comes at a cost. While credit or Z scores may, in fact, yield better estimates of synthetic ratings than those based only upon interest coverage ratios, changes in ratings arising from these scores are much more difficult to explain than those based upon interest coverage ratios. That is the reason we prefer the flawed but simpler ratings that we get from interest coverage ratios."</t>
  </si>
  <si>
    <r>
      <t>"</t>
    </r>
    <r>
      <rPr>
        <i/>
        <sz val="10"/>
        <color theme="1" tint="0.499984740745262"/>
        <rFont val="Arial"/>
        <family val="2"/>
      </rPr>
      <t xml:space="preserve">The process of setting a credit rating for a company is elaborate and relies considerably on qualitative assessment of the historical and likely future performance of a company’s management and business. </t>
    </r>
    <r>
      <rPr>
        <i/>
        <sz val="10"/>
        <rFont val="Arial"/>
        <family val="2"/>
      </rPr>
      <t xml:space="preserve">Nevertheless, empirical evidence shows that credit ratings are primarily related to two financial indicators: (1) </t>
    </r>
    <r>
      <rPr>
        <b/>
        <i/>
        <sz val="10"/>
        <rFont val="Arial"/>
        <family val="2"/>
      </rPr>
      <t>size in terms of sales or market capitalization</t>
    </r>
    <r>
      <rPr>
        <i/>
        <sz val="10"/>
        <rFont val="Arial"/>
        <family val="2"/>
      </rPr>
      <t xml:space="preserve"> and (2) interest coverage in terms of Ebita, Ebitda, or tD/Interest </t>
    </r>
    <r>
      <rPr>
        <i/>
        <sz val="10"/>
        <color theme="1" tint="0.499984740745262"/>
        <rFont val="Arial"/>
        <family val="2"/>
      </rPr>
      <t>(S&amp;P’s also uses measures such as FFO, which differs somewhat from Ebitda but essentially also is aimed at capturing operational cash flow)."</t>
    </r>
  </si>
  <si>
    <r>
      <t>Koller's view that size also matters - "</t>
    </r>
    <r>
      <rPr>
        <i/>
        <sz val="10"/>
        <rFont val="Arial"/>
        <family val="2"/>
      </rPr>
      <t>larger companies are more likely to diversify their risk</t>
    </r>
    <r>
      <rPr>
        <sz val="10"/>
        <rFont val="Arial"/>
        <family val="2"/>
      </rPr>
      <t xml:space="preserve"> "- is corroborated in following succint presentations of S&amp;P's and Moody's methodologies. He also adds that "</t>
    </r>
    <r>
      <rPr>
        <i/>
        <sz val="10"/>
        <rFont val="Arial"/>
        <family val="2"/>
      </rPr>
      <t xml:space="preserve">size is </t>
    </r>
    <r>
      <rPr>
        <b/>
        <i/>
        <sz val="10"/>
        <rFont val="Arial"/>
        <family val="2"/>
      </rPr>
      <t>especially relevant in its extremes</t>
    </r>
    <r>
      <rPr>
        <sz val="10"/>
        <rFont val="Arial"/>
        <family val="2"/>
      </rPr>
      <t>."</t>
    </r>
  </si>
  <si>
    <t xml:space="preserve">This is of interest for this determination since Belgian quasi pure-players are among the smallest SPs in our European benchmark.  As the next section further shows, note that  : </t>
  </si>
  <si>
    <t>Try again to collect data for interest coverage ?</t>
  </si>
  <si>
    <r>
      <t>1)</t>
    </r>
    <r>
      <rPr>
        <sz val="10"/>
        <rFont val="Arial"/>
        <family val="2"/>
      </rPr>
      <t xml:space="preserve"> Therefore,</t>
    </r>
    <r>
      <rPr>
        <b/>
        <sz val="10"/>
        <rFont val="Arial"/>
        <family val="2"/>
      </rPr>
      <t xml:space="preserve"> for financial strength, used indicators are primarily limited to tD/Ebitda</t>
    </r>
    <r>
      <rPr>
        <sz val="10"/>
        <rFont val="Arial"/>
        <family val="2"/>
      </rPr>
      <t>, tD/Capital being shown mainly for info.</t>
    </r>
  </si>
  <si>
    <t>- For real SPs which are not rated, this might be seen as a bit far-stretched (yet not as much as buidling direct equivalence between rating and market gearing). However, as far as non-rated Mobistar is concerned, later developed additional considerations suggest that financial risk ratios would be almost secondary in its case.</t>
  </si>
  <si>
    <r>
      <t xml:space="preserve">- For already rated Belgian SPs, Belgacom in particular, for which we just hypothesize distinct relative debt levels (and to a lesser extent EV/Ebitda), this is naturally less an issue </t>
    </r>
    <r>
      <rPr>
        <sz val="10"/>
        <color theme="1" tint="0.499984740745262"/>
        <rFont val="Arial"/>
        <family val="2"/>
      </rPr>
      <t>(although an increase of its Debt levels relative to Ebitda could also be implemented with a relatively stronger cash-flow generation, for instance).</t>
    </r>
  </si>
  <si>
    <r>
      <rPr>
        <b/>
        <sz val="10"/>
        <rFont val="Arial"/>
        <family val="2"/>
      </rPr>
      <t xml:space="preserve">2) </t>
    </r>
    <r>
      <rPr>
        <sz val="10"/>
        <rFont val="Arial"/>
        <family val="2"/>
      </rPr>
      <t xml:space="preserve">Regarding </t>
    </r>
    <r>
      <rPr>
        <b/>
        <sz val="10"/>
        <rFont val="Arial"/>
        <family val="2"/>
      </rPr>
      <t>size/scale</t>
    </r>
    <r>
      <rPr>
        <sz val="10"/>
        <rFont val="Arial"/>
        <family val="2"/>
      </rPr>
      <t xml:space="preserve">, next table shows market cap. but we would rather take this factor into account through qualitative adjustments. </t>
    </r>
  </si>
  <si>
    <t>tD/Ebitda vs. Rating</t>
  </si>
  <si>
    <t>Market cap vs. Rating</t>
  </si>
  <si>
    <t>(1st graph with reversed axis : Rating vs. tD/Ebitda)</t>
  </si>
  <si>
    <t>Naturally, a selective presentation limited to the purpose of the present exercise.</t>
  </si>
  <si>
    <r>
      <rPr>
        <b/>
        <sz val="10"/>
        <rFont val="Arial"/>
        <family val="2"/>
      </rPr>
      <t xml:space="preserve">i) </t>
    </r>
    <r>
      <rPr>
        <sz val="10"/>
        <rFont val="Arial"/>
        <family val="2"/>
      </rPr>
      <t>S&amp;P's</t>
    </r>
    <r>
      <rPr>
        <b/>
        <sz val="10"/>
        <rFont val="Arial"/>
        <family val="2"/>
      </rPr>
      <t xml:space="preserve"> GRE = "Government-Related Entities", </t>
    </r>
    <r>
      <rPr>
        <sz val="10"/>
        <rFont val="Arial"/>
        <family val="2"/>
      </rPr>
      <t xml:space="preserve">whose credit quality could potentially be affected by extraordinary government intervention during periods of stress. </t>
    </r>
  </si>
  <si>
    <r>
      <t xml:space="preserve">- Equivalent to Moody's </t>
    </r>
    <r>
      <rPr>
        <b/>
        <sz val="10"/>
        <rFont val="Arial"/>
        <family val="2"/>
      </rPr>
      <t>GRI</t>
    </r>
    <r>
      <rPr>
        <sz val="10"/>
        <rFont val="Arial"/>
        <family val="2"/>
      </rPr>
      <t xml:space="preserve"> = "Government-Related Issuer".</t>
    </r>
  </si>
  <si>
    <r>
      <t xml:space="preserve">- Equivalent to S&amp;P's </t>
    </r>
    <r>
      <rPr>
        <b/>
        <sz val="10"/>
        <rFont val="Arial"/>
        <family val="2"/>
      </rPr>
      <t>SACP = "Stand-Alone Credit Profile"</t>
    </r>
    <r>
      <rPr>
        <sz val="10"/>
        <rFont val="Arial"/>
        <family val="2"/>
      </rPr>
      <t>,</t>
    </r>
    <r>
      <rPr>
        <b/>
        <sz val="10"/>
        <rFont val="Arial"/>
        <family val="2"/>
      </rPr>
      <t xml:space="preserve"> </t>
    </r>
    <r>
      <rPr>
        <sz val="10"/>
        <rFont val="Arial"/>
        <family val="2"/>
      </rPr>
      <t xml:space="preserve">with </t>
    </r>
    <r>
      <rPr>
        <b/>
        <sz val="10"/>
        <rFont val="Arial"/>
        <family val="2"/>
      </rPr>
      <t>lower case symbols</t>
    </r>
    <r>
      <rPr>
        <sz val="10"/>
        <rFont val="Arial"/>
        <family val="2"/>
      </rPr>
      <t xml:space="preserve"> paralleling its ICR rating range.</t>
    </r>
  </si>
  <si>
    <r>
      <t xml:space="preserve">From here : quotes still in </t>
    </r>
    <r>
      <rPr>
        <i/>
        <sz val="10"/>
        <rFont val="Arial"/>
        <family val="2"/>
      </rPr>
      <t>italics</t>
    </r>
    <r>
      <rPr>
        <sz val="10"/>
        <rFont val="Arial"/>
        <family val="2"/>
      </rPr>
      <t>, but no longer between " ".</t>
    </r>
  </si>
  <si>
    <r>
      <rPr>
        <b/>
        <sz val="10"/>
        <rFont val="Arial"/>
        <family val="2"/>
      </rPr>
      <t>ii)</t>
    </r>
    <r>
      <rPr>
        <sz val="10"/>
        <rFont val="Arial"/>
        <family val="2"/>
      </rPr>
      <t xml:space="preserve"> Moody's </t>
    </r>
    <r>
      <rPr>
        <b/>
        <sz val="10"/>
        <rFont val="Arial"/>
        <family val="2"/>
      </rPr>
      <t xml:space="preserve">BCA </t>
    </r>
    <r>
      <rPr>
        <sz val="10"/>
        <rFont val="Arial"/>
        <family val="2"/>
      </rPr>
      <t>= "Baseline Credit Assessment", for Moody's opinion of an issuer’ standalone intrinsic strength, absent any extraordinary support from an affiliate or a government.</t>
    </r>
  </si>
  <si>
    <r>
      <rPr>
        <b/>
        <i/>
        <sz val="10"/>
        <rFont val="Arial"/>
        <family val="2"/>
      </rPr>
      <t>But not potential Extraordinary Intervention</t>
    </r>
    <r>
      <rPr>
        <i/>
        <sz val="10"/>
        <rFont val="Arial"/>
        <family val="2"/>
      </rPr>
      <t xml:space="preserve"> </t>
    </r>
    <r>
      <rPr>
        <sz val="10"/>
        <rFont val="Arial"/>
        <family val="2"/>
      </rPr>
      <t>(</t>
    </r>
    <r>
      <rPr>
        <sz val="10"/>
        <rFont val="Symbol"/>
        <family val="1"/>
        <charset val="2"/>
      </rPr>
      <t>®</t>
    </r>
    <r>
      <rPr>
        <sz val="10"/>
        <rFont val="Arial"/>
        <family val="2"/>
      </rPr>
      <t xml:space="preserve"> in the ICR analysis).</t>
    </r>
  </si>
  <si>
    <t xml:space="preserve">S&amp;P's states that, for its Competitive Position analysis (including Profitability), it reviews SPs' : </t>
  </si>
  <si>
    <t xml:space="preserve"> : Key matrix of this sheet.</t>
  </si>
  <si>
    <r>
      <rPr>
        <b/>
        <sz val="10"/>
        <color theme="1"/>
        <rFont val="Arial"/>
        <family val="2"/>
      </rPr>
      <t>1)</t>
    </r>
    <r>
      <rPr>
        <sz val="10"/>
        <color theme="1"/>
        <rFont val="Arial"/>
        <family val="2"/>
      </rPr>
      <t xml:space="preserve"> It is later shown that </t>
    </r>
    <r>
      <rPr>
        <b/>
        <sz val="10"/>
        <color theme="1"/>
        <rFont val="Arial"/>
        <family val="2"/>
      </rPr>
      <t>Belgacom</t>
    </r>
    <r>
      <rPr>
        <sz val="10"/>
        <color theme="1"/>
        <rFont val="Arial"/>
        <family val="2"/>
      </rPr>
      <t xml:space="preserve">'s SACP is 'a', in line with its ICR (A), while its financial risk could probably be qualified as "Minimal" by S&amp;P's standard (or at worst "Modest") with a leverage below 1.5x. From above matrix, this implies a </t>
    </r>
    <r>
      <rPr>
        <b/>
        <sz val="10"/>
        <color theme="1"/>
        <rFont val="Arial"/>
        <family val="2"/>
      </rPr>
      <t>"Strong" Business Risk profile</t>
    </r>
    <r>
      <rPr>
        <sz val="10"/>
        <color theme="1"/>
        <rFont val="Arial"/>
        <family val="2"/>
      </rPr>
      <t xml:space="preserve"> (at worst "Satisfactory") by S&amp;P's definition.</t>
    </r>
  </si>
  <si>
    <r>
      <rPr>
        <b/>
        <sz val="10"/>
        <color theme="1"/>
        <rFont val="Arial"/>
        <family val="2"/>
      </rPr>
      <t>2)</t>
    </r>
    <r>
      <rPr>
        <sz val="10"/>
        <color theme="1"/>
        <rFont val="Arial"/>
        <family val="2"/>
      </rPr>
      <t xml:space="preserve"> The Business Risk profile of an </t>
    </r>
    <r>
      <rPr>
        <b/>
        <sz val="10"/>
        <color theme="1"/>
        <rFont val="Arial"/>
        <family val="2"/>
      </rPr>
      <t>hypothetical domestic integrated SP</t>
    </r>
    <r>
      <rPr>
        <sz val="10"/>
        <color theme="1"/>
        <rFont val="Arial"/>
        <family val="2"/>
      </rPr>
      <t xml:space="preserve"> </t>
    </r>
    <r>
      <rPr>
        <b/>
        <sz val="10"/>
        <color theme="1"/>
        <rFont val="Arial"/>
        <family val="2"/>
      </rPr>
      <t>- both average and efficient</t>
    </r>
    <r>
      <rPr>
        <sz val="10"/>
        <color theme="1"/>
        <rFont val="Arial"/>
        <family val="2"/>
      </rPr>
      <t xml:space="preserve"> - could be conservatively assumed to be </t>
    </r>
    <r>
      <rPr>
        <b/>
        <sz val="10"/>
        <color theme="1"/>
        <rFont val="Arial"/>
        <family val="2"/>
      </rPr>
      <t>'Satisfactory'</t>
    </r>
    <r>
      <rPr>
        <sz val="10"/>
        <color theme="1"/>
        <rFont val="Arial"/>
        <family val="2"/>
      </rPr>
      <t xml:space="preserve">. </t>
    </r>
  </si>
  <si>
    <r>
      <rPr>
        <b/>
        <sz val="10"/>
        <color theme="1"/>
        <rFont val="Arial"/>
        <family val="2"/>
      </rPr>
      <t>3)</t>
    </r>
    <r>
      <rPr>
        <sz val="10"/>
        <color theme="1"/>
        <rFont val="Arial"/>
        <family val="2"/>
      </rPr>
      <t xml:space="preserve"> The Business Risk profile of </t>
    </r>
    <r>
      <rPr>
        <b/>
        <sz val="10"/>
        <color theme="1"/>
        <rFont val="Arial"/>
        <family val="2"/>
      </rPr>
      <t xml:space="preserve">Belgian generic stand-alone pure-player </t>
    </r>
    <r>
      <rPr>
        <sz val="10"/>
        <color theme="1"/>
        <rFont val="Arial"/>
        <family val="2"/>
      </rPr>
      <t xml:space="preserve">may be rather assumed to be </t>
    </r>
    <r>
      <rPr>
        <b/>
        <sz val="10"/>
        <color theme="1"/>
        <rFont val="Arial"/>
        <family val="2"/>
      </rPr>
      <t>"Fair"</t>
    </r>
    <r>
      <rPr>
        <sz val="10"/>
        <color theme="1"/>
        <rFont val="Arial"/>
        <family val="2"/>
      </rPr>
      <t xml:space="preserve"> = 1-line downgrade from their integrated counterpart = 2 rating notches until 'Intermediate' Financial Risk :</t>
    </r>
  </si>
  <si>
    <r>
      <rPr>
        <b/>
        <sz val="10"/>
        <color theme="1"/>
        <rFont val="Arial"/>
        <family val="2"/>
      </rPr>
      <t>4)</t>
    </r>
    <r>
      <rPr>
        <sz val="10"/>
        <color theme="1"/>
        <rFont val="Arial"/>
        <family val="2"/>
      </rPr>
      <t xml:space="preserve"> However, </t>
    </r>
    <r>
      <rPr>
        <b/>
        <sz val="10"/>
        <color theme="1"/>
        <rFont val="Arial"/>
        <family val="2"/>
      </rPr>
      <t xml:space="preserve">the hypothesis of small standalone pure-players may itself contradict or unduly downgrade the efficiency assumption, </t>
    </r>
    <r>
      <rPr>
        <sz val="10"/>
        <color theme="1"/>
        <rFont val="Arial"/>
        <family val="2"/>
      </rPr>
      <t xml:space="preserve">for the above reason. Therefore, we are in the view that the generic Mobile and Fixed SPs </t>
    </r>
    <r>
      <rPr>
        <b/>
        <sz val="10"/>
        <color theme="1"/>
        <rFont val="Arial"/>
        <family val="2"/>
      </rPr>
      <t>should be instead considered as entities owned by the previous hypothetical well-integrated domestic SP.</t>
    </r>
  </si>
  <si>
    <t>Vs. 2010:</t>
  </si>
  <si>
    <t>Effective tax rate</t>
  </si>
  <si>
    <t>LTM Effective tax rate</t>
  </si>
  <si>
    <t>Pension obligations</t>
  </si>
  <si>
    <t>N/a except for a very few SPs and dates.</t>
  </si>
  <si>
    <t>N/a except yearly for ORA &amp; OTE, but inconsistent low figures for OTE.</t>
  </si>
  <si>
    <t>N/a except yearly for OTE.</t>
  </si>
  <si>
    <t>Possible mismatch between fields and tickers, or obsolete field labels.</t>
  </si>
  <si>
    <t>Idem.</t>
  </si>
  <si>
    <t>(Bloom Data Not Used or N/A)</t>
  </si>
  <si>
    <t>© MARPIJ, 2014</t>
  </si>
  <si>
    <r>
      <t xml:space="preserve">Cf. </t>
    </r>
    <r>
      <rPr>
        <u/>
        <sz val="10"/>
        <color theme="0" tint="-0.499984740745262"/>
        <rFont val="Arial"/>
        <family val="2"/>
      </rPr>
      <t>Last sheet with n/a</t>
    </r>
    <r>
      <rPr>
        <sz val="10"/>
        <color theme="0" tint="-0.499984740745262"/>
        <rFont val="Arial"/>
        <family val="2"/>
      </rPr>
      <t xml:space="preserve"> data from our Bloomberg exctractions.</t>
    </r>
  </si>
  <si>
    <t>No quarterly data: avg between HY</t>
  </si>
  <si>
    <r>
      <t>PT : cf. notes</t>
    </r>
    <r>
      <rPr>
        <sz val="10"/>
        <color rgb="FFFFC000"/>
        <rFont val="Arial"/>
        <family val="2"/>
      </rPr>
      <t xml:space="preserve"> for its EV/Ebitda </t>
    </r>
    <r>
      <rPr>
        <sz val="10"/>
        <color rgb="FFFFC000"/>
        <rFont val="Symbol"/>
        <family val="1"/>
        <charset val="2"/>
      </rPr>
      <t>®</t>
    </r>
  </si>
  <si>
    <r>
      <t xml:space="preserve">i.e. with Ebitda initially given instead of substiantially </t>
    </r>
    <r>
      <rPr>
        <sz val="10"/>
        <color rgb="FFFFC000"/>
        <rFont val="Wingdings"/>
        <charset val="2"/>
      </rPr>
      <t>æ</t>
    </r>
    <r>
      <rPr>
        <sz val="10"/>
        <color rgb="FFFFC000"/>
        <rFont val="Arial"/>
        <family val="2"/>
      </rPr>
      <t xml:space="preserve"> revised values later on (at a price for PT's mkt cap)</t>
    </r>
  </si>
  <si>
    <t>Not workable in asbsence of Belgian values.</t>
  </si>
  <si>
    <t>UK Telcos: values as of end fiscal year = March 31st.</t>
  </si>
  <si>
    <t>ORA 2009 : n/a, set at 2010 value.</t>
  </si>
  <si>
    <t>Ebitda intially extracted in Raw Data are quarter or half-year values : LTM (last 12 months) Ebitda calculated through EV and EV/Ebitda.</t>
  </si>
  <si>
    <t>Bloomberg's post-tax WACC rates (just for info).</t>
  </si>
  <si>
    <t>Graph stopped at Q3 2009 : weird values afterward (when available).</t>
  </si>
  <si>
    <t>Gaps filled (linear interpolation) for grah plotting purposes.</t>
  </si>
  <si>
    <t>"#N/A N/A"</t>
  </si>
  <si>
    <t>"#N/A Invalid Field"</t>
  </si>
  <si>
    <t>Not workable</t>
  </si>
  <si>
    <r>
      <rPr>
        <sz val="10"/>
        <rFont val="Arial"/>
        <family val="2"/>
      </rPr>
      <t xml:space="preserve">Cf. </t>
    </r>
    <r>
      <rPr>
        <u/>
        <sz val="10"/>
        <rFont val="Arial"/>
        <family val="2"/>
      </rPr>
      <t>here</t>
    </r>
    <r>
      <rPr>
        <sz val="10"/>
        <rFont val="Arial"/>
        <family val="2"/>
      </rPr>
      <t>.</t>
    </r>
  </si>
  <si>
    <r>
      <t xml:space="preserve">Cf. </t>
    </r>
    <r>
      <rPr>
        <u/>
        <sz val="10"/>
        <rFont val="Arial"/>
        <family val="2"/>
      </rPr>
      <t>here</t>
    </r>
    <r>
      <rPr>
        <sz val="10"/>
        <rFont val="Arial"/>
        <family val="2"/>
      </rPr>
      <t>.</t>
    </r>
  </si>
  <si>
    <t>Data extracted from Bloomberg.</t>
  </si>
  <si>
    <t>In more or less bright yellow :</t>
  </si>
  <si>
    <t>Setting</t>
  </si>
  <si>
    <t>TLSN &amp; TLSG 2011 : n/a, set at avg (2010, 2012) value.</t>
  </si>
  <si>
    <t>D = Net debt, * = with PV OL</t>
  </si>
  <si>
    <t>Cf. WACC 1 :</t>
  </si>
  <si>
    <r>
      <t xml:space="preserve">Below </t>
    </r>
    <r>
      <rPr>
        <sz val="10"/>
        <color rgb="FF0070C0"/>
        <rFont val="Arial"/>
        <family val="2"/>
      </rPr>
      <t>in blue</t>
    </r>
    <r>
      <rPr>
        <sz val="10"/>
        <rFont val="Arial"/>
        <family val="2"/>
      </rPr>
      <t>, rough estimates</t>
    </r>
    <r>
      <rPr>
        <sz val="10"/>
        <color rgb="FF0070C0"/>
        <rFont val="Arial"/>
        <family val="2"/>
      </rPr>
      <t xml:space="preserve"> </t>
    </r>
    <r>
      <rPr>
        <sz val="10"/>
        <rFont val="Arial"/>
        <family val="2"/>
      </rPr>
      <t xml:space="preserve">for speculative grade yields. Only regard Telenet (but OL </t>
    </r>
    <r>
      <rPr>
        <sz val="10"/>
        <rFont val="Symbol"/>
        <family val="1"/>
        <charset val="2"/>
      </rPr>
      <t>»</t>
    </r>
    <r>
      <rPr>
        <sz val="10"/>
        <rFont val="Arial"/>
        <family val="2"/>
      </rPr>
      <t xml:space="preserve"> 0), and OTE.</t>
    </r>
  </si>
  <si>
    <t>Implemented Approximations - Marpij</t>
  </si>
  <si>
    <t>Cf. introduction in 'Ratings' :</t>
  </si>
  <si>
    <t>- OL = BV OL (not PV OL),</t>
  </si>
  <si>
    <r>
      <rPr>
        <u/>
        <sz val="10"/>
        <rFont val="Arial"/>
        <family val="2"/>
      </rPr>
      <t>Fitch's</t>
    </r>
    <r>
      <rPr>
        <sz val="10"/>
        <rFont val="Arial"/>
        <family val="2"/>
      </rPr>
      <t xml:space="preserve"> : OL</t>
    </r>
  </si>
  <si>
    <t>- Updated Implications for Lessees’ Credit,</t>
  </si>
  <si>
    <t>mentioned in 'Ratings', with 3 OL valuation methods (2 of which workable), incl. a basic approach : apply a multiple to current OL expense, typically 8x.</t>
  </si>
  <si>
    <r>
      <rPr>
        <sz val="10"/>
        <rFont val="Arial"/>
        <family val="2"/>
      </rPr>
      <t xml:space="preserve">See notes </t>
    </r>
    <r>
      <rPr>
        <u/>
        <sz val="10"/>
        <rFont val="Arial"/>
        <family val="2"/>
      </rPr>
      <t>below</t>
    </r>
  </si>
  <si>
    <r>
      <rPr>
        <sz val="10"/>
        <rFont val="Wingdings"/>
        <charset val="2"/>
      </rPr>
      <t>ä</t>
    </r>
    <r>
      <rPr>
        <sz val="10"/>
        <rFont val="Arial"/>
        <family val="2"/>
      </rPr>
      <t xml:space="preserve"> Mkt Cap Local</t>
    </r>
  </si>
  <si>
    <r>
      <rPr>
        <sz val="10"/>
        <rFont val="Symbol"/>
        <family val="1"/>
        <charset val="2"/>
      </rPr>
      <t>¬</t>
    </r>
    <r>
      <rPr>
        <sz val="9"/>
        <rFont val="Arial"/>
        <family val="2"/>
      </rPr>
      <t xml:space="preserve"> For D* vs D in Adj. D. </t>
    </r>
    <r>
      <rPr>
        <sz val="10"/>
        <color theme="0" tint="-0.499984740745262"/>
        <rFont val="Arial"/>
        <family val="2"/>
      </rPr>
      <t>Priority to D/Ebitda setting (instead of illustrative g* vs g).</t>
    </r>
  </si>
  <si>
    <t>Avg. Min/(Adj. D+E)</t>
  </si>
  <si>
    <r>
      <rPr>
        <b/>
        <sz val="10"/>
        <color theme="1" tint="0.499984740745262"/>
        <rFont val="Wingdings"/>
        <charset val="2"/>
      </rPr>
      <t>ä</t>
    </r>
    <r>
      <rPr>
        <b/>
        <sz val="10"/>
        <color theme="1" tint="0.499984740745262"/>
        <rFont val="Arial"/>
        <family val="2"/>
      </rPr>
      <t xml:space="preserve"> Ebitda</t>
    </r>
  </si>
  <si>
    <t>% listed Belgian Telcos EV</t>
  </si>
  <si>
    <t xml:space="preserve">BGC peers </t>
  </si>
  <si>
    <t>By mkt cap</t>
  </si>
  <si>
    <t>Belgian SPs</t>
  </si>
  <si>
    <r>
      <t xml:space="preserve">x = D/E = g/(1-g) and g = x/(1+x). </t>
    </r>
    <r>
      <rPr>
        <sz val="10"/>
        <color theme="1" tint="0.499984740745262"/>
        <rFont val="Arial"/>
        <family val="2"/>
      </rPr>
      <t>Transpose values to 'Outputs'.</t>
    </r>
  </si>
  <si>
    <t>HY avg.</t>
  </si>
  <si>
    <t>Transpose values to 'Outputs'.</t>
  </si>
  <si>
    <t>Cash/Ebitda*</t>
  </si>
  <si>
    <t>Period avg.</t>
  </si>
  <si>
    <t>Adj. tD*/Ea*</t>
  </si>
  <si>
    <t>Avg. adj. tD*/Ea*</t>
  </si>
  <si>
    <r>
      <rPr>
        <b/>
        <sz val="10"/>
        <rFont val="Symbol"/>
        <family val="1"/>
        <charset val="2"/>
      </rPr>
      <t>D</t>
    </r>
    <r>
      <rPr>
        <b/>
        <sz val="10"/>
        <rFont val="Arial"/>
        <family val="2"/>
      </rPr>
      <t xml:space="preserve">  Adj. tD*/Ea*</t>
    </r>
  </si>
  <si>
    <t>Add/replace with Belgacom peers' simple avg.</t>
  </si>
  <si>
    <t>Add/replace with line for Belgacom peers' simple avg.</t>
  </si>
  <si>
    <t>Add BGC peers simple avg.</t>
  </si>
  <si>
    <t>Belgacom in red.</t>
  </si>
  <si>
    <r>
      <t>here</t>
    </r>
    <r>
      <rPr>
        <sz val="10"/>
        <color theme="0" tint="-0.34998626667073579"/>
        <rFont val="Arial"/>
        <family val="2"/>
      </rPr>
      <t>.</t>
    </r>
  </si>
  <si>
    <t>(Cf. Belgacom for an example of extraction.)</t>
  </si>
  <si>
    <t>"Clusters"</t>
  </si>
  <si>
    <r>
      <t xml:space="preserve">Do not delete </t>
    </r>
    <r>
      <rPr>
        <sz val="10"/>
        <color theme="0" tint="-0.499984740745262"/>
        <rFont val="Symbol"/>
        <family val="1"/>
        <charset val="2"/>
      </rPr>
      <t>®</t>
    </r>
  </si>
  <si>
    <t>In 'Calculations'</t>
  </si>
  <si>
    <r>
      <t xml:space="preserve">EV/Ebitda (not adj.) and </t>
    </r>
    <r>
      <rPr>
        <sz val="10"/>
        <rFont val="Symbol"/>
        <family val="1"/>
        <charset val="2"/>
      </rPr>
      <t>D</t>
    </r>
  </si>
  <si>
    <t>By decreasing rating (no rating last), then outlook, then increasing 2Q13 Adj. D/Ebidta</t>
  </si>
  <si>
    <t>Manual</t>
  </si>
  <si>
    <t>In light orange : internal notes regarding possible improvements.</t>
  </si>
  <si>
    <t>% Mobile &amp; Classification</t>
  </si>
  <si>
    <r>
      <t xml:space="preserve">Belgacom's closest </t>
    </r>
    <r>
      <rPr>
        <b/>
        <sz val="10"/>
        <rFont val="Arial"/>
        <family val="2"/>
      </rPr>
      <t>peers</t>
    </r>
    <r>
      <rPr>
        <sz val="10"/>
        <rFont val="Arial"/>
        <family val="2"/>
      </rPr>
      <t xml:space="preserve"> by weighting EV/Ebitda, % Mobile and Market cap. 'proximities': TDC, KPN, TIT, TPS, SCM,TKA.</t>
    </r>
  </si>
  <si>
    <r>
      <rPr>
        <b/>
        <sz val="10"/>
        <rFont val="Arial"/>
        <family val="2"/>
      </rPr>
      <t>Mobile weights</t>
    </r>
    <r>
      <rPr>
        <sz val="10"/>
        <rFont val="Arial"/>
        <family val="2"/>
      </rPr>
      <t xml:space="preserve">, essentially from % Revenues (Ebitda split seldom available) : e.g. 37% on avg. for Belgacom. </t>
    </r>
  </si>
  <si>
    <t xml:space="preserve">Fixed/Mobile classification by other market observers. SPs' distinction according to geographic 'clusters'. </t>
  </si>
  <si>
    <r>
      <t xml:space="preserve">Market Cap. &amp; </t>
    </r>
    <r>
      <rPr>
        <b/>
        <sz val="10"/>
        <rFont val="Arial"/>
        <family val="2"/>
      </rPr>
      <t>EV/Ebitda</t>
    </r>
    <r>
      <rPr>
        <sz val="10"/>
        <rFont val="Arial"/>
        <family val="2"/>
      </rPr>
      <t xml:space="preserve"> : average levels, variations. Impact for Belgian Mobile services in particular : EV/Ebitda assumed between 5x-6x, instead of 4x or lower for Mobistar in the last quarters (5x for Belgacom).</t>
    </r>
  </si>
  <si>
    <r>
      <rPr>
        <b/>
        <sz val="10"/>
        <rFont val="Arial"/>
        <family val="2"/>
      </rPr>
      <t>D/Ebitda</t>
    </r>
    <r>
      <rPr>
        <sz val="10"/>
        <rFont val="Arial"/>
        <family val="2"/>
      </rPr>
      <t xml:space="preserve"> vs. % Mobile and evolution by 'clusters' : leverage generally on the rise (debt has become cheaper). Normative estimates for Belgacom and Mobile : around 2x and 1.5x implying, with resp. EV/Ebitda assumptions, central gearings of 40% and 28%.</t>
    </r>
  </si>
  <si>
    <t>Δnot = t/(1-t).(1-g).Rnot.Enot/E</t>
  </si>
  <si>
    <r>
      <t xml:space="preserve">Assimilating Enot to shareholder's equity Eb, and given that Eb/E = [(EV/Ebitda) - (D/Ebitda)].(Ebitda/Eb), estimation through previous sections' assumptions or findings, and </t>
    </r>
    <r>
      <rPr>
        <b/>
        <sz val="10"/>
        <rFont val="Arial"/>
        <family val="2"/>
      </rPr>
      <t>Ebitda/Eb</t>
    </r>
    <r>
      <rPr>
        <sz val="10"/>
        <rFont val="Arial"/>
        <family val="2"/>
      </rPr>
      <t xml:space="preserve"> analysis : stable at 0.6x for Belgacom, around 1.7x for Mobistar.</t>
    </r>
  </si>
  <si>
    <t>Values to paste in WACC 3 &amp; 4. Inputs from WACC 1 &amp; 3. Tables &amp; graphs for the report in MS Word.</t>
  </si>
  <si>
    <t xml:space="preserve">Intermediary spreadsheet presenting altogether metrics considered in the three main sheets, with various rankings. </t>
  </si>
  <si>
    <t xml:space="preserve">Profiles, Gearing, E/Enot, Credit Rating : Benchmark Analysis on 22 European Listed Telecom Operators ('SPs'). </t>
  </si>
  <si>
    <r>
      <rPr>
        <b/>
        <sz val="10"/>
        <rFont val="Arial"/>
        <family val="2"/>
      </rPr>
      <t>i)</t>
    </r>
    <r>
      <rPr>
        <sz val="10"/>
        <rFont val="Arial"/>
        <family val="2"/>
      </rPr>
      <t xml:space="preserve"> "</t>
    </r>
    <r>
      <rPr>
        <b/>
        <sz val="10"/>
        <rFont val="Arial"/>
        <family val="2"/>
      </rPr>
      <t>Leverage" generally refer to Total Debt/Ebitda</t>
    </r>
    <r>
      <rPr>
        <sz val="10"/>
        <rFont val="Arial"/>
        <family val="2"/>
      </rPr>
      <t xml:space="preserve">. We remind the following abbreviation introduced in 'Note 2' for </t>
    </r>
    <r>
      <rPr>
        <b/>
        <sz val="10"/>
        <rFont val="Arial"/>
        <family val="2"/>
      </rPr>
      <t xml:space="preserve">Total Debt : tD = D + Cash </t>
    </r>
    <r>
      <rPr>
        <sz val="10"/>
        <rFont val="Arial"/>
        <family val="2"/>
      </rPr>
      <t>&amp; Cash equivalents</t>
    </r>
    <r>
      <rPr>
        <b/>
        <sz val="10"/>
        <rFont val="Arial"/>
        <family val="2"/>
      </rPr>
      <t>.</t>
    </r>
  </si>
  <si>
    <t>Net vs. Total Debt</t>
  </si>
  <si>
    <r>
      <rPr>
        <b/>
        <sz val="10"/>
        <rFont val="Arial"/>
        <family val="2"/>
      </rPr>
      <t>Gearing</t>
    </r>
    <r>
      <rPr>
        <sz val="10"/>
        <rFont val="Arial"/>
        <family val="2"/>
      </rPr>
      <t xml:space="preserve"> </t>
    </r>
    <r>
      <rPr>
        <b/>
        <sz val="10"/>
        <rFont val="Arial"/>
        <family val="2"/>
      </rPr>
      <t>g</t>
    </r>
    <r>
      <rPr>
        <sz val="10"/>
        <rFont val="Arial"/>
        <family val="2"/>
      </rPr>
      <t xml:space="preserve"> vs. % Mobile and evolution by 'clusters'. Focus on most recent values with graphical analysis : Belgian axis with</t>
    </r>
  </si>
  <si>
    <r>
      <rPr>
        <b/>
        <sz val="10"/>
        <rFont val="Arial"/>
        <family val="2"/>
      </rPr>
      <t>Net Debt D</t>
    </r>
    <r>
      <rPr>
        <sz val="10"/>
        <rFont val="Arial"/>
        <family val="2"/>
      </rPr>
      <t xml:space="preserve"> = </t>
    </r>
    <r>
      <rPr>
        <b/>
        <sz val="10"/>
        <rFont val="Arial"/>
        <family val="2"/>
      </rPr>
      <t xml:space="preserve">Total </t>
    </r>
    <r>
      <rPr>
        <sz val="10"/>
        <rFont val="Arial"/>
        <family val="2"/>
      </rPr>
      <t xml:space="preserve">(or gross) </t>
    </r>
    <r>
      <rPr>
        <b/>
        <sz val="10"/>
        <rFont val="Arial"/>
        <family val="2"/>
      </rPr>
      <t xml:space="preserve">Debt tD </t>
    </r>
    <r>
      <rPr>
        <sz val="10"/>
        <rFont val="Arial"/>
        <family val="2"/>
      </rPr>
      <t>+ Cash &amp; cash equivalents.</t>
    </r>
  </si>
  <si>
    <t>- Some analysts prefer the Net Debt, as this is a measure of a company's ability to repay its debts if they were all due today;</t>
  </si>
  <si>
    <t>- While others, especially in credit rating agencies, generally consider metrics based on tD, as observed in the 'Ratings' sheet.</t>
  </si>
  <si>
    <t>Coming back to the WACC :</t>
  </si>
  <si>
    <t>Also, according to Damordan :</t>
  </si>
  <si>
    <t>Actually, by using D instead of tD, cash and debt are implictly assumed to have roughly similar risk. This assumption may be shaky for non-investment grade firms, i.e. with a rating below BB+ (as Telenet).</t>
  </si>
  <si>
    <t>- Whereas, in regulation, at least in Europe to our knowledge, g is always defined as g = D/(D+E), rather than with tD.</t>
  </si>
  <si>
    <t xml:space="preserve">Beyond the WACC : </t>
  </si>
  <si>
    <t>The traditional (European) regulatory approach with Net Debt D is here maintained.</t>
  </si>
  <si>
    <r>
      <t xml:space="preserve">cf. </t>
    </r>
    <r>
      <rPr>
        <u/>
        <sz val="10"/>
        <color theme="1" tint="0.499984740745262"/>
        <rFont val="Arial"/>
        <family val="2"/>
      </rPr>
      <t>Damodaran's</t>
    </r>
    <r>
      <rPr>
        <sz val="10"/>
        <color theme="1" tint="0.499984740745262"/>
        <rFont val="Arial"/>
        <family val="2"/>
      </rPr>
      <t xml:space="preserve"> spreadsheets.)</t>
    </r>
  </si>
  <si>
    <t>With tD, the cash balance outstanding is simply added to the value of operating assets. (The Beta delevering formula should then be corrected for cash as well,</t>
  </si>
  <si>
    <r>
      <t xml:space="preserve">Among previous items, </t>
    </r>
    <r>
      <rPr>
        <b/>
        <sz val="10"/>
        <rFont val="Arial"/>
        <family val="2"/>
      </rPr>
      <t xml:space="preserve">Operating Leases (OL) </t>
    </r>
    <r>
      <rPr>
        <sz val="10"/>
        <rFont val="Arial"/>
        <family val="2"/>
      </rPr>
      <t xml:space="preserve">are probably the most important off-balance sheet commitments. </t>
    </r>
  </si>
  <si>
    <r>
      <t xml:space="preserve">- </t>
    </r>
    <r>
      <rPr>
        <sz val="10"/>
        <rFont val="Arial"/>
        <family val="2"/>
      </rPr>
      <t xml:space="preserve">As most corporate finance textbooks°, Damodaran states that </t>
    </r>
    <r>
      <rPr>
        <i/>
        <sz val="10"/>
        <rFont val="Arial"/>
        <family val="2"/>
      </rPr>
      <t>: "Operating lease expenses are really financial expenses. They should be treated as such and converted into debt."</t>
    </r>
  </si>
  <si>
    <t>° Partially diverging point of view</t>
  </si>
  <si>
    <t>from Vernimmen, though.</t>
  </si>
  <si>
    <r>
      <t xml:space="preserve">In this edition, SPs' future OL commitments are added to D. The </t>
    </r>
    <r>
      <rPr>
        <b/>
        <sz val="10"/>
        <rFont val="Arial"/>
        <family val="2"/>
      </rPr>
      <t>symbol *</t>
    </r>
    <r>
      <rPr>
        <sz val="10"/>
        <rFont val="Arial"/>
        <family val="2"/>
      </rPr>
      <t xml:space="preserve"> is applied to all </t>
    </r>
    <r>
      <rPr>
        <b/>
        <sz val="10"/>
        <rFont val="Arial"/>
        <family val="2"/>
      </rPr>
      <t>OL-adjusted metrics</t>
    </r>
    <r>
      <rPr>
        <sz val="10"/>
        <rFont val="Arial"/>
        <family val="2"/>
      </rPr>
      <t xml:space="preserve"> : D*, EV*, Ebitda* (= Ebitdar, i.e. before rent), etc.</t>
    </r>
  </si>
  <si>
    <t>with a high interest rate (7.5%).</t>
  </si>
  <si>
    <r>
      <rPr>
        <u/>
        <sz val="10"/>
        <rFont val="Arial"/>
        <family val="2"/>
      </rPr>
      <t>present case</t>
    </r>
    <r>
      <rPr>
        <sz val="10"/>
        <rFont val="Arial"/>
        <family val="2"/>
      </rPr>
      <t>, and with low interest rates.</t>
    </r>
  </si>
  <si>
    <r>
      <t xml:space="preserve">OL not to mistake for </t>
    </r>
    <r>
      <rPr>
        <u/>
        <sz val="10"/>
        <color theme="0" tint="-0.34998626667073579"/>
        <rFont val="Arial"/>
        <family val="2"/>
      </rPr>
      <t>Capital Leases</t>
    </r>
    <r>
      <rPr>
        <sz val="10"/>
        <color theme="0" tint="-0.34998626667073579"/>
        <rFont val="Arial"/>
        <family val="2"/>
      </rPr>
      <t>.</t>
    </r>
  </si>
  <si>
    <r>
      <t xml:space="preserve">PV(D)/BV(D) = 93% in this </t>
    </r>
    <r>
      <rPr>
        <u/>
        <sz val="10"/>
        <color theme="0" tint="-0.34998626667073579"/>
        <rFont val="Arial"/>
        <family val="2"/>
      </rPr>
      <t>example</t>
    </r>
  </si>
  <si>
    <t>Here, the PV(OL) impact remains substantial on initial market gearings for key SPs, as already stated in 'Summary'.</t>
  </si>
  <si>
    <t>OL are usually omitted in regulatory determinations, probably because required data extraction and calculations for benchmark analysis can be highly time-consuming.</t>
  </si>
  <si>
    <r>
      <t xml:space="preserve">"The practice of netting cash against debt is common in both Europe and Latin America, and the debt ratios are usually estimated using net debt" </t>
    </r>
    <r>
      <rPr>
        <sz val="10"/>
        <color theme="0" tint="-0.34998626667073579"/>
        <rFont val="Arial"/>
        <family val="2"/>
      </rPr>
      <t>[vs. tD in the US].</t>
    </r>
  </si>
  <si>
    <t xml:space="preserve">Recent vs. Period Avg Values </t>
  </si>
  <si>
    <r>
      <t xml:space="preserve">- In light of local and international observations / </t>
    </r>
    <r>
      <rPr>
        <b/>
        <sz val="10"/>
        <rFont val="Arial"/>
        <family val="2"/>
      </rPr>
      <t>"norms"</t>
    </r>
    <r>
      <rPr>
        <sz val="10"/>
        <rFont val="Arial"/>
        <family val="2"/>
      </rPr>
      <t>,</t>
    </r>
  </si>
  <si>
    <r>
      <t xml:space="preserve">- And possibly closer to </t>
    </r>
    <r>
      <rPr>
        <b/>
        <sz val="10"/>
        <rFont val="Arial"/>
        <family val="2"/>
      </rPr>
      <t>optimal levels</t>
    </r>
    <r>
      <rPr>
        <sz val="10"/>
        <rFont val="Arial"/>
        <family val="2"/>
      </rPr>
      <t xml:space="preserve"> - minimizing WACC, thus maximizing value - in the set framework for its regulatory determination. </t>
    </r>
  </si>
  <si>
    <t>However, concluding WACC 4 does not revisit gearings proposed in this file in order to determine such optimal values through an iterative process. (For this, as developed in 'Ratings', the sticking point is the relationship between gearing and credit rating, thus cost of debt.)</t>
  </si>
  <si>
    <t>- In valuation (Damodaran, Bloomberg, etc.), the Weighted Average Cost of Capital is often estimated with weights, market gearing g and 1-g, based on tD;</t>
  </si>
  <si>
    <r>
      <t xml:space="preserve">- In valuation, in order to estimate the firm's value </t>
    </r>
    <r>
      <rPr>
        <sz val="10"/>
        <color theme="1" tint="0.499984740745262"/>
        <rFont val="Arial"/>
        <family val="2"/>
      </rPr>
      <t>EV = D+E+Minority Interests (MI) = tD+E+MI - Cash</t>
    </r>
    <r>
      <rPr>
        <sz val="10"/>
        <rFont val="Arial"/>
        <family val="2"/>
      </rPr>
      <t xml:space="preserve">, it usually makes no difference to consider a WACC consistently based on either tD or D. </t>
    </r>
  </si>
  <si>
    <t>- In regulation, efficient generic SPs are implicitly assumed not to have any excess cash, or very little. Therefore, benchmarking real SPs' gearings based on D instead of tD allow to prevent distortions because of excess cash.</t>
  </si>
  <si>
    <t>Beside the D vs. tD issue, there are more or less conservative definitions of debt. Financial statements show what may be seen as minimum amounts. In particular, credit rating agencies use tailored debt estimates, along with other adjustments on financial results. For instance, Moody's states that :</t>
  </si>
  <si>
    <t>- IASB &amp; FASB are expected to issue accounting revisions regarding OL integration in financial statements. This new format will be soon the norm.</t>
  </si>
  <si>
    <r>
      <t xml:space="preserve">- Stricty, as for Equity, the market value of debt should be used instead of its </t>
    </r>
    <r>
      <rPr>
        <b/>
        <sz val="10"/>
        <rFont val="Arial"/>
        <family val="2"/>
      </rPr>
      <t>Book Value</t>
    </r>
    <r>
      <rPr>
        <sz val="10"/>
        <rFont val="Arial"/>
        <family val="2"/>
      </rPr>
      <t xml:space="preserve"> (BV). However, </t>
    </r>
    <r>
      <rPr>
        <b/>
        <sz val="10"/>
        <rFont val="Arial"/>
        <family val="2"/>
      </rPr>
      <t>BV(D)</t>
    </r>
    <r>
      <rPr>
        <sz val="10"/>
        <rFont val="Arial"/>
        <family val="2"/>
      </rPr>
      <t xml:space="preserve"> is a well accepted approximation for D : usually, both values barely differ.</t>
    </r>
  </si>
  <si>
    <r>
      <t xml:space="preserve">- The situation is different with OL : they do have to be discounted at </t>
    </r>
    <r>
      <rPr>
        <b/>
        <sz val="10"/>
        <rFont val="Arial"/>
        <family val="2"/>
      </rPr>
      <t>Present Value</t>
    </r>
    <r>
      <rPr>
        <sz val="10"/>
        <rFont val="Arial"/>
        <family val="2"/>
      </rPr>
      <t xml:space="preserve"> (PV). </t>
    </r>
    <r>
      <rPr>
        <b/>
        <sz val="10"/>
        <rFont val="Arial"/>
        <family val="2"/>
      </rPr>
      <t xml:space="preserve">PV(OL) </t>
    </r>
    <r>
      <rPr>
        <sz val="10"/>
        <rFont val="Arial"/>
        <family val="2"/>
      </rPr>
      <t xml:space="preserve">is significantly lower than BV(OL) : around 20% in the </t>
    </r>
  </si>
  <si>
    <r>
      <t xml:space="preserve">(Ex. p. 32-34 </t>
    </r>
    <r>
      <rPr>
        <u/>
        <sz val="10"/>
        <color theme="0" tint="-0.34998626667073579"/>
        <rFont val="Arial"/>
        <family val="2"/>
      </rPr>
      <t>ACM 2012</t>
    </r>
    <r>
      <rPr>
        <sz val="10"/>
        <color theme="0" tint="-0.34998626667073579"/>
        <rFont val="Arial"/>
        <family val="2"/>
      </rPr>
      <t>.)</t>
    </r>
  </si>
  <si>
    <r>
      <t xml:space="preserve">The target gearing to determine is actually the </t>
    </r>
    <r>
      <rPr>
        <i/>
        <sz val="10"/>
        <rFont val="Arial"/>
        <family val="2"/>
      </rPr>
      <t>average</t>
    </r>
    <r>
      <rPr>
        <sz val="10"/>
        <rFont val="Arial"/>
        <family val="2"/>
      </rPr>
      <t xml:space="preserve"> forward-looking gearing for the period matching avg asset economic lives (here assumed at 10Y), and not just the forthcoming regulatory period.</t>
    </r>
  </si>
  <si>
    <r>
      <t xml:space="preserve">For forward-looking estimates, in contrast to market's general parameters (cf. WACC 1), </t>
    </r>
    <r>
      <rPr>
        <b/>
        <sz val="10"/>
        <rFont val="Arial"/>
        <family val="2"/>
      </rPr>
      <t xml:space="preserve">recent values or trends </t>
    </r>
    <r>
      <rPr>
        <sz val="10"/>
        <rFont val="Arial"/>
        <family val="2"/>
      </rPr>
      <t>are generally more relevant than averages over the whole period of analysis, because there might be an intentional pattern of decreasing or increasing indebtedness and/or financial leverage over the period. Naturally, perspectives provided by the management itself would be best.</t>
    </r>
  </si>
  <si>
    <t>On- &amp; Off-Balance Sheet</t>
  </si>
  <si>
    <t>From following analyses, the Word report determines the generic Fixed and Mobile SPs' ratings with a slightly different approach. In particular, size and ownership (by a generic integrated domestic SP) are addressed in its preliminary section 3.1. Consider rather this 'Ratings' sheet for its inputs : data, sources and quotes from credit rating agencies.</t>
  </si>
  <si>
    <t>Remark :</t>
  </si>
  <si>
    <t xml:space="preserve">New purposes of credit rating : for the cost of debt Cd used to capitalize leases and in debt Beta decomposition (in WACC 3). </t>
  </si>
  <si>
    <t xml:space="preserve">For a regulation, Telenet's ratios are </t>
  </si>
  <si>
    <t>irrelevant because of temporary Eb&lt;0. Extension instead of Belgacom-Mobistar Eb/E slope, both for Fixed and Telenet.</t>
  </si>
  <si>
    <t>Financial Risk</t>
  </si>
  <si>
    <t>Satisfactory</t>
  </si>
  <si>
    <t>Highly leveraged</t>
  </si>
  <si>
    <t>Satisf./Fair</t>
  </si>
  <si>
    <t>Business Stgth</t>
  </si>
  <si>
    <r>
      <t xml:space="preserve">Composite ratings as averages of available LT ratings from S&amp;P's, Moody's and Fitch. </t>
    </r>
    <r>
      <rPr>
        <b/>
        <sz val="10"/>
        <rFont val="Arial"/>
        <family val="2"/>
      </rPr>
      <t>Financial Risk</t>
    </r>
    <r>
      <rPr>
        <sz val="10"/>
        <rFont val="Arial"/>
        <family val="2"/>
      </rPr>
      <t xml:space="preserve"> qualified with</t>
    </r>
    <r>
      <rPr>
        <b/>
        <sz val="10"/>
        <rFont val="Arial"/>
        <family val="2"/>
      </rPr>
      <t xml:space="preserve"> tD/Ebitda</t>
    </r>
    <r>
      <rPr>
        <sz val="10"/>
        <rFont val="Arial"/>
        <family val="2"/>
      </rPr>
      <t xml:space="preserve"> and agencies' thresholds. </t>
    </r>
    <r>
      <rPr>
        <b/>
        <sz val="10"/>
        <rFont val="Arial"/>
        <family val="2"/>
      </rPr>
      <t>Business Strength</t>
    </r>
    <r>
      <rPr>
        <sz val="10"/>
        <rFont val="Arial"/>
        <family val="2"/>
      </rPr>
      <t xml:space="preserve"> assessed through qualtitative and comparative analyses (with known profiles).</t>
    </r>
  </si>
  <si>
    <r>
      <t xml:space="preserve">Application of S&amp;P matrix to infer "stand-alone credit profiles" </t>
    </r>
    <r>
      <rPr>
        <b/>
        <sz val="10"/>
        <rFont val="Arial"/>
        <family val="2"/>
      </rPr>
      <t>+</t>
    </r>
    <r>
      <rPr>
        <sz val="10"/>
        <rFont val="Arial"/>
        <family val="2"/>
      </rPr>
      <t xml:space="preserve"> assumed impact of regular </t>
    </r>
    <r>
      <rPr>
        <b/>
        <sz val="10"/>
        <rFont val="Arial"/>
        <family val="2"/>
      </rPr>
      <t>support</t>
    </r>
    <r>
      <rPr>
        <sz val="10"/>
        <rFont val="Arial"/>
        <family val="2"/>
      </rPr>
      <t xml:space="preserve"> from a parent company to its Fixed &amp; Mobile branches. </t>
    </r>
  </si>
  <si>
    <t>Synthetic ratings of non-rated real SPs.</t>
  </si>
</sst>
</file>

<file path=xl/styles.xml><?xml version="1.0" encoding="utf-8"?>
<styleSheet xmlns="http://schemas.openxmlformats.org/spreadsheetml/2006/main">
  <numFmts count="12">
    <numFmt numFmtId="8" formatCode="#,##0.00\ &quot;€&quot;;[Red]\-#,##0.00\ &quot;€&quot;"/>
    <numFmt numFmtId="44" formatCode="_-* #,##0.00\ &quot;€&quot;_-;\-* #,##0.00\ &quot;€&quot;_-;_-* &quot;-&quot;??\ &quot;€&quot;_-;_-@_-"/>
    <numFmt numFmtId="43" formatCode="_-* #,##0.00\ _€_-;\-* #,##0.00\ _€_-;_-* &quot;-&quot;??\ _€_-;_-@_-"/>
    <numFmt numFmtId="164" formatCode="0.0"/>
    <numFmt numFmtId="165" formatCode="0.0%"/>
    <numFmt numFmtId="166" formatCode="0.000"/>
    <numFmt numFmtId="167" formatCode="_(* #,##0_);_(* \(#,##0\);_(* &quot;-&quot;_);_(@_)"/>
    <numFmt numFmtId="168" formatCode="_(&quot;$&quot;* #,##0.00_);_(&quot;$&quot;* \(#,##0.00\);_(&quot;$&quot;* &quot;-&quot;??_);_(@_)"/>
    <numFmt numFmtId="169" formatCode="&quot;$&quot;#,##0.00"/>
    <numFmt numFmtId="170" formatCode="#,##0;\(#,##0\)"/>
    <numFmt numFmtId="171" formatCode="[$-809]mmmm\ yyyy;@"/>
    <numFmt numFmtId="172" formatCode="#,##0_);\(#,##0\);0_)"/>
  </numFmts>
  <fonts count="205">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sz val="10"/>
      <name val="Arial"/>
      <family val="2"/>
    </font>
    <font>
      <u/>
      <sz val="10"/>
      <color indexed="12"/>
      <name val="Arial"/>
      <family val="2"/>
    </font>
    <font>
      <i/>
      <sz val="10"/>
      <name val="Arial"/>
      <family val="2"/>
    </font>
    <font>
      <sz val="9"/>
      <color indexed="81"/>
      <name val="Tahoma"/>
      <family val="2"/>
    </font>
    <font>
      <sz val="9"/>
      <name val="Arial"/>
      <family val="2"/>
    </font>
    <font>
      <sz val="8"/>
      <color indexed="8"/>
      <name val="Arial"/>
      <family val="2"/>
    </font>
    <font>
      <b/>
      <i/>
      <sz val="10"/>
      <name val="Arial"/>
      <family val="2"/>
    </font>
    <font>
      <i/>
      <sz val="8"/>
      <name val="Arial"/>
      <family val="2"/>
    </font>
    <font>
      <sz val="10"/>
      <color theme="1" tint="0.499984740745262"/>
      <name val="Arial"/>
      <family val="2"/>
    </font>
    <font>
      <sz val="10"/>
      <color theme="0" tint="-0.499984740745262"/>
      <name val="Arial"/>
      <family val="2"/>
    </font>
    <font>
      <b/>
      <sz val="10"/>
      <color theme="1"/>
      <name val="Arial"/>
      <family val="2"/>
    </font>
    <font>
      <sz val="10"/>
      <color rgb="FF0070C0"/>
      <name val="Arial"/>
      <family val="2"/>
    </font>
    <font>
      <sz val="10"/>
      <color rgb="FFFF0000"/>
      <name val="Arial"/>
      <family val="2"/>
    </font>
    <font>
      <sz val="10"/>
      <color rgb="FF00B0F0"/>
      <name val="Arial"/>
      <family val="2"/>
    </font>
    <font>
      <sz val="10"/>
      <name val="Wingdings"/>
      <charset val="2"/>
    </font>
    <font>
      <b/>
      <sz val="10"/>
      <name val="Wingdings"/>
      <charset val="2"/>
    </font>
    <font>
      <sz val="10"/>
      <color rgb="FF3D3D3D"/>
      <name val="Arial"/>
      <family val="2"/>
    </font>
    <font>
      <sz val="10"/>
      <color rgb="FF00B050"/>
      <name val="Arial"/>
      <family val="2"/>
    </font>
    <font>
      <i/>
      <sz val="10"/>
      <color rgb="FF00B0F0"/>
      <name val="Arial"/>
      <family val="2"/>
    </font>
    <font>
      <i/>
      <sz val="10"/>
      <color rgb="FF00B050"/>
      <name val="Arial"/>
      <family val="2"/>
    </font>
    <font>
      <b/>
      <sz val="10"/>
      <color rgb="FF0070C0"/>
      <name val="Arial"/>
      <family val="2"/>
    </font>
    <font>
      <sz val="10"/>
      <color theme="2"/>
      <name val="Arial"/>
      <family val="2"/>
    </font>
    <font>
      <sz val="10"/>
      <color rgb="FF0070C0"/>
      <name val="Symbol"/>
      <family val="1"/>
      <charset val="2"/>
    </font>
    <font>
      <i/>
      <sz val="10"/>
      <color theme="1"/>
      <name val="Arial"/>
      <family val="2"/>
    </font>
    <font>
      <sz val="10"/>
      <name val="Verdana"/>
      <family val="2"/>
    </font>
    <font>
      <sz val="10"/>
      <color rgb="FF00B050"/>
      <name val="Trebuchet MS"/>
      <family val="2"/>
    </font>
    <font>
      <i/>
      <sz val="10"/>
      <color rgb="FF0070C0"/>
      <name val="Arial"/>
      <family val="2"/>
    </font>
    <font>
      <b/>
      <sz val="9"/>
      <color indexed="81"/>
      <name val="Tahoma"/>
      <family val="2"/>
    </font>
    <font>
      <sz val="8"/>
      <name val="Verdana"/>
      <family val="2"/>
    </font>
    <font>
      <b/>
      <sz val="8"/>
      <name val="Verdana"/>
      <family val="2"/>
    </font>
    <font>
      <sz val="10"/>
      <color theme="0" tint="-0.14999847407452621"/>
      <name val="Arial"/>
      <family val="2"/>
    </font>
    <font>
      <sz val="10"/>
      <color theme="1"/>
      <name val="Symbol"/>
      <family val="1"/>
      <charset val="2"/>
    </font>
    <font>
      <b/>
      <i/>
      <sz val="10"/>
      <color rgb="FF0070C0"/>
      <name val="Arial"/>
      <family val="2"/>
    </font>
    <font>
      <sz val="10"/>
      <name val="Symbol"/>
      <family val="1"/>
      <charset val="2"/>
    </font>
    <font>
      <sz val="10"/>
      <color theme="0" tint="-0.34998626667073579"/>
      <name val="Arial"/>
      <family val="2"/>
    </font>
    <font>
      <sz val="9"/>
      <name val="Symbol"/>
      <family val="1"/>
      <charset val="2"/>
    </font>
    <font>
      <sz val="10"/>
      <color rgb="FFFFC000"/>
      <name val="Arial"/>
      <family val="2"/>
    </font>
    <font>
      <b/>
      <sz val="10"/>
      <name val="Symbol"/>
      <family val="1"/>
      <charset val="2"/>
    </font>
    <font>
      <b/>
      <sz val="10"/>
      <color theme="0"/>
      <name val="Arial"/>
      <family val="2"/>
    </font>
    <font>
      <sz val="10"/>
      <color theme="0"/>
      <name val="Arial"/>
      <family val="2"/>
    </font>
    <font>
      <sz val="10"/>
      <color theme="0" tint="-0.249977111117893"/>
      <name val="Arial"/>
      <family val="2"/>
    </font>
    <font>
      <i/>
      <sz val="10"/>
      <color rgb="FFFFC000"/>
      <name val="Arial"/>
      <family val="2"/>
    </font>
    <font>
      <b/>
      <u/>
      <sz val="10"/>
      <name val="Arial"/>
      <family val="2"/>
    </font>
    <font>
      <sz val="10"/>
      <color theme="4"/>
      <name val="Arial"/>
      <family val="2"/>
    </font>
    <font>
      <i/>
      <sz val="10"/>
      <color theme="0" tint="-0.34998626667073579"/>
      <name val="Arial"/>
      <family val="2"/>
    </font>
    <font>
      <sz val="8"/>
      <name val="Arial"/>
      <family val="2"/>
    </font>
    <font>
      <i/>
      <sz val="10"/>
      <color rgb="FF0070C0"/>
      <name val="Symbol"/>
      <family val="1"/>
      <charset val="2"/>
    </font>
    <font>
      <sz val="10"/>
      <name val="Arial"/>
      <family val="2"/>
    </font>
    <font>
      <b/>
      <sz val="14"/>
      <name val="Times"/>
      <family val="1"/>
    </font>
    <font>
      <b/>
      <sz val="10"/>
      <name val="Times"/>
      <family val="1"/>
    </font>
    <font>
      <sz val="10"/>
      <name val="Times"/>
      <family val="1"/>
    </font>
    <font>
      <i/>
      <sz val="10"/>
      <name val="Times"/>
      <family val="1"/>
    </font>
    <font>
      <b/>
      <sz val="9"/>
      <color indexed="81"/>
      <name val="Geneva"/>
    </font>
    <font>
      <sz val="9"/>
      <color indexed="81"/>
      <name val="Geneva"/>
    </font>
    <font>
      <b/>
      <sz val="10"/>
      <color theme="0" tint="-0.249977111117893"/>
      <name val="Arial"/>
      <family val="2"/>
    </font>
    <font>
      <b/>
      <sz val="10"/>
      <color rgb="FF00B050"/>
      <name val="Arial"/>
      <family val="2"/>
    </font>
    <font>
      <sz val="10"/>
      <color theme="4" tint="0.39997558519241921"/>
      <name val="Arial"/>
      <family val="2"/>
    </font>
    <font>
      <sz val="10"/>
      <color rgb="FF0070C0"/>
      <name val="Wingdings"/>
      <charset val="2"/>
    </font>
    <font>
      <sz val="10"/>
      <color theme="3" tint="0.59999389629810485"/>
      <name val="Arial"/>
      <family val="2"/>
    </font>
    <font>
      <sz val="10"/>
      <color rgb="FF0070C0"/>
      <name val="Frutiger 45 Light"/>
      <family val="2"/>
    </font>
    <font>
      <sz val="10"/>
      <color rgb="FF0070C0"/>
      <name val="Frutiger 45 Light"/>
    </font>
    <font>
      <sz val="10"/>
      <color rgb="FF00B050"/>
      <name val="Frutiger 45 Light"/>
      <family val="2"/>
    </font>
    <font>
      <sz val="10"/>
      <color rgb="FF00B050"/>
      <name val="Frutiger 45 Light"/>
    </font>
    <font>
      <sz val="10"/>
      <color rgb="FF0070C0"/>
      <name val="Wingdings 3"/>
      <family val="1"/>
      <charset val="2"/>
    </font>
    <font>
      <sz val="9"/>
      <color theme="1"/>
      <name val="Arial"/>
      <family val="2"/>
    </font>
    <font>
      <b/>
      <sz val="10"/>
      <color theme="0" tint="-0.34998626667073579"/>
      <name val="Arial"/>
      <family val="2"/>
    </font>
    <font>
      <sz val="8"/>
      <color rgb="FF0070C0"/>
      <name val="Arial"/>
      <family val="2"/>
    </font>
    <font>
      <sz val="10"/>
      <color rgb="FF00B050"/>
      <name val="Symbol"/>
      <family val="1"/>
      <charset val="2"/>
    </font>
    <font>
      <sz val="8"/>
      <color rgb="FF00B050"/>
      <name val="Arial"/>
      <family val="2"/>
    </font>
    <font>
      <b/>
      <sz val="8.5"/>
      <name val="Arial"/>
      <family val="2"/>
    </font>
    <font>
      <sz val="10"/>
      <color theme="1"/>
      <name val="Wingdings"/>
      <charset val="2"/>
    </font>
    <font>
      <sz val="10"/>
      <color rgb="FFC00000"/>
      <name val="Arial"/>
      <family val="2"/>
    </font>
    <font>
      <b/>
      <sz val="10"/>
      <color rgb="FFC00000"/>
      <name val="Arial"/>
      <family val="2"/>
    </font>
    <font>
      <sz val="10"/>
      <color rgb="FF000000"/>
      <name val="Arial"/>
      <family val="2"/>
    </font>
    <font>
      <sz val="10"/>
      <color rgb="FF000000"/>
      <name val="Wingdings"/>
      <charset val="2"/>
    </font>
    <font>
      <b/>
      <u/>
      <sz val="10"/>
      <color theme="1"/>
      <name val="Arial"/>
      <family val="2"/>
    </font>
    <font>
      <sz val="10"/>
      <color theme="0" tint="-0.14999847407452621"/>
      <name val="Symbol"/>
      <family val="1"/>
      <charset val="2"/>
    </font>
    <font>
      <sz val="8"/>
      <color theme="0" tint="-0.14999847407452621"/>
      <name val="Arial"/>
      <family val="2"/>
    </font>
    <font>
      <sz val="10"/>
      <color theme="0" tint="-0.249977111117893"/>
      <name val="Symbol"/>
      <family val="1"/>
      <charset val="2"/>
    </font>
    <font>
      <sz val="8"/>
      <color theme="0" tint="-0.249977111117893"/>
      <name val="Arial"/>
      <family val="2"/>
    </font>
    <font>
      <sz val="10"/>
      <color theme="0" tint="-0.499984740745262"/>
      <name val="Symbol"/>
      <family val="1"/>
      <charset val="2"/>
    </font>
    <font>
      <sz val="8"/>
      <color theme="0" tint="-0.499984740745262"/>
      <name val="Arial"/>
      <family val="2"/>
    </font>
    <font>
      <b/>
      <i/>
      <sz val="10"/>
      <color theme="0" tint="-0.499984740745262"/>
      <name val="Arial"/>
      <family val="2"/>
    </font>
    <font>
      <sz val="10"/>
      <color rgb="FFFFD757"/>
      <name val="Arial"/>
      <family val="2"/>
    </font>
    <font>
      <b/>
      <sz val="10"/>
      <color theme="0" tint="-0.499984740745262"/>
      <name val="Arial"/>
      <family val="2"/>
    </font>
    <font>
      <sz val="10"/>
      <color theme="0" tint="-0.499984740745262"/>
      <name val="Wingdings"/>
      <charset val="2"/>
    </font>
    <font>
      <b/>
      <u/>
      <sz val="10"/>
      <color theme="0" tint="-0.499984740745262"/>
      <name val="Arial"/>
      <family val="2"/>
    </font>
    <font>
      <strike/>
      <sz val="10"/>
      <color rgb="FF0070C0"/>
      <name val="Arial"/>
      <family val="2"/>
    </font>
    <font>
      <b/>
      <sz val="10"/>
      <color rgb="FF00B050"/>
      <name val="Trebuchet MS"/>
      <family val="2"/>
    </font>
    <font>
      <sz val="10"/>
      <color theme="3" tint="0.39997558519241921"/>
      <name val="Arial"/>
      <family val="2"/>
    </font>
    <font>
      <u/>
      <sz val="10"/>
      <color rgb="FF00B050"/>
      <name val="Arial"/>
      <family val="2"/>
    </font>
    <font>
      <i/>
      <sz val="10"/>
      <color theme="0" tint="-0.14999847407452621"/>
      <name val="Arial"/>
      <family val="2"/>
    </font>
    <font>
      <i/>
      <sz val="10"/>
      <color theme="0" tint="-0.499984740745262"/>
      <name val="Arial"/>
      <family val="2"/>
    </font>
    <font>
      <i/>
      <sz val="10"/>
      <color theme="1" tint="0.499984740745262"/>
      <name val="Arial"/>
      <family val="2"/>
    </font>
    <font>
      <i/>
      <sz val="10"/>
      <color theme="0" tint="-0.14999847407452621"/>
      <name val="Symbol"/>
      <family val="1"/>
      <charset val="2"/>
    </font>
    <font>
      <i/>
      <sz val="8"/>
      <color theme="0" tint="-0.14999847407452621"/>
      <name val="Arial"/>
      <family val="2"/>
    </font>
    <font>
      <sz val="10"/>
      <color theme="0" tint="-0.34998626667073579"/>
      <name val="Symbol"/>
      <family val="1"/>
      <charset val="2"/>
    </font>
    <font>
      <sz val="10"/>
      <color theme="0" tint="-4.9989318521683403E-2"/>
      <name val="Arial"/>
      <family val="2"/>
    </font>
    <font>
      <b/>
      <i/>
      <sz val="10"/>
      <color theme="0"/>
      <name val="Arial"/>
      <family val="2"/>
    </font>
    <font>
      <b/>
      <sz val="10"/>
      <color theme="1"/>
      <name val="Symbol"/>
      <family val="1"/>
      <charset val="2"/>
    </font>
    <font>
      <u/>
      <sz val="10"/>
      <name val="Arial"/>
      <family val="2"/>
    </font>
    <font>
      <sz val="10"/>
      <color theme="1" tint="0.499984740745262"/>
      <name val="Symbol"/>
      <family val="1"/>
      <charset val="2"/>
    </font>
    <font>
      <b/>
      <sz val="8.3000000000000007"/>
      <name val="Arial"/>
      <family val="2"/>
    </font>
    <font>
      <sz val="10"/>
      <color theme="0" tint="-0.249977111117893"/>
      <name val="Wingdings"/>
      <charset val="2"/>
    </font>
    <font>
      <b/>
      <sz val="10"/>
      <color theme="0" tint="-0.249977111117893"/>
      <name val="Wingdings"/>
      <charset val="2"/>
    </font>
    <font>
      <b/>
      <sz val="9"/>
      <color theme="0" tint="-0.249977111117893"/>
      <name val="Arial"/>
      <family val="2"/>
    </font>
    <font>
      <u/>
      <sz val="10"/>
      <color theme="10"/>
      <name val="Arial"/>
      <family val="2"/>
    </font>
    <font>
      <sz val="10"/>
      <color rgb="FFFFD347"/>
      <name val="Arial"/>
      <family val="2"/>
    </font>
    <font>
      <sz val="10"/>
      <color rgb="FFFFDA65"/>
      <name val="Arial"/>
      <family val="2"/>
    </font>
    <font>
      <sz val="10"/>
      <color rgb="FF7F7F7F"/>
      <name val="Arial"/>
      <family val="2"/>
    </font>
    <font>
      <sz val="10"/>
      <color theme="1"/>
      <name val="Wingdings 3"/>
      <family val="1"/>
      <charset val="2"/>
    </font>
    <font>
      <b/>
      <sz val="10"/>
      <color theme="0" tint="-0.499984740745262"/>
      <name val="Symbol"/>
      <family val="1"/>
      <charset val="2"/>
    </font>
    <font>
      <vertAlign val="superscript"/>
      <sz val="10"/>
      <name val="Arial"/>
      <family val="2"/>
    </font>
    <font>
      <b/>
      <sz val="9"/>
      <name val="Arial"/>
      <family val="2"/>
    </font>
    <font>
      <b/>
      <sz val="8"/>
      <name val="Arial"/>
      <family val="2"/>
    </font>
    <font>
      <b/>
      <sz val="10"/>
      <color theme="1" tint="0.499984740745262"/>
      <name val="Arial"/>
      <family val="2"/>
    </font>
    <font>
      <u/>
      <sz val="10"/>
      <color theme="0" tint="-0.499984740745262"/>
      <name val="Arial"/>
      <family val="2"/>
    </font>
    <font>
      <i/>
      <u/>
      <sz val="10"/>
      <name val="Arial"/>
      <family val="2"/>
    </font>
    <font>
      <u/>
      <sz val="10"/>
      <color theme="1" tint="0.499984740745262"/>
      <name val="Arial"/>
      <family val="2"/>
    </font>
    <font>
      <sz val="10"/>
      <color theme="1" tint="0.34998626667073579"/>
      <name val="Arial"/>
      <family val="2"/>
    </font>
    <font>
      <b/>
      <i/>
      <sz val="10"/>
      <color theme="1" tint="0.499984740745262"/>
      <name val="Arial"/>
      <family val="2"/>
    </font>
    <font>
      <i/>
      <sz val="10"/>
      <color theme="1" tint="0.34998626667073579"/>
      <name val="Arial"/>
      <family val="2"/>
    </font>
    <font>
      <i/>
      <u/>
      <sz val="10"/>
      <color theme="1" tint="0.34998626667073579"/>
      <name val="Arial"/>
      <family val="2"/>
    </font>
    <font>
      <i/>
      <u/>
      <sz val="10"/>
      <color theme="1" tint="0.499984740745262"/>
      <name val="Arial"/>
      <family val="2"/>
    </font>
    <font>
      <sz val="9"/>
      <color theme="0" tint="-0.499984740745262"/>
      <name val="Arial"/>
      <family val="2"/>
    </font>
    <font>
      <sz val="10"/>
      <color theme="1" tint="0.499984740745262"/>
      <name val="Wingdings"/>
      <charset val="2"/>
    </font>
    <font>
      <sz val="9"/>
      <color theme="1" tint="0.499984740745262"/>
      <name val="Arial"/>
      <family val="2"/>
    </font>
    <font>
      <b/>
      <sz val="10"/>
      <name val="Arial"/>
      <family val="2"/>
      <charset val="238"/>
    </font>
    <font>
      <u/>
      <sz val="10"/>
      <color rgb="FFC00000"/>
      <name val="Arial"/>
      <family val="2"/>
    </font>
    <font>
      <i/>
      <sz val="10"/>
      <name val="Symbol"/>
      <family val="1"/>
      <charset val="2"/>
    </font>
    <font>
      <i/>
      <sz val="9"/>
      <name val="Arial"/>
      <family val="2"/>
    </font>
    <font>
      <u/>
      <sz val="10"/>
      <color theme="0" tint="-0.249977111117893"/>
      <name val="Arial"/>
      <family val="2"/>
    </font>
    <font>
      <i/>
      <sz val="9"/>
      <color indexed="81"/>
      <name val="Tahoma"/>
      <family val="2"/>
    </font>
    <font>
      <u/>
      <sz val="10"/>
      <color theme="1" tint="0.34998626667073579"/>
      <name val="Arial"/>
      <family val="2"/>
    </font>
    <font>
      <b/>
      <u/>
      <sz val="10"/>
      <color rgb="FFC00000"/>
      <name val="Arial"/>
      <family val="2"/>
    </font>
    <font>
      <sz val="8.1"/>
      <name val="Arial"/>
      <family val="2"/>
    </font>
    <font>
      <b/>
      <u/>
      <sz val="10"/>
      <name val="Symbol"/>
      <family val="1"/>
      <charset val="2"/>
    </font>
    <font>
      <b/>
      <sz val="10"/>
      <color theme="0"/>
      <name val="Symbol"/>
      <family val="1"/>
      <charset val="2"/>
    </font>
    <font>
      <sz val="11"/>
      <name val="Times"/>
      <family val="1"/>
    </font>
    <font>
      <b/>
      <sz val="8"/>
      <color theme="1"/>
      <name val="Arial"/>
      <family val="2"/>
    </font>
    <font>
      <sz val="10"/>
      <color rgb="FFFFDA65"/>
      <name val="Symbol"/>
      <family val="1"/>
      <charset val="2"/>
    </font>
    <font>
      <b/>
      <sz val="9"/>
      <color theme="1"/>
      <name val="Arial"/>
      <family val="2"/>
    </font>
    <font>
      <sz val="10"/>
      <color theme="3"/>
      <name val="Arial"/>
      <family val="2"/>
    </font>
    <font>
      <strike/>
      <sz val="10"/>
      <color theme="0" tint="-0.499984740745262"/>
      <name val="Arial"/>
      <family val="2"/>
    </font>
    <font>
      <sz val="10"/>
      <color rgb="FFFFE697"/>
      <name val="Arial"/>
      <family val="2"/>
    </font>
    <font>
      <sz val="10"/>
      <color rgb="FFC00000"/>
      <name val="Wingdings 3"/>
      <family val="1"/>
      <charset val="2"/>
    </font>
    <font>
      <b/>
      <sz val="10"/>
      <color theme="1" tint="0.34998626667073579"/>
      <name val="Arial"/>
      <family val="2"/>
    </font>
    <font>
      <sz val="10"/>
      <color theme="1" tint="0.34998626667073579"/>
      <name val="Symbol"/>
      <family val="1"/>
      <charset val="2"/>
    </font>
    <font>
      <sz val="9"/>
      <color rgb="FFFFDA65"/>
      <name val="Arial"/>
      <family val="2"/>
    </font>
    <font>
      <u/>
      <sz val="10"/>
      <color rgb="FFFFDA65"/>
      <name val="Arial"/>
      <family val="2"/>
    </font>
    <font>
      <sz val="9"/>
      <color indexed="81"/>
      <name val="Tahoma"/>
      <charset val="1"/>
    </font>
    <font>
      <u/>
      <sz val="10"/>
      <color theme="0" tint="-0.34998626667073579"/>
      <name val="Arial"/>
      <family val="2"/>
    </font>
    <font>
      <sz val="10"/>
      <color rgb="FFFFE697"/>
      <name val="Symbol"/>
      <family val="1"/>
      <charset val="2"/>
    </font>
    <font>
      <b/>
      <i/>
      <u/>
      <sz val="10"/>
      <color theme="0" tint="-0.499984740745262"/>
      <name val="Arial"/>
      <family val="2"/>
    </font>
    <font>
      <sz val="10"/>
      <color theme="0" tint="-0.499984740745262"/>
      <name val="Wingdings 3"/>
      <family val="1"/>
      <charset val="2"/>
    </font>
    <font>
      <b/>
      <sz val="10"/>
      <color theme="0" tint="-4.9989318521683403E-2"/>
      <name val="Arial"/>
      <family val="2"/>
    </font>
    <font>
      <b/>
      <sz val="10"/>
      <color theme="0" tint="-0.14999847407452621"/>
      <name val="Arial"/>
      <family val="2"/>
    </font>
    <font>
      <sz val="9"/>
      <color rgb="FFFFDB69"/>
      <name val="Arial"/>
      <family val="2"/>
    </font>
    <font>
      <u/>
      <sz val="9"/>
      <color theme="0" tint="-0.34998626667073579"/>
      <name val="Arial"/>
      <family val="2"/>
    </font>
    <font>
      <sz val="9"/>
      <color theme="0" tint="-0.34998626667073579"/>
      <name val="Arial"/>
      <family val="2"/>
    </font>
    <font>
      <sz val="9"/>
      <color rgb="FFC00000"/>
      <name val="Arial"/>
      <family val="2"/>
    </font>
    <font>
      <u/>
      <sz val="10"/>
      <color rgb="FFFFC000"/>
      <name val="Arial"/>
      <family val="2"/>
    </font>
    <font>
      <sz val="10"/>
      <color rgb="FFFFC000"/>
      <name val="Symbol"/>
      <family val="1"/>
      <charset val="2"/>
    </font>
    <font>
      <sz val="10"/>
      <color rgb="FFFFC000"/>
      <name val="Wingdings"/>
      <charset val="2"/>
    </font>
    <font>
      <b/>
      <sz val="10"/>
      <color theme="1" tint="0.499984740745262"/>
      <name val="Wingdings"/>
      <charset val="2"/>
    </font>
    <font>
      <b/>
      <u/>
      <sz val="10"/>
      <color theme="1" tint="0.34998626667073579"/>
      <name val="Arial"/>
      <family val="2"/>
    </font>
  </fonts>
  <fills count="31">
    <fill>
      <patternFill patternType="none"/>
    </fill>
    <fill>
      <patternFill patternType="gray125"/>
    </fill>
    <fill>
      <patternFill patternType="solid">
        <fgColor indexed="42"/>
        <bgColor indexed="64"/>
      </patternFill>
    </fill>
    <fill>
      <patternFill patternType="solid">
        <fgColor theme="2"/>
        <bgColor indexed="64"/>
      </patternFill>
    </fill>
    <fill>
      <patternFill patternType="solid">
        <fgColor rgb="FFFFFFFF"/>
        <bgColor indexed="64"/>
      </patternFill>
    </fill>
    <fill>
      <patternFill patternType="solid">
        <fgColor theme="2"/>
        <bgColor rgb="FF000000"/>
      </patternFill>
    </fill>
    <fill>
      <patternFill patternType="solid">
        <fgColor theme="2" tint="-0.249977111117893"/>
        <bgColor indexed="64"/>
      </patternFill>
    </fill>
    <fill>
      <patternFill patternType="solid">
        <fgColor rgb="FFFFC000"/>
        <bgColor indexed="64"/>
      </patternFill>
    </fill>
    <fill>
      <patternFill patternType="solid">
        <fgColor theme="6" tint="-0.499984740745262"/>
        <bgColor indexed="64"/>
      </patternFill>
    </fill>
    <fill>
      <patternFill patternType="solid">
        <fgColor rgb="FFFFFF00"/>
        <bgColor indexed="64"/>
      </patternFill>
    </fill>
    <fill>
      <patternFill patternType="solid">
        <fgColor indexed="43"/>
        <bgColor indexed="64"/>
      </patternFill>
    </fill>
    <fill>
      <patternFill patternType="solid">
        <fgColor theme="1" tint="0.499984740745262"/>
        <bgColor indexed="64"/>
      </patternFill>
    </fill>
    <fill>
      <patternFill patternType="solid">
        <fgColor rgb="FFFFFF66"/>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DDD9C3"/>
        <bgColor rgb="FF000000"/>
      </patternFill>
    </fill>
    <fill>
      <patternFill patternType="solid">
        <fgColor theme="0" tint="-0.499984740745262"/>
        <bgColor indexed="64"/>
      </patternFill>
    </fill>
    <fill>
      <patternFill patternType="solid">
        <fgColor rgb="FFFFFF99"/>
        <bgColor indexed="64"/>
      </patternFill>
    </fill>
    <fill>
      <patternFill patternType="solid">
        <fgColor rgb="FFC00000"/>
        <bgColor indexed="64"/>
      </patternFill>
    </fill>
    <fill>
      <patternFill patternType="solid">
        <fgColor rgb="FF948A54"/>
        <bgColor indexed="64"/>
      </patternFill>
    </fill>
    <fill>
      <patternFill patternType="solid">
        <fgColor rgb="FF558ED5"/>
        <bgColor indexed="64"/>
      </patternFill>
    </fill>
    <fill>
      <patternFill patternType="solid">
        <fgColor rgb="FF808000"/>
        <bgColor indexed="64"/>
      </patternFill>
    </fill>
    <fill>
      <patternFill patternType="solid">
        <fgColor rgb="FF5D7430"/>
        <bgColor indexed="64"/>
      </patternFill>
    </fill>
    <fill>
      <patternFill patternType="solid">
        <fgColor theme="1"/>
        <bgColor indexed="64"/>
      </patternFill>
    </fill>
    <fill>
      <patternFill patternType="solid">
        <fgColor rgb="FFFFFFCC"/>
        <bgColor indexed="64"/>
      </patternFill>
    </fill>
    <fill>
      <patternFill patternType="solid">
        <fgColor rgb="FFFFD347"/>
        <bgColor indexed="64"/>
      </patternFill>
    </fill>
    <fill>
      <patternFill patternType="solid">
        <fgColor theme="0"/>
        <bgColor indexed="64"/>
      </patternFill>
    </fill>
    <fill>
      <patternFill patternType="solid">
        <fgColor theme="2" tint="-0.499984740745262"/>
        <bgColor indexed="64"/>
      </patternFill>
    </fill>
    <fill>
      <patternFill patternType="solid">
        <fgColor theme="6" tint="-0.249977111117893"/>
        <bgColor indexed="64"/>
      </patternFill>
    </fill>
    <fill>
      <patternFill patternType="solid">
        <fgColor rgb="FF0070C0"/>
        <bgColor indexed="64"/>
      </patternFill>
    </fill>
    <fill>
      <patternFill patternType="solid">
        <fgColor rgb="FFF2F2F2"/>
        <bgColor indexed="64"/>
      </patternFill>
    </fill>
  </fills>
  <borders count="145">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right/>
      <top/>
      <bottom style="dotted">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bottom style="thin">
        <color indexed="64"/>
      </bottom>
      <diagonal/>
    </border>
    <border>
      <left style="hair">
        <color auto="1"/>
      </left>
      <right style="hair">
        <color auto="1"/>
      </right>
      <top style="thin">
        <color indexed="64"/>
      </top>
      <bottom/>
      <diagonal/>
    </border>
    <border>
      <left style="hair">
        <color auto="1"/>
      </left>
      <right/>
      <top style="thin">
        <color indexed="64"/>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top style="hair">
        <color auto="1"/>
      </top>
      <bottom/>
      <diagonal/>
    </border>
    <border>
      <left style="hair">
        <color auto="1"/>
      </left>
      <right/>
      <top/>
      <bottom/>
      <diagonal/>
    </border>
    <border>
      <left style="hair">
        <color auto="1"/>
      </left>
      <right/>
      <top/>
      <bottom style="hair">
        <color auto="1"/>
      </bottom>
      <diagonal/>
    </border>
    <border>
      <left/>
      <right/>
      <top/>
      <bottom style="hair">
        <color auto="1"/>
      </bottom>
      <diagonal/>
    </border>
    <border>
      <left style="hair">
        <color auto="1"/>
      </left>
      <right style="hair">
        <color auto="1"/>
      </right>
      <top style="thin">
        <color indexed="64"/>
      </top>
      <bottom style="hair">
        <color auto="1"/>
      </bottom>
      <diagonal/>
    </border>
    <border>
      <left style="hair">
        <color auto="1"/>
      </left>
      <right/>
      <top style="thin">
        <color indexed="64"/>
      </top>
      <bottom style="hair">
        <color auto="1"/>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style="thin">
        <color indexed="64"/>
      </top>
      <bottom/>
      <diagonal/>
    </border>
    <border>
      <left/>
      <right style="mediumDashed">
        <color indexed="64"/>
      </right>
      <top style="thin">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thin">
        <color indexed="64"/>
      </bottom>
      <diagonal/>
    </border>
    <border>
      <left/>
      <right style="mediumDashed">
        <color indexed="64"/>
      </right>
      <top/>
      <bottom style="thin">
        <color indexed="64"/>
      </bottom>
      <diagonal/>
    </border>
    <border>
      <left style="mediumDashed">
        <color indexed="64"/>
      </left>
      <right/>
      <top/>
      <bottom style="mediumDashed">
        <color indexed="64"/>
      </bottom>
      <diagonal/>
    </border>
    <border>
      <left/>
      <right/>
      <top/>
      <bottom style="mediumDashed">
        <color indexed="64"/>
      </bottom>
      <diagonal/>
    </border>
    <border>
      <left style="hair">
        <color indexed="64"/>
      </left>
      <right style="hair">
        <color indexed="64"/>
      </right>
      <top/>
      <bottom style="mediumDashed">
        <color indexed="64"/>
      </bottom>
      <diagonal/>
    </border>
    <border>
      <left/>
      <right style="mediumDashed">
        <color indexed="64"/>
      </right>
      <top/>
      <bottom style="mediumDashed">
        <color indexed="64"/>
      </bottom>
      <diagonal/>
    </border>
    <border>
      <left style="thin">
        <color indexed="64"/>
      </left>
      <right style="thin">
        <color indexed="64"/>
      </right>
      <top style="hair">
        <color indexed="64"/>
      </top>
      <bottom/>
      <diagonal/>
    </border>
    <border>
      <left/>
      <right style="thin">
        <color indexed="64"/>
      </right>
      <top style="mediumDashed">
        <color indexed="64"/>
      </top>
      <bottom/>
      <diagonal/>
    </border>
    <border>
      <left style="thin">
        <color indexed="64"/>
      </left>
      <right/>
      <top style="mediumDashed">
        <color indexed="64"/>
      </top>
      <bottom/>
      <diagonal/>
    </border>
    <border>
      <left style="mediumDashed">
        <color indexed="64"/>
      </left>
      <right/>
      <top style="thin">
        <color indexed="64"/>
      </top>
      <bottom style="mediumDashed">
        <color indexed="64"/>
      </bottom>
      <diagonal/>
    </border>
    <border>
      <left/>
      <right/>
      <top style="thin">
        <color indexed="64"/>
      </top>
      <bottom style="mediumDashed">
        <color indexed="64"/>
      </bottom>
      <diagonal/>
    </border>
    <border>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Dashed">
        <color indexed="64"/>
      </right>
      <top style="thin">
        <color indexed="64"/>
      </top>
      <bottom style="mediumDashed">
        <color indexed="64"/>
      </bottom>
      <diagonal/>
    </border>
    <border>
      <left style="mediumDashed">
        <color auto="1"/>
      </left>
      <right/>
      <top style="mediumDashed">
        <color auto="1"/>
      </top>
      <bottom style="mediumDashed">
        <color auto="1"/>
      </bottom>
      <diagonal/>
    </border>
    <border>
      <left/>
      <right style="mediumDashed">
        <color auto="1"/>
      </right>
      <top style="mediumDashed">
        <color auto="1"/>
      </top>
      <bottom style="mediumDashed">
        <color auto="1"/>
      </bottom>
      <diagonal/>
    </border>
    <border>
      <left style="thin">
        <color indexed="64"/>
      </left>
      <right style="mediumDashed">
        <color indexed="64"/>
      </right>
      <top style="mediumDashed">
        <color indexed="64"/>
      </top>
      <bottom/>
      <diagonal/>
    </border>
    <border>
      <left style="thin">
        <color indexed="64"/>
      </left>
      <right style="mediumDashed">
        <color indexed="64"/>
      </right>
      <top/>
      <bottom/>
      <diagonal/>
    </border>
    <border>
      <left style="thin">
        <color indexed="64"/>
      </left>
      <right style="mediumDashed">
        <color indexed="64"/>
      </right>
      <top/>
      <bottom style="mediumDashed">
        <color indexed="64"/>
      </bottom>
      <diagonal/>
    </border>
    <border>
      <left style="thin">
        <color indexed="64"/>
      </left>
      <right style="thin">
        <color indexed="64"/>
      </right>
      <top style="thin">
        <color indexed="64"/>
      </top>
      <bottom style="mediumDashed">
        <color indexed="64"/>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diagonal/>
    </border>
    <border>
      <left style="mediumDashed">
        <color indexed="64"/>
      </left>
      <right style="mediumDashed">
        <color indexed="64"/>
      </right>
      <top/>
      <bottom style="mediumDashed">
        <color indexed="64"/>
      </bottom>
      <diagonal/>
    </border>
    <border>
      <left style="thin">
        <color indexed="64"/>
      </left>
      <right style="thin">
        <color indexed="64"/>
      </right>
      <top style="hair">
        <color indexed="64"/>
      </top>
      <bottom style="hair">
        <color indexed="64"/>
      </bottom>
      <diagonal/>
    </border>
    <border>
      <left/>
      <right style="hair">
        <color auto="1"/>
      </right>
      <top style="thin">
        <color indexed="64"/>
      </top>
      <bottom style="thin">
        <color indexed="64"/>
      </bottom>
      <diagonal/>
    </border>
    <border>
      <left style="hair">
        <color auto="1"/>
      </left>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medium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dotted">
        <color indexed="64"/>
      </top>
      <bottom style="dotted">
        <color indexed="64"/>
      </bottom>
      <diagonal/>
    </border>
    <border>
      <left/>
      <right/>
      <top/>
      <bottom style="hair">
        <color theme="0" tint="-4.9989318521683403E-2"/>
      </bottom>
      <diagonal/>
    </border>
    <border>
      <left/>
      <right style="dotted">
        <color indexed="64"/>
      </right>
      <top/>
      <bottom/>
      <diagonal/>
    </border>
    <border>
      <left/>
      <right style="thin">
        <color indexed="64"/>
      </right>
      <top style="hair">
        <color auto="1"/>
      </top>
      <bottom/>
      <diagonal/>
    </border>
    <border>
      <left/>
      <right style="thin">
        <color indexed="64"/>
      </right>
      <top/>
      <bottom style="hair">
        <color indexed="64"/>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bottom style="hair">
        <color theme="0" tint="-4.9989318521683403E-2"/>
      </bottom>
      <diagonal/>
    </border>
    <border>
      <left/>
      <right/>
      <top style="hair">
        <color auto="1"/>
      </top>
      <bottom style="thin">
        <color auto="1"/>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diagonal/>
    </border>
    <border>
      <left/>
      <right style="hair">
        <color auto="1"/>
      </right>
      <top style="double">
        <color indexed="64"/>
      </top>
      <bottom/>
      <diagonal/>
    </border>
    <border>
      <left style="hair">
        <color indexed="64"/>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hair">
        <color auto="1"/>
      </right>
      <top/>
      <bottom style="double">
        <color indexed="64"/>
      </bottom>
      <diagonal/>
    </border>
    <border>
      <left style="mediumDashed">
        <color auto="1"/>
      </left>
      <right style="thin">
        <color indexed="64"/>
      </right>
      <top style="thin">
        <color indexed="64"/>
      </top>
      <bottom/>
      <diagonal/>
    </border>
    <border>
      <left style="thin">
        <color indexed="64"/>
      </left>
      <right style="mediumDashed">
        <color auto="1"/>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mediumDashed">
        <color indexed="64"/>
      </left>
      <right style="thin">
        <color indexed="64"/>
      </right>
      <top style="mediumDashed">
        <color indexed="64"/>
      </top>
      <bottom/>
      <diagonal/>
    </border>
    <border>
      <left style="mediumDashed">
        <color indexed="64"/>
      </left>
      <right style="thin">
        <color indexed="64"/>
      </right>
      <top/>
      <bottom/>
      <diagonal/>
    </border>
    <border>
      <left style="mediumDashed">
        <color indexed="64"/>
      </left>
      <right style="thin">
        <color indexed="64"/>
      </right>
      <top/>
      <bottom style="thin">
        <color indexed="64"/>
      </bottom>
      <diagonal/>
    </border>
    <border>
      <left style="thin">
        <color indexed="64"/>
      </left>
      <right style="mediumDashed">
        <color indexed="64"/>
      </right>
      <top/>
      <bottom style="thin">
        <color indexed="64"/>
      </bottom>
      <diagonal/>
    </border>
    <border>
      <left style="mediumDashed">
        <color indexed="64"/>
      </left>
      <right style="thin">
        <color indexed="64"/>
      </right>
      <top style="thin">
        <color indexed="64"/>
      </top>
      <bottom style="mediumDashed">
        <color indexed="64"/>
      </bottom>
      <diagonal/>
    </border>
    <border>
      <left style="thin">
        <color indexed="64"/>
      </left>
      <right style="mediumDashed">
        <color indexed="64"/>
      </right>
      <top style="thin">
        <color indexed="64"/>
      </top>
      <bottom style="mediumDash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hair">
        <color auto="1"/>
      </right>
      <top style="thin">
        <color indexed="64"/>
      </top>
      <bottom style="thin">
        <color indexed="64"/>
      </bottom>
      <diagonal/>
    </border>
    <border>
      <left/>
      <right style="hair">
        <color auto="1"/>
      </right>
      <top style="hair">
        <color auto="1"/>
      </top>
      <bottom style="hair">
        <color auto="1"/>
      </bottom>
      <diagonal/>
    </border>
    <border>
      <left/>
      <right/>
      <top style="mediumDashed">
        <color auto="1"/>
      </top>
      <bottom style="mediumDashed">
        <color auto="1"/>
      </bottom>
      <diagonal/>
    </border>
    <border>
      <left style="mediumDashed">
        <color indexed="64"/>
      </left>
      <right/>
      <top style="mediumDashed">
        <color indexed="64"/>
      </top>
      <bottom style="thin">
        <color indexed="64"/>
      </bottom>
      <diagonal/>
    </border>
    <border>
      <left style="thin">
        <color indexed="64"/>
      </left>
      <right style="mediumDashed">
        <color indexed="64"/>
      </right>
      <top style="mediumDashed">
        <color indexed="64"/>
      </top>
      <bottom style="thin">
        <color indexed="64"/>
      </bottom>
      <diagonal/>
    </border>
    <border>
      <left/>
      <right/>
      <top style="dotted">
        <color indexed="64"/>
      </top>
      <bottom style="thin">
        <color indexed="64"/>
      </bottom>
      <diagonal/>
    </border>
    <border>
      <left/>
      <right/>
      <top style="hair">
        <color indexed="64"/>
      </top>
      <bottom style="dotted">
        <color indexed="64"/>
      </bottom>
      <diagonal/>
    </border>
    <border>
      <left style="mediumDashed">
        <color indexed="64"/>
      </left>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theme="0" tint="-0.499984740745262"/>
      </top>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s>
  <cellStyleXfs count="18">
    <xf numFmtId="0" fontId="0" fillId="0" borderId="0"/>
    <xf numFmtId="0" fontId="40" fillId="0" borderId="0" applyNumberFormat="0" applyFill="0" applyBorder="0" applyAlignment="0" applyProtection="0">
      <alignment vertical="top"/>
      <protection locked="0"/>
    </xf>
    <xf numFmtId="0" fontId="39" fillId="0" borderId="0"/>
    <xf numFmtId="9" fontId="37" fillId="0" borderId="0" applyFont="0" applyFill="0" applyBorder="0" applyAlignment="0" applyProtection="0"/>
    <xf numFmtId="0" fontId="43" fillId="0" borderId="0">
      <alignment vertical="top"/>
    </xf>
    <xf numFmtId="0" fontId="63" fillId="0" borderId="0"/>
    <xf numFmtId="0" fontId="36" fillId="0" borderId="0"/>
    <xf numFmtId="9" fontId="36" fillId="0" borderId="0" applyFont="0" applyFill="0" applyBorder="0" applyAlignment="0" applyProtection="0"/>
    <xf numFmtId="43" fontId="36" fillId="0" borderId="0" applyFont="0" applyFill="0" applyBorder="0" applyAlignment="0" applyProtection="0"/>
    <xf numFmtId="0" fontId="37" fillId="0" borderId="0"/>
    <xf numFmtId="167" fontId="67" fillId="2" borderId="0" applyNumberFormat="0">
      <alignment horizontal="right"/>
    </xf>
    <xf numFmtId="0" fontId="67" fillId="2" borderId="0">
      <alignment horizontal="left" wrapText="1"/>
    </xf>
    <xf numFmtId="0" fontId="68" fillId="2" borderId="0">
      <alignment horizontal="left" wrapText="1"/>
    </xf>
    <xf numFmtId="0" fontId="37" fillId="0" borderId="0"/>
    <xf numFmtId="44" fontId="86" fillId="0" borderId="0" applyFont="0" applyFill="0" applyBorder="0" applyAlignment="0" applyProtection="0"/>
    <xf numFmtId="171" fontId="37" fillId="0" borderId="0"/>
    <xf numFmtId="171" fontId="145" fillId="0" borderId="0" applyNumberFormat="0" applyFill="0" applyBorder="0" applyAlignment="0" applyProtection="0">
      <alignment vertical="top"/>
      <protection locked="0"/>
    </xf>
    <xf numFmtId="0" fontId="37" fillId="0" borderId="0"/>
  </cellStyleXfs>
  <cellXfs count="3733">
    <xf numFmtId="0" fontId="0" fillId="0" borderId="0" xfId="0"/>
    <xf numFmtId="0" fontId="0" fillId="0" borderId="0" xfId="0" applyFill="1"/>
    <xf numFmtId="0" fontId="0" fillId="0" borderId="0" xfId="0" applyBorder="1"/>
    <xf numFmtId="0" fontId="0" fillId="0" borderId="0" xfId="0" applyFill="1" applyBorder="1"/>
    <xf numFmtId="0" fontId="37" fillId="0" borderId="0" xfId="0" applyFont="1"/>
    <xf numFmtId="14" fontId="0" fillId="0" borderId="0" xfId="0" applyNumberFormat="1" applyAlignment="1">
      <alignment horizontal="left"/>
    </xf>
    <xf numFmtId="0" fontId="0" fillId="0" borderId="5" xfId="0" applyBorder="1"/>
    <xf numFmtId="0" fontId="0" fillId="0" borderId="0" xfId="0" applyAlignment="1">
      <alignment horizontal="left"/>
    </xf>
    <xf numFmtId="0" fontId="0" fillId="0" borderId="12" xfId="0" applyBorder="1"/>
    <xf numFmtId="0" fontId="38" fillId="0" borderId="0" xfId="0" applyFont="1" applyAlignment="1">
      <alignment horizontal="left"/>
    </xf>
    <xf numFmtId="9" fontId="0" fillId="0" borderId="0" xfId="0" applyNumberFormat="1" applyAlignment="1">
      <alignment horizontal="left"/>
    </xf>
    <xf numFmtId="0" fontId="37" fillId="0" borderId="0" xfId="0" applyFont="1" applyAlignment="1">
      <alignment horizontal="left"/>
    </xf>
    <xf numFmtId="11" fontId="37" fillId="0" borderId="0" xfId="0" applyNumberFormat="1" applyFont="1" applyAlignment="1">
      <alignment horizontal="left"/>
    </xf>
    <xf numFmtId="1" fontId="0" fillId="0" borderId="0" xfId="0" applyNumberFormat="1" applyAlignment="1">
      <alignment horizontal="left"/>
    </xf>
    <xf numFmtId="0" fontId="52" fillId="0" borderId="0" xfId="0" applyFont="1" applyAlignment="1">
      <alignment horizontal="left"/>
    </xf>
    <xf numFmtId="164" fontId="0" fillId="0" borderId="0" xfId="0" applyNumberFormat="1" applyAlignment="1">
      <alignment horizontal="left"/>
    </xf>
    <xf numFmtId="164" fontId="52" fillId="0" borderId="0" xfId="0" applyNumberFormat="1" applyFont="1" applyAlignment="1">
      <alignment horizontal="left"/>
    </xf>
    <xf numFmtId="14" fontId="38" fillId="0" borderId="0" xfId="0" applyNumberFormat="1" applyFont="1" applyAlignment="1">
      <alignment horizontal="left"/>
    </xf>
    <xf numFmtId="9" fontId="0" fillId="0" borderId="0" xfId="3" applyFont="1" applyAlignment="1">
      <alignment horizontal="left"/>
    </xf>
    <xf numFmtId="166" fontId="55" fillId="4" borderId="0" xfId="0" applyNumberFormat="1" applyFont="1" applyFill="1" applyAlignment="1">
      <alignment horizontal="left" vertical="top" wrapText="1"/>
    </xf>
    <xf numFmtId="166" fontId="55" fillId="0" borderId="0" xfId="0" applyNumberFormat="1" applyFont="1" applyAlignment="1">
      <alignment horizontal="left"/>
    </xf>
    <xf numFmtId="0" fontId="47" fillId="0" borderId="0" xfId="0" applyFont="1" applyAlignment="1">
      <alignment horizontal="left"/>
    </xf>
    <xf numFmtId="164" fontId="47" fillId="0" borderId="0" xfId="0" applyNumberFormat="1" applyFont="1" applyAlignment="1">
      <alignment horizontal="left"/>
    </xf>
    <xf numFmtId="0" fontId="56" fillId="0" borderId="0" xfId="0" applyFont="1" applyAlignment="1">
      <alignment horizontal="left"/>
    </xf>
    <xf numFmtId="14" fontId="37" fillId="0" borderId="0" xfId="0" applyNumberFormat="1" applyFont="1" applyAlignment="1">
      <alignment horizontal="left"/>
    </xf>
    <xf numFmtId="0" fontId="41" fillId="0" borderId="0" xfId="0" applyFont="1" applyAlignment="1">
      <alignment horizontal="left"/>
    </xf>
    <xf numFmtId="1" fontId="41" fillId="0" borderId="0" xfId="0" applyNumberFormat="1" applyFont="1" applyAlignment="1">
      <alignment horizontal="left"/>
    </xf>
    <xf numFmtId="1" fontId="57" fillId="0" borderId="0" xfId="0" applyNumberFormat="1" applyFont="1" applyAlignment="1">
      <alignment horizontal="left"/>
    </xf>
    <xf numFmtId="164" fontId="41" fillId="0" borderId="0" xfId="0" applyNumberFormat="1" applyFont="1" applyAlignment="1">
      <alignment horizontal="left"/>
    </xf>
    <xf numFmtId="164" fontId="57" fillId="0" borderId="0" xfId="0" applyNumberFormat="1" applyFont="1" applyAlignment="1">
      <alignment horizontal="left"/>
    </xf>
    <xf numFmtId="1" fontId="58" fillId="0" borderId="0" xfId="0" applyNumberFormat="1" applyFont="1" applyAlignment="1">
      <alignment horizontal="left"/>
    </xf>
    <xf numFmtId="0" fontId="37" fillId="0" borderId="11" xfId="0" applyFont="1" applyBorder="1" applyAlignment="1">
      <alignment horizontal="left"/>
    </xf>
    <xf numFmtId="0" fontId="50" fillId="0" borderId="0" xfId="0" applyFont="1" applyBorder="1"/>
    <xf numFmtId="0" fontId="0" fillId="0" borderId="10" xfId="0" applyBorder="1"/>
    <xf numFmtId="0" fontId="0" fillId="0" borderId="11" xfId="0" applyBorder="1"/>
    <xf numFmtId="0" fontId="0" fillId="0" borderId="15" xfId="0" applyBorder="1"/>
    <xf numFmtId="11" fontId="37" fillId="0" borderId="11" xfId="0" applyNumberFormat="1" applyFont="1" applyBorder="1" applyAlignment="1">
      <alignment horizontal="left"/>
    </xf>
    <xf numFmtId="0" fontId="37" fillId="0" borderId="13" xfId="0" applyFont="1" applyBorder="1" applyAlignment="1">
      <alignment horizontal="left"/>
    </xf>
    <xf numFmtId="9" fontId="50" fillId="0" borderId="0" xfId="3" applyFont="1" applyBorder="1" applyAlignment="1">
      <alignment horizontal="left"/>
    </xf>
    <xf numFmtId="0" fontId="64" fillId="0" borderId="0" xfId="5" applyFont="1" applyFill="1" applyBorder="1" applyProtection="1"/>
    <xf numFmtId="0" fontId="50" fillId="0" borderId="0" xfId="6" applyFont="1" applyFill="1" applyAlignment="1">
      <alignment horizontal="left"/>
    </xf>
    <xf numFmtId="0" fontId="50" fillId="0" borderId="0" xfId="6" applyFont="1" applyAlignment="1">
      <alignment horizontal="left"/>
    </xf>
    <xf numFmtId="0" fontId="56" fillId="0" borderId="0" xfId="6" applyFont="1" applyFill="1" applyAlignment="1">
      <alignment horizontal="left"/>
    </xf>
    <xf numFmtId="0" fontId="49" fillId="0" borderId="0" xfId="6" applyFont="1" applyAlignment="1">
      <alignment horizontal="left"/>
    </xf>
    <xf numFmtId="0" fontId="59" fillId="0" borderId="0" xfId="6" applyFont="1" applyAlignment="1">
      <alignment horizontal="left"/>
    </xf>
    <xf numFmtId="0" fontId="56" fillId="0" borderId="0" xfId="6" applyFont="1" applyAlignment="1">
      <alignment horizontal="left"/>
    </xf>
    <xf numFmtId="0" fontId="49" fillId="0" borderId="5" xfId="6" applyFont="1" applyBorder="1" applyAlignment="1">
      <alignment horizontal="left"/>
    </xf>
    <xf numFmtId="0" fontId="50" fillId="0" borderId="5" xfId="6" applyFont="1" applyBorder="1" applyAlignment="1">
      <alignment horizontal="left"/>
    </xf>
    <xf numFmtId="0" fontId="56" fillId="0" borderId="5" xfId="6" applyFont="1" applyBorder="1" applyAlignment="1">
      <alignment horizontal="left"/>
    </xf>
    <xf numFmtId="0" fontId="50" fillId="0" borderId="0" xfId="6" applyFont="1" applyBorder="1" applyAlignment="1">
      <alignment horizontal="left"/>
    </xf>
    <xf numFmtId="0" fontId="56" fillId="0" borderId="0" xfId="6" applyFont="1" applyBorder="1" applyAlignment="1">
      <alignment horizontal="left"/>
    </xf>
    <xf numFmtId="0" fontId="49" fillId="0" borderId="0" xfId="6" applyFont="1" applyBorder="1" applyAlignment="1">
      <alignment horizontal="left"/>
    </xf>
    <xf numFmtId="9" fontId="50" fillId="0" borderId="0" xfId="6" applyNumberFormat="1" applyFont="1" applyBorder="1" applyAlignment="1">
      <alignment horizontal="left"/>
    </xf>
    <xf numFmtId="9" fontId="50" fillId="0" borderId="0" xfId="7" applyFont="1" applyBorder="1" applyAlignment="1">
      <alignment horizontal="left"/>
    </xf>
    <xf numFmtId="0" fontId="56" fillId="0" borderId="14" xfId="6" applyFont="1" applyBorder="1" applyAlignment="1">
      <alignment horizontal="left"/>
    </xf>
    <xf numFmtId="0" fontId="38" fillId="0" borderId="5" xfId="6" applyFont="1" applyBorder="1" applyAlignment="1">
      <alignment horizontal="left"/>
    </xf>
    <xf numFmtId="0" fontId="37" fillId="0" borderId="0" xfId="6" applyFont="1" applyBorder="1" applyAlignment="1">
      <alignment horizontal="left"/>
    </xf>
    <xf numFmtId="9" fontId="56" fillId="0" borderId="0" xfId="7" applyFont="1" applyBorder="1" applyAlignment="1">
      <alignment horizontal="left"/>
    </xf>
    <xf numFmtId="2" fontId="50" fillId="0" borderId="0" xfId="6" applyNumberFormat="1" applyFont="1" applyBorder="1" applyAlignment="1">
      <alignment horizontal="left"/>
    </xf>
    <xf numFmtId="0" fontId="50" fillId="0" borderId="0" xfId="6" applyFont="1" applyBorder="1" applyAlignment="1">
      <alignment horizontal="left" indent="1"/>
    </xf>
    <xf numFmtId="164" fontId="50" fillId="0" borderId="0" xfId="6" applyNumberFormat="1" applyFont="1" applyBorder="1" applyAlignment="1">
      <alignment horizontal="left"/>
    </xf>
    <xf numFmtId="1" fontId="50" fillId="0" borderId="5" xfId="8" applyNumberFormat="1" applyFont="1" applyBorder="1" applyAlignment="1">
      <alignment horizontal="left"/>
    </xf>
    <xf numFmtId="1" fontId="56" fillId="0" borderId="5" xfId="6" applyNumberFormat="1" applyFont="1" applyBorder="1" applyAlignment="1">
      <alignment horizontal="left"/>
    </xf>
    <xf numFmtId="0" fontId="56" fillId="0" borderId="0" xfId="6" applyFont="1" applyBorder="1" applyAlignment="1">
      <alignment horizontal="left" indent="1"/>
    </xf>
    <xf numFmtId="1" fontId="50" fillId="0" borderId="0" xfId="6" applyNumberFormat="1" applyFont="1" applyBorder="1" applyAlignment="1">
      <alignment horizontal="left"/>
    </xf>
    <xf numFmtId="0" fontId="62" fillId="0" borderId="5" xfId="6" applyFont="1" applyBorder="1" applyAlignment="1">
      <alignment horizontal="left"/>
    </xf>
    <xf numFmtId="0" fontId="62" fillId="0" borderId="0" xfId="6" applyFont="1" applyBorder="1" applyAlignment="1">
      <alignment horizontal="left"/>
    </xf>
    <xf numFmtId="1" fontId="56" fillId="0" borderId="0" xfId="6" applyNumberFormat="1" applyFont="1" applyBorder="1" applyAlignment="1">
      <alignment horizontal="left"/>
    </xf>
    <xf numFmtId="164" fontId="56" fillId="0" borderId="5" xfId="6" applyNumberFormat="1" applyFont="1" applyBorder="1" applyAlignment="1">
      <alignment horizontal="left"/>
    </xf>
    <xf numFmtId="164" fontId="56" fillId="0" borderId="0" xfId="6" applyNumberFormat="1" applyFont="1" applyBorder="1" applyAlignment="1">
      <alignment horizontal="left"/>
    </xf>
    <xf numFmtId="164" fontId="50" fillId="0" borderId="0" xfId="7" applyNumberFormat="1" applyFont="1" applyBorder="1" applyAlignment="1">
      <alignment horizontal="left" indent="1"/>
    </xf>
    <xf numFmtId="0" fontId="38" fillId="0" borderId="0" xfId="6" applyFont="1" applyAlignment="1">
      <alignment horizontal="center" vertical="top"/>
    </xf>
    <xf numFmtId="0" fontId="37" fillId="0" borderId="0" xfId="6" applyFont="1" applyAlignment="1">
      <alignment horizontal="left" vertical="top"/>
    </xf>
    <xf numFmtId="0" fontId="37" fillId="0" borderId="0" xfId="6" applyFont="1" applyBorder="1" applyAlignment="1">
      <alignment horizontal="left" vertical="top"/>
    </xf>
    <xf numFmtId="0" fontId="37" fillId="0" borderId="7" xfId="6" applyFont="1" applyBorder="1" applyAlignment="1">
      <alignment horizontal="left" vertical="top"/>
    </xf>
    <xf numFmtId="0" fontId="48" fillId="0" borderId="0" xfId="6" applyFont="1" applyAlignment="1">
      <alignment horizontal="left" vertical="top"/>
    </xf>
    <xf numFmtId="0" fontId="37" fillId="0" borderId="5" xfId="6" applyFont="1" applyBorder="1" applyAlignment="1">
      <alignment horizontal="left" vertical="top"/>
    </xf>
    <xf numFmtId="0" fontId="37" fillId="0" borderId="0" xfId="6" applyFont="1" applyFill="1" applyBorder="1" applyAlignment="1">
      <alignment horizontal="left" vertical="top"/>
    </xf>
    <xf numFmtId="0" fontId="50" fillId="0" borderId="14" xfId="6" applyFont="1" applyBorder="1" applyAlignment="1">
      <alignment horizontal="left"/>
    </xf>
    <xf numFmtId="0" fontId="38" fillId="0" borderId="0" xfId="0" applyFont="1" applyAlignment="1">
      <alignment horizontal="left" vertical="top"/>
    </xf>
    <xf numFmtId="0" fontId="37" fillId="0" borderId="11" xfId="0" applyFont="1" applyBorder="1" applyAlignment="1">
      <alignment horizontal="left" vertical="top"/>
    </xf>
    <xf numFmtId="0" fontId="37" fillId="0" borderId="0" xfId="0" applyFont="1" applyBorder="1" applyAlignment="1">
      <alignment horizontal="left" vertical="top"/>
    </xf>
    <xf numFmtId="0" fontId="37" fillId="0" borderId="10" xfId="6" applyFont="1" applyBorder="1" applyAlignment="1">
      <alignment horizontal="left" vertical="top"/>
    </xf>
    <xf numFmtId="0" fontId="37" fillId="0" borderId="15" xfId="6" applyFont="1" applyBorder="1" applyAlignment="1">
      <alignment horizontal="left" vertical="top"/>
    </xf>
    <xf numFmtId="0" fontId="37" fillId="0" borderId="15" xfId="0" applyFont="1" applyBorder="1" applyAlignment="1">
      <alignment horizontal="left" vertical="top"/>
    </xf>
    <xf numFmtId="0" fontId="37" fillId="0" borderId="15" xfId="0" quotePrefix="1" applyFont="1" applyBorder="1"/>
    <xf numFmtId="0" fontId="72" fillId="0" borderId="15" xfId="0" quotePrefix="1" applyFont="1" applyBorder="1"/>
    <xf numFmtId="0" fontId="37" fillId="0" borderId="15" xfId="0" applyFont="1" applyBorder="1"/>
    <xf numFmtId="0" fontId="72" fillId="0" borderId="15" xfId="0" applyFont="1" applyBorder="1"/>
    <xf numFmtId="0" fontId="37" fillId="0" borderId="13" xfId="0" applyFont="1" applyBorder="1" applyAlignment="1">
      <alignment horizontal="left" vertical="top"/>
    </xf>
    <xf numFmtId="0" fontId="37" fillId="0" borderId="14" xfId="0" applyFont="1" applyBorder="1" applyAlignment="1">
      <alignment horizontal="left" vertical="top"/>
    </xf>
    <xf numFmtId="0" fontId="37" fillId="0" borderId="9" xfId="0" applyFont="1" applyBorder="1" applyAlignment="1">
      <alignment horizontal="left" vertical="top"/>
    </xf>
    <xf numFmtId="0" fontId="37" fillId="0" borderId="0" xfId="0" applyFont="1" applyFill="1" applyAlignment="1">
      <alignment horizontal="left" vertical="top"/>
    </xf>
    <xf numFmtId="0" fontId="38" fillId="0" borderId="0" xfId="0" applyFont="1" applyFill="1" applyAlignment="1">
      <alignment horizontal="left" vertical="top"/>
    </xf>
    <xf numFmtId="0" fontId="38" fillId="7" borderId="0" xfId="0" applyFont="1" applyFill="1" applyAlignment="1">
      <alignment horizontal="left" vertical="top"/>
    </xf>
    <xf numFmtId="0" fontId="37" fillId="0" borderId="0" xfId="0" applyFont="1" applyBorder="1"/>
    <xf numFmtId="0" fontId="37" fillId="0" borderId="2" xfId="0" applyFont="1" applyBorder="1"/>
    <xf numFmtId="0" fontId="37" fillId="0" borderId="1" xfId="0" applyFont="1" applyBorder="1"/>
    <xf numFmtId="0" fontId="37" fillId="0" borderId="4" xfId="0" applyFont="1" applyBorder="1"/>
    <xf numFmtId="0" fontId="37" fillId="0" borderId="0" xfId="0" applyFont="1" applyFill="1" applyBorder="1"/>
    <xf numFmtId="0" fontId="37" fillId="0" borderId="13" xfId="0" applyFont="1" applyBorder="1"/>
    <xf numFmtId="9" fontId="38" fillId="0" borderId="16" xfId="0" applyNumberFormat="1" applyFont="1" applyBorder="1" applyAlignment="1">
      <alignment horizontal="left" vertical="top"/>
    </xf>
    <xf numFmtId="0" fontId="38" fillId="6" borderId="0" xfId="0" applyFont="1" applyFill="1" applyAlignment="1">
      <alignment horizontal="left" vertical="top"/>
    </xf>
    <xf numFmtId="9" fontId="37" fillId="0" borderId="11" xfId="0" applyNumberFormat="1" applyFont="1" applyBorder="1" applyAlignment="1">
      <alignment horizontal="left" vertical="top"/>
    </xf>
    <xf numFmtId="9" fontId="37" fillId="0" borderId="16" xfId="0" applyNumberFormat="1" applyFont="1" applyBorder="1" applyAlignment="1">
      <alignment horizontal="left" vertical="top"/>
    </xf>
    <xf numFmtId="0" fontId="37" fillId="0" borderId="0" xfId="0" applyFont="1" applyFill="1" applyBorder="1" applyAlignment="1">
      <alignment horizontal="left"/>
    </xf>
    <xf numFmtId="0" fontId="37" fillId="0" borderId="14" xfId="6" applyFont="1" applyBorder="1" applyAlignment="1">
      <alignment horizontal="left" vertical="top"/>
    </xf>
    <xf numFmtId="0" fontId="37" fillId="0" borderId="5" xfId="0" applyFont="1" applyBorder="1" applyAlignment="1">
      <alignment horizontal="left" vertical="top"/>
    </xf>
    <xf numFmtId="9" fontId="37" fillId="0" borderId="5" xfId="0" applyNumberFormat="1" applyFont="1" applyBorder="1" applyAlignment="1">
      <alignment horizontal="left" vertical="top"/>
    </xf>
    <xf numFmtId="0" fontId="37" fillId="0" borderId="0" xfId="0" applyFont="1" applyFill="1" applyBorder="1" applyAlignment="1">
      <alignment horizontal="left" vertical="top"/>
    </xf>
    <xf numFmtId="0" fontId="77" fillId="8" borderId="0" xfId="0" applyFont="1" applyFill="1" applyAlignment="1">
      <alignment horizontal="left" vertical="top"/>
    </xf>
    <xf numFmtId="0" fontId="79" fillId="0" borderId="0" xfId="0" applyFont="1" applyAlignment="1">
      <alignment horizontal="left" vertical="top"/>
    </xf>
    <xf numFmtId="1" fontId="37" fillId="0" borderId="12" xfId="0" applyNumberFormat="1" applyFont="1" applyBorder="1" applyAlignment="1">
      <alignment horizontal="left" vertical="top" wrapText="1"/>
    </xf>
    <xf numFmtId="165" fontId="37" fillId="0" borderId="14" xfId="3" applyNumberFormat="1" applyFont="1" applyBorder="1" applyAlignment="1">
      <alignment horizontal="left" vertical="top"/>
    </xf>
    <xf numFmtId="165" fontId="37" fillId="0" borderId="0" xfId="3" applyNumberFormat="1" applyFont="1" applyBorder="1" applyAlignment="1">
      <alignment horizontal="left" vertical="top"/>
    </xf>
    <xf numFmtId="165" fontId="37" fillId="0" borderId="15" xfId="3" applyNumberFormat="1" applyFont="1" applyBorder="1" applyAlignment="1">
      <alignment horizontal="left" vertical="top"/>
    </xf>
    <xf numFmtId="1" fontId="37" fillId="0" borderId="11" xfId="0" applyNumberFormat="1" applyFont="1" applyBorder="1" applyAlignment="1">
      <alignment horizontal="left" vertical="top"/>
    </xf>
    <xf numFmtId="9" fontId="37" fillId="0" borderId="0" xfId="0" applyNumberFormat="1" applyFont="1" applyBorder="1" applyAlignment="1">
      <alignment horizontal="left" vertical="top"/>
    </xf>
    <xf numFmtId="1" fontId="37" fillId="0" borderId="18" xfId="0" applyNumberFormat="1" applyFont="1" applyBorder="1" applyAlignment="1">
      <alignment horizontal="left" vertical="top"/>
    </xf>
    <xf numFmtId="1" fontId="37" fillId="0" borderId="0" xfId="0" applyNumberFormat="1" applyFont="1" applyFill="1" applyAlignment="1">
      <alignment horizontal="left" vertical="top"/>
    </xf>
    <xf numFmtId="165" fontId="37" fillId="0" borderId="0" xfId="3" applyNumberFormat="1" applyFont="1" applyAlignment="1">
      <alignment horizontal="left" vertical="top"/>
    </xf>
    <xf numFmtId="1" fontId="37" fillId="0" borderId="13" xfId="0" applyNumberFormat="1" applyFont="1" applyBorder="1" applyAlignment="1">
      <alignment horizontal="left" vertical="top"/>
    </xf>
    <xf numFmtId="9" fontId="37" fillId="0" borderId="14" xfId="0" applyNumberFormat="1" applyFont="1" applyBorder="1" applyAlignment="1">
      <alignment horizontal="left" vertical="top"/>
    </xf>
    <xf numFmtId="1" fontId="37" fillId="0" borderId="19" xfId="0" applyNumberFormat="1" applyFont="1" applyBorder="1" applyAlignment="1">
      <alignment horizontal="left" vertical="top"/>
    </xf>
    <xf numFmtId="9" fontId="38" fillId="0" borderId="17" xfId="0" applyNumberFormat="1" applyFont="1" applyBorder="1" applyAlignment="1">
      <alignment horizontal="left" vertical="top"/>
    </xf>
    <xf numFmtId="0" fontId="75" fillId="0" borderId="0" xfId="6" applyFont="1" applyAlignment="1">
      <alignment horizontal="right" vertical="top"/>
    </xf>
    <xf numFmtId="0" fontId="75" fillId="0" borderId="0" xfId="0" applyFont="1" applyAlignment="1">
      <alignment horizontal="left"/>
    </xf>
    <xf numFmtId="1" fontId="75" fillId="0" borderId="0" xfId="0" applyNumberFormat="1" applyFont="1" applyAlignment="1">
      <alignment horizontal="left"/>
    </xf>
    <xf numFmtId="1" fontId="80" fillId="0" borderId="0" xfId="0" applyNumberFormat="1" applyFont="1" applyAlignment="1">
      <alignment horizontal="left"/>
    </xf>
    <xf numFmtId="164" fontId="75" fillId="0" borderId="0" xfId="0" applyNumberFormat="1" applyFont="1" applyAlignment="1">
      <alignment horizontal="left"/>
    </xf>
    <xf numFmtId="164" fontId="80" fillId="0" borderId="0" xfId="0" applyNumberFormat="1" applyFont="1" applyAlignment="1">
      <alignment horizontal="left"/>
    </xf>
    <xf numFmtId="164" fontId="37" fillId="0" borderId="16" xfId="0" applyNumberFormat="1" applyFont="1" applyBorder="1" applyAlignment="1">
      <alignment horizontal="left" vertical="top"/>
    </xf>
    <xf numFmtId="164" fontId="37" fillId="0" borderId="11" xfId="0" applyNumberFormat="1" applyFont="1" applyBorder="1" applyAlignment="1">
      <alignment horizontal="left" vertical="top"/>
    </xf>
    <xf numFmtId="0" fontId="37" fillId="0" borderId="0" xfId="0" quotePrefix="1" applyFont="1" applyAlignment="1">
      <alignment horizontal="left" vertical="top"/>
    </xf>
    <xf numFmtId="0" fontId="37" fillId="0" borderId="12" xfId="0" applyFont="1" applyFill="1" applyBorder="1" applyAlignment="1">
      <alignment horizontal="left" vertical="top"/>
    </xf>
    <xf numFmtId="0" fontId="37" fillId="0" borderId="5" xfId="0" applyFont="1" applyFill="1" applyBorder="1" applyAlignment="1">
      <alignment horizontal="left" vertical="top"/>
    </xf>
    <xf numFmtId="164" fontId="37" fillId="0" borderId="0" xfId="0" applyNumberFormat="1" applyFont="1" applyAlignment="1">
      <alignment horizontal="left" vertical="top"/>
    </xf>
    <xf numFmtId="0" fontId="0" fillId="0" borderId="14" xfId="0" applyBorder="1"/>
    <xf numFmtId="0" fontId="0" fillId="0" borderId="9" xfId="0" applyBorder="1"/>
    <xf numFmtId="0" fontId="56" fillId="0" borderId="0" xfId="6" applyFont="1" applyBorder="1" applyAlignment="1">
      <alignment horizontal="right"/>
    </xf>
    <xf numFmtId="0" fontId="82" fillId="0" borderId="0" xfId="6" applyFont="1" applyBorder="1" applyAlignment="1">
      <alignment horizontal="left"/>
    </xf>
    <xf numFmtId="9" fontId="82" fillId="0" borderId="0" xfId="3" applyFont="1" applyBorder="1" applyAlignment="1">
      <alignment horizontal="left"/>
    </xf>
    <xf numFmtId="14" fontId="60" fillId="0" borderId="0" xfId="0" applyNumberFormat="1" applyFont="1" applyAlignment="1">
      <alignment horizontal="left"/>
    </xf>
    <xf numFmtId="0" fontId="37" fillId="0" borderId="6" xfId="0" applyFont="1" applyBorder="1" applyAlignment="1">
      <alignment horizontal="left" vertical="top"/>
    </xf>
    <xf numFmtId="0" fontId="37" fillId="0" borderId="0" xfId="0" applyFont="1" applyAlignment="1">
      <alignment horizontal="right" vertical="top"/>
    </xf>
    <xf numFmtId="0" fontId="73" fillId="0" borderId="0" xfId="0" applyFont="1" applyAlignment="1">
      <alignment horizontal="left"/>
    </xf>
    <xf numFmtId="9" fontId="73" fillId="0" borderId="0" xfId="3" applyFont="1" applyAlignment="1">
      <alignment horizontal="left"/>
    </xf>
    <xf numFmtId="0" fontId="37" fillId="0" borderId="0" xfId="0" quotePrefix="1" applyFont="1" applyBorder="1"/>
    <xf numFmtId="0" fontId="37" fillId="0" borderId="0" xfId="0" applyFont="1" applyFill="1"/>
    <xf numFmtId="0" fontId="37" fillId="0" borderId="0" xfId="0" applyFont="1" applyAlignment="1">
      <alignment horizontal="center" vertical="top"/>
    </xf>
    <xf numFmtId="9" fontId="37" fillId="0" borderId="0" xfId="0" applyNumberFormat="1" applyFont="1" applyAlignment="1">
      <alignment horizontal="left" vertical="top"/>
    </xf>
    <xf numFmtId="9" fontId="37" fillId="0" borderId="0" xfId="3" applyFont="1" applyBorder="1" applyAlignment="1">
      <alignment horizontal="left" vertical="top"/>
    </xf>
    <xf numFmtId="0" fontId="35" fillId="0" borderId="0" xfId="6" applyFont="1" applyBorder="1" applyAlignment="1">
      <alignment horizontal="left" vertical="top"/>
    </xf>
    <xf numFmtId="0" fontId="35" fillId="0" borderId="0" xfId="6" applyFont="1" applyAlignment="1">
      <alignment horizontal="left" vertical="top"/>
    </xf>
    <xf numFmtId="1" fontId="37" fillId="0" borderId="0" xfId="0" applyNumberFormat="1" applyFont="1" applyAlignment="1">
      <alignment horizontal="left" vertical="top"/>
    </xf>
    <xf numFmtId="9" fontId="37" fillId="0" borderId="0" xfId="3" applyFont="1" applyAlignment="1">
      <alignment horizontal="left" vertical="top"/>
    </xf>
    <xf numFmtId="0" fontId="35" fillId="0" borderId="0" xfId="6" applyFont="1" applyFill="1" applyBorder="1" applyAlignment="1">
      <alignment horizontal="left" vertical="top"/>
    </xf>
    <xf numFmtId="0" fontId="37" fillId="0" borderId="8" xfId="0" applyFont="1" applyBorder="1" applyAlignment="1">
      <alignment horizontal="left" vertical="top"/>
    </xf>
    <xf numFmtId="164" fontId="37" fillId="0" borderId="13" xfId="0" applyNumberFormat="1" applyFont="1" applyBorder="1" applyAlignment="1">
      <alignment horizontal="left" vertical="top"/>
    </xf>
    <xf numFmtId="164" fontId="37" fillId="0" borderId="17" xfId="0" applyNumberFormat="1" applyFont="1" applyBorder="1" applyAlignment="1">
      <alignment horizontal="left" vertical="top"/>
    </xf>
    <xf numFmtId="9" fontId="37" fillId="0" borderId="13" xfId="0" applyNumberFormat="1" applyFont="1" applyBorder="1" applyAlignment="1">
      <alignment horizontal="left" vertical="top"/>
    </xf>
    <xf numFmtId="9" fontId="37" fillId="0" borderId="14" xfId="3" applyFont="1" applyBorder="1" applyAlignment="1">
      <alignment horizontal="left" vertical="top"/>
    </xf>
    <xf numFmtId="0" fontId="35" fillId="0" borderId="0" xfId="6" applyFont="1" applyAlignment="1">
      <alignment horizontal="left" vertical="top" wrapText="1"/>
    </xf>
    <xf numFmtId="0" fontId="35" fillId="0" borderId="0" xfId="6" applyFont="1" applyAlignment="1">
      <alignment horizontal="left"/>
    </xf>
    <xf numFmtId="0" fontId="35" fillId="0" borderId="7" xfId="6" applyFont="1" applyBorder="1" applyAlignment="1">
      <alignment horizontal="left" vertical="top"/>
    </xf>
    <xf numFmtId="0" fontId="35" fillId="0" borderId="0" xfId="6" applyFont="1" applyAlignment="1">
      <alignment horizontal="center" vertical="top"/>
    </xf>
    <xf numFmtId="0" fontId="35" fillId="0" borderId="0" xfId="6" applyFont="1" applyFill="1" applyAlignment="1">
      <alignment horizontal="left" vertical="top"/>
    </xf>
    <xf numFmtId="1" fontId="37" fillId="0" borderId="0" xfId="0" applyNumberFormat="1" applyFont="1" applyAlignment="1">
      <alignment horizontal="left"/>
    </xf>
    <xf numFmtId="164" fontId="37" fillId="0" borderId="0" xfId="0" applyNumberFormat="1" applyFont="1" applyAlignment="1">
      <alignment horizontal="left"/>
    </xf>
    <xf numFmtId="0" fontId="35" fillId="0" borderId="0" xfId="6" applyFont="1" applyFill="1" applyAlignment="1">
      <alignment horizontal="left"/>
    </xf>
    <xf numFmtId="0" fontId="35" fillId="0" borderId="5" xfId="6" applyFont="1" applyBorder="1" applyAlignment="1">
      <alignment horizontal="left"/>
    </xf>
    <xf numFmtId="0" fontId="35" fillId="0" borderId="0" xfId="6" applyFont="1" applyBorder="1" applyAlignment="1">
      <alignment horizontal="left"/>
    </xf>
    <xf numFmtId="0" fontId="35" fillId="0" borderId="14" xfId="6" applyFont="1" applyBorder="1" applyAlignment="1">
      <alignment horizontal="left"/>
    </xf>
    <xf numFmtId="0" fontId="75" fillId="0" borderId="0" xfId="0" applyFont="1"/>
    <xf numFmtId="9" fontId="69" fillId="0" borderId="0" xfId="3" applyFont="1" applyAlignment="1">
      <alignment horizontal="left"/>
    </xf>
    <xf numFmtId="164" fontId="57" fillId="0" borderId="0" xfId="0" applyNumberFormat="1" applyFont="1" applyFill="1" applyAlignment="1">
      <alignment horizontal="left"/>
    </xf>
    <xf numFmtId="0" fontId="37" fillId="0" borderId="0" xfId="0" applyFont="1" applyFill="1" applyAlignment="1">
      <alignment horizontal="left"/>
    </xf>
    <xf numFmtId="1" fontId="57" fillId="0" borderId="0" xfId="0" applyNumberFormat="1" applyFont="1" applyFill="1" applyAlignment="1">
      <alignment horizontal="left"/>
    </xf>
    <xf numFmtId="0" fontId="41" fillId="0" borderId="0" xfId="0" applyFont="1" applyFill="1" applyAlignment="1">
      <alignment horizontal="left"/>
    </xf>
    <xf numFmtId="0" fontId="33" fillId="0" borderId="5" xfId="6" applyFont="1" applyBorder="1" applyAlignment="1">
      <alignment horizontal="left"/>
    </xf>
    <xf numFmtId="0" fontId="33" fillId="0" borderId="0" xfId="6" applyFont="1" applyBorder="1" applyAlignment="1">
      <alignment horizontal="left"/>
    </xf>
    <xf numFmtId="0" fontId="33" fillId="0" borderId="0" xfId="6" applyFont="1" applyBorder="1" applyAlignment="1">
      <alignment horizontal="right"/>
    </xf>
    <xf numFmtId="0" fontId="50" fillId="0" borderId="0" xfId="6" applyFont="1" applyBorder="1" applyAlignment="1">
      <alignment horizontal="right"/>
    </xf>
    <xf numFmtId="0" fontId="58" fillId="0" borderId="0" xfId="6" applyFont="1" applyBorder="1" applyAlignment="1">
      <alignment horizontal="left"/>
    </xf>
    <xf numFmtId="0" fontId="65" fillId="0" borderId="0" xfId="6" applyFont="1" applyBorder="1" applyAlignment="1">
      <alignment horizontal="left"/>
    </xf>
    <xf numFmtId="0" fontId="58" fillId="0" borderId="5" xfId="6" applyFont="1" applyBorder="1" applyAlignment="1">
      <alignment horizontal="left"/>
    </xf>
    <xf numFmtId="0" fontId="41" fillId="0" borderId="0" xfId="6" applyFont="1" applyBorder="1" applyAlignment="1">
      <alignment horizontal="left" vertical="top"/>
    </xf>
    <xf numFmtId="0" fontId="41" fillId="0" borderId="0" xfId="0" applyFont="1"/>
    <xf numFmtId="1" fontId="37" fillId="0" borderId="11" xfId="0" applyNumberFormat="1" applyFont="1" applyBorder="1" applyAlignment="1">
      <alignment horizontal="left"/>
    </xf>
    <xf numFmtId="1" fontId="57" fillId="0" borderId="11" xfId="0" applyNumberFormat="1" applyFont="1" applyBorder="1" applyAlignment="1">
      <alignment horizontal="left"/>
    </xf>
    <xf numFmtId="1" fontId="75" fillId="0" borderId="11" xfId="0" applyNumberFormat="1" applyFont="1" applyBorder="1" applyAlignment="1">
      <alignment horizontal="left"/>
    </xf>
    <xf numFmtId="14" fontId="37" fillId="0" borderId="0" xfId="0" applyNumberFormat="1" applyFont="1" applyFill="1" applyBorder="1" applyAlignment="1">
      <alignment horizontal="left"/>
    </xf>
    <xf numFmtId="0" fontId="41" fillId="0" borderId="0" xfId="0" applyFont="1" applyFill="1" applyBorder="1" applyAlignment="1">
      <alignment horizontal="left"/>
    </xf>
    <xf numFmtId="0" fontId="50" fillId="0" borderId="0" xfId="0" applyFont="1" applyFill="1" applyBorder="1" applyAlignment="1">
      <alignment horizontal="left"/>
    </xf>
    <xf numFmtId="14" fontId="50" fillId="0" borderId="0" xfId="0" applyNumberFormat="1" applyFont="1" applyFill="1" applyBorder="1" applyAlignment="1">
      <alignment horizontal="left"/>
    </xf>
    <xf numFmtId="1" fontId="37" fillId="0" borderId="0" xfId="0" applyNumberFormat="1" applyFont="1" applyFill="1" applyBorder="1" applyAlignment="1">
      <alignment horizontal="left"/>
    </xf>
    <xf numFmtId="1" fontId="41" fillId="0" borderId="0" xfId="0" applyNumberFormat="1" applyFont="1" applyFill="1" applyBorder="1" applyAlignment="1">
      <alignment horizontal="left"/>
    </xf>
    <xf numFmtId="168" fontId="89" fillId="10" borderId="3" xfId="14" applyNumberFormat="1" applyFont="1" applyFill="1" applyBorder="1"/>
    <xf numFmtId="0" fontId="89" fillId="0" borderId="3" xfId="0" applyFont="1" applyBorder="1" applyAlignment="1">
      <alignment horizontal="center"/>
    </xf>
    <xf numFmtId="10" fontId="89" fillId="10" borderId="24" xfId="0" applyNumberFormat="1" applyFont="1" applyFill="1" applyBorder="1" applyAlignment="1">
      <alignment horizontal="center"/>
    </xf>
    <xf numFmtId="168" fontId="88" fillId="0" borderId="0" xfId="14" applyNumberFormat="1" applyFont="1" applyBorder="1"/>
    <xf numFmtId="0" fontId="89" fillId="2" borderId="3" xfId="0" applyFont="1" applyFill="1" applyBorder="1" applyAlignment="1">
      <alignment horizontal="center"/>
    </xf>
    <xf numFmtId="0" fontId="89" fillId="0" borderId="3" xfId="0" applyFont="1" applyBorder="1"/>
    <xf numFmtId="168" fontId="89" fillId="2" borderId="3" xfId="0" applyNumberFormat="1" applyFont="1" applyFill="1" applyBorder="1"/>
    <xf numFmtId="168" fontId="89" fillId="2" borderId="3" xfId="14" applyNumberFormat="1" applyFont="1" applyFill="1" applyBorder="1"/>
    <xf numFmtId="0" fontId="89" fillId="0" borderId="2" xfId="0" applyFont="1" applyBorder="1"/>
    <xf numFmtId="168" fontId="89" fillId="2" borderId="2" xfId="0" applyNumberFormat="1" applyFont="1" applyFill="1" applyBorder="1"/>
    <xf numFmtId="168" fontId="89" fillId="2" borderId="2" xfId="14" applyNumberFormat="1" applyFont="1" applyFill="1" applyBorder="1"/>
    <xf numFmtId="0" fontId="89" fillId="0" borderId="24" xfId="0" applyFont="1" applyBorder="1"/>
    <xf numFmtId="168" fontId="89" fillId="2" borderId="24" xfId="0" applyNumberFormat="1" applyFont="1" applyFill="1" applyBorder="1"/>
    <xf numFmtId="168" fontId="89" fillId="2" borderId="25" xfId="0" applyNumberFormat="1" applyFont="1" applyFill="1" applyBorder="1"/>
    <xf numFmtId="169" fontId="0" fillId="0" borderId="3" xfId="0" applyNumberFormat="1" applyBorder="1"/>
    <xf numFmtId="0" fontId="87" fillId="0" borderId="11" xfId="0" applyFont="1" applyBorder="1" applyAlignment="1">
      <alignment horizontal="centerContinuous"/>
    </xf>
    <xf numFmtId="0" fontId="87" fillId="0" borderId="0" xfId="0" applyFont="1" applyBorder="1" applyAlignment="1">
      <alignment horizontal="centerContinuous"/>
    </xf>
    <xf numFmtId="0" fontId="88" fillId="0" borderId="11" xfId="0" applyFont="1" applyBorder="1"/>
    <xf numFmtId="0" fontId="88" fillId="0" borderId="0" xfId="0" applyFont="1" applyBorder="1"/>
    <xf numFmtId="0" fontId="89" fillId="0" borderId="11" xfId="0" applyFont="1" applyBorder="1"/>
    <xf numFmtId="0" fontId="89" fillId="0" borderId="0" xfId="0" applyFont="1" applyBorder="1"/>
    <xf numFmtId="0" fontId="90" fillId="0" borderId="11" xfId="0" applyFont="1" applyBorder="1"/>
    <xf numFmtId="0" fontId="90" fillId="0" borderId="0" xfId="0" applyFont="1" applyBorder="1"/>
    <xf numFmtId="0" fontId="90" fillId="0" borderId="15" xfId="0" applyFont="1" applyBorder="1"/>
    <xf numFmtId="0" fontId="89" fillId="0" borderId="15" xfId="0" applyFont="1" applyBorder="1"/>
    <xf numFmtId="0" fontId="88" fillId="0" borderId="15" xfId="0" applyFont="1" applyBorder="1"/>
    <xf numFmtId="0" fontId="89" fillId="0" borderId="26" xfId="0" applyFont="1" applyBorder="1"/>
    <xf numFmtId="169" fontId="0" fillId="0" borderId="0" xfId="0" applyNumberFormat="1" applyBorder="1"/>
    <xf numFmtId="0" fontId="0" fillId="0" borderId="13" xfId="0" applyBorder="1"/>
    <xf numFmtId="0" fontId="77" fillId="0" borderId="0" xfId="0" applyFont="1" applyFill="1" applyAlignment="1">
      <alignment horizontal="left" vertical="top"/>
    </xf>
    <xf numFmtId="0" fontId="36" fillId="0" borderId="0" xfId="6" applyFill="1" applyBorder="1" applyAlignment="1">
      <alignment horizontal="left" vertical="top"/>
    </xf>
    <xf numFmtId="0" fontId="0" fillId="0" borderId="0" xfId="0" applyFill="1" applyAlignment="1">
      <alignment horizontal="left"/>
    </xf>
    <xf numFmtId="14" fontId="37" fillId="0" borderId="0" xfId="0" applyNumberFormat="1" applyFont="1" applyFill="1" applyAlignment="1">
      <alignment horizontal="left"/>
    </xf>
    <xf numFmtId="9" fontId="38" fillId="0" borderId="0" xfId="6" applyNumberFormat="1" applyFont="1" applyFill="1" applyBorder="1" applyAlignment="1">
      <alignment horizontal="center" vertical="top"/>
    </xf>
    <xf numFmtId="0" fontId="38" fillId="0" borderId="14" xfId="0" applyFont="1" applyBorder="1"/>
    <xf numFmtId="166" fontId="37" fillId="0" borderId="0" xfId="0" applyNumberFormat="1" applyFont="1" applyAlignment="1">
      <alignment horizontal="left"/>
    </xf>
    <xf numFmtId="166" fontId="37" fillId="4" borderId="0" xfId="0" applyNumberFormat="1" applyFont="1" applyFill="1" applyAlignment="1">
      <alignment horizontal="left" vertical="top" wrapText="1"/>
    </xf>
    <xf numFmtId="166" fontId="75" fillId="4" borderId="0" xfId="0" applyNumberFormat="1" applyFont="1" applyFill="1" applyAlignment="1">
      <alignment horizontal="left" vertical="top" wrapText="1"/>
    </xf>
    <xf numFmtId="166" fontId="75" fillId="0" borderId="0" xfId="0" applyNumberFormat="1" applyFont="1" applyAlignment="1">
      <alignment horizontal="left"/>
    </xf>
    <xf numFmtId="0" fontId="48" fillId="0" borderId="0" xfId="0" applyFont="1" applyAlignment="1">
      <alignment horizontal="left"/>
    </xf>
    <xf numFmtId="9" fontId="48" fillId="0" borderId="0" xfId="0" applyNumberFormat="1" applyFont="1" applyAlignment="1">
      <alignment horizontal="left"/>
    </xf>
    <xf numFmtId="0" fontId="51" fillId="0" borderId="0" xfId="0" applyFont="1" applyAlignment="1">
      <alignment horizontal="left"/>
    </xf>
    <xf numFmtId="1" fontId="37" fillId="0" borderId="0" xfId="0" applyNumberFormat="1" applyFont="1" applyBorder="1" applyAlignment="1">
      <alignment horizontal="left" vertical="top"/>
    </xf>
    <xf numFmtId="164" fontId="37" fillId="0" borderId="0" xfId="0" applyNumberFormat="1" applyFont="1" applyBorder="1" applyAlignment="1">
      <alignment horizontal="left" vertical="top"/>
    </xf>
    <xf numFmtId="9" fontId="0" fillId="0" borderId="0" xfId="3" applyFont="1" applyFill="1" applyAlignment="1">
      <alignment horizontal="left"/>
    </xf>
    <xf numFmtId="0" fontId="48" fillId="0" borderId="0" xfId="6" applyFont="1" applyFill="1" applyAlignment="1">
      <alignment horizontal="left"/>
    </xf>
    <xf numFmtId="0" fontId="49" fillId="0" borderId="0" xfId="6" applyFont="1" applyFill="1" applyBorder="1" applyAlignment="1">
      <alignment horizontal="left" vertical="top"/>
    </xf>
    <xf numFmtId="0" fontId="38" fillId="0" borderId="0" xfId="6" applyFont="1" applyFill="1" applyBorder="1" applyAlignment="1">
      <alignment horizontal="center" vertical="top" wrapText="1"/>
    </xf>
    <xf numFmtId="0" fontId="37" fillId="0" borderId="0" xfId="6" applyFont="1" applyFill="1" applyBorder="1" applyAlignment="1">
      <alignment horizontal="center" vertical="top" wrapText="1"/>
    </xf>
    <xf numFmtId="9" fontId="38" fillId="0" borderId="3" xfId="6" applyNumberFormat="1" applyFont="1" applyFill="1" applyBorder="1" applyAlignment="1">
      <alignment horizontal="center" vertical="top"/>
    </xf>
    <xf numFmtId="9" fontId="45" fillId="0" borderId="3" xfId="6" applyNumberFormat="1" applyFont="1" applyFill="1" applyBorder="1" applyAlignment="1">
      <alignment horizontal="center" vertical="top"/>
    </xf>
    <xf numFmtId="0" fontId="32" fillId="0" borderId="0" xfId="6" applyFont="1" applyBorder="1" applyAlignment="1">
      <alignment horizontal="left"/>
    </xf>
    <xf numFmtId="9" fontId="37" fillId="0" borderId="0" xfId="7" applyFont="1" applyBorder="1" applyAlignment="1">
      <alignment horizontal="left"/>
    </xf>
    <xf numFmtId="9" fontId="37" fillId="0" borderId="0" xfId="3" applyFont="1" applyBorder="1" applyAlignment="1">
      <alignment horizontal="left"/>
    </xf>
    <xf numFmtId="0" fontId="32" fillId="0" borderId="5" xfId="6" applyFont="1" applyBorder="1" applyAlignment="1">
      <alignment horizontal="left"/>
    </xf>
    <xf numFmtId="1" fontId="50" fillId="0" borderId="0" xfId="6" applyNumberFormat="1" applyFont="1" applyBorder="1" applyAlignment="1">
      <alignment horizontal="right"/>
    </xf>
    <xf numFmtId="0" fontId="31" fillId="0" borderId="7" xfId="6" applyFont="1" applyBorder="1" applyAlignment="1">
      <alignment horizontal="left" vertical="top" wrapText="1"/>
    </xf>
    <xf numFmtId="0" fontId="50" fillId="0" borderId="5" xfId="0" applyFont="1" applyFill="1" applyBorder="1" applyAlignment="1">
      <alignment horizontal="left" vertical="center"/>
    </xf>
    <xf numFmtId="0" fontId="49" fillId="0" borderId="14" xfId="6" applyFont="1" applyBorder="1" applyAlignment="1">
      <alignment horizontal="left"/>
    </xf>
    <xf numFmtId="0" fontId="49" fillId="0" borderId="0" xfId="6" applyFont="1" applyFill="1"/>
    <xf numFmtId="9" fontId="56" fillId="0" borderId="0" xfId="3" applyFont="1" applyBorder="1" applyAlignment="1">
      <alignment horizontal="left"/>
    </xf>
    <xf numFmtId="9" fontId="37" fillId="0" borderId="3" xfId="6" applyNumberFormat="1" applyFont="1" applyBorder="1" applyAlignment="1">
      <alignment horizontal="left" vertical="top"/>
    </xf>
    <xf numFmtId="0" fontId="37" fillId="0" borderId="7" xfId="6" applyFont="1" applyBorder="1" applyAlignment="1">
      <alignment horizontal="left" vertical="top" wrapText="1"/>
    </xf>
    <xf numFmtId="0" fontId="30" fillId="0" borderId="5" xfId="6" applyFont="1" applyBorder="1" applyAlignment="1">
      <alignment horizontal="left"/>
    </xf>
    <xf numFmtId="0" fontId="50" fillId="0" borderId="5" xfId="6" applyFont="1" applyBorder="1" applyAlignment="1">
      <alignment horizontal="right"/>
    </xf>
    <xf numFmtId="0" fontId="30" fillId="0" borderId="0" xfId="6" applyFont="1" applyBorder="1" applyAlignment="1">
      <alignment horizontal="left"/>
    </xf>
    <xf numFmtId="0" fontId="35" fillId="0" borderId="22" xfId="6" applyFont="1" applyFill="1" applyBorder="1" applyAlignment="1">
      <alignment horizontal="left"/>
    </xf>
    <xf numFmtId="0" fontId="35" fillId="0" borderId="22" xfId="6" applyFont="1" applyBorder="1" applyAlignment="1">
      <alignment horizontal="left"/>
    </xf>
    <xf numFmtId="0" fontId="49" fillId="0" borderId="22" xfId="6" applyFont="1" applyBorder="1" applyAlignment="1">
      <alignment horizontal="left"/>
    </xf>
    <xf numFmtId="0" fontId="49" fillId="0" borderId="28" xfId="6" applyFont="1" applyBorder="1" applyAlignment="1">
      <alignment horizontal="left"/>
    </xf>
    <xf numFmtId="0" fontId="35" fillId="0" borderId="29" xfId="6" applyFont="1" applyBorder="1" applyAlignment="1">
      <alignment horizontal="left"/>
    </xf>
    <xf numFmtId="2" fontId="35" fillId="0" borderId="29" xfId="6" applyNumberFormat="1" applyFont="1" applyBorder="1" applyAlignment="1">
      <alignment horizontal="left"/>
    </xf>
    <xf numFmtId="2" fontId="35" fillId="0" borderId="22" xfId="6" applyNumberFormat="1" applyFont="1" applyBorder="1" applyAlignment="1">
      <alignment horizontal="left"/>
    </xf>
    <xf numFmtId="9" fontId="50" fillId="0" borderId="22" xfId="3" applyFont="1" applyBorder="1" applyAlignment="1">
      <alignment horizontal="left"/>
    </xf>
    <xf numFmtId="0" fontId="50" fillId="0" borderId="8" xfId="6" applyFont="1" applyFill="1" applyBorder="1" applyAlignment="1">
      <alignment horizontal="left"/>
    </xf>
    <xf numFmtId="0" fontId="50" fillId="0" borderId="22" xfId="6" applyFont="1" applyFill="1" applyBorder="1" applyAlignment="1">
      <alignment horizontal="left"/>
    </xf>
    <xf numFmtId="0" fontId="50" fillId="0" borderId="22" xfId="6" applyFont="1" applyBorder="1" applyAlignment="1">
      <alignment horizontal="left"/>
    </xf>
    <xf numFmtId="0" fontId="41" fillId="0" borderId="22" xfId="6" applyFont="1" applyBorder="1" applyAlignment="1">
      <alignment horizontal="left"/>
    </xf>
    <xf numFmtId="0" fontId="59" fillId="0" borderId="22" xfId="6" applyFont="1" applyBorder="1" applyAlignment="1">
      <alignment horizontal="left"/>
    </xf>
    <xf numFmtId="0" fontId="50" fillId="0" borderId="28" xfId="6" applyFont="1" applyBorder="1" applyAlignment="1">
      <alignment horizontal="left"/>
    </xf>
    <xf numFmtId="0" fontId="50" fillId="0" borderId="29" xfId="6" applyFont="1" applyBorder="1" applyAlignment="1">
      <alignment horizontal="left"/>
    </xf>
    <xf numFmtId="9" fontId="50" fillId="0" borderId="22" xfId="7" applyFont="1" applyBorder="1" applyAlignment="1">
      <alignment horizontal="left"/>
    </xf>
    <xf numFmtId="2" fontId="50" fillId="0" borderId="22" xfId="6" applyNumberFormat="1" applyFont="1" applyBorder="1" applyAlignment="1">
      <alignment horizontal="left"/>
    </xf>
    <xf numFmtId="1" fontId="50" fillId="0" borderId="22" xfId="6" applyNumberFormat="1" applyFont="1" applyBorder="1" applyAlignment="1">
      <alignment horizontal="left"/>
    </xf>
    <xf numFmtId="1" fontId="50" fillId="0" borderId="29" xfId="6" applyNumberFormat="1" applyFont="1" applyBorder="1" applyAlignment="1">
      <alignment horizontal="left"/>
    </xf>
    <xf numFmtId="9" fontId="82" fillId="0" borderId="22" xfId="3" applyFont="1" applyBorder="1" applyAlignment="1">
      <alignment horizontal="left"/>
    </xf>
    <xf numFmtId="0" fontId="60" fillId="0" borderId="29" xfId="6" applyFont="1" applyBorder="1" applyAlignment="1">
      <alignment horizontal="left"/>
    </xf>
    <xf numFmtId="9" fontId="50" fillId="0" borderId="29" xfId="7" applyFont="1" applyBorder="1" applyAlignment="1">
      <alignment horizontal="left" indent="1"/>
    </xf>
    <xf numFmtId="9" fontId="50" fillId="0" borderId="22" xfId="7" applyFont="1" applyBorder="1" applyAlignment="1">
      <alignment horizontal="left" indent="1"/>
    </xf>
    <xf numFmtId="0" fontId="60" fillId="0" borderId="22" xfId="6" applyFont="1" applyBorder="1" applyAlignment="1">
      <alignment horizontal="left"/>
    </xf>
    <xf numFmtId="164" fontId="50" fillId="0" borderId="27" xfId="6" applyNumberFormat="1" applyFont="1" applyBorder="1" applyAlignment="1">
      <alignment horizontal="left"/>
    </xf>
    <xf numFmtId="164" fontId="50" fillId="0" borderId="22" xfId="6" applyNumberFormat="1" applyFont="1" applyBorder="1" applyAlignment="1">
      <alignment horizontal="left" indent="1"/>
    </xf>
    <xf numFmtId="1" fontId="50" fillId="0" borderId="29" xfId="8" applyNumberFormat="1" applyFont="1" applyBorder="1" applyAlignment="1">
      <alignment horizontal="left"/>
    </xf>
    <xf numFmtId="43" fontId="50" fillId="0" borderId="22" xfId="8" applyNumberFormat="1" applyFont="1" applyBorder="1" applyAlignment="1">
      <alignment horizontal="left"/>
    </xf>
    <xf numFmtId="0" fontId="35" fillId="0" borderId="28" xfId="6" applyFont="1" applyBorder="1" applyAlignment="1">
      <alignment horizontal="left"/>
    </xf>
    <xf numFmtId="0" fontId="56" fillId="0" borderId="22" xfId="6" applyFont="1" applyBorder="1" applyAlignment="1">
      <alignment horizontal="left"/>
    </xf>
    <xf numFmtId="164" fontId="56" fillId="0" borderId="22" xfId="6" applyNumberFormat="1" applyFont="1" applyBorder="1" applyAlignment="1">
      <alignment horizontal="left"/>
    </xf>
    <xf numFmtId="164" fontId="50" fillId="0" borderId="22" xfId="6" applyNumberFormat="1" applyFont="1" applyBorder="1" applyAlignment="1">
      <alignment horizontal="left"/>
    </xf>
    <xf numFmtId="164" fontId="50" fillId="0" borderId="22" xfId="7" applyNumberFormat="1" applyFont="1" applyBorder="1" applyAlignment="1">
      <alignment horizontal="left" indent="1"/>
    </xf>
    <xf numFmtId="0" fontId="35" fillId="0" borderId="22" xfId="6" applyFont="1" applyBorder="1" applyAlignment="1">
      <alignment horizontal="left" indent="1"/>
    </xf>
    <xf numFmtId="0" fontId="30" fillId="0" borderId="22" xfId="6" applyFont="1" applyBorder="1" applyAlignment="1">
      <alignment horizontal="left"/>
    </xf>
    <xf numFmtId="0" fontId="30" fillId="0" borderId="7" xfId="6" applyFont="1" applyBorder="1" applyAlignment="1">
      <alignment horizontal="left" vertical="top" wrapText="1"/>
    </xf>
    <xf numFmtId="9" fontId="35" fillId="0" borderId="0" xfId="3" applyFont="1" applyBorder="1" applyAlignment="1">
      <alignment horizontal="left"/>
    </xf>
    <xf numFmtId="2" fontId="30" fillId="0" borderId="22" xfId="6" applyNumberFormat="1" applyFont="1" applyBorder="1" applyAlignment="1">
      <alignment horizontal="left"/>
    </xf>
    <xf numFmtId="0" fontId="59" fillId="0" borderId="5" xfId="6" applyFont="1" applyBorder="1" applyAlignment="1">
      <alignment horizontal="right"/>
    </xf>
    <xf numFmtId="0" fontId="50" fillId="0" borderId="5" xfId="6" applyFont="1" applyBorder="1" applyAlignment="1">
      <alignment horizontal="right" indent="1"/>
    </xf>
    <xf numFmtId="0" fontId="50" fillId="0" borderId="0" xfId="6" applyFont="1" applyBorder="1" applyAlignment="1">
      <alignment horizontal="right" indent="1"/>
    </xf>
    <xf numFmtId="0" fontId="59" fillId="0" borderId="0" xfId="6" applyFont="1" applyBorder="1" applyAlignment="1">
      <alignment horizontal="right"/>
    </xf>
    <xf numFmtId="0" fontId="56" fillId="0" borderId="5" xfId="6" applyFont="1" applyBorder="1" applyAlignment="1">
      <alignment horizontal="right"/>
    </xf>
    <xf numFmtId="0" fontId="82" fillId="0" borderId="0" xfId="6" applyFont="1" applyBorder="1" applyAlignment="1">
      <alignment horizontal="right"/>
    </xf>
    <xf numFmtId="0" fontId="35" fillId="0" borderId="8" xfId="6" applyFont="1" applyBorder="1" applyAlignment="1">
      <alignment horizontal="left" vertical="top"/>
    </xf>
    <xf numFmtId="0" fontId="37" fillId="0" borderId="8" xfId="6" applyFont="1" applyBorder="1" applyAlignment="1">
      <alignment horizontal="left" vertical="top"/>
    </xf>
    <xf numFmtId="0" fontId="50" fillId="0" borderId="30" xfId="6" applyFont="1" applyBorder="1" applyAlignment="1">
      <alignment horizontal="left"/>
    </xf>
    <xf numFmtId="165" fontId="50" fillId="0" borderId="22" xfId="3" applyNumberFormat="1" applyFont="1" applyBorder="1" applyAlignment="1">
      <alignment horizontal="left"/>
    </xf>
    <xf numFmtId="165" fontId="50" fillId="0" borderId="0" xfId="6" applyNumberFormat="1" applyFont="1" applyBorder="1" applyAlignment="1">
      <alignment horizontal="left"/>
    </xf>
    <xf numFmtId="165" fontId="65" fillId="0" borderId="0" xfId="6" applyNumberFormat="1" applyFont="1" applyBorder="1" applyAlignment="1">
      <alignment horizontal="left"/>
    </xf>
    <xf numFmtId="165" fontId="50" fillId="0" borderId="22" xfId="6" applyNumberFormat="1" applyFont="1" applyBorder="1" applyAlignment="1">
      <alignment horizontal="left"/>
    </xf>
    <xf numFmtId="1" fontId="35" fillId="0" borderId="22" xfId="6" applyNumberFormat="1" applyFont="1" applyBorder="1" applyAlignment="1">
      <alignment horizontal="left"/>
    </xf>
    <xf numFmtId="1" fontId="30" fillId="0" borderId="22" xfId="6" applyNumberFormat="1" applyFont="1" applyBorder="1" applyAlignment="1">
      <alignment horizontal="left"/>
    </xf>
    <xf numFmtId="9" fontId="95" fillId="0" borderId="22" xfId="3" applyFont="1" applyBorder="1" applyAlignment="1">
      <alignment horizontal="left"/>
    </xf>
    <xf numFmtId="0" fontId="97" fillId="0" borderId="0" xfId="6" applyFont="1" applyBorder="1" applyAlignment="1">
      <alignment horizontal="left"/>
    </xf>
    <xf numFmtId="0" fontId="97" fillId="0" borderId="22" xfId="6" applyFont="1" applyBorder="1" applyAlignment="1">
      <alignment horizontal="left"/>
    </xf>
    <xf numFmtId="9" fontId="97" fillId="0" borderId="22" xfId="3" applyFont="1" applyBorder="1" applyAlignment="1">
      <alignment horizontal="left"/>
    </xf>
    <xf numFmtId="1" fontId="97" fillId="0" borderId="22" xfId="6" applyNumberFormat="1" applyFont="1" applyBorder="1" applyAlignment="1">
      <alignment horizontal="left"/>
    </xf>
    <xf numFmtId="0" fontId="37" fillId="0" borderId="0" xfId="6" applyFont="1" applyBorder="1" applyAlignment="1">
      <alignment horizontal="right"/>
    </xf>
    <xf numFmtId="165" fontId="50" fillId="0" borderId="0" xfId="3" applyNumberFormat="1" applyFont="1" applyBorder="1" applyAlignment="1">
      <alignment horizontal="left"/>
    </xf>
    <xf numFmtId="10" fontId="50" fillId="0" borderId="0" xfId="3" applyNumberFormat="1" applyFont="1" applyBorder="1" applyAlignment="1">
      <alignment horizontal="left"/>
    </xf>
    <xf numFmtId="2" fontId="97" fillId="0" borderId="22" xfId="6" applyNumberFormat="1" applyFont="1" applyBorder="1" applyAlignment="1">
      <alignment horizontal="left"/>
    </xf>
    <xf numFmtId="9" fontId="65" fillId="0" borderId="31" xfId="3" applyFont="1" applyBorder="1" applyAlignment="1">
      <alignment horizontal="left"/>
    </xf>
    <xf numFmtId="9" fontId="37" fillId="0" borderId="31" xfId="3" applyFont="1" applyBorder="1" applyAlignment="1">
      <alignment horizontal="left"/>
    </xf>
    <xf numFmtId="0" fontId="37" fillId="0" borderId="13" xfId="6" applyFont="1" applyBorder="1" applyAlignment="1">
      <alignment horizontal="left" vertical="top"/>
    </xf>
    <xf numFmtId="2" fontId="50" fillId="0" borderId="0" xfId="8" applyNumberFormat="1" applyFont="1" applyBorder="1" applyAlignment="1">
      <alignment horizontal="left"/>
    </xf>
    <xf numFmtId="2" fontId="62" fillId="0" borderId="29" xfId="6" applyNumberFormat="1" applyFont="1" applyBorder="1" applyAlignment="1">
      <alignment horizontal="left"/>
    </xf>
    <xf numFmtId="2" fontId="62" fillId="0" borderId="22" xfId="6" applyNumberFormat="1" applyFont="1" applyBorder="1" applyAlignment="1">
      <alignment horizontal="left"/>
    </xf>
    <xf numFmtId="0" fontId="62" fillId="0" borderId="22" xfId="6" applyFont="1" applyBorder="1" applyAlignment="1">
      <alignment horizontal="left"/>
    </xf>
    <xf numFmtId="170" fontId="98" fillId="0" borderId="0" xfId="0" applyNumberFormat="1" applyFont="1" applyBorder="1" applyAlignment="1">
      <alignment horizontal="left" vertical="top"/>
    </xf>
    <xf numFmtId="9" fontId="98" fillId="0" borderId="0" xfId="3" applyFont="1" applyBorder="1" applyAlignment="1">
      <alignment horizontal="left" vertical="top"/>
    </xf>
    <xf numFmtId="0" fontId="98" fillId="0" borderId="0" xfId="0" applyFont="1" applyBorder="1" applyAlignment="1">
      <alignment horizontal="right" vertical="top"/>
    </xf>
    <xf numFmtId="2" fontId="50" fillId="0" borderId="0" xfId="7" applyNumberFormat="1" applyFont="1" applyBorder="1" applyAlignment="1">
      <alignment horizontal="left"/>
    </xf>
    <xf numFmtId="9" fontId="50" fillId="0" borderId="31" xfId="6" applyNumberFormat="1" applyFont="1" applyBorder="1" applyAlignment="1">
      <alignment horizontal="left"/>
    </xf>
    <xf numFmtId="0" fontId="100" fillId="0" borderId="0" xfId="0" applyFont="1" applyBorder="1" applyAlignment="1">
      <alignment horizontal="right" vertical="top"/>
    </xf>
    <xf numFmtId="170" fontId="100" fillId="0" borderId="0" xfId="0" applyNumberFormat="1" applyFont="1" applyBorder="1" applyAlignment="1">
      <alignment horizontal="left" vertical="top"/>
    </xf>
    <xf numFmtId="0" fontId="101" fillId="0" borderId="0" xfId="0" applyFont="1" applyBorder="1" applyAlignment="1">
      <alignment horizontal="right" vertical="top"/>
    </xf>
    <xf numFmtId="170" fontId="101" fillId="0" borderId="0" xfId="0" applyNumberFormat="1" applyFont="1" applyBorder="1" applyAlignment="1">
      <alignment horizontal="left" vertical="top"/>
    </xf>
    <xf numFmtId="0" fontId="50" fillId="0" borderId="32" xfId="6" applyFont="1" applyBorder="1" applyAlignment="1">
      <alignment horizontal="right"/>
    </xf>
    <xf numFmtId="9" fontId="50" fillId="0" borderId="31" xfId="7" applyFont="1" applyBorder="1" applyAlignment="1">
      <alignment horizontal="left"/>
    </xf>
    <xf numFmtId="0" fontId="50" fillId="0" borderId="31" xfId="6" applyFont="1" applyBorder="1" applyAlignment="1">
      <alignment horizontal="right"/>
    </xf>
    <xf numFmtId="0" fontId="50" fillId="0" borderId="21" xfId="6" applyFont="1" applyBorder="1" applyAlignment="1">
      <alignment horizontal="right"/>
    </xf>
    <xf numFmtId="0" fontId="50" fillId="0" borderId="21" xfId="6" applyFont="1" applyBorder="1" applyAlignment="1">
      <alignment horizontal="right" indent="1"/>
    </xf>
    <xf numFmtId="0" fontId="50" fillId="0" borderId="35" xfId="6" applyFont="1" applyBorder="1" applyAlignment="1">
      <alignment horizontal="left"/>
    </xf>
    <xf numFmtId="164" fontId="50" fillId="0" borderId="31" xfId="6" applyNumberFormat="1" applyFont="1" applyBorder="1" applyAlignment="1">
      <alignment horizontal="left"/>
    </xf>
    <xf numFmtId="0" fontId="50" fillId="0" borderId="31" xfId="6" applyFont="1" applyBorder="1" applyAlignment="1">
      <alignment horizontal="left"/>
    </xf>
    <xf numFmtId="0" fontId="35" fillId="0" borderId="36" xfId="6" applyFont="1" applyBorder="1" applyAlignment="1">
      <alignment horizontal="left"/>
    </xf>
    <xf numFmtId="165" fontId="56" fillId="0" borderId="0" xfId="6" applyNumberFormat="1" applyFont="1" applyBorder="1" applyAlignment="1">
      <alignment horizontal="left"/>
    </xf>
    <xf numFmtId="9" fontId="50" fillId="0" borderId="21" xfId="3" applyFont="1" applyBorder="1" applyAlignment="1">
      <alignment horizontal="left"/>
    </xf>
    <xf numFmtId="9" fontId="65" fillId="0" borderId="21" xfId="6" applyNumberFormat="1" applyFont="1" applyBorder="1" applyAlignment="1">
      <alignment horizontal="left"/>
    </xf>
    <xf numFmtId="9" fontId="50" fillId="0" borderId="0" xfId="3" applyNumberFormat="1" applyFont="1" applyBorder="1" applyAlignment="1">
      <alignment horizontal="left"/>
    </xf>
    <xf numFmtId="0" fontId="29" fillId="0" borderId="5" xfId="6" applyFont="1" applyBorder="1" applyAlignment="1">
      <alignment horizontal="left"/>
    </xf>
    <xf numFmtId="0" fontId="29" fillId="0" borderId="0" xfId="6" applyFont="1" applyBorder="1" applyAlignment="1">
      <alignment horizontal="left"/>
    </xf>
    <xf numFmtId="0" fontId="29" fillId="0" borderId="0" xfId="6" applyFont="1" applyBorder="1" applyAlignment="1">
      <alignment horizontal="right"/>
    </xf>
    <xf numFmtId="0" fontId="50" fillId="0" borderId="34" xfId="6" applyFont="1" applyBorder="1" applyAlignment="1">
      <alignment horizontal="right"/>
    </xf>
    <xf numFmtId="9" fontId="50" fillId="0" borderId="36" xfId="7" applyFont="1" applyBorder="1" applyAlignment="1">
      <alignment horizontal="left"/>
    </xf>
    <xf numFmtId="0" fontId="60" fillId="0" borderId="23" xfId="6" applyFont="1" applyBorder="1" applyAlignment="1">
      <alignment horizontal="left"/>
    </xf>
    <xf numFmtId="0" fontId="50" fillId="0" borderId="22" xfId="6" applyFont="1" applyBorder="1" applyAlignment="1">
      <alignment horizontal="right"/>
    </xf>
    <xf numFmtId="0" fontId="50" fillId="0" borderId="23" xfId="6" applyFont="1" applyBorder="1" applyAlignment="1">
      <alignment horizontal="right"/>
    </xf>
    <xf numFmtId="0" fontId="50" fillId="0" borderId="23" xfId="6" applyFont="1" applyBorder="1" applyAlignment="1">
      <alignment horizontal="left"/>
    </xf>
    <xf numFmtId="0" fontId="50" fillId="0" borderId="36" xfId="6" applyFont="1" applyBorder="1" applyAlignment="1">
      <alignment horizontal="right"/>
    </xf>
    <xf numFmtId="1" fontId="50" fillId="0" borderId="22" xfId="3" applyNumberFormat="1" applyFont="1" applyBorder="1" applyAlignment="1">
      <alignment horizontal="left"/>
    </xf>
    <xf numFmtId="0" fontId="56" fillId="0" borderId="35" xfId="6" applyFont="1" applyBorder="1" applyAlignment="1">
      <alignment horizontal="right"/>
    </xf>
    <xf numFmtId="0" fontId="35" fillId="0" borderId="35" xfId="6" applyFont="1" applyBorder="1" applyAlignment="1">
      <alignment horizontal="left"/>
    </xf>
    <xf numFmtId="0" fontId="56" fillId="0" borderId="35" xfId="6" applyFont="1" applyBorder="1" applyAlignment="1">
      <alignment horizontal="left"/>
    </xf>
    <xf numFmtId="9" fontId="56" fillId="0" borderId="35" xfId="7" applyFont="1" applyBorder="1" applyAlignment="1">
      <alignment horizontal="left"/>
    </xf>
    <xf numFmtId="9" fontId="50" fillId="0" borderId="35" xfId="7" applyFont="1" applyBorder="1" applyAlignment="1">
      <alignment horizontal="left"/>
    </xf>
    <xf numFmtId="170" fontId="56" fillId="0" borderId="35" xfId="6" applyNumberFormat="1" applyFont="1" applyBorder="1" applyAlignment="1">
      <alignment horizontal="left"/>
    </xf>
    <xf numFmtId="0" fontId="100" fillId="0" borderId="35" xfId="0" applyFont="1" applyBorder="1" applyAlignment="1">
      <alignment horizontal="right" vertical="top"/>
    </xf>
    <xf numFmtId="170" fontId="100" fillId="0" borderId="35" xfId="0" applyNumberFormat="1" applyFont="1" applyBorder="1" applyAlignment="1">
      <alignment horizontal="left" vertical="top"/>
    </xf>
    <xf numFmtId="170" fontId="56" fillId="0" borderId="0" xfId="6" applyNumberFormat="1" applyFont="1" applyBorder="1" applyAlignment="1">
      <alignment horizontal="left"/>
    </xf>
    <xf numFmtId="0" fontId="101" fillId="0" borderId="35" xfId="0" applyFont="1" applyBorder="1" applyAlignment="1">
      <alignment horizontal="right" vertical="top"/>
    </xf>
    <xf numFmtId="170" fontId="101" fillId="0" borderId="35" xfId="0" applyNumberFormat="1" applyFont="1" applyBorder="1" applyAlignment="1">
      <alignment horizontal="left" vertical="top"/>
    </xf>
    <xf numFmtId="0" fontId="99" fillId="0" borderId="38" xfId="0" applyFont="1" applyBorder="1" applyAlignment="1">
      <alignment horizontal="right" vertical="top"/>
    </xf>
    <xf numFmtId="170" fontId="101" fillId="0" borderId="38" xfId="0" applyNumberFormat="1" applyFont="1" applyBorder="1" applyAlignment="1">
      <alignment horizontal="left" vertical="top"/>
    </xf>
    <xf numFmtId="0" fontId="35" fillId="0" borderId="33" xfId="6" applyFont="1" applyBorder="1" applyAlignment="1">
      <alignment horizontal="left"/>
    </xf>
    <xf numFmtId="0" fontId="56" fillId="0" borderId="33" xfId="6" applyFont="1" applyBorder="1" applyAlignment="1">
      <alignment horizontal="right"/>
    </xf>
    <xf numFmtId="0" fontId="56" fillId="0" borderId="33" xfId="6" applyFont="1" applyBorder="1" applyAlignment="1">
      <alignment horizontal="left"/>
    </xf>
    <xf numFmtId="0" fontId="50" fillId="0" borderId="33" xfId="6" applyFont="1" applyBorder="1" applyAlignment="1">
      <alignment horizontal="left"/>
    </xf>
    <xf numFmtId="0" fontId="50" fillId="0" borderId="33" xfId="6" applyFont="1" applyBorder="1" applyAlignment="1">
      <alignment horizontal="right"/>
    </xf>
    <xf numFmtId="1" fontId="50" fillId="0" borderId="33" xfId="6" applyNumberFormat="1" applyFont="1" applyBorder="1" applyAlignment="1">
      <alignment horizontal="left"/>
    </xf>
    <xf numFmtId="164" fontId="50" fillId="0" borderId="36" xfId="6" applyNumberFormat="1" applyFont="1" applyBorder="1" applyAlignment="1">
      <alignment horizontal="left"/>
    </xf>
    <xf numFmtId="2" fontId="50" fillId="0" borderId="36" xfId="6" applyNumberFormat="1" applyFont="1" applyBorder="1" applyAlignment="1">
      <alignment horizontal="left"/>
    </xf>
    <xf numFmtId="1" fontId="50" fillId="0" borderId="22" xfId="6" applyNumberFormat="1" applyFont="1" applyBorder="1" applyAlignment="1">
      <alignment horizontal="right"/>
    </xf>
    <xf numFmtId="0" fontId="35" fillId="0" borderId="21" xfId="6" applyFont="1" applyBorder="1" applyAlignment="1">
      <alignment horizontal="left"/>
    </xf>
    <xf numFmtId="9" fontId="50" fillId="0" borderId="21" xfId="7" applyFont="1" applyBorder="1" applyAlignment="1">
      <alignment horizontal="left"/>
    </xf>
    <xf numFmtId="9" fontId="50" fillId="0" borderId="31" xfId="3" applyFont="1" applyBorder="1" applyAlignment="1">
      <alignment horizontal="left"/>
    </xf>
    <xf numFmtId="9" fontId="50" fillId="0" borderId="36" xfId="3" applyFont="1" applyBorder="1" applyAlignment="1">
      <alignment horizontal="left"/>
    </xf>
    <xf numFmtId="2" fontId="50" fillId="0" borderId="31" xfId="6" applyNumberFormat="1" applyFont="1" applyBorder="1" applyAlignment="1">
      <alignment horizontal="left"/>
    </xf>
    <xf numFmtId="1" fontId="50" fillId="0" borderId="22" xfId="8" applyNumberFormat="1" applyFont="1" applyBorder="1" applyAlignment="1">
      <alignment horizontal="left"/>
    </xf>
    <xf numFmtId="0" fontId="35" fillId="0" borderId="31" xfId="6" applyFont="1" applyBorder="1" applyAlignment="1">
      <alignment horizontal="left"/>
    </xf>
    <xf numFmtId="0" fontId="56" fillId="0" borderId="35" xfId="6" applyFont="1" applyBorder="1" applyAlignment="1">
      <alignment horizontal="left" indent="1"/>
    </xf>
    <xf numFmtId="2" fontId="50" fillId="0" borderId="36" xfId="7" applyNumberFormat="1" applyFont="1" applyBorder="1" applyAlignment="1">
      <alignment horizontal="left"/>
    </xf>
    <xf numFmtId="0" fontId="50" fillId="0" borderId="21" xfId="6" applyFont="1" applyBorder="1" applyAlignment="1">
      <alignment horizontal="left"/>
    </xf>
    <xf numFmtId="164" fontId="50" fillId="0" borderId="21" xfId="6" applyNumberFormat="1" applyFont="1" applyBorder="1" applyAlignment="1">
      <alignment horizontal="left"/>
    </xf>
    <xf numFmtId="9" fontId="56" fillId="0" borderId="0" xfId="7" applyFont="1" applyBorder="1" applyAlignment="1">
      <alignment horizontal="right"/>
    </xf>
    <xf numFmtId="0" fontId="56" fillId="0" borderId="39" xfId="6" applyFont="1" applyBorder="1" applyAlignment="1">
      <alignment horizontal="left"/>
    </xf>
    <xf numFmtId="164" fontId="56" fillId="0" borderId="39" xfId="6" applyNumberFormat="1" applyFont="1" applyBorder="1" applyAlignment="1">
      <alignment horizontal="left"/>
    </xf>
    <xf numFmtId="9" fontId="56" fillId="0" borderId="29" xfId="7" applyFont="1" applyBorder="1" applyAlignment="1">
      <alignment horizontal="right"/>
    </xf>
    <xf numFmtId="9" fontId="50" fillId="0" borderId="0" xfId="7" applyFont="1" applyBorder="1" applyAlignment="1">
      <alignment horizontal="right"/>
    </xf>
    <xf numFmtId="9" fontId="50" fillId="0" borderId="36" xfId="7" applyFont="1" applyBorder="1" applyAlignment="1">
      <alignment horizontal="right"/>
    </xf>
    <xf numFmtId="0" fontId="56" fillId="0" borderId="21" xfId="6" applyFont="1" applyBorder="1" applyAlignment="1">
      <alignment horizontal="left"/>
    </xf>
    <xf numFmtId="164" fontId="56" fillId="0" borderId="21" xfId="6" applyNumberFormat="1" applyFont="1" applyBorder="1" applyAlignment="1">
      <alignment horizontal="left"/>
    </xf>
    <xf numFmtId="9" fontId="50" fillId="0" borderId="22" xfId="7" applyFont="1" applyBorder="1" applyAlignment="1">
      <alignment horizontal="right"/>
    </xf>
    <xf numFmtId="164" fontId="50" fillId="0" borderId="21" xfId="7" applyNumberFormat="1" applyFont="1" applyBorder="1" applyAlignment="1">
      <alignment horizontal="left" indent="1"/>
    </xf>
    <xf numFmtId="0" fontId="50" fillId="0" borderId="40" xfId="6" applyFont="1" applyBorder="1" applyAlignment="1">
      <alignment horizontal="right" indent="1"/>
    </xf>
    <xf numFmtId="164" fontId="50" fillId="0" borderId="39" xfId="6" applyNumberFormat="1" applyFont="1" applyBorder="1" applyAlignment="1">
      <alignment horizontal="left" indent="1"/>
    </xf>
    <xf numFmtId="9" fontId="50" fillId="0" borderId="36" xfId="6" applyNumberFormat="1" applyFont="1" applyBorder="1" applyAlignment="1">
      <alignment horizontal="left" indent="1"/>
    </xf>
    <xf numFmtId="9" fontId="50" fillId="0" borderId="36" xfId="6" applyNumberFormat="1" applyFont="1" applyBorder="1" applyAlignment="1">
      <alignment horizontal="left"/>
    </xf>
    <xf numFmtId="0" fontId="50" fillId="0" borderId="36" xfId="6" applyFont="1" applyBorder="1" applyAlignment="1">
      <alignment horizontal="left"/>
    </xf>
    <xf numFmtId="164" fontId="50" fillId="0" borderId="36" xfId="6" applyNumberFormat="1" applyFont="1" applyBorder="1" applyAlignment="1">
      <alignment horizontal="left" indent="1"/>
    </xf>
    <xf numFmtId="0" fontId="59" fillId="0" borderId="27" xfId="6" applyFont="1" applyBorder="1" applyAlignment="1">
      <alignment horizontal="right"/>
    </xf>
    <xf numFmtId="0" fontId="29" fillId="0" borderId="7" xfId="6" applyFont="1" applyBorder="1" applyAlignment="1">
      <alignment horizontal="left" vertical="top" wrapText="1"/>
    </xf>
    <xf numFmtId="164" fontId="50" fillId="0" borderId="23" xfId="6" applyNumberFormat="1" applyFont="1" applyBorder="1" applyAlignment="1">
      <alignment horizontal="left"/>
    </xf>
    <xf numFmtId="9" fontId="50" fillId="0" borderId="23" xfId="7" applyFont="1" applyBorder="1" applyAlignment="1">
      <alignment horizontal="left"/>
    </xf>
    <xf numFmtId="2" fontId="50" fillId="0" borderId="21" xfId="6" applyNumberFormat="1" applyFont="1" applyBorder="1" applyAlignment="1">
      <alignment horizontal="left"/>
    </xf>
    <xf numFmtId="0" fontId="29" fillId="0" borderId="0" xfId="6" applyFont="1" applyAlignment="1">
      <alignment horizontal="left"/>
    </xf>
    <xf numFmtId="0" fontId="37" fillId="0" borderId="6" xfId="6" applyFont="1" applyBorder="1" applyAlignment="1">
      <alignment horizontal="left" vertical="top"/>
    </xf>
    <xf numFmtId="0" fontId="29" fillId="0" borderId="22" xfId="6" applyFont="1" applyBorder="1" applyAlignment="1">
      <alignment horizontal="left"/>
    </xf>
    <xf numFmtId="2" fontId="50" fillId="0" borderId="22" xfId="3" applyNumberFormat="1" applyFont="1" applyBorder="1" applyAlignment="1">
      <alignment horizontal="left"/>
    </xf>
    <xf numFmtId="9" fontId="37" fillId="0" borderId="31" xfId="7" applyFont="1" applyBorder="1" applyAlignment="1">
      <alignment horizontal="left"/>
    </xf>
    <xf numFmtId="0" fontId="56" fillId="0" borderId="0" xfId="6" applyFont="1" applyAlignment="1">
      <alignment horizontal="right"/>
    </xf>
    <xf numFmtId="0" fontId="75" fillId="0" borderId="0" xfId="6" applyFont="1" applyAlignment="1">
      <alignment horizontal="left"/>
    </xf>
    <xf numFmtId="0" fontId="50" fillId="0" borderId="35" xfId="6" applyFont="1" applyBorder="1" applyAlignment="1">
      <alignment horizontal="right"/>
    </xf>
    <xf numFmtId="164" fontId="56" fillId="0" borderId="0" xfId="6" applyNumberFormat="1" applyFont="1" applyAlignment="1">
      <alignment horizontal="left"/>
    </xf>
    <xf numFmtId="1" fontId="50" fillId="0" borderId="35" xfId="6" applyNumberFormat="1" applyFont="1" applyBorder="1" applyAlignment="1">
      <alignment horizontal="left"/>
    </xf>
    <xf numFmtId="164" fontId="35" fillId="0" borderId="0" xfId="6" applyNumberFormat="1" applyFont="1" applyAlignment="1">
      <alignment horizontal="left"/>
    </xf>
    <xf numFmtId="164" fontId="50" fillId="0" borderId="27" xfId="3" applyNumberFormat="1" applyFont="1" applyBorder="1" applyAlignment="1">
      <alignment horizontal="left"/>
    </xf>
    <xf numFmtId="164" fontId="50" fillId="0" borderId="0" xfId="7" applyNumberFormat="1" applyFont="1" applyBorder="1" applyAlignment="1">
      <alignment horizontal="left"/>
    </xf>
    <xf numFmtId="2" fontId="37" fillId="0" borderId="29" xfId="6" applyNumberFormat="1" applyFont="1" applyBorder="1" applyAlignment="1">
      <alignment horizontal="left"/>
    </xf>
    <xf numFmtId="2" fontId="37" fillId="0" borderId="22" xfId="6" applyNumberFormat="1" applyFont="1" applyBorder="1" applyAlignment="1">
      <alignment horizontal="left"/>
    </xf>
    <xf numFmtId="1" fontId="50" fillId="0" borderId="0" xfId="6" applyNumberFormat="1" applyFont="1" applyAlignment="1">
      <alignment horizontal="left"/>
    </xf>
    <xf numFmtId="9" fontId="59" fillId="0" borderId="0" xfId="3" applyFont="1" applyBorder="1" applyAlignment="1">
      <alignment horizontal="left"/>
    </xf>
    <xf numFmtId="9" fontId="59" fillId="0" borderId="36" xfId="3" applyFont="1" applyBorder="1" applyAlignment="1">
      <alignment horizontal="left"/>
    </xf>
    <xf numFmtId="0" fontId="95" fillId="0" borderId="22" xfId="6" applyFont="1" applyBorder="1" applyAlignment="1">
      <alignment horizontal="left"/>
    </xf>
    <xf numFmtId="0" fontId="95" fillId="0" borderId="0" xfId="6" applyFont="1" applyBorder="1" applyAlignment="1">
      <alignment horizontal="right"/>
    </xf>
    <xf numFmtId="0" fontId="95" fillId="0" borderId="0" xfId="6" applyFont="1" applyBorder="1" applyAlignment="1">
      <alignment horizontal="left"/>
    </xf>
    <xf numFmtId="0" fontId="104" fillId="0" borderId="5" xfId="6" applyFont="1" applyBorder="1" applyAlignment="1">
      <alignment horizontal="left"/>
    </xf>
    <xf numFmtId="0" fontId="73" fillId="0" borderId="5" xfId="6" applyFont="1" applyBorder="1" applyAlignment="1">
      <alignment horizontal="left"/>
    </xf>
    <xf numFmtId="0" fontId="73" fillId="0" borderId="29" xfId="6" applyFont="1" applyBorder="1" applyAlignment="1">
      <alignment horizontal="left"/>
    </xf>
    <xf numFmtId="0" fontId="73" fillId="0" borderId="5" xfId="6" applyFont="1" applyBorder="1" applyAlignment="1">
      <alignment horizontal="right"/>
    </xf>
    <xf numFmtId="0" fontId="73" fillId="0" borderId="0" xfId="6" applyFont="1" applyAlignment="1">
      <alignment horizontal="left"/>
    </xf>
    <xf numFmtId="0" fontId="73" fillId="0" borderId="22" xfId="6" applyFont="1" applyBorder="1" applyAlignment="1">
      <alignment horizontal="left"/>
    </xf>
    <xf numFmtId="2" fontId="73" fillId="0" borderId="0" xfId="6" applyNumberFormat="1" applyFont="1" applyAlignment="1">
      <alignment horizontal="left"/>
    </xf>
    <xf numFmtId="0" fontId="73" fillId="0" borderId="35" xfId="6" applyFont="1" applyBorder="1" applyAlignment="1">
      <alignment horizontal="right"/>
    </xf>
    <xf numFmtId="0" fontId="73" fillId="0" borderId="35" xfId="6" applyFont="1" applyBorder="1" applyAlignment="1">
      <alignment horizontal="left"/>
    </xf>
    <xf numFmtId="0" fontId="73" fillId="0" borderId="0" xfId="6" applyFont="1" applyAlignment="1">
      <alignment horizontal="right"/>
    </xf>
    <xf numFmtId="1" fontId="73" fillId="0" borderId="0" xfId="6" applyNumberFormat="1" applyFont="1" applyAlignment="1">
      <alignment horizontal="left"/>
    </xf>
    <xf numFmtId="1" fontId="73" fillId="0" borderId="35" xfId="6" applyNumberFormat="1" applyFont="1" applyBorder="1" applyAlignment="1">
      <alignment horizontal="left"/>
    </xf>
    <xf numFmtId="8" fontId="73" fillId="0" borderId="0" xfId="6" applyNumberFormat="1" applyFont="1" applyAlignment="1">
      <alignment horizontal="right"/>
    </xf>
    <xf numFmtId="2" fontId="50" fillId="0" borderId="36" xfId="3" applyNumberFormat="1" applyFont="1" applyBorder="1" applyAlignment="1">
      <alignment horizontal="left"/>
    </xf>
    <xf numFmtId="0" fontId="73" fillId="0" borderId="0" xfId="0" applyFont="1" applyFill="1" applyAlignment="1">
      <alignment horizontal="left"/>
    </xf>
    <xf numFmtId="0" fontId="69" fillId="0" borderId="0" xfId="0" applyFont="1" applyAlignment="1">
      <alignment horizontal="left"/>
    </xf>
    <xf numFmtId="1" fontId="52" fillId="0" borderId="0" xfId="0" applyNumberFormat="1" applyFont="1" applyAlignment="1">
      <alignment horizontal="left"/>
    </xf>
    <xf numFmtId="3" fontId="56" fillId="0" borderId="0" xfId="0" applyNumberFormat="1" applyFont="1" applyAlignment="1">
      <alignment horizontal="left"/>
    </xf>
    <xf numFmtId="3" fontId="56" fillId="0" borderId="0" xfId="0" applyNumberFormat="1" applyFont="1" applyAlignment="1">
      <alignment horizontal="left" wrapText="1"/>
    </xf>
    <xf numFmtId="0" fontId="37" fillId="0" borderId="12" xfId="0" applyFont="1" applyBorder="1"/>
    <xf numFmtId="0" fontId="37" fillId="0" borderId="0" xfId="0" applyFont="1" applyBorder="1" applyAlignment="1">
      <alignment horizontal="left"/>
    </xf>
    <xf numFmtId="9" fontId="48" fillId="0" borderId="0" xfId="3" applyFont="1" applyAlignment="1">
      <alignment horizontal="left"/>
    </xf>
    <xf numFmtId="0" fontId="37" fillId="0" borderId="12" xfId="0" applyFont="1" applyBorder="1" applyAlignment="1">
      <alignment horizontal="left"/>
    </xf>
    <xf numFmtId="0" fontId="37" fillId="0" borderId="5" xfId="0" applyFont="1" applyBorder="1" applyAlignment="1">
      <alignment horizontal="left"/>
    </xf>
    <xf numFmtId="1" fontId="37" fillId="0" borderId="0" xfId="0" applyNumberFormat="1" applyFont="1" applyBorder="1" applyAlignment="1">
      <alignment horizontal="left"/>
    </xf>
    <xf numFmtId="10" fontId="37" fillId="0" borderId="0" xfId="3" applyNumberFormat="1" applyFont="1" applyBorder="1" applyAlignment="1">
      <alignment horizontal="left"/>
    </xf>
    <xf numFmtId="1" fontId="0" fillId="0" borderId="0" xfId="0" applyNumberFormat="1" applyBorder="1" applyAlignment="1">
      <alignment horizontal="left"/>
    </xf>
    <xf numFmtId="9" fontId="0" fillId="0" borderId="0" xfId="3" applyFont="1" applyBorder="1" applyAlignment="1">
      <alignment horizontal="left"/>
    </xf>
    <xf numFmtId="9" fontId="0" fillId="0" borderId="15" xfId="3" applyFont="1" applyBorder="1" applyAlignment="1">
      <alignment horizontal="left"/>
    </xf>
    <xf numFmtId="0" fontId="41" fillId="0" borderId="11" xfId="0" applyFont="1" applyBorder="1" applyAlignment="1">
      <alignment horizontal="left"/>
    </xf>
    <xf numFmtId="0" fontId="0" fillId="0" borderId="14" xfId="0" applyBorder="1" applyAlignment="1">
      <alignment horizontal="left"/>
    </xf>
    <xf numFmtId="1" fontId="37" fillId="0" borderId="13" xfId="0" applyNumberFormat="1" applyFont="1" applyBorder="1" applyAlignment="1">
      <alignment horizontal="left"/>
    </xf>
    <xf numFmtId="1" fontId="37" fillId="0" borderId="14" xfId="0" applyNumberFormat="1" applyFont="1" applyBorder="1" applyAlignment="1">
      <alignment horizontal="left"/>
    </xf>
    <xf numFmtId="10" fontId="37" fillId="0" borderId="14" xfId="3" applyNumberFormat="1" applyFont="1" applyBorder="1" applyAlignment="1">
      <alignment horizontal="left"/>
    </xf>
    <xf numFmtId="1" fontId="37" fillId="0" borderId="14" xfId="0" applyNumberFormat="1" applyFont="1" applyFill="1" applyBorder="1" applyAlignment="1">
      <alignment horizontal="left"/>
    </xf>
    <xf numFmtId="1" fontId="0" fillId="0" borderId="14" xfId="0" applyNumberFormat="1" applyBorder="1" applyAlignment="1">
      <alignment horizontal="left"/>
    </xf>
    <xf numFmtId="9" fontId="0" fillId="0" borderId="14" xfId="3" applyFont="1" applyBorder="1" applyAlignment="1">
      <alignment horizontal="left"/>
    </xf>
    <xf numFmtId="1" fontId="75" fillId="0" borderId="13" xfId="0" applyNumberFormat="1" applyFont="1" applyBorder="1" applyAlignment="1">
      <alignment horizontal="left"/>
    </xf>
    <xf numFmtId="9" fontId="0" fillId="0" borderId="9" xfId="3" applyFont="1" applyBorder="1" applyAlignment="1">
      <alignment horizontal="left"/>
    </xf>
    <xf numFmtId="9" fontId="0" fillId="0" borderId="9" xfId="0" applyNumberFormat="1" applyBorder="1" applyAlignment="1">
      <alignment horizontal="center"/>
    </xf>
    <xf numFmtId="0" fontId="38" fillId="0" borderId="0" xfId="0" applyFont="1" applyFill="1" applyAlignment="1">
      <alignment horizontal="left"/>
    </xf>
    <xf numFmtId="14" fontId="0" fillId="0" borderId="0" xfId="0" applyNumberFormat="1" applyFill="1" applyAlignment="1">
      <alignment horizontal="left"/>
    </xf>
    <xf numFmtId="9" fontId="0" fillId="0" borderId="0" xfId="0" applyNumberFormat="1" applyFill="1" applyAlignment="1">
      <alignment horizontal="left"/>
    </xf>
    <xf numFmtId="9" fontId="37" fillId="0" borderId="0" xfId="0" applyNumberFormat="1" applyFont="1" applyFill="1" applyAlignment="1">
      <alignment horizontal="left"/>
    </xf>
    <xf numFmtId="14" fontId="0" fillId="0" borderId="0" xfId="3" applyNumberFormat="1" applyFont="1" applyFill="1" applyAlignment="1">
      <alignment horizontal="left"/>
    </xf>
    <xf numFmtId="1" fontId="75" fillId="0" borderId="0" xfId="0" applyNumberFormat="1" applyFont="1" applyBorder="1" applyAlignment="1">
      <alignment horizontal="left"/>
    </xf>
    <xf numFmtId="1" fontId="57" fillId="0" borderId="0" xfId="0" applyNumberFormat="1" applyFont="1" applyBorder="1" applyAlignment="1">
      <alignment horizontal="left"/>
    </xf>
    <xf numFmtId="9" fontId="38" fillId="0" borderId="0" xfId="0" applyNumberFormat="1" applyFont="1" applyBorder="1" applyAlignment="1">
      <alignment horizontal="center"/>
    </xf>
    <xf numFmtId="9" fontId="0" fillId="0" borderId="15" xfId="0" applyNumberFormat="1" applyBorder="1" applyAlignment="1">
      <alignment horizontal="center"/>
    </xf>
    <xf numFmtId="9" fontId="0" fillId="0" borderId="0" xfId="0" applyNumberFormat="1" applyBorder="1" applyAlignment="1">
      <alignment horizontal="center"/>
    </xf>
    <xf numFmtId="0" fontId="56" fillId="0" borderId="38" xfId="0" applyFont="1" applyBorder="1" applyAlignment="1">
      <alignment horizontal="left"/>
    </xf>
    <xf numFmtId="0" fontId="56" fillId="0" borderId="38" xfId="0" applyFont="1" applyBorder="1" applyAlignment="1">
      <alignment horizontal="left" wrapText="1"/>
    </xf>
    <xf numFmtId="0" fontId="47" fillId="0" borderId="0" xfId="0" applyFont="1"/>
    <xf numFmtId="9" fontId="0" fillId="0" borderId="34" xfId="3" applyFont="1" applyFill="1" applyBorder="1" applyAlignment="1">
      <alignment horizontal="left"/>
    </xf>
    <xf numFmtId="9" fontId="0" fillId="0" borderId="35" xfId="3" applyFont="1" applyFill="1" applyBorder="1" applyAlignment="1">
      <alignment horizontal="left"/>
    </xf>
    <xf numFmtId="9" fontId="0" fillId="0" borderId="41" xfId="3" applyFont="1" applyFill="1" applyBorder="1" applyAlignment="1">
      <alignment horizontal="left"/>
    </xf>
    <xf numFmtId="9" fontId="0" fillId="0" borderId="36" xfId="3" applyFont="1" applyFill="1" applyBorder="1" applyAlignment="1">
      <alignment horizontal="left"/>
    </xf>
    <xf numFmtId="9" fontId="0" fillId="0" borderId="0" xfId="3" applyFont="1" applyFill="1" applyBorder="1" applyAlignment="1">
      <alignment horizontal="left"/>
    </xf>
    <xf numFmtId="9" fontId="0" fillId="0" borderId="42" xfId="3" applyFont="1" applyFill="1" applyBorder="1" applyAlignment="1">
      <alignment horizontal="left"/>
    </xf>
    <xf numFmtId="9" fontId="0" fillId="0" borderId="34" xfId="3" applyFont="1" applyBorder="1" applyAlignment="1">
      <alignment horizontal="left"/>
    </xf>
    <xf numFmtId="9" fontId="0" fillId="0" borderId="35" xfId="3" applyFont="1" applyBorder="1" applyAlignment="1">
      <alignment horizontal="left"/>
    </xf>
    <xf numFmtId="9" fontId="0" fillId="0" borderId="41" xfId="3" applyFont="1" applyBorder="1" applyAlignment="1">
      <alignment horizontal="left"/>
    </xf>
    <xf numFmtId="9" fontId="0" fillId="0" borderId="36" xfId="3" applyFont="1" applyBorder="1" applyAlignment="1">
      <alignment horizontal="left"/>
    </xf>
    <xf numFmtId="9" fontId="0" fillId="0" borderId="42" xfId="3" applyFont="1" applyBorder="1" applyAlignment="1">
      <alignment horizontal="left"/>
    </xf>
    <xf numFmtId="9" fontId="0" fillId="0" borderId="0" xfId="3" applyNumberFormat="1" applyFont="1" applyAlignment="1">
      <alignment horizontal="left"/>
    </xf>
    <xf numFmtId="0" fontId="35" fillId="0" borderId="0" xfId="6" applyFont="1" applyFill="1" applyAlignment="1">
      <alignment horizontal="left" vertical="top" wrapText="1"/>
    </xf>
    <xf numFmtId="0" fontId="38" fillId="0" borderId="0" xfId="6" applyFont="1" applyFill="1" applyAlignment="1">
      <alignment horizontal="center" vertical="top"/>
    </xf>
    <xf numFmtId="0" fontId="37" fillId="0" borderId="0" xfId="6" applyFont="1" applyFill="1" applyAlignment="1">
      <alignment horizontal="left" vertical="top"/>
    </xf>
    <xf numFmtId="9" fontId="35" fillId="0" borderId="6" xfId="6" applyNumberFormat="1" applyFont="1" applyBorder="1" applyAlignment="1">
      <alignment horizontal="left" vertical="top"/>
    </xf>
    <xf numFmtId="9" fontId="35" fillId="0" borderId="7" xfId="6" applyNumberFormat="1" applyFont="1" applyBorder="1" applyAlignment="1">
      <alignment horizontal="left" vertical="top"/>
    </xf>
    <xf numFmtId="9" fontId="35" fillId="0" borderId="8" xfId="6" applyNumberFormat="1" applyFont="1" applyBorder="1" applyAlignment="1">
      <alignment horizontal="left" vertical="top"/>
    </xf>
    <xf numFmtId="9" fontId="37" fillId="0" borderId="6" xfId="6" applyNumberFormat="1" applyFont="1" applyBorder="1" applyAlignment="1">
      <alignment horizontal="left" vertical="top"/>
    </xf>
    <xf numFmtId="9" fontId="37" fillId="0" borderId="7" xfId="6" applyNumberFormat="1" applyFont="1" applyBorder="1" applyAlignment="1">
      <alignment horizontal="left" vertical="top"/>
    </xf>
    <xf numFmtId="9" fontId="37" fillId="0" borderId="8" xfId="6" applyNumberFormat="1" applyFont="1" applyBorder="1" applyAlignment="1">
      <alignment horizontal="left" vertical="top"/>
    </xf>
    <xf numFmtId="9" fontId="37" fillId="0" borderId="6" xfId="7" applyNumberFormat="1" applyFont="1" applyBorder="1" applyAlignment="1">
      <alignment horizontal="left" vertical="top"/>
    </xf>
    <xf numFmtId="9" fontId="37" fillId="0" borderId="7" xfId="7" applyNumberFormat="1" applyFont="1" applyBorder="1" applyAlignment="1">
      <alignment horizontal="left" vertical="top"/>
    </xf>
    <xf numFmtId="9" fontId="37" fillId="0" borderId="8" xfId="7" applyNumberFormat="1" applyFont="1" applyBorder="1" applyAlignment="1">
      <alignment horizontal="left" vertical="top"/>
    </xf>
    <xf numFmtId="9" fontId="62" fillId="0" borderId="7" xfId="6" applyNumberFormat="1" applyFont="1" applyBorder="1" applyAlignment="1">
      <alignment horizontal="left" vertical="top"/>
    </xf>
    <xf numFmtId="9" fontId="62" fillId="0" borderId="8" xfId="6" applyNumberFormat="1" applyFont="1" applyBorder="1" applyAlignment="1">
      <alignment horizontal="left" vertical="top"/>
    </xf>
    <xf numFmtId="0" fontId="35" fillId="0" borderId="6" xfId="6" applyFont="1" applyBorder="1" applyAlignment="1">
      <alignment horizontal="left" vertical="top"/>
    </xf>
    <xf numFmtId="9" fontId="37" fillId="0" borderId="3" xfId="6" applyNumberFormat="1" applyFont="1" applyFill="1" applyBorder="1" applyAlignment="1">
      <alignment horizontal="left" vertical="top"/>
    </xf>
    <xf numFmtId="9" fontId="41" fillId="0" borderId="3" xfId="6" applyNumberFormat="1" applyFont="1" applyFill="1" applyBorder="1" applyAlignment="1">
      <alignment horizontal="left" vertical="top"/>
    </xf>
    <xf numFmtId="164" fontId="35" fillId="0" borderId="3" xfId="6" applyNumberFormat="1" applyFont="1" applyBorder="1" applyAlignment="1">
      <alignment horizontal="left" vertical="top"/>
    </xf>
    <xf numFmtId="0" fontId="69" fillId="0" borderId="0" xfId="6" applyFont="1" applyAlignment="1">
      <alignment horizontal="left" vertical="top"/>
    </xf>
    <xf numFmtId="0" fontId="109" fillId="0" borderId="0" xfId="6" applyFont="1" applyAlignment="1">
      <alignment horizontal="left" vertical="top"/>
    </xf>
    <xf numFmtId="164" fontId="62" fillId="0" borderId="3" xfId="6" applyNumberFormat="1" applyFont="1" applyBorder="1" applyAlignment="1">
      <alignment horizontal="left" vertical="top"/>
    </xf>
    <xf numFmtId="164" fontId="0" fillId="0" borderId="0" xfId="3" applyNumberFormat="1" applyFont="1" applyAlignment="1">
      <alignment horizontal="left"/>
    </xf>
    <xf numFmtId="0" fontId="30" fillId="0" borderId="6" xfId="6" applyFont="1" applyBorder="1" applyAlignment="1">
      <alignment horizontal="left" vertical="top"/>
    </xf>
    <xf numFmtId="11" fontId="37" fillId="0" borderId="6" xfId="6" applyNumberFormat="1" applyFont="1" applyBorder="1" applyAlignment="1">
      <alignment horizontal="left" vertical="top"/>
    </xf>
    <xf numFmtId="9" fontId="35" fillId="0" borderId="6" xfId="3" applyFont="1" applyBorder="1" applyAlignment="1">
      <alignment horizontal="left" vertical="top"/>
    </xf>
    <xf numFmtId="9" fontId="35" fillId="0" borderId="7" xfId="3" applyFont="1" applyBorder="1" applyAlignment="1">
      <alignment horizontal="left" vertical="top"/>
    </xf>
    <xf numFmtId="9" fontId="35" fillId="0" borderId="8" xfId="3" applyFont="1" applyBorder="1" applyAlignment="1">
      <alignment horizontal="left" vertical="top"/>
    </xf>
    <xf numFmtId="0" fontId="35" fillId="0" borderId="10" xfId="6" applyFont="1" applyFill="1" applyBorder="1" applyAlignment="1">
      <alignment horizontal="left" vertical="top"/>
    </xf>
    <xf numFmtId="0" fontId="33" fillId="0" borderId="5" xfId="6" applyFont="1" applyFill="1" applyBorder="1" applyAlignment="1">
      <alignment horizontal="left" wrapText="1"/>
    </xf>
    <xf numFmtId="9" fontId="50" fillId="0" borderId="6" xfId="3" applyFont="1" applyBorder="1" applyAlignment="1">
      <alignment horizontal="left" vertical="top"/>
    </xf>
    <xf numFmtId="9" fontId="50" fillId="0" borderId="7" xfId="3" applyFont="1" applyBorder="1" applyAlignment="1">
      <alignment horizontal="left" vertical="top"/>
    </xf>
    <xf numFmtId="9" fontId="50" fillId="0" borderId="8" xfId="3" applyFont="1" applyBorder="1" applyAlignment="1">
      <alignment horizontal="left" vertical="top"/>
    </xf>
    <xf numFmtId="9" fontId="62" fillId="0" borderId="6" xfId="3" applyFont="1" applyBorder="1" applyAlignment="1">
      <alignment horizontal="left" vertical="top"/>
    </xf>
    <xf numFmtId="9" fontId="62" fillId="0" borderId="7" xfId="3" applyFont="1" applyBorder="1" applyAlignment="1">
      <alignment horizontal="left" vertical="top"/>
    </xf>
    <xf numFmtId="9" fontId="62" fillId="0" borderId="8" xfId="3" applyFont="1" applyBorder="1" applyAlignment="1">
      <alignment horizontal="left" vertical="top"/>
    </xf>
    <xf numFmtId="9" fontId="71" fillId="0" borderId="36" xfId="3" applyFont="1" applyBorder="1" applyAlignment="1">
      <alignment horizontal="left"/>
    </xf>
    <xf numFmtId="0" fontId="50" fillId="0" borderId="6" xfId="6" applyFont="1" applyBorder="1" applyAlignment="1">
      <alignment horizontal="left" vertical="top"/>
    </xf>
    <xf numFmtId="0" fontId="50" fillId="0" borderId="8" xfId="6" applyFont="1" applyBorder="1" applyAlignment="1">
      <alignment horizontal="left" vertical="top"/>
    </xf>
    <xf numFmtId="9" fontId="59" fillId="0" borderId="3" xfId="6" applyNumberFormat="1" applyFont="1" applyFill="1" applyBorder="1" applyAlignment="1">
      <alignment horizontal="center" vertical="top"/>
    </xf>
    <xf numFmtId="3" fontId="75" fillId="0" borderId="0" xfId="0" applyNumberFormat="1" applyFont="1" applyAlignment="1">
      <alignment horizontal="left"/>
    </xf>
    <xf numFmtId="9" fontId="72" fillId="0" borderId="0" xfId="0" applyNumberFormat="1" applyFont="1" applyAlignment="1">
      <alignment horizontal="left" vertical="top"/>
    </xf>
    <xf numFmtId="1" fontId="37" fillId="0" borderId="44" xfId="0" applyNumberFormat="1" applyFont="1" applyFill="1" applyBorder="1" applyAlignment="1">
      <alignment horizontal="left"/>
    </xf>
    <xf numFmtId="1" fontId="41" fillId="0" borderId="45" xfId="0" applyNumberFormat="1" applyFont="1" applyFill="1" applyBorder="1" applyAlignment="1">
      <alignment horizontal="left"/>
    </xf>
    <xf numFmtId="1" fontId="37" fillId="0" borderId="45" xfId="0" applyNumberFormat="1" applyFont="1" applyFill="1" applyBorder="1" applyAlignment="1">
      <alignment horizontal="left"/>
    </xf>
    <xf numFmtId="1" fontId="37" fillId="0" borderId="46" xfId="0" applyNumberFormat="1" applyFont="1" applyFill="1" applyBorder="1" applyAlignment="1">
      <alignment horizontal="left"/>
    </xf>
    <xf numFmtId="2" fontId="37" fillId="0" borderId="47" xfId="0" applyNumberFormat="1" applyFont="1" applyFill="1" applyBorder="1" applyAlignment="1">
      <alignment horizontal="left" vertical="top"/>
    </xf>
    <xf numFmtId="2" fontId="41" fillId="0" borderId="5" xfId="0" applyNumberFormat="1" applyFont="1" applyFill="1" applyBorder="1" applyAlignment="1">
      <alignment horizontal="left" vertical="top"/>
    </xf>
    <xf numFmtId="2" fontId="37" fillId="0" borderId="5" xfId="0" applyNumberFormat="1" applyFont="1" applyFill="1" applyBorder="1" applyAlignment="1">
      <alignment horizontal="left" vertical="top"/>
    </xf>
    <xf numFmtId="2" fontId="37" fillId="0" borderId="29" xfId="0" applyNumberFormat="1" applyFont="1" applyFill="1" applyBorder="1" applyAlignment="1">
      <alignment horizontal="left" vertical="top"/>
    </xf>
    <xf numFmtId="2" fontId="37" fillId="0" borderId="48" xfId="0" applyNumberFormat="1" applyFont="1" applyFill="1" applyBorder="1" applyAlignment="1">
      <alignment horizontal="left" vertical="top"/>
    </xf>
    <xf numFmtId="2" fontId="41" fillId="0" borderId="49" xfId="0" applyNumberFormat="1" applyFont="1" applyFill="1" applyBorder="1" applyAlignment="1">
      <alignment horizontal="left" vertical="top"/>
    </xf>
    <xf numFmtId="2" fontId="41" fillId="0" borderId="0" xfId="0" applyNumberFormat="1" applyFont="1" applyFill="1" applyBorder="1" applyAlignment="1">
      <alignment horizontal="left" vertical="top"/>
    </xf>
    <xf numFmtId="2" fontId="41" fillId="0" borderId="22" xfId="0" applyNumberFormat="1" applyFont="1" applyFill="1" applyBorder="1" applyAlignment="1">
      <alignment horizontal="left" vertical="top"/>
    </xf>
    <xf numFmtId="2" fontId="41" fillId="0" borderId="50" xfId="0" applyNumberFormat="1" applyFont="1" applyFill="1" applyBorder="1" applyAlignment="1">
      <alignment horizontal="left" vertical="top"/>
    </xf>
    <xf numFmtId="2" fontId="37" fillId="0" borderId="49" xfId="0" applyNumberFormat="1" applyFont="1" applyFill="1" applyBorder="1" applyAlignment="1">
      <alignment horizontal="left" vertical="top"/>
    </xf>
    <xf numFmtId="2" fontId="37" fillId="0" borderId="0" xfId="0" applyNumberFormat="1" applyFont="1" applyFill="1" applyBorder="1" applyAlignment="1">
      <alignment horizontal="left" vertical="top"/>
    </xf>
    <xf numFmtId="2" fontId="37" fillId="0" borderId="22" xfId="0" applyNumberFormat="1" applyFont="1" applyFill="1" applyBorder="1" applyAlignment="1">
      <alignment horizontal="left" vertical="top"/>
    </xf>
    <xf numFmtId="2" fontId="37" fillId="0" borderId="50" xfId="0" applyNumberFormat="1" applyFont="1" applyFill="1" applyBorder="1" applyAlignment="1">
      <alignment horizontal="left" vertical="top"/>
    </xf>
    <xf numFmtId="2" fontId="50" fillId="0" borderId="49" xfId="0" applyNumberFormat="1" applyFont="1" applyFill="1" applyBorder="1" applyAlignment="1">
      <alignment horizontal="left" vertical="top"/>
    </xf>
    <xf numFmtId="2" fontId="50" fillId="0" borderId="0" xfId="0" applyNumberFormat="1" applyFont="1" applyFill="1" applyBorder="1" applyAlignment="1">
      <alignment horizontal="left" vertical="top"/>
    </xf>
    <xf numFmtId="2" fontId="50" fillId="0" borderId="22" xfId="0" applyNumberFormat="1" applyFont="1" applyFill="1" applyBorder="1" applyAlignment="1">
      <alignment horizontal="left" vertical="top"/>
    </xf>
    <xf numFmtId="2" fontId="50" fillId="0" borderId="50" xfId="0" applyNumberFormat="1" applyFont="1" applyFill="1" applyBorder="1" applyAlignment="1">
      <alignment horizontal="left" vertical="top"/>
    </xf>
    <xf numFmtId="2" fontId="50" fillId="0" borderId="51" xfId="0" applyNumberFormat="1" applyFont="1" applyFill="1" applyBorder="1" applyAlignment="1">
      <alignment horizontal="left" vertical="top"/>
    </xf>
    <xf numFmtId="2" fontId="41" fillId="0" borderId="14" xfId="0" applyNumberFormat="1" applyFont="1" applyFill="1" applyBorder="1" applyAlignment="1">
      <alignment horizontal="left" vertical="top"/>
    </xf>
    <xf numFmtId="2" fontId="50" fillId="0" borderId="14" xfId="0" applyNumberFormat="1" applyFont="1" applyFill="1" applyBorder="1" applyAlignment="1">
      <alignment horizontal="left" vertical="top"/>
    </xf>
    <xf numFmtId="2" fontId="50" fillId="0" borderId="28" xfId="0" applyNumberFormat="1" applyFont="1" applyFill="1" applyBorder="1" applyAlignment="1">
      <alignment horizontal="left" vertical="top"/>
    </xf>
    <xf numFmtId="2" fontId="50" fillId="0" borderId="52" xfId="0" applyNumberFormat="1" applyFont="1" applyFill="1" applyBorder="1" applyAlignment="1">
      <alignment horizontal="left" vertical="top"/>
    </xf>
    <xf numFmtId="1" fontId="37" fillId="0" borderId="49" xfId="0" applyNumberFormat="1" applyFont="1" applyFill="1" applyBorder="1" applyAlignment="1">
      <alignment horizontal="left"/>
    </xf>
    <xf numFmtId="1" fontId="37" fillId="0" borderId="50" xfId="0" applyNumberFormat="1" applyFont="1" applyFill="1" applyBorder="1" applyAlignment="1">
      <alignment horizontal="left"/>
    </xf>
    <xf numFmtId="2" fontId="50" fillId="0" borderId="53" xfId="0" applyNumberFormat="1" applyFont="1" applyFill="1" applyBorder="1" applyAlignment="1">
      <alignment horizontal="left" vertical="top"/>
    </xf>
    <xf numFmtId="2" fontId="41" fillId="0" borderId="54" xfId="0" applyNumberFormat="1" applyFont="1" applyFill="1" applyBorder="1" applyAlignment="1">
      <alignment horizontal="left" vertical="top"/>
    </xf>
    <xf numFmtId="2" fontId="50" fillId="0" borderId="54" xfId="0" applyNumberFormat="1" applyFont="1" applyFill="1" applyBorder="1" applyAlignment="1">
      <alignment horizontal="left" vertical="top"/>
    </xf>
    <xf numFmtId="2" fontId="50" fillId="0" borderId="55" xfId="0" applyNumberFormat="1" applyFont="1" applyFill="1" applyBorder="1" applyAlignment="1">
      <alignment horizontal="left" vertical="top"/>
    </xf>
    <xf numFmtId="2" fontId="50" fillId="0" borderId="56" xfId="0" applyNumberFormat="1" applyFont="1" applyFill="1" applyBorder="1" applyAlignment="1">
      <alignment horizontal="left" vertical="top"/>
    </xf>
    <xf numFmtId="9" fontId="35" fillId="0" borderId="0" xfId="6" applyNumberFormat="1" applyFont="1" applyBorder="1" applyAlignment="1">
      <alignment horizontal="left" vertical="top"/>
    </xf>
    <xf numFmtId="0" fontId="29" fillId="0" borderId="0" xfId="6" applyFont="1" applyBorder="1" applyAlignment="1">
      <alignment horizontal="left" vertical="top" wrapText="1"/>
    </xf>
    <xf numFmtId="0" fontId="29" fillId="0" borderId="0" xfId="6" applyFont="1" applyBorder="1" applyAlignment="1">
      <alignment horizontal="left" vertical="top"/>
    </xf>
    <xf numFmtId="0" fontId="27" fillId="0" borderId="0" xfId="6" applyNumberFormat="1" applyFont="1" applyAlignment="1">
      <alignment horizontal="left" vertical="top" wrapText="1"/>
    </xf>
    <xf numFmtId="0" fontId="0" fillId="7" borderId="0" xfId="0" applyFill="1"/>
    <xf numFmtId="0" fontId="38" fillId="0" borderId="0" xfId="0" applyFont="1" applyFill="1" applyBorder="1" applyAlignment="1">
      <alignment horizontal="left"/>
    </xf>
    <xf numFmtId="0" fontId="110" fillId="0" borderId="0" xfId="0" applyFont="1" applyFill="1"/>
    <xf numFmtId="9" fontId="37" fillId="0" borderId="0" xfId="0" applyNumberFormat="1" applyFont="1" applyFill="1"/>
    <xf numFmtId="9" fontId="37" fillId="0" borderId="44" xfId="3" applyFont="1" applyFill="1" applyBorder="1" applyAlignment="1">
      <alignment horizontal="left" vertical="top"/>
    </xf>
    <xf numFmtId="9" fontId="37" fillId="0" borderId="45" xfId="3" applyFont="1" applyFill="1" applyBorder="1" applyAlignment="1">
      <alignment horizontal="left" vertical="top"/>
    </xf>
    <xf numFmtId="9" fontId="37" fillId="0" borderId="58" xfId="3" applyFont="1" applyFill="1" applyBorder="1" applyAlignment="1">
      <alignment horizontal="left" vertical="top"/>
    </xf>
    <xf numFmtId="9" fontId="37" fillId="0" borderId="59" xfId="3" applyFont="1" applyFill="1" applyBorder="1" applyAlignment="1">
      <alignment horizontal="left" vertical="top"/>
    </xf>
    <xf numFmtId="0" fontId="37" fillId="0" borderId="10" xfId="0" applyFont="1" applyFill="1" applyBorder="1" applyAlignment="1">
      <alignment horizontal="left" vertical="top"/>
    </xf>
    <xf numFmtId="0" fontId="38" fillId="0" borderId="0" xfId="0" applyFont="1" applyFill="1" applyBorder="1" applyAlignment="1">
      <alignment horizontal="left" vertical="top"/>
    </xf>
    <xf numFmtId="171" fontId="38" fillId="7" borderId="0" xfId="0" applyNumberFormat="1" applyFont="1" applyFill="1" applyBorder="1"/>
    <xf numFmtId="171" fontId="37" fillId="7" borderId="0" xfId="0" applyNumberFormat="1" applyFont="1" applyFill="1"/>
    <xf numFmtId="171" fontId="26" fillId="0" borderId="0" xfId="0" applyNumberFormat="1" applyFont="1"/>
    <xf numFmtId="0" fontId="37" fillId="0" borderId="6" xfId="0" applyFont="1" applyFill="1" applyBorder="1" applyAlignment="1">
      <alignment horizontal="left" vertical="top"/>
    </xf>
    <xf numFmtId="0" fontId="37" fillId="0" borderId="7" xfId="0" applyFont="1" applyFill="1" applyBorder="1" applyAlignment="1">
      <alignment horizontal="left" vertical="top"/>
    </xf>
    <xf numFmtId="0" fontId="73" fillId="0" borderId="0" xfId="0" applyFont="1" applyFill="1" applyBorder="1" applyAlignment="1">
      <alignment horizontal="left" vertical="top"/>
    </xf>
    <xf numFmtId="171" fontId="26" fillId="7" borderId="0" xfId="0" applyNumberFormat="1" applyFont="1" applyFill="1" applyBorder="1"/>
    <xf numFmtId="171" fontId="37" fillId="7" borderId="0" xfId="0" applyNumberFormat="1" applyFont="1" applyFill="1" applyBorder="1" applyAlignment="1">
      <alignment horizontal="center"/>
    </xf>
    <xf numFmtId="171" fontId="37" fillId="7" borderId="0" xfId="0" applyNumberFormat="1" applyFont="1" applyFill="1" applyBorder="1"/>
    <xf numFmtId="171" fontId="26" fillId="7" borderId="0" xfId="0" applyNumberFormat="1" applyFont="1" applyFill="1"/>
    <xf numFmtId="0" fontId="38" fillId="0" borderId="2" xfId="0" applyFont="1" applyBorder="1"/>
    <xf numFmtId="9" fontId="37" fillId="0" borderId="44" xfId="0" applyNumberFormat="1" applyFont="1" applyFill="1" applyBorder="1" applyAlignment="1">
      <alignment horizontal="left" vertical="top"/>
    </xf>
    <xf numFmtId="9" fontId="37" fillId="0" borderId="67" xfId="0" applyNumberFormat="1" applyFont="1" applyFill="1" applyBorder="1" applyAlignment="1">
      <alignment horizontal="left" vertical="top"/>
    </xf>
    <xf numFmtId="9" fontId="37" fillId="0" borderId="49" xfId="0" applyNumberFormat="1" applyFont="1" applyFill="1" applyBorder="1" applyAlignment="1">
      <alignment horizontal="left" vertical="top"/>
    </xf>
    <xf numFmtId="9" fontId="37" fillId="0" borderId="68" xfId="0" applyNumberFormat="1" applyFont="1" applyFill="1" applyBorder="1" applyAlignment="1">
      <alignment horizontal="left" vertical="top"/>
    </xf>
    <xf numFmtId="9" fontId="37" fillId="3" borderId="49" xfId="0" applyNumberFormat="1" applyFont="1" applyFill="1" applyBorder="1" applyAlignment="1">
      <alignment horizontal="left" vertical="top"/>
    </xf>
    <xf numFmtId="9" fontId="37" fillId="3" borderId="68" xfId="0" applyNumberFormat="1" applyFont="1" applyFill="1" applyBorder="1" applyAlignment="1">
      <alignment horizontal="left" vertical="top"/>
    </xf>
    <xf numFmtId="9" fontId="37" fillId="0" borderId="53" xfId="0" applyNumberFormat="1" applyFont="1" applyFill="1" applyBorder="1" applyAlignment="1">
      <alignment horizontal="left" vertical="top"/>
    </xf>
    <xf numFmtId="9" fontId="37" fillId="0" borderId="69" xfId="0" applyNumberFormat="1" applyFont="1" applyFill="1" applyBorder="1" applyAlignment="1">
      <alignment horizontal="left" vertical="top"/>
    </xf>
    <xf numFmtId="0" fontId="37" fillId="0" borderId="48" xfId="0" applyFont="1" applyBorder="1"/>
    <xf numFmtId="0" fontId="0" fillId="0" borderId="50" xfId="0" applyBorder="1"/>
    <xf numFmtId="0" fontId="37" fillId="0" borderId="11" xfId="6" applyFont="1" applyFill="1" applyBorder="1" applyAlignment="1">
      <alignment horizontal="left" vertical="top"/>
    </xf>
    <xf numFmtId="0" fontId="37" fillId="0" borderId="50" xfId="6" applyFont="1" applyFill="1" applyBorder="1" applyAlignment="1">
      <alignment horizontal="left" vertical="top"/>
    </xf>
    <xf numFmtId="0" fontId="0" fillId="0" borderId="52" xfId="0" applyBorder="1"/>
    <xf numFmtId="0" fontId="38" fillId="6" borderId="6" xfId="0" applyFont="1" applyFill="1" applyBorder="1" applyAlignment="1">
      <alignment horizontal="left"/>
    </xf>
    <xf numFmtId="0" fontId="38" fillId="6" borderId="8" xfId="0" applyFont="1" applyFill="1" applyBorder="1" applyAlignment="1">
      <alignment horizontal="left"/>
    </xf>
    <xf numFmtId="0" fontId="38" fillId="13" borderId="6" xfId="0" applyFont="1" applyFill="1" applyBorder="1" applyAlignment="1">
      <alignment horizontal="left"/>
    </xf>
    <xf numFmtId="0" fontId="38" fillId="13" borderId="8" xfId="0" applyFont="1" applyFill="1" applyBorder="1" applyAlignment="1">
      <alignment horizontal="left"/>
    </xf>
    <xf numFmtId="0" fontId="37" fillId="0" borderId="70" xfId="0" applyFont="1" applyFill="1" applyBorder="1" applyAlignment="1">
      <alignment horizontal="left"/>
    </xf>
    <xf numFmtId="0" fontId="37" fillId="3" borderId="70" xfId="0" applyFont="1" applyFill="1" applyBorder="1"/>
    <xf numFmtId="0" fontId="0" fillId="0" borderId="70" xfId="0" applyFill="1" applyBorder="1" applyAlignment="1">
      <alignment horizontal="left"/>
    </xf>
    <xf numFmtId="9" fontId="0" fillId="0" borderId="44" xfId="0" applyNumberFormat="1" applyFill="1" applyBorder="1" applyAlignment="1">
      <alignment horizontal="left"/>
    </xf>
    <xf numFmtId="9" fontId="0" fillId="0" borderId="45" xfId="0" applyNumberFormat="1" applyFill="1" applyBorder="1" applyAlignment="1">
      <alignment horizontal="left"/>
    </xf>
    <xf numFmtId="9" fontId="0" fillId="3" borderId="45" xfId="0" applyNumberFormat="1" applyFill="1" applyBorder="1" applyAlignment="1">
      <alignment horizontal="left"/>
    </xf>
    <xf numFmtId="9" fontId="37" fillId="0" borderId="45" xfId="0" applyNumberFormat="1" applyFont="1" applyFill="1" applyBorder="1" applyAlignment="1">
      <alignment horizontal="left"/>
    </xf>
    <xf numFmtId="9" fontId="0" fillId="0" borderId="46" xfId="0" applyNumberFormat="1" applyFill="1" applyBorder="1" applyAlignment="1">
      <alignment horizontal="left"/>
    </xf>
    <xf numFmtId="9" fontId="0" fillId="0" borderId="49" xfId="7" applyFont="1" applyFill="1" applyBorder="1" applyAlignment="1">
      <alignment horizontal="left"/>
    </xf>
    <xf numFmtId="9" fontId="0" fillId="0" borderId="0" xfId="7" applyFont="1" applyFill="1" applyBorder="1" applyAlignment="1">
      <alignment horizontal="left"/>
    </xf>
    <xf numFmtId="9" fontId="0" fillId="3" borderId="0" xfId="7" applyFont="1" applyFill="1" applyBorder="1" applyAlignment="1">
      <alignment horizontal="left"/>
    </xf>
    <xf numFmtId="9" fontId="0" fillId="0" borderId="0" xfId="0" applyNumberFormat="1" applyFill="1" applyBorder="1" applyAlignment="1">
      <alignment horizontal="left"/>
    </xf>
    <xf numFmtId="9" fontId="0" fillId="0" borderId="50" xfId="0" applyNumberFormat="1" applyFill="1" applyBorder="1" applyAlignment="1">
      <alignment horizontal="left"/>
    </xf>
    <xf numFmtId="14" fontId="0" fillId="0" borderId="12" xfId="0" applyNumberFormat="1" applyFill="1" applyBorder="1" applyAlignment="1">
      <alignment horizontal="left"/>
    </xf>
    <xf numFmtId="14" fontId="0" fillId="0" borderId="48" xfId="0" applyNumberFormat="1" applyFill="1" applyBorder="1" applyAlignment="1">
      <alignment horizontal="left"/>
    </xf>
    <xf numFmtId="14" fontId="0" fillId="0" borderId="11" xfId="3" applyNumberFormat="1" applyFont="1" applyFill="1" applyBorder="1" applyAlignment="1">
      <alignment horizontal="left"/>
    </xf>
    <xf numFmtId="14" fontId="0" fillId="0" borderId="50" xfId="3" applyNumberFormat="1" applyFont="1" applyFill="1" applyBorder="1" applyAlignment="1">
      <alignment horizontal="left"/>
    </xf>
    <xf numFmtId="0" fontId="26" fillId="0" borderId="0" xfId="0" applyFont="1"/>
    <xf numFmtId="9" fontId="37" fillId="0" borderId="71" xfId="3" applyFont="1" applyBorder="1" applyAlignment="1">
      <alignment horizontal="left"/>
    </xf>
    <xf numFmtId="9" fontId="37" fillId="0" borderId="72" xfId="3" applyFont="1" applyBorder="1" applyAlignment="1">
      <alignment horizontal="left"/>
    </xf>
    <xf numFmtId="9" fontId="37" fillId="0" borderId="73" xfId="3" applyFont="1" applyBorder="1" applyAlignment="1">
      <alignment horizontal="left"/>
    </xf>
    <xf numFmtId="171" fontId="112" fillId="0" borderId="0" xfId="0" applyNumberFormat="1" applyFont="1" applyBorder="1"/>
    <xf numFmtId="0" fontId="112" fillId="0" borderId="0" xfId="0" applyFont="1" applyBorder="1" applyAlignment="1">
      <alignment horizontal="left"/>
    </xf>
    <xf numFmtId="0" fontId="112" fillId="0" borderId="12" xfId="0" applyFont="1" applyBorder="1" applyAlignment="1">
      <alignment horizontal="left"/>
    </xf>
    <xf numFmtId="171" fontId="112" fillId="0" borderId="5" xfId="0" applyNumberFormat="1" applyFont="1" applyFill="1" applyBorder="1"/>
    <xf numFmtId="0" fontId="112" fillId="0" borderId="11" xfId="0" applyFont="1" applyBorder="1" applyAlignment="1">
      <alignment horizontal="left"/>
    </xf>
    <xf numFmtId="171" fontId="112" fillId="0" borderId="0" xfId="0" applyNumberFormat="1" applyFont="1" applyFill="1" applyBorder="1"/>
    <xf numFmtId="0" fontId="112" fillId="0" borderId="13" xfId="0" applyFont="1" applyBorder="1" applyAlignment="1">
      <alignment horizontal="left"/>
    </xf>
    <xf numFmtId="171" fontId="112" fillId="0" borderId="14" xfId="0" applyNumberFormat="1" applyFont="1" applyFill="1" applyBorder="1"/>
    <xf numFmtId="171" fontId="112" fillId="0" borderId="12" xfId="0" applyNumberFormat="1" applyFont="1" applyBorder="1"/>
    <xf numFmtId="171" fontId="112" fillId="0" borderId="11" xfId="0" applyNumberFormat="1" applyFont="1" applyBorder="1"/>
    <xf numFmtId="171" fontId="112" fillId="0" borderId="13" xfId="0" applyNumberFormat="1" applyFont="1" applyBorder="1"/>
    <xf numFmtId="0" fontId="112" fillId="0" borderId="0" xfId="0" applyFont="1" applyBorder="1" applyAlignment="1">
      <alignment horizontal="right"/>
    </xf>
    <xf numFmtId="0" fontId="114" fillId="0" borderId="0" xfId="6" applyFont="1" applyAlignment="1">
      <alignment horizontal="left" vertical="top"/>
    </xf>
    <xf numFmtId="0" fontId="25" fillId="0" borderId="1" xfId="6" applyFont="1" applyBorder="1" applyAlignment="1">
      <alignment horizontal="left" vertical="top"/>
    </xf>
    <xf numFmtId="0" fontId="35" fillId="0" borderId="1" xfId="6" applyFont="1" applyBorder="1" applyAlignment="1">
      <alignment horizontal="left" vertical="top"/>
    </xf>
    <xf numFmtId="0" fontId="25" fillId="0" borderId="4" xfId="6" applyFont="1" applyBorder="1" applyAlignment="1">
      <alignment horizontal="left" vertical="top"/>
    </xf>
    <xf numFmtId="0" fontId="38" fillId="13" borderId="2" xfId="6" applyFont="1" applyFill="1" applyBorder="1" applyAlignment="1">
      <alignment horizontal="center" vertical="top"/>
    </xf>
    <xf numFmtId="0" fontId="38" fillId="13" borderId="4" xfId="6" applyFont="1" applyFill="1" applyBorder="1" applyAlignment="1">
      <alignment horizontal="center" vertical="top"/>
    </xf>
    <xf numFmtId="0" fontId="37" fillId="14" borderId="10" xfId="0" applyFont="1" applyFill="1" applyBorder="1" applyAlignment="1">
      <alignment horizontal="left" vertical="top"/>
    </xf>
    <xf numFmtId="0" fontId="24" fillId="0" borderId="0" xfId="6" applyFont="1" applyAlignment="1">
      <alignment horizontal="left" vertical="top"/>
    </xf>
    <xf numFmtId="0" fontId="81" fillId="0" borderId="0" xfId="6" applyFont="1" applyAlignment="1">
      <alignment horizontal="left" vertical="top"/>
    </xf>
    <xf numFmtId="0" fontId="62" fillId="0" borderId="1" xfId="6" applyFont="1" applyBorder="1" applyAlignment="1">
      <alignment horizontal="left" vertical="top"/>
    </xf>
    <xf numFmtId="0" fontId="24" fillId="0" borderId="1" xfId="6" applyFont="1" applyBorder="1" applyAlignment="1">
      <alignment horizontal="left" vertical="top"/>
    </xf>
    <xf numFmtId="0" fontId="79" fillId="0" borderId="1" xfId="0" applyFont="1" applyFill="1" applyBorder="1" applyAlignment="1">
      <alignment horizontal="left"/>
    </xf>
    <xf numFmtId="0" fontId="48" fillId="0" borderId="1" xfId="0" applyFont="1" applyFill="1" applyBorder="1" applyAlignment="1">
      <alignment horizontal="left"/>
    </xf>
    <xf numFmtId="0" fontId="48" fillId="0" borderId="2" xfId="6" applyFont="1" applyBorder="1" applyAlignment="1">
      <alignment horizontal="left" vertical="top"/>
    </xf>
    <xf numFmtId="0" fontId="77" fillId="8" borderId="11" xfId="0" applyFont="1" applyFill="1" applyBorder="1" applyAlignment="1">
      <alignment horizontal="left" vertical="top"/>
    </xf>
    <xf numFmtId="0" fontId="37" fillId="0" borderId="11" xfId="6" applyFont="1" applyBorder="1" applyAlignment="1">
      <alignment horizontal="left" vertical="top"/>
    </xf>
    <xf numFmtId="0" fontId="35" fillId="0" borderId="11" xfId="6" applyFont="1" applyBorder="1" applyAlignment="1">
      <alignment horizontal="left" vertical="top"/>
    </xf>
    <xf numFmtId="0" fontId="24" fillId="0" borderId="11" xfId="6" applyFont="1" applyBorder="1" applyAlignment="1">
      <alignment horizontal="left" vertical="top"/>
    </xf>
    <xf numFmtId="0" fontId="48" fillId="0" borderId="6" xfId="6" applyFont="1" applyBorder="1" applyAlignment="1">
      <alignment horizontal="left" vertical="top"/>
    </xf>
    <xf numFmtId="0" fontId="48" fillId="0" borderId="7" xfId="6" applyFont="1" applyBorder="1" applyAlignment="1">
      <alignment horizontal="left" vertical="top"/>
    </xf>
    <xf numFmtId="0" fontId="48" fillId="0" borderId="15" xfId="6" applyFont="1" applyBorder="1" applyAlignment="1">
      <alignment horizontal="left" vertical="top"/>
    </xf>
    <xf numFmtId="9" fontId="121" fillId="0" borderId="3" xfId="6" applyNumberFormat="1" applyFont="1" applyBorder="1" applyAlignment="1">
      <alignment horizontal="center" vertical="top"/>
    </xf>
    <xf numFmtId="0" fontId="35" fillId="7" borderId="0" xfId="6" applyFont="1" applyFill="1" applyBorder="1" applyAlignment="1">
      <alignment horizontal="left" vertical="top"/>
    </xf>
    <xf numFmtId="0" fontId="35" fillId="7" borderId="0" xfId="6" applyFont="1" applyFill="1" applyBorder="1" applyAlignment="1">
      <alignment horizontal="left" vertical="top" wrapText="1"/>
    </xf>
    <xf numFmtId="0" fontId="35" fillId="7" borderId="0" xfId="6" applyFont="1" applyFill="1" applyBorder="1" applyAlignment="1">
      <alignment horizontal="center" vertical="top"/>
    </xf>
    <xf numFmtId="0" fontId="38" fillId="7" borderId="0" xfId="6" applyFont="1" applyFill="1" applyBorder="1" applyAlignment="1">
      <alignment horizontal="center" vertical="top"/>
    </xf>
    <xf numFmtId="0" fontId="37" fillId="7" borderId="0" xfId="6" applyFont="1" applyFill="1" applyBorder="1" applyAlignment="1">
      <alignment horizontal="left" vertical="top"/>
    </xf>
    <xf numFmtId="0" fontId="49" fillId="13" borderId="2" xfId="6" applyFont="1" applyFill="1" applyBorder="1" applyAlignment="1">
      <alignment horizontal="left" vertical="top"/>
    </xf>
    <xf numFmtId="0" fontId="49" fillId="13" borderId="4" xfId="6" applyFont="1" applyFill="1" applyBorder="1" applyAlignment="1">
      <alignment horizontal="left" vertical="top"/>
    </xf>
    <xf numFmtId="0" fontId="49" fillId="13" borderId="2" xfId="6" applyFont="1" applyFill="1" applyBorder="1" applyAlignment="1">
      <alignment horizontal="center" vertical="top"/>
    </xf>
    <xf numFmtId="0" fontId="49" fillId="13" borderId="4" xfId="6" applyFont="1" applyFill="1" applyBorder="1" applyAlignment="1">
      <alignment horizontal="center" vertical="top"/>
    </xf>
    <xf numFmtId="0" fontId="49" fillId="13" borderId="3" xfId="6" applyFont="1" applyFill="1" applyBorder="1" applyAlignment="1">
      <alignment horizontal="left" vertical="top"/>
    </xf>
    <xf numFmtId="0" fontId="37" fillId="14" borderId="6" xfId="6" applyFont="1" applyFill="1" applyBorder="1" applyAlignment="1">
      <alignment horizontal="left" vertical="top"/>
    </xf>
    <xf numFmtId="0" fontId="37" fillId="14" borderId="7" xfId="6" applyFont="1" applyFill="1" applyBorder="1" applyAlignment="1">
      <alignment horizontal="left" vertical="top"/>
    </xf>
    <xf numFmtId="9" fontId="35" fillId="14" borderId="6" xfId="6" applyNumberFormat="1" applyFont="1" applyFill="1" applyBorder="1" applyAlignment="1">
      <alignment horizontal="left" vertical="top"/>
    </xf>
    <xf numFmtId="9" fontId="35" fillId="14" borderId="7" xfId="6" applyNumberFormat="1" applyFont="1" applyFill="1" applyBorder="1" applyAlignment="1">
      <alignment horizontal="left" vertical="top"/>
    </xf>
    <xf numFmtId="9" fontId="35" fillId="14" borderId="8" xfId="6" applyNumberFormat="1" applyFont="1" applyFill="1" applyBorder="1" applyAlignment="1">
      <alignment horizontal="left" vertical="top"/>
    </xf>
    <xf numFmtId="9" fontId="38" fillId="14" borderId="3" xfId="6" applyNumberFormat="1" applyFont="1" applyFill="1" applyBorder="1" applyAlignment="1">
      <alignment horizontal="center" vertical="top"/>
    </xf>
    <xf numFmtId="0" fontId="35" fillId="14" borderId="8" xfId="6" applyFont="1" applyFill="1" applyBorder="1" applyAlignment="1">
      <alignment horizontal="left" vertical="top"/>
    </xf>
    <xf numFmtId="165" fontId="35" fillId="14" borderId="8" xfId="6" applyNumberFormat="1" applyFont="1" applyFill="1" applyBorder="1" applyAlignment="1">
      <alignment horizontal="left" vertical="top"/>
    </xf>
    <xf numFmtId="9" fontId="59" fillId="14" borderId="3" xfId="6" applyNumberFormat="1" applyFont="1" applyFill="1" applyBorder="1" applyAlignment="1">
      <alignment horizontal="center" vertical="top"/>
    </xf>
    <xf numFmtId="0" fontId="37" fillId="14" borderId="8" xfId="6" applyFont="1" applyFill="1" applyBorder="1" applyAlignment="1">
      <alignment horizontal="left" vertical="top"/>
    </xf>
    <xf numFmtId="9" fontId="35" fillId="14" borderId="6" xfId="3" applyFont="1" applyFill="1" applyBorder="1" applyAlignment="1">
      <alignment horizontal="left" vertical="top"/>
    </xf>
    <xf numFmtId="9" fontId="35" fillId="14" borderId="7" xfId="3" applyFont="1" applyFill="1" applyBorder="1" applyAlignment="1">
      <alignment horizontal="left" vertical="top"/>
    </xf>
    <xf numFmtId="9" fontId="35" fillId="14" borderId="8" xfId="3" applyFont="1" applyFill="1" applyBorder="1" applyAlignment="1">
      <alignment horizontal="left" vertical="top"/>
    </xf>
    <xf numFmtId="0" fontId="50" fillId="14" borderId="6" xfId="6" applyFont="1" applyFill="1" applyBorder="1" applyAlignment="1">
      <alignment horizontal="left" vertical="top"/>
    </xf>
    <xf numFmtId="0" fontId="50" fillId="14" borderId="8" xfId="6" applyFont="1" applyFill="1" applyBorder="1" applyAlignment="1">
      <alignment horizontal="left" vertical="top"/>
    </xf>
    <xf numFmtId="9" fontId="50" fillId="14" borderId="6" xfId="3" applyFont="1" applyFill="1" applyBorder="1" applyAlignment="1">
      <alignment horizontal="left" vertical="top"/>
    </xf>
    <xf numFmtId="9" fontId="50" fillId="14" borderId="7" xfId="3" applyFont="1" applyFill="1" applyBorder="1" applyAlignment="1">
      <alignment horizontal="left" vertical="top"/>
    </xf>
    <xf numFmtId="9" fontId="50" fillId="14" borderId="8" xfId="3" applyFont="1" applyFill="1" applyBorder="1" applyAlignment="1">
      <alignment horizontal="left" vertical="top"/>
    </xf>
    <xf numFmtId="0" fontId="38" fillId="0" borderId="0" xfId="6" applyFont="1" applyFill="1" applyBorder="1" applyAlignment="1">
      <alignment horizontal="center" vertical="top"/>
    </xf>
    <xf numFmtId="0" fontId="49" fillId="7" borderId="0" xfId="6" applyFont="1" applyFill="1" applyBorder="1" applyAlignment="1">
      <alignment horizontal="left" vertical="top"/>
    </xf>
    <xf numFmtId="0" fontId="35" fillId="7" borderId="0" xfId="6" applyFont="1" applyFill="1" applyAlignment="1">
      <alignment horizontal="left" vertical="top"/>
    </xf>
    <xf numFmtId="0" fontId="38" fillId="6" borderId="13" xfId="6" applyFont="1" applyFill="1" applyBorder="1" applyAlignment="1">
      <alignment horizontal="left" vertical="top"/>
    </xf>
    <xf numFmtId="0" fontId="38" fillId="6" borderId="9" xfId="6" applyFont="1" applyFill="1" applyBorder="1" applyAlignment="1">
      <alignment horizontal="left" vertical="top"/>
    </xf>
    <xf numFmtId="0" fontId="49" fillId="7" borderId="11" xfId="6" applyFont="1" applyFill="1" applyBorder="1" applyAlignment="1">
      <alignment horizontal="left" vertical="top"/>
    </xf>
    <xf numFmtId="0" fontId="64" fillId="0" borderId="35" xfId="5" applyFont="1" applyFill="1" applyBorder="1" applyProtection="1"/>
    <xf numFmtId="0" fontId="35" fillId="14" borderId="1" xfId="6" applyFont="1" applyFill="1" applyBorder="1" applyAlignment="1">
      <alignment horizontal="left" vertical="top"/>
    </xf>
    <xf numFmtId="0" fontId="25" fillId="14" borderId="1" xfId="6" applyFont="1" applyFill="1" applyBorder="1" applyAlignment="1">
      <alignment horizontal="left" vertical="top"/>
    </xf>
    <xf numFmtId="0" fontId="25" fillId="14" borderId="2" xfId="6" applyFont="1" applyFill="1" applyBorder="1" applyAlignment="1">
      <alignment horizontal="left" vertical="top"/>
    </xf>
    <xf numFmtId="0" fontId="69" fillId="14" borderId="1" xfId="0" applyFont="1" applyFill="1" applyBorder="1" applyAlignment="1">
      <alignment horizontal="left"/>
    </xf>
    <xf numFmtId="9" fontId="37" fillId="14" borderId="3" xfId="6" applyNumberFormat="1" applyFont="1" applyFill="1" applyBorder="1" applyAlignment="1">
      <alignment horizontal="left" vertical="top"/>
    </xf>
    <xf numFmtId="164" fontId="35" fillId="14" borderId="3" xfId="6" applyNumberFormat="1" applyFont="1" applyFill="1" applyBorder="1" applyAlignment="1">
      <alignment horizontal="left" vertical="top"/>
    </xf>
    <xf numFmtId="9" fontId="49" fillId="12" borderId="3" xfId="6" applyNumberFormat="1" applyFont="1" applyFill="1" applyBorder="1" applyAlignment="1">
      <alignment horizontal="left" vertical="top"/>
    </xf>
    <xf numFmtId="0" fontId="124" fillId="0" borderId="0" xfId="6" applyFont="1" applyAlignment="1">
      <alignment horizontal="left" vertical="top"/>
    </xf>
    <xf numFmtId="0" fontId="123" fillId="13" borderId="3" xfId="6" applyFont="1" applyFill="1" applyBorder="1" applyAlignment="1">
      <alignment horizontal="left" vertical="top"/>
    </xf>
    <xf numFmtId="0" fontId="123" fillId="0" borderId="0" xfId="6" applyFont="1" applyFill="1" applyAlignment="1">
      <alignment horizontal="center" vertical="top"/>
    </xf>
    <xf numFmtId="9" fontId="48" fillId="0" borderId="3" xfId="6" applyNumberFormat="1" applyFont="1" applyBorder="1" applyAlignment="1">
      <alignment horizontal="left" vertical="top"/>
    </xf>
    <xf numFmtId="9" fontId="48" fillId="0" borderId="3" xfId="3" applyFont="1" applyBorder="1" applyAlignment="1">
      <alignment horizontal="left" vertical="top"/>
    </xf>
    <xf numFmtId="9" fontId="48" fillId="14" borderId="3" xfId="6" applyNumberFormat="1" applyFont="1" applyFill="1" applyBorder="1" applyAlignment="1">
      <alignment horizontal="left" vertical="top"/>
    </xf>
    <xf numFmtId="9" fontId="48" fillId="14" borderId="3" xfId="3" applyFont="1" applyFill="1" applyBorder="1" applyAlignment="1">
      <alignment horizontal="left" vertical="top"/>
    </xf>
    <xf numFmtId="0" fontId="37" fillId="14" borderId="0" xfId="0" applyFont="1" applyFill="1" applyAlignment="1">
      <alignment horizontal="left"/>
    </xf>
    <xf numFmtId="0" fontId="37" fillId="14" borderId="0" xfId="6" applyFont="1" applyFill="1" applyBorder="1" applyAlignment="1">
      <alignment horizontal="left" vertical="top"/>
    </xf>
    <xf numFmtId="0" fontId="0" fillId="14" borderId="0" xfId="0" applyFill="1" applyAlignment="1">
      <alignment horizontal="left"/>
    </xf>
    <xf numFmtId="0" fontId="48" fillId="14" borderId="0" xfId="0" applyFont="1" applyFill="1" applyAlignment="1">
      <alignment horizontal="left"/>
    </xf>
    <xf numFmtId="1" fontId="0" fillId="14" borderId="0" xfId="0" applyNumberFormat="1" applyFill="1" applyAlignment="1">
      <alignment horizontal="left"/>
    </xf>
    <xf numFmtId="9" fontId="0" fillId="14" borderId="0" xfId="0" applyNumberFormat="1" applyFill="1" applyAlignment="1">
      <alignment horizontal="left"/>
    </xf>
    <xf numFmtId="9" fontId="0" fillId="14" borderId="0" xfId="3" applyFont="1" applyFill="1" applyAlignment="1">
      <alignment horizontal="left"/>
    </xf>
    <xf numFmtId="164" fontId="0" fillId="14" borderId="0" xfId="0" applyNumberFormat="1" applyFill="1" applyAlignment="1">
      <alignment horizontal="left"/>
    </xf>
    <xf numFmtId="164" fontId="47" fillId="14" borderId="0" xfId="0" applyNumberFormat="1" applyFont="1" applyFill="1" applyAlignment="1">
      <alignment horizontal="left"/>
    </xf>
    <xf numFmtId="164" fontId="0" fillId="14" borderId="0" xfId="3" applyNumberFormat="1" applyFont="1" applyFill="1" applyAlignment="1">
      <alignment horizontal="left"/>
    </xf>
    <xf numFmtId="9" fontId="0" fillId="14" borderId="36" xfId="3" applyFont="1" applyFill="1" applyBorder="1" applyAlignment="1">
      <alignment horizontal="left"/>
    </xf>
    <xf numFmtId="9" fontId="0" fillId="14" borderId="0" xfId="3" applyFont="1" applyFill="1" applyBorder="1" applyAlignment="1">
      <alignment horizontal="left"/>
    </xf>
    <xf numFmtId="9" fontId="0" fillId="14" borderId="42" xfId="3" applyFont="1" applyFill="1" applyBorder="1" applyAlignment="1">
      <alignment horizontal="left"/>
    </xf>
    <xf numFmtId="9" fontId="0" fillId="14" borderId="0" xfId="3" applyNumberFormat="1" applyFont="1" applyFill="1" applyAlignment="1">
      <alignment horizontal="left"/>
    </xf>
    <xf numFmtId="0" fontId="47" fillId="14" borderId="0" xfId="0" applyFont="1" applyFill="1" applyAlignment="1">
      <alignment horizontal="left"/>
    </xf>
    <xf numFmtId="164" fontId="37" fillId="14" borderId="0" xfId="3" applyNumberFormat="1" applyFont="1" applyFill="1" applyAlignment="1">
      <alignment horizontal="left"/>
    </xf>
    <xf numFmtId="1" fontId="37" fillId="14" borderId="0" xfId="0" applyNumberFormat="1" applyFont="1" applyFill="1" applyAlignment="1">
      <alignment horizontal="left"/>
    </xf>
    <xf numFmtId="164" fontId="37" fillId="14" borderId="0" xfId="0" applyNumberFormat="1" applyFont="1" applyFill="1" applyAlignment="1">
      <alignment horizontal="left"/>
    </xf>
    <xf numFmtId="0" fontId="41" fillId="14" borderId="0" xfId="0" applyFont="1" applyFill="1" applyAlignment="1">
      <alignment horizontal="left"/>
    </xf>
    <xf numFmtId="1" fontId="41" fillId="14" borderId="0" xfId="0" applyNumberFormat="1" applyFont="1" applyFill="1" applyAlignment="1">
      <alignment horizontal="left"/>
    </xf>
    <xf numFmtId="1" fontId="57" fillId="14" borderId="0" xfId="0" applyNumberFormat="1" applyFont="1" applyFill="1" applyAlignment="1">
      <alignment horizontal="left"/>
    </xf>
    <xf numFmtId="164" fontId="41" fillId="14" borderId="0" xfId="0" applyNumberFormat="1" applyFont="1" applyFill="1" applyAlignment="1">
      <alignment horizontal="left"/>
    </xf>
    <xf numFmtId="164" fontId="57" fillId="14" borderId="0" xfId="0" applyNumberFormat="1" applyFont="1" applyFill="1" applyAlignment="1">
      <alignment horizontal="left"/>
    </xf>
    <xf numFmtId="0" fontId="49" fillId="14" borderId="5" xfId="6" applyFont="1" applyFill="1" applyBorder="1" applyAlignment="1">
      <alignment horizontal="left"/>
    </xf>
    <xf numFmtId="0" fontId="33" fillId="14" borderId="5" xfId="6" applyFont="1" applyFill="1" applyBorder="1" applyAlignment="1">
      <alignment horizontal="left"/>
    </xf>
    <xf numFmtId="0" fontId="35" fillId="14" borderId="5" xfId="6" applyFont="1" applyFill="1" applyBorder="1" applyAlignment="1">
      <alignment horizontal="left"/>
    </xf>
    <xf numFmtId="0" fontId="35" fillId="14" borderId="29" xfId="6" applyFont="1" applyFill="1" applyBorder="1" applyAlignment="1">
      <alignment horizontal="left"/>
    </xf>
    <xf numFmtId="0" fontId="50" fillId="14" borderId="5" xfId="6" applyFont="1" applyFill="1" applyBorder="1" applyAlignment="1">
      <alignment horizontal="left"/>
    </xf>
    <xf numFmtId="0" fontId="50" fillId="14" borderId="29" xfId="6" applyFont="1" applyFill="1" applyBorder="1" applyAlignment="1">
      <alignment horizontal="left"/>
    </xf>
    <xf numFmtId="0" fontId="56" fillId="14" borderId="5" xfId="6" applyFont="1" applyFill="1" applyBorder="1" applyAlignment="1">
      <alignment horizontal="right"/>
    </xf>
    <xf numFmtId="0" fontId="56" fillId="14" borderId="5" xfId="6" applyFont="1" applyFill="1" applyBorder="1" applyAlignment="1">
      <alignment horizontal="left"/>
    </xf>
    <xf numFmtId="0" fontId="35" fillId="14" borderId="0" xfId="6" applyFont="1" applyFill="1" applyBorder="1" applyAlignment="1">
      <alignment horizontal="left"/>
    </xf>
    <xf numFmtId="0" fontId="35" fillId="14" borderId="22" xfId="6" applyFont="1" applyFill="1" applyBorder="1" applyAlignment="1">
      <alignment horizontal="left"/>
    </xf>
    <xf numFmtId="9" fontId="50" fillId="14" borderId="27" xfId="7" applyFont="1" applyFill="1" applyBorder="1" applyAlignment="1">
      <alignment horizontal="left"/>
    </xf>
    <xf numFmtId="165" fontId="50" fillId="14" borderId="0" xfId="7" applyNumberFormat="1" applyFont="1" applyFill="1" applyBorder="1" applyAlignment="1">
      <alignment horizontal="left"/>
    </xf>
    <xf numFmtId="0" fontId="56" fillId="14" borderId="35" xfId="6" applyFont="1" applyFill="1" applyBorder="1" applyAlignment="1">
      <alignment horizontal="right"/>
    </xf>
    <xf numFmtId="0" fontId="56" fillId="14" borderId="35" xfId="6" applyFont="1" applyFill="1" applyBorder="1" applyAlignment="1">
      <alignment horizontal="left"/>
    </xf>
    <xf numFmtId="1" fontId="50" fillId="14" borderId="35" xfId="6" applyNumberFormat="1" applyFont="1" applyFill="1" applyBorder="1" applyAlignment="1">
      <alignment horizontal="left"/>
    </xf>
    <xf numFmtId="1" fontId="56" fillId="14" borderId="35" xfId="6" applyNumberFormat="1" applyFont="1" applyFill="1" applyBorder="1" applyAlignment="1">
      <alignment horizontal="left"/>
    </xf>
    <xf numFmtId="0" fontId="65" fillId="14" borderId="35" xfId="6" applyFont="1" applyFill="1" applyBorder="1" applyAlignment="1">
      <alignment horizontal="left"/>
    </xf>
    <xf numFmtId="0" fontId="56" fillId="14" borderId="0" xfId="6" applyFont="1" applyFill="1" applyBorder="1" applyAlignment="1">
      <alignment horizontal="left"/>
    </xf>
    <xf numFmtId="0" fontId="50" fillId="14" borderId="0" xfId="6" applyFont="1" applyFill="1" applyBorder="1" applyAlignment="1">
      <alignment horizontal="left"/>
    </xf>
    <xf numFmtId="0" fontId="50" fillId="14" borderId="22" xfId="6" applyFont="1" applyFill="1" applyBorder="1" applyAlignment="1">
      <alignment horizontal="left"/>
    </xf>
    <xf numFmtId="0" fontId="56" fillId="14" borderId="0" xfId="6" applyFont="1" applyFill="1" applyBorder="1" applyAlignment="1">
      <alignment horizontal="right"/>
    </xf>
    <xf numFmtId="1" fontId="56" fillId="14" borderId="0" xfId="6" applyNumberFormat="1" applyFont="1" applyFill="1" applyBorder="1" applyAlignment="1">
      <alignment horizontal="left"/>
    </xf>
    <xf numFmtId="9" fontId="50" fillId="14" borderId="22" xfId="7" applyFont="1" applyFill="1" applyBorder="1" applyAlignment="1">
      <alignment horizontal="left"/>
    </xf>
    <xf numFmtId="9" fontId="50" fillId="14" borderId="0" xfId="7" applyFont="1" applyFill="1" applyBorder="1" applyAlignment="1">
      <alignment horizontal="left"/>
    </xf>
    <xf numFmtId="2" fontId="56" fillId="14" borderId="0" xfId="6" applyNumberFormat="1" applyFont="1" applyFill="1" applyBorder="1" applyAlignment="1">
      <alignment horizontal="left"/>
    </xf>
    <xf numFmtId="1" fontId="50" fillId="14" borderId="0" xfId="6" applyNumberFormat="1" applyFont="1" applyFill="1" applyBorder="1" applyAlignment="1">
      <alignment horizontal="left"/>
    </xf>
    <xf numFmtId="1" fontId="65" fillId="14" borderId="0" xfId="6" applyNumberFormat="1" applyFont="1" applyFill="1" applyBorder="1" applyAlignment="1">
      <alignment horizontal="left"/>
    </xf>
    <xf numFmtId="0" fontId="62" fillId="14" borderId="29" xfId="6" applyFont="1" applyFill="1" applyBorder="1" applyAlignment="1">
      <alignment horizontal="left"/>
    </xf>
    <xf numFmtId="9" fontId="50" fillId="14" borderId="27" xfId="6" applyNumberFormat="1" applyFont="1" applyFill="1" applyBorder="1" applyAlignment="1">
      <alignment horizontal="left"/>
    </xf>
    <xf numFmtId="9" fontId="37" fillId="14" borderId="27" xfId="6" applyNumberFormat="1" applyFont="1" applyFill="1" applyBorder="1" applyAlignment="1">
      <alignment horizontal="left"/>
    </xf>
    <xf numFmtId="9" fontId="37" fillId="14" borderId="5" xfId="6" applyNumberFormat="1" applyFont="1" applyFill="1" applyBorder="1" applyAlignment="1">
      <alignment horizontal="left"/>
    </xf>
    <xf numFmtId="0" fontId="49" fillId="14" borderId="0" xfId="6" applyFont="1" applyFill="1" applyBorder="1" applyAlignment="1">
      <alignment horizontal="left"/>
    </xf>
    <xf numFmtId="0" fontId="62" fillId="14" borderId="22" xfId="6" applyFont="1" applyFill="1" applyBorder="1" applyAlignment="1">
      <alignment horizontal="left"/>
    </xf>
    <xf numFmtId="0" fontId="50" fillId="14" borderId="0" xfId="6" applyFont="1" applyFill="1" applyBorder="1" applyAlignment="1">
      <alignment horizontal="right"/>
    </xf>
    <xf numFmtId="9" fontId="65" fillId="14" borderId="22" xfId="6" applyNumberFormat="1" applyFont="1" applyFill="1" applyBorder="1" applyAlignment="1">
      <alignment horizontal="left"/>
    </xf>
    <xf numFmtId="1" fontId="50" fillId="14" borderId="22" xfId="6" applyNumberFormat="1" applyFont="1" applyFill="1" applyBorder="1" applyAlignment="1">
      <alignment horizontal="left"/>
    </xf>
    <xf numFmtId="0" fontId="30" fillId="14" borderId="0" xfId="6" applyFont="1" applyFill="1" applyBorder="1" applyAlignment="1">
      <alignment horizontal="left"/>
    </xf>
    <xf numFmtId="0" fontId="56" fillId="14" borderId="0" xfId="6" applyFont="1" applyFill="1" applyAlignment="1">
      <alignment horizontal="left"/>
    </xf>
    <xf numFmtId="0" fontId="56" fillId="14" borderId="33" xfId="6" applyFont="1" applyFill="1" applyBorder="1" applyAlignment="1">
      <alignment horizontal="left"/>
    </xf>
    <xf numFmtId="0" fontId="62" fillId="14" borderId="0" xfId="6" applyFont="1" applyFill="1" applyBorder="1" applyAlignment="1">
      <alignment horizontal="left"/>
    </xf>
    <xf numFmtId="0" fontId="35" fillId="14" borderId="38" xfId="6" applyFont="1" applyFill="1" applyBorder="1" applyAlignment="1">
      <alignment horizontal="left"/>
    </xf>
    <xf numFmtId="10" fontId="50" fillId="14" borderId="22" xfId="6" applyNumberFormat="1" applyFont="1" applyFill="1" applyBorder="1" applyAlignment="1">
      <alignment horizontal="left"/>
    </xf>
    <xf numFmtId="9" fontId="50" fillId="14" borderId="22" xfId="6" applyNumberFormat="1" applyFont="1" applyFill="1" applyBorder="1" applyAlignment="1">
      <alignment horizontal="left"/>
    </xf>
    <xf numFmtId="9" fontId="50" fillId="14" borderId="0" xfId="6" applyNumberFormat="1" applyFont="1" applyFill="1" applyBorder="1" applyAlignment="1">
      <alignment horizontal="left"/>
    </xf>
    <xf numFmtId="0" fontId="33" fillId="14" borderId="0" xfId="6" applyFont="1" applyFill="1" applyBorder="1" applyAlignment="1">
      <alignment horizontal="left"/>
    </xf>
    <xf numFmtId="9" fontId="50" fillId="14" borderId="0" xfId="3" applyFont="1" applyFill="1" applyBorder="1" applyAlignment="1">
      <alignment horizontal="left"/>
    </xf>
    <xf numFmtId="9" fontId="50" fillId="14" borderId="22" xfId="3" applyFont="1" applyFill="1" applyBorder="1" applyAlignment="1">
      <alignment horizontal="left"/>
    </xf>
    <xf numFmtId="0" fontId="50" fillId="14" borderId="14" xfId="6" applyFont="1" applyFill="1" applyBorder="1" applyAlignment="1">
      <alignment horizontal="left"/>
    </xf>
    <xf numFmtId="0" fontId="56" fillId="14" borderId="14" xfId="6" applyFont="1" applyFill="1" applyBorder="1" applyAlignment="1">
      <alignment horizontal="left"/>
    </xf>
    <xf numFmtId="0" fontId="114" fillId="0" borderId="0" xfId="6" applyFont="1" applyFill="1" applyAlignment="1">
      <alignment horizontal="left" vertical="top"/>
    </xf>
    <xf numFmtId="0" fontId="125" fillId="0" borderId="0" xfId="6" applyFont="1" applyFill="1" applyAlignment="1">
      <alignment horizontal="left" vertical="top"/>
    </xf>
    <xf numFmtId="0" fontId="114" fillId="0" borderId="0" xfId="6" applyFont="1" applyFill="1" applyAlignment="1">
      <alignment horizontal="left" vertical="top" wrapText="1" indent="7"/>
    </xf>
    <xf numFmtId="0" fontId="125" fillId="0" borderId="0" xfId="6" applyFont="1" applyFill="1" applyAlignment="1">
      <alignment horizontal="left" vertical="top" wrapText="1" indent="7"/>
    </xf>
    <xf numFmtId="0" fontId="122" fillId="0" borderId="11" xfId="6" applyFont="1" applyBorder="1" applyAlignment="1">
      <alignment horizontal="left" vertical="top"/>
    </xf>
    <xf numFmtId="9" fontId="50" fillId="0" borderId="22" xfId="6" applyNumberFormat="1" applyFont="1" applyBorder="1" applyAlignment="1">
      <alignment horizontal="left"/>
    </xf>
    <xf numFmtId="0" fontId="37" fillId="0" borderId="1" xfId="6" applyFont="1" applyBorder="1" applyAlignment="1">
      <alignment horizontal="left" vertical="top"/>
    </xf>
    <xf numFmtId="0" fontId="23" fillId="0" borderId="0" xfId="6" applyFont="1" applyBorder="1" applyAlignment="1">
      <alignment horizontal="left"/>
    </xf>
    <xf numFmtId="0" fontId="64" fillId="0" borderId="33" xfId="5" applyFont="1" applyFill="1" applyBorder="1" applyProtection="1"/>
    <xf numFmtId="9" fontId="50" fillId="0" borderId="33" xfId="7" applyFont="1" applyBorder="1" applyAlignment="1">
      <alignment horizontal="left"/>
    </xf>
    <xf numFmtId="9" fontId="50" fillId="0" borderId="33" xfId="6" applyNumberFormat="1" applyFont="1" applyBorder="1" applyAlignment="1">
      <alignment horizontal="left"/>
    </xf>
    <xf numFmtId="9" fontId="50" fillId="0" borderId="35" xfId="6" applyNumberFormat="1" applyFont="1" applyBorder="1" applyAlignment="1">
      <alignment horizontal="left"/>
    </xf>
    <xf numFmtId="0" fontId="35" fillId="0" borderId="38" xfId="6" applyFont="1" applyBorder="1" applyAlignment="1">
      <alignment horizontal="left"/>
    </xf>
    <xf numFmtId="0" fontId="50" fillId="0" borderId="38" xfId="6" applyFont="1" applyBorder="1" applyAlignment="1">
      <alignment horizontal="right"/>
    </xf>
    <xf numFmtId="9" fontId="50" fillId="0" borderId="38" xfId="6" applyNumberFormat="1" applyFont="1" applyBorder="1" applyAlignment="1">
      <alignment horizontal="left"/>
    </xf>
    <xf numFmtId="9" fontId="50" fillId="0" borderId="38" xfId="7" applyFont="1" applyBorder="1" applyAlignment="1">
      <alignment horizontal="left"/>
    </xf>
    <xf numFmtId="0" fontId="126" fillId="0" borderId="0" xfId="6" applyFont="1" applyBorder="1" applyAlignment="1">
      <alignment horizontal="left"/>
    </xf>
    <xf numFmtId="0" fontId="127" fillId="0" borderId="33" xfId="5" applyFont="1" applyFill="1" applyBorder="1" applyProtection="1"/>
    <xf numFmtId="0" fontId="22" fillId="14" borderId="7" xfId="6" applyFont="1" applyFill="1" applyBorder="1" applyAlignment="1">
      <alignment horizontal="left" vertical="top" wrapText="1"/>
    </xf>
    <xf numFmtId="0" fontId="22" fillId="0" borderId="7" xfId="6" applyFont="1" applyBorder="1" applyAlignment="1">
      <alignment horizontal="left" vertical="top" wrapText="1"/>
    </xf>
    <xf numFmtId="0" fontId="29" fillId="0" borderId="7" xfId="6" applyFont="1" applyBorder="1" applyAlignment="1">
      <alignment horizontal="right" vertical="top" wrapText="1"/>
    </xf>
    <xf numFmtId="0" fontId="22" fillId="0" borderId="0" xfId="6" applyFont="1" applyBorder="1" applyAlignment="1">
      <alignment horizontal="left"/>
    </xf>
    <xf numFmtId="1" fontId="50" fillId="0" borderId="0" xfId="6" applyNumberFormat="1" applyFont="1" applyBorder="1" applyAlignment="1">
      <alignment horizontal="left" indent="1"/>
    </xf>
    <xf numFmtId="1" fontId="65" fillId="0" borderId="0" xfId="6" applyNumberFormat="1" applyFont="1" applyBorder="1" applyAlignment="1">
      <alignment horizontal="left" indent="1"/>
    </xf>
    <xf numFmtId="9" fontId="65" fillId="0" borderId="0" xfId="3" applyFont="1" applyBorder="1" applyAlignment="1">
      <alignment horizontal="left" indent="1"/>
    </xf>
    <xf numFmtId="1" fontId="50" fillId="0" borderId="21" xfId="6" applyNumberFormat="1" applyFont="1" applyBorder="1" applyAlignment="1">
      <alignment horizontal="left"/>
    </xf>
    <xf numFmtId="1" fontId="50" fillId="0" borderId="31" xfId="6" applyNumberFormat="1" applyFont="1" applyBorder="1" applyAlignment="1">
      <alignment horizontal="left"/>
    </xf>
    <xf numFmtId="10" fontId="50" fillId="0" borderId="22" xfId="3" applyNumberFormat="1" applyFont="1" applyBorder="1" applyAlignment="1">
      <alignment horizontal="left"/>
    </xf>
    <xf numFmtId="1" fontId="50" fillId="0" borderId="39" xfId="6" applyNumberFormat="1" applyFont="1" applyBorder="1" applyAlignment="1">
      <alignment horizontal="left"/>
    </xf>
    <xf numFmtId="0" fontId="129" fillId="0" borderId="0" xfId="6" applyFont="1" applyBorder="1" applyAlignment="1">
      <alignment horizontal="left"/>
    </xf>
    <xf numFmtId="0" fontId="129" fillId="0" borderId="35" xfId="6" applyFont="1" applyBorder="1" applyAlignment="1">
      <alignment horizontal="left"/>
    </xf>
    <xf numFmtId="0" fontId="50" fillId="14" borderId="33" xfId="6" applyFont="1" applyFill="1" applyBorder="1" applyAlignment="1">
      <alignment horizontal="left"/>
    </xf>
    <xf numFmtId="0" fontId="50" fillId="14" borderId="35" xfId="6" applyFont="1" applyFill="1" applyBorder="1" applyAlignment="1">
      <alignment horizontal="left"/>
    </xf>
    <xf numFmtId="9" fontId="50" fillId="14" borderId="33" xfId="3" applyFont="1" applyFill="1" applyBorder="1" applyAlignment="1">
      <alignment horizontal="left"/>
    </xf>
    <xf numFmtId="0" fontId="65" fillId="14" borderId="0" xfId="6" applyFont="1" applyFill="1" applyBorder="1" applyAlignment="1">
      <alignment horizontal="left"/>
    </xf>
    <xf numFmtId="1" fontId="65" fillId="14" borderId="33" xfId="6" applyNumberFormat="1" applyFont="1" applyFill="1" applyBorder="1" applyAlignment="1">
      <alignment horizontal="left"/>
    </xf>
    <xf numFmtId="9" fontId="50" fillId="14" borderId="27" xfId="3" applyFont="1" applyFill="1" applyBorder="1" applyAlignment="1">
      <alignment horizontal="left"/>
    </xf>
    <xf numFmtId="9" fontId="50" fillId="14" borderId="22" xfId="3" applyNumberFormat="1" applyFont="1" applyFill="1" applyBorder="1" applyAlignment="1">
      <alignment horizontal="left"/>
    </xf>
    <xf numFmtId="0" fontId="50" fillId="14" borderId="22" xfId="6" applyFont="1" applyFill="1" applyBorder="1" applyAlignment="1">
      <alignment horizontal="right"/>
    </xf>
    <xf numFmtId="0" fontId="22" fillId="0" borderId="0" xfId="6" applyFont="1" applyFill="1" applyBorder="1" applyAlignment="1">
      <alignment horizontal="left" vertical="top"/>
    </xf>
    <xf numFmtId="0" fontId="75" fillId="0" borderId="0" xfId="6" applyFont="1" applyBorder="1" applyAlignment="1">
      <alignment horizontal="left"/>
    </xf>
    <xf numFmtId="9" fontId="50" fillId="14" borderId="31" xfId="7" applyFont="1" applyFill="1" applyBorder="1" applyAlignment="1">
      <alignment horizontal="left"/>
    </xf>
    <xf numFmtId="9" fontId="50" fillId="14" borderId="31" xfId="7" applyNumberFormat="1" applyFont="1" applyFill="1" applyBorder="1" applyAlignment="1">
      <alignment horizontal="left"/>
    </xf>
    <xf numFmtId="9" fontId="50" fillId="0" borderId="0" xfId="0" applyNumberFormat="1" applyFont="1" applyFill="1" applyBorder="1" applyAlignment="1">
      <alignment horizontal="left" vertical="center"/>
    </xf>
    <xf numFmtId="9" fontId="56" fillId="14" borderId="33" xfId="3" applyFont="1" applyFill="1" applyBorder="1" applyAlignment="1">
      <alignment horizontal="left"/>
    </xf>
    <xf numFmtId="9" fontId="62" fillId="0" borderId="6" xfId="6" applyNumberFormat="1" applyFont="1" applyBorder="1" applyAlignment="1">
      <alignment horizontal="left" vertical="top"/>
    </xf>
    <xf numFmtId="9" fontId="22" fillId="0" borderId="6" xfId="6" applyNumberFormat="1" applyFont="1" applyBorder="1" applyAlignment="1">
      <alignment horizontal="left" vertical="top"/>
    </xf>
    <xf numFmtId="9" fontId="22" fillId="0" borderId="7" xfId="6" applyNumberFormat="1" applyFont="1" applyBorder="1" applyAlignment="1">
      <alignment horizontal="left" vertical="top"/>
    </xf>
    <xf numFmtId="9" fontId="22" fillId="0" borderId="8" xfId="6" applyNumberFormat="1" applyFont="1" applyBorder="1" applyAlignment="1">
      <alignment horizontal="left" vertical="top"/>
    </xf>
    <xf numFmtId="9" fontId="65" fillId="0" borderId="31" xfId="6" applyNumberFormat="1" applyFont="1" applyBorder="1" applyAlignment="1">
      <alignment horizontal="left"/>
    </xf>
    <xf numFmtId="0" fontId="128" fillId="0" borderId="0" xfId="6" applyFont="1" applyBorder="1" applyAlignment="1">
      <alignment horizontal="right"/>
    </xf>
    <xf numFmtId="9" fontId="128" fillId="0" borderId="23" xfId="3" applyFont="1" applyBorder="1" applyAlignment="1">
      <alignment horizontal="left"/>
    </xf>
    <xf numFmtId="0" fontId="35" fillId="14" borderId="36" xfId="6" applyFont="1" applyFill="1" applyBorder="1" applyAlignment="1">
      <alignment horizontal="left"/>
    </xf>
    <xf numFmtId="0" fontId="59" fillId="14" borderId="27" xfId="6" applyFont="1" applyFill="1" applyBorder="1" applyAlignment="1">
      <alignment horizontal="right"/>
    </xf>
    <xf numFmtId="0" fontId="59" fillId="14" borderId="76" xfId="6" applyFont="1" applyFill="1" applyBorder="1" applyAlignment="1">
      <alignment horizontal="right"/>
    </xf>
    <xf numFmtId="0" fontId="56" fillId="14" borderId="27" xfId="6" applyFont="1" applyFill="1" applyBorder="1" applyAlignment="1">
      <alignment horizontal="right"/>
    </xf>
    <xf numFmtId="9" fontId="37" fillId="14" borderId="27" xfId="3" applyFont="1" applyFill="1" applyBorder="1" applyAlignment="1">
      <alignment horizontal="right"/>
    </xf>
    <xf numFmtId="9" fontId="37" fillId="14" borderId="27" xfId="3" applyFont="1" applyFill="1" applyBorder="1" applyAlignment="1">
      <alignment horizontal="left"/>
    </xf>
    <xf numFmtId="9" fontId="50" fillId="3" borderId="27" xfId="6" applyNumberFormat="1" applyFont="1" applyFill="1" applyBorder="1" applyAlignment="1">
      <alignment horizontal="left"/>
    </xf>
    <xf numFmtId="0" fontId="59" fillId="3" borderId="76" xfId="6" applyFont="1" applyFill="1" applyBorder="1" applyAlignment="1">
      <alignment horizontal="right"/>
    </xf>
    <xf numFmtId="9" fontId="37" fillId="3" borderId="27" xfId="6" applyNumberFormat="1" applyFont="1" applyFill="1" applyBorder="1" applyAlignment="1">
      <alignment horizontal="left"/>
    </xf>
    <xf numFmtId="0" fontId="59" fillId="14" borderId="7" xfId="6" applyFont="1" applyFill="1" applyBorder="1" applyAlignment="1">
      <alignment horizontal="right"/>
    </xf>
    <xf numFmtId="164" fontId="65" fillId="0" borderId="27" xfId="6" applyNumberFormat="1" applyFont="1" applyBorder="1" applyAlignment="1">
      <alignment horizontal="left"/>
    </xf>
    <xf numFmtId="9" fontId="65" fillId="0" borderId="36" xfId="6" applyNumberFormat="1" applyFont="1" applyBorder="1" applyAlignment="1">
      <alignment horizontal="left" indent="1"/>
    </xf>
    <xf numFmtId="9" fontId="65" fillId="0" borderId="36" xfId="6" applyNumberFormat="1" applyFont="1" applyBorder="1" applyAlignment="1">
      <alignment horizontal="left"/>
    </xf>
    <xf numFmtId="9" fontId="65" fillId="14" borderId="27" xfId="3" applyFont="1" applyFill="1" applyBorder="1" applyAlignment="1">
      <alignment horizontal="left"/>
    </xf>
    <xf numFmtId="1" fontId="50" fillId="0" borderId="5" xfId="6" applyNumberFormat="1" applyFont="1" applyBorder="1" applyAlignment="1">
      <alignment horizontal="right"/>
    </xf>
    <xf numFmtId="0" fontId="50" fillId="0" borderId="76" xfId="6" applyFont="1" applyBorder="1" applyAlignment="1">
      <alignment horizontal="right"/>
    </xf>
    <xf numFmtId="0" fontId="35" fillId="14" borderId="27" xfId="6" applyFont="1" applyFill="1" applyBorder="1" applyAlignment="1">
      <alignment horizontal="left"/>
    </xf>
    <xf numFmtId="1" fontId="59" fillId="14" borderId="76" xfId="6" applyNumberFormat="1" applyFont="1" applyFill="1" applyBorder="1" applyAlignment="1">
      <alignment horizontal="right"/>
    </xf>
    <xf numFmtId="9" fontId="56" fillId="14" borderId="27" xfId="7" applyFont="1" applyFill="1" applyBorder="1" applyAlignment="1">
      <alignment horizontal="left"/>
    </xf>
    <xf numFmtId="0" fontId="59" fillId="3" borderId="27" xfId="6" applyFont="1" applyFill="1" applyBorder="1" applyAlignment="1">
      <alignment horizontal="right"/>
    </xf>
    <xf numFmtId="0" fontId="71" fillId="14" borderId="27" xfId="6" applyFont="1" applyFill="1" applyBorder="1" applyAlignment="1">
      <alignment horizontal="right"/>
    </xf>
    <xf numFmtId="9" fontId="59" fillId="14" borderId="76" xfId="7" applyFont="1" applyFill="1" applyBorder="1" applyAlignment="1">
      <alignment horizontal="right"/>
    </xf>
    <xf numFmtId="9" fontId="37" fillId="14" borderId="27" xfId="7" applyFont="1" applyFill="1" applyBorder="1" applyAlignment="1">
      <alignment horizontal="left"/>
    </xf>
    <xf numFmtId="0" fontId="38" fillId="14" borderId="76" xfId="6" applyFont="1" applyFill="1" applyBorder="1" applyAlignment="1">
      <alignment horizontal="right"/>
    </xf>
    <xf numFmtId="0" fontId="59" fillId="14" borderId="6" xfId="6" applyFont="1" applyFill="1" applyBorder="1" applyAlignment="1">
      <alignment horizontal="right"/>
    </xf>
    <xf numFmtId="9" fontId="50" fillId="14" borderId="77" xfId="7" applyFont="1" applyFill="1" applyBorder="1" applyAlignment="1">
      <alignment horizontal="left"/>
    </xf>
    <xf numFmtId="0" fontId="75" fillId="0" borderId="22" xfId="6" applyFont="1" applyBorder="1" applyAlignment="1">
      <alignment horizontal="left"/>
    </xf>
    <xf numFmtId="9" fontId="50" fillId="14" borderId="27" xfId="3" applyNumberFormat="1" applyFont="1" applyFill="1" applyBorder="1" applyAlignment="1">
      <alignment horizontal="left"/>
    </xf>
    <xf numFmtId="0" fontId="41" fillId="0" borderId="6" xfId="6" applyFont="1" applyBorder="1" applyAlignment="1">
      <alignment horizontal="left" vertical="top"/>
    </xf>
    <xf numFmtId="0" fontId="41" fillId="0" borderId="8" xfId="6" applyFont="1" applyBorder="1" applyAlignment="1">
      <alignment horizontal="left" vertical="top"/>
    </xf>
    <xf numFmtId="0" fontId="130" fillId="0" borderId="0" xfId="6" applyFont="1" applyAlignment="1">
      <alignment horizontal="left" vertical="top"/>
    </xf>
    <xf numFmtId="0" fontId="41" fillId="0" borderId="0" xfId="6" applyFont="1" applyAlignment="1">
      <alignment horizontal="left" vertical="top"/>
    </xf>
    <xf numFmtId="0" fontId="62" fillId="0" borderId="0" xfId="6" applyFont="1" applyAlignment="1">
      <alignment horizontal="left" vertical="top"/>
    </xf>
    <xf numFmtId="0" fontId="41" fillId="0" borderId="7" xfId="6" applyFont="1" applyBorder="1" applyAlignment="1">
      <alignment horizontal="left" vertical="top"/>
    </xf>
    <xf numFmtId="0" fontId="132" fillId="0" borderId="6" xfId="6" applyFont="1" applyBorder="1" applyAlignment="1">
      <alignment horizontal="left" vertical="top"/>
    </xf>
    <xf numFmtId="0" fontId="132" fillId="0" borderId="7" xfId="6" applyFont="1" applyBorder="1" applyAlignment="1">
      <alignment horizontal="left" vertical="top"/>
    </xf>
    <xf numFmtId="165" fontId="62" fillId="0" borderId="7" xfId="3" applyNumberFormat="1" applyFont="1" applyBorder="1" applyAlignment="1">
      <alignment horizontal="left" vertical="top"/>
    </xf>
    <xf numFmtId="165" fontId="62" fillId="0" borderId="8" xfId="3" applyNumberFormat="1" applyFont="1" applyBorder="1" applyAlignment="1">
      <alignment horizontal="left" vertical="top"/>
    </xf>
    <xf numFmtId="0" fontId="62" fillId="0" borderId="7" xfId="6" applyFont="1" applyBorder="1" applyAlignment="1">
      <alignment horizontal="left" vertical="top"/>
    </xf>
    <xf numFmtId="0" fontId="62" fillId="0" borderId="8" xfId="6" applyFont="1" applyBorder="1" applyAlignment="1">
      <alignment horizontal="left" vertical="top"/>
    </xf>
    <xf numFmtId="0" fontId="62" fillId="0" borderId="0" xfId="6" applyFont="1" applyBorder="1" applyAlignment="1">
      <alignment horizontal="left" vertical="top"/>
    </xf>
    <xf numFmtId="9" fontId="22" fillId="14" borderId="6" xfId="6" applyNumberFormat="1" applyFont="1" applyFill="1" applyBorder="1" applyAlignment="1">
      <alignment horizontal="left" vertical="top"/>
    </xf>
    <xf numFmtId="9" fontId="22" fillId="14" borderId="7" xfId="6" applyNumberFormat="1" applyFont="1" applyFill="1" applyBorder="1" applyAlignment="1">
      <alignment horizontal="left" vertical="top"/>
    </xf>
    <xf numFmtId="9" fontId="22" fillId="14" borderId="8" xfId="6" applyNumberFormat="1" applyFont="1" applyFill="1" applyBorder="1" applyAlignment="1">
      <alignment horizontal="left" vertical="top"/>
    </xf>
    <xf numFmtId="0" fontId="22" fillId="14" borderId="8" xfId="6" applyFont="1" applyFill="1" applyBorder="1" applyAlignment="1">
      <alignment horizontal="left" vertical="top"/>
    </xf>
    <xf numFmtId="0" fontId="62" fillId="0" borderId="6" xfId="6" applyFont="1" applyBorder="1" applyAlignment="1">
      <alignment horizontal="left" vertical="top"/>
    </xf>
    <xf numFmtId="9" fontId="41" fillId="0" borderId="7" xfId="7" applyFont="1" applyBorder="1" applyAlignment="1">
      <alignment horizontal="left" vertical="top"/>
    </xf>
    <xf numFmtId="9" fontId="41" fillId="0" borderId="8" xfId="7" applyFont="1" applyBorder="1" applyAlignment="1">
      <alignment horizontal="left" vertical="top"/>
    </xf>
    <xf numFmtId="0" fontId="62" fillId="0" borderId="7" xfId="6" applyFont="1" applyBorder="1" applyAlignment="1">
      <alignment horizontal="left" vertical="top" wrapText="1"/>
    </xf>
    <xf numFmtId="9" fontId="41" fillId="0" borderId="7" xfId="7" applyNumberFormat="1" applyFont="1" applyBorder="1" applyAlignment="1">
      <alignment horizontal="left" vertical="top"/>
    </xf>
    <xf numFmtId="9" fontId="41" fillId="0" borderId="8" xfId="7" applyNumberFormat="1" applyFont="1" applyBorder="1" applyAlignment="1">
      <alignment horizontal="left" vertical="top"/>
    </xf>
    <xf numFmtId="0" fontId="62" fillId="0" borderId="0" xfId="6" applyFont="1" applyAlignment="1">
      <alignment horizontal="left" vertical="top" wrapText="1"/>
    </xf>
    <xf numFmtId="0" fontId="62" fillId="0" borderId="0" xfId="6" applyFont="1" applyAlignment="1">
      <alignment horizontal="center" vertical="top"/>
    </xf>
    <xf numFmtId="0" fontId="45" fillId="0" borderId="0" xfId="6" applyFont="1" applyAlignment="1">
      <alignment horizontal="center" vertical="top"/>
    </xf>
    <xf numFmtId="0" fontId="130" fillId="0" borderId="1" xfId="0" applyFont="1" applyFill="1" applyBorder="1" applyAlignment="1">
      <alignment horizontal="left"/>
    </xf>
    <xf numFmtId="9" fontId="131" fillId="0" borderId="3" xfId="6" applyNumberFormat="1" applyFont="1" applyBorder="1" applyAlignment="1">
      <alignment horizontal="center" vertical="top"/>
    </xf>
    <xf numFmtId="9" fontId="37" fillId="14" borderId="3" xfId="6" applyNumberFormat="1" applyFont="1" applyFill="1" applyBorder="1" applyAlignment="1">
      <alignment horizontal="center" vertical="top"/>
    </xf>
    <xf numFmtId="9" fontId="37" fillId="0" borderId="3" xfId="6" applyNumberFormat="1" applyFont="1" applyFill="1" applyBorder="1" applyAlignment="1">
      <alignment horizontal="center" vertical="top"/>
    </xf>
    <xf numFmtId="9" fontId="41" fillId="0" borderId="3" xfId="6" applyNumberFormat="1" applyFont="1" applyFill="1" applyBorder="1" applyAlignment="1">
      <alignment horizontal="center" vertical="top"/>
    </xf>
    <xf numFmtId="9" fontId="131" fillId="0" borderId="3" xfId="6" applyNumberFormat="1" applyFont="1" applyBorder="1" applyAlignment="1">
      <alignment horizontal="left" vertical="top"/>
    </xf>
    <xf numFmtId="9" fontId="22" fillId="0" borderId="3" xfId="6" applyNumberFormat="1" applyFont="1" applyFill="1" applyBorder="1" applyAlignment="1">
      <alignment horizontal="center" vertical="top"/>
    </xf>
    <xf numFmtId="9" fontId="131" fillId="0" borderId="3" xfId="6" applyNumberFormat="1" applyFont="1" applyFill="1" applyBorder="1" applyAlignment="1">
      <alignment horizontal="center" vertical="top"/>
    </xf>
    <xf numFmtId="9" fontId="131" fillId="0" borderId="3" xfId="6" applyNumberFormat="1" applyFont="1" applyFill="1" applyBorder="1" applyAlignment="1">
      <alignment horizontal="left" vertical="top"/>
    </xf>
    <xf numFmtId="0" fontId="32" fillId="14" borderId="27" xfId="6" applyFont="1" applyFill="1" applyBorder="1" applyAlignment="1">
      <alignment horizontal="left" vertical="top"/>
    </xf>
    <xf numFmtId="9" fontId="50" fillId="3" borderId="27" xfId="7" applyFont="1" applyFill="1" applyBorder="1" applyAlignment="1">
      <alignment horizontal="left"/>
    </xf>
    <xf numFmtId="165" fontId="50" fillId="3" borderId="27" xfId="7" applyNumberFormat="1" applyFont="1" applyFill="1" applyBorder="1" applyAlignment="1">
      <alignment horizontal="left"/>
    </xf>
    <xf numFmtId="9" fontId="50" fillId="3" borderId="75" xfId="3" applyFont="1" applyFill="1" applyBorder="1" applyAlignment="1">
      <alignment horizontal="left"/>
    </xf>
    <xf numFmtId="9" fontId="50" fillId="3" borderId="27" xfId="3" applyFont="1" applyFill="1" applyBorder="1" applyAlignment="1">
      <alignment horizontal="left"/>
    </xf>
    <xf numFmtId="9" fontId="50" fillId="0" borderId="39" xfId="7" applyFont="1" applyBorder="1" applyAlignment="1">
      <alignment horizontal="left"/>
    </xf>
    <xf numFmtId="9" fontId="37" fillId="0" borderId="39" xfId="7" applyFont="1" applyBorder="1" applyAlignment="1">
      <alignment horizontal="left"/>
    </xf>
    <xf numFmtId="0" fontId="50" fillId="14" borderId="27" xfId="6" applyFont="1" applyFill="1" applyBorder="1" applyAlignment="1">
      <alignment horizontal="left"/>
    </xf>
    <xf numFmtId="164" fontId="50" fillId="14" borderId="27" xfId="6" applyNumberFormat="1" applyFont="1" applyFill="1" applyBorder="1" applyAlignment="1">
      <alignment horizontal="left"/>
    </xf>
    <xf numFmtId="2" fontId="50" fillId="14" borderId="27" xfId="6" applyNumberFormat="1" applyFont="1" applyFill="1" applyBorder="1" applyAlignment="1">
      <alignment horizontal="left"/>
    </xf>
    <xf numFmtId="164" fontId="50" fillId="14" borderId="27" xfId="7" applyNumberFormat="1" applyFont="1" applyFill="1" applyBorder="1" applyAlignment="1">
      <alignment horizontal="left" indent="1"/>
    </xf>
    <xf numFmtId="0" fontId="21" fillId="0" borderId="0" xfId="6" applyFont="1" applyBorder="1" applyAlignment="1">
      <alignment horizontal="left"/>
    </xf>
    <xf numFmtId="0" fontId="61" fillId="0" borderId="5" xfId="6" applyFont="1" applyBorder="1" applyAlignment="1">
      <alignment horizontal="left"/>
    </xf>
    <xf numFmtId="0" fontId="61" fillId="0" borderId="0" xfId="6" applyFont="1" applyBorder="1" applyAlignment="1">
      <alignment horizontal="left"/>
    </xf>
    <xf numFmtId="0" fontId="35" fillId="0" borderId="0" xfId="6" applyFont="1" applyBorder="1" applyAlignment="1">
      <alignment horizontal="right"/>
    </xf>
    <xf numFmtId="1" fontId="50" fillId="0" borderId="0" xfId="3" applyNumberFormat="1" applyFont="1" applyBorder="1" applyAlignment="1">
      <alignment horizontal="left"/>
    </xf>
    <xf numFmtId="1" fontId="37" fillId="0" borderId="22" xfId="6" applyNumberFormat="1" applyFont="1" applyFill="1" applyBorder="1" applyAlignment="1">
      <alignment horizontal="right"/>
    </xf>
    <xf numFmtId="9" fontId="37" fillId="0" borderId="31" xfId="7" applyFont="1" applyFill="1" applyBorder="1" applyAlignment="1">
      <alignment horizontal="left"/>
    </xf>
    <xf numFmtId="0" fontId="21" fillId="0" borderId="7" xfId="6" applyFont="1" applyBorder="1" applyAlignment="1">
      <alignment horizontal="left" vertical="top" wrapText="1"/>
    </xf>
    <xf numFmtId="9" fontId="37" fillId="0" borderId="6" xfId="3" applyFont="1" applyBorder="1" applyAlignment="1">
      <alignment horizontal="left" vertical="top"/>
    </xf>
    <xf numFmtId="9" fontId="37" fillId="0" borderId="7" xfId="3" applyFont="1" applyBorder="1" applyAlignment="1">
      <alignment horizontal="left" vertical="top"/>
    </xf>
    <xf numFmtId="9" fontId="37" fillId="0" borderId="8" xfId="3" applyFont="1" applyBorder="1" applyAlignment="1">
      <alignment horizontal="left" vertical="top"/>
    </xf>
    <xf numFmtId="0" fontId="21" fillId="0" borderId="1" xfId="6" applyFont="1" applyBorder="1" applyAlignment="1">
      <alignment horizontal="left" vertical="top"/>
    </xf>
    <xf numFmtId="0" fontId="35" fillId="0" borderId="57" xfId="6" applyFont="1" applyBorder="1" applyAlignment="1">
      <alignment horizontal="left" vertical="top"/>
    </xf>
    <xf numFmtId="0" fontId="21" fillId="0" borderId="57" xfId="6" applyFont="1" applyBorder="1" applyAlignment="1">
      <alignment horizontal="left" vertical="top"/>
    </xf>
    <xf numFmtId="0" fontId="21" fillId="0" borderId="57" xfId="6" applyFont="1" applyBorder="1" applyAlignment="1">
      <alignment horizontal="left" vertical="top" wrapText="1"/>
    </xf>
    <xf numFmtId="2" fontId="50" fillId="0" borderId="31" xfId="7" applyNumberFormat="1" applyFont="1" applyBorder="1" applyAlignment="1">
      <alignment horizontal="left"/>
    </xf>
    <xf numFmtId="2" fontId="65" fillId="0" borderId="0" xfId="6" applyNumberFormat="1" applyFont="1" applyFill="1" applyBorder="1" applyAlignment="1">
      <alignment horizontal="left"/>
    </xf>
    <xf numFmtId="0" fontId="21" fillId="0" borderId="0" xfId="6" applyFont="1" applyAlignment="1">
      <alignment horizontal="left" vertical="top"/>
    </xf>
    <xf numFmtId="0" fontId="21" fillId="0" borderId="2" xfId="6" applyFont="1" applyFill="1" applyBorder="1" applyAlignment="1">
      <alignment horizontal="left" vertical="top"/>
    </xf>
    <xf numFmtId="0" fontId="35" fillId="0" borderId="0" xfId="6" applyFont="1" applyFill="1" applyAlignment="1">
      <alignment horizontal="center" vertical="top"/>
    </xf>
    <xf numFmtId="0" fontId="21" fillId="0" borderId="11" xfId="6" applyFont="1" applyBorder="1" applyAlignment="1">
      <alignment horizontal="left" vertical="top"/>
    </xf>
    <xf numFmtId="0" fontId="49" fillId="6" borderId="11" xfId="6" applyFont="1" applyFill="1" applyBorder="1" applyAlignment="1">
      <alignment horizontal="left" vertical="top"/>
    </xf>
    <xf numFmtId="0" fontId="49" fillId="0" borderId="0" xfId="6" applyFont="1" applyAlignment="1">
      <alignment horizontal="left" vertical="top"/>
    </xf>
    <xf numFmtId="0" fontId="21" fillId="0" borderId="0" xfId="6" applyFont="1" applyAlignment="1">
      <alignment vertical="top"/>
    </xf>
    <xf numFmtId="0" fontId="38" fillId="0" borderId="0" xfId="6" applyFont="1" applyAlignment="1">
      <alignment vertical="top"/>
    </xf>
    <xf numFmtId="0" fontId="37" fillId="0" borderId="0" xfId="6" applyFont="1" applyAlignment="1">
      <alignment vertical="top"/>
    </xf>
    <xf numFmtId="0" fontId="35" fillId="0" borderId="0" xfId="6" applyFont="1" applyAlignment="1">
      <alignment vertical="top"/>
    </xf>
    <xf numFmtId="0" fontId="73" fillId="14" borderId="0" xfId="0" applyFont="1" applyFill="1" applyAlignment="1">
      <alignment horizontal="left"/>
    </xf>
    <xf numFmtId="164" fontId="75" fillId="14" borderId="0" xfId="0" applyNumberFormat="1" applyFont="1" applyFill="1" applyAlignment="1">
      <alignment horizontal="left"/>
    </xf>
    <xf numFmtId="164" fontId="37" fillId="0" borderId="0" xfId="0" applyNumberFormat="1" applyFont="1" applyFill="1" applyAlignment="1">
      <alignment horizontal="left"/>
    </xf>
    <xf numFmtId="0" fontId="47" fillId="0" borderId="0" xfId="6" applyFont="1" applyAlignment="1">
      <alignment horizontal="left" vertical="top" wrapText="1"/>
    </xf>
    <xf numFmtId="0" fontId="37" fillId="0" borderId="0" xfId="6" applyFont="1" applyAlignment="1">
      <alignment horizontal="left" vertical="top" wrapText="1"/>
    </xf>
    <xf numFmtId="0" fontId="34" fillId="0" borderId="0" xfId="6" applyFont="1" applyAlignment="1">
      <alignment horizontal="left" vertical="top" wrapText="1"/>
    </xf>
    <xf numFmtId="0" fontId="35" fillId="0" borderId="0" xfId="6" applyFont="1" applyAlignment="1">
      <alignment horizontal="left" vertical="top"/>
    </xf>
    <xf numFmtId="0" fontId="37" fillId="0" borderId="0" xfId="6" applyFont="1" applyAlignment="1">
      <alignment horizontal="left" vertical="top" wrapText="1"/>
    </xf>
    <xf numFmtId="0" fontId="35" fillId="0" borderId="0" xfId="6" applyFont="1" applyAlignment="1">
      <alignment horizontal="left" vertical="top"/>
    </xf>
    <xf numFmtId="0" fontId="35" fillId="0" borderId="0" xfId="6" applyFont="1" applyBorder="1" applyAlignment="1">
      <alignment horizontal="left" vertical="top" wrapText="1"/>
    </xf>
    <xf numFmtId="0" fontId="35" fillId="0" borderId="0" xfId="6" applyFont="1" applyBorder="1" applyAlignment="1">
      <alignment horizontal="center" vertical="top"/>
    </xf>
    <xf numFmtId="0" fontId="35" fillId="0" borderId="38" xfId="6" applyFont="1" applyBorder="1" applyAlignment="1">
      <alignment vertical="top"/>
    </xf>
    <xf numFmtId="0" fontId="35" fillId="0" borderId="35" xfId="6" applyFont="1" applyBorder="1" applyAlignment="1">
      <alignment horizontal="left" vertical="top"/>
    </xf>
    <xf numFmtId="0" fontId="35" fillId="0" borderId="38" xfId="6" applyFont="1" applyBorder="1" applyAlignment="1">
      <alignment horizontal="left" vertical="top"/>
    </xf>
    <xf numFmtId="0" fontId="49" fillId="0" borderId="79" xfId="6" applyFont="1" applyBorder="1" applyAlignment="1">
      <alignment horizontal="left" vertical="top"/>
    </xf>
    <xf numFmtId="0" fontId="38" fillId="6" borderId="2" xfId="6" applyFont="1" applyFill="1" applyBorder="1" applyAlignment="1">
      <alignment horizontal="left" vertical="top"/>
    </xf>
    <xf numFmtId="0" fontId="37" fillId="13" borderId="2" xfId="6" applyFont="1" applyFill="1" applyBorder="1" applyAlignment="1">
      <alignment horizontal="left" vertical="top"/>
    </xf>
    <xf numFmtId="0" fontId="37" fillId="13" borderId="8" xfId="6" applyFont="1" applyFill="1" applyBorder="1" applyAlignment="1">
      <alignment horizontal="left" vertical="top"/>
    </xf>
    <xf numFmtId="0" fontId="37" fillId="6" borderId="4" xfId="6" applyFont="1" applyFill="1" applyBorder="1" applyAlignment="1">
      <alignment horizontal="left" vertical="top"/>
    </xf>
    <xf numFmtId="0" fontId="37" fillId="13" borderId="6" xfId="6" applyFont="1" applyFill="1" applyBorder="1" applyAlignment="1">
      <alignment horizontal="left" vertical="top"/>
    </xf>
    <xf numFmtId="0" fontId="37" fillId="13" borderId="3" xfId="6" applyFont="1" applyFill="1" applyBorder="1" applyAlignment="1">
      <alignment horizontal="left" vertical="top"/>
    </xf>
    <xf numFmtId="9" fontId="37" fillId="0" borderId="2" xfId="3" applyFont="1" applyBorder="1" applyAlignment="1">
      <alignment horizontal="left" vertical="top"/>
    </xf>
    <xf numFmtId="164" fontId="37" fillId="0" borderId="2" xfId="6" applyNumberFormat="1" applyFont="1" applyBorder="1" applyAlignment="1">
      <alignment horizontal="left" vertical="top"/>
    </xf>
    <xf numFmtId="0" fontId="41" fillId="0" borderId="1" xfId="0" applyFont="1" applyBorder="1"/>
    <xf numFmtId="9" fontId="41" fillId="0" borderId="1" xfId="3" applyFont="1" applyBorder="1" applyAlignment="1">
      <alignment horizontal="left" vertical="top"/>
    </xf>
    <xf numFmtId="164" fontId="41" fillId="0" borderId="1" xfId="6" applyNumberFormat="1" applyFont="1" applyBorder="1" applyAlignment="1">
      <alignment horizontal="left" vertical="top"/>
    </xf>
    <xf numFmtId="0" fontId="37" fillId="14" borderId="1" xfId="0" applyFont="1" applyFill="1" applyBorder="1"/>
    <xf numFmtId="9" fontId="37" fillId="14" borderId="1" xfId="3" applyFont="1" applyFill="1" applyBorder="1" applyAlignment="1">
      <alignment horizontal="left" vertical="top"/>
    </xf>
    <xf numFmtId="164" fontId="37" fillId="14" borderId="1" xfId="6" applyNumberFormat="1" applyFont="1" applyFill="1" applyBorder="1" applyAlignment="1">
      <alignment horizontal="left" vertical="top"/>
    </xf>
    <xf numFmtId="9" fontId="37" fillId="0" borderId="1" xfId="3" applyFont="1" applyBorder="1" applyAlignment="1">
      <alignment horizontal="left" vertical="top"/>
    </xf>
    <xf numFmtId="164" fontId="37" fillId="0" borderId="1" xfId="6" applyNumberFormat="1" applyFont="1" applyBorder="1" applyAlignment="1">
      <alignment horizontal="left" vertical="top"/>
    </xf>
    <xf numFmtId="0" fontId="41" fillId="0" borderId="1" xfId="6" applyFont="1" applyBorder="1" applyAlignment="1">
      <alignment horizontal="left" vertical="top"/>
    </xf>
    <xf numFmtId="0" fontId="37" fillId="0" borderId="1" xfId="0" applyFont="1" applyFill="1" applyBorder="1"/>
    <xf numFmtId="0" fontId="41" fillId="0" borderId="1" xfId="0" applyFont="1" applyFill="1" applyBorder="1"/>
    <xf numFmtId="9" fontId="37" fillId="0" borderId="4" xfId="3" applyFont="1" applyBorder="1" applyAlignment="1">
      <alignment horizontal="left" vertical="top"/>
    </xf>
    <xf numFmtId="164" fontId="37" fillId="0" borderId="4" xfId="6" applyNumberFormat="1" applyFont="1" applyBorder="1" applyAlignment="1">
      <alignment horizontal="left" vertical="top"/>
    </xf>
    <xf numFmtId="0" fontId="48" fillId="0" borderId="0" xfId="6" applyFont="1" applyAlignment="1">
      <alignment horizontal="left" vertical="top" wrapText="1"/>
    </xf>
    <xf numFmtId="0" fontId="48" fillId="0" borderId="0" xfId="6" applyFont="1" applyFill="1" applyAlignment="1">
      <alignment horizontal="left" vertical="top"/>
    </xf>
    <xf numFmtId="0" fontId="48" fillId="0" borderId="11" xfId="6" applyFont="1" applyBorder="1" applyAlignment="1">
      <alignment horizontal="left" vertical="top"/>
    </xf>
    <xf numFmtId="0" fontId="123" fillId="0" borderId="0" xfId="6" applyFont="1" applyAlignment="1">
      <alignment horizontal="center" vertical="top"/>
    </xf>
    <xf numFmtId="0" fontId="131" fillId="0" borderId="6" xfId="6" applyFont="1" applyBorder="1" applyAlignment="1">
      <alignment horizontal="left" vertical="top"/>
    </xf>
    <xf numFmtId="164" fontId="48" fillId="0" borderId="3" xfId="6" applyNumberFormat="1" applyFont="1" applyBorder="1" applyAlignment="1">
      <alignment horizontal="left" vertical="top"/>
    </xf>
    <xf numFmtId="164" fontId="131" fillId="0" borderId="3" xfId="6" applyNumberFormat="1" applyFont="1" applyBorder="1" applyAlignment="1">
      <alignment horizontal="left" vertical="top"/>
    </xf>
    <xf numFmtId="0" fontId="48" fillId="14" borderId="6" xfId="6" applyFont="1" applyFill="1" applyBorder="1" applyAlignment="1">
      <alignment horizontal="left" vertical="top"/>
    </xf>
    <xf numFmtId="164" fontId="48" fillId="14" borderId="3" xfId="6" applyNumberFormat="1" applyFont="1" applyFill="1" applyBorder="1" applyAlignment="1">
      <alignment horizontal="left" vertical="top"/>
    </xf>
    <xf numFmtId="0" fontId="48" fillId="0" borderId="0" xfId="6" applyFont="1" applyFill="1" applyAlignment="1">
      <alignment horizontal="left" vertical="top" wrapText="1"/>
    </xf>
    <xf numFmtId="9" fontId="48" fillId="0" borderId="3" xfId="6" applyNumberFormat="1" applyFont="1" applyFill="1" applyBorder="1" applyAlignment="1">
      <alignment horizontal="left" vertical="top"/>
    </xf>
    <xf numFmtId="11" fontId="48" fillId="0" borderId="6" xfId="6" applyNumberFormat="1" applyFont="1" applyBorder="1" applyAlignment="1">
      <alignment horizontal="left" vertical="top"/>
    </xf>
    <xf numFmtId="9" fontId="37" fillId="0" borderId="0" xfId="3" applyFont="1" applyAlignment="1">
      <alignment horizontal="left"/>
    </xf>
    <xf numFmtId="0" fontId="49" fillId="0" borderId="11" xfId="6" applyFont="1" applyFill="1" applyBorder="1" applyAlignment="1">
      <alignment horizontal="left" vertical="top"/>
    </xf>
    <xf numFmtId="9" fontId="136" fillId="0" borderId="0" xfId="6" applyNumberFormat="1" applyFont="1" applyAlignment="1">
      <alignment horizontal="left" vertical="top" wrapText="1"/>
    </xf>
    <xf numFmtId="9" fontId="136" fillId="0" borderId="0" xfId="6" applyNumberFormat="1" applyFont="1" applyAlignment="1">
      <alignment horizontal="left" vertical="top"/>
    </xf>
    <xf numFmtId="0" fontId="37" fillId="0" borderId="0" xfId="0" applyFont="1" applyAlignment="1">
      <alignment horizontal="left" vertical="top"/>
    </xf>
    <xf numFmtId="14" fontId="37" fillId="0" borderId="11" xfId="0" applyNumberFormat="1" applyFont="1" applyFill="1" applyBorder="1" applyAlignment="1">
      <alignment horizontal="left"/>
    </xf>
    <xf numFmtId="171" fontId="41" fillId="0" borderId="11" xfId="0" applyNumberFormat="1" applyFont="1" applyFill="1" applyBorder="1" applyAlignment="1">
      <alignment horizontal="left"/>
    </xf>
    <xf numFmtId="171" fontId="37" fillId="0" borderId="11" xfId="0" applyNumberFormat="1" applyFont="1" applyFill="1" applyBorder="1" applyAlignment="1">
      <alignment horizontal="left"/>
    </xf>
    <xf numFmtId="171" fontId="50" fillId="0" borderId="11" xfId="0" applyNumberFormat="1" applyFont="1" applyFill="1" applyBorder="1" applyAlignment="1">
      <alignment horizontal="left"/>
    </xf>
    <xf numFmtId="14" fontId="50" fillId="0" borderId="11" xfId="0" applyNumberFormat="1" applyFont="1" applyFill="1" applyBorder="1" applyAlignment="1">
      <alignment horizontal="left"/>
    </xf>
    <xf numFmtId="14" fontId="50" fillId="0" borderId="13" xfId="0" applyNumberFormat="1" applyFont="1" applyFill="1" applyBorder="1" applyAlignment="1">
      <alignment horizontal="left"/>
    </xf>
    <xf numFmtId="1" fontId="37" fillId="0" borderId="7" xfId="0" applyNumberFormat="1" applyFont="1" applyFill="1" applyBorder="1" applyAlignment="1">
      <alignment horizontal="left"/>
    </xf>
    <xf numFmtId="1" fontId="41" fillId="0" borderId="7" xfId="0" applyNumberFormat="1" applyFont="1" applyFill="1" applyBorder="1" applyAlignment="1">
      <alignment horizontal="left"/>
    </xf>
    <xf numFmtId="171" fontId="37" fillId="15" borderId="6" xfId="0" applyNumberFormat="1" applyFont="1" applyFill="1" applyBorder="1" applyAlignment="1">
      <alignment horizontal="left"/>
    </xf>
    <xf numFmtId="171" fontId="37" fillId="15" borderId="81" xfId="0" applyNumberFormat="1" applyFont="1" applyFill="1" applyBorder="1" applyAlignment="1">
      <alignment horizontal="left"/>
    </xf>
    <xf numFmtId="171" fontId="38" fillId="7" borderId="15" xfId="0" applyNumberFormat="1" applyFont="1" applyFill="1" applyBorder="1"/>
    <xf numFmtId="171" fontId="38" fillId="7" borderId="11" xfId="0" applyNumberFormat="1" applyFont="1" applyFill="1" applyBorder="1"/>
    <xf numFmtId="171" fontId="0" fillId="7" borderId="0" xfId="0" applyNumberFormat="1" applyFill="1"/>
    <xf numFmtId="0" fontId="77" fillId="16" borderId="0" xfId="0" applyFont="1" applyFill="1"/>
    <xf numFmtId="0" fontId="78" fillId="16" borderId="0" xfId="0" applyFont="1" applyFill="1"/>
    <xf numFmtId="0" fontId="26" fillId="0" borderId="0" xfId="0" applyFont="1" applyFill="1"/>
    <xf numFmtId="0" fontId="0" fillId="6" borderId="0" xfId="0" applyFill="1"/>
    <xf numFmtId="0" fontId="38" fillId="6" borderId="0" xfId="0" applyFont="1" applyFill="1"/>
    <xf numFmtId="9" fontId="37" fillId="14" borderId="7" xfId="6" applyNumberFormat="1" applyFont="1" applyFill="1" applyBorder="1" applyAlignment="1">
      <alignment horizontal="center" vertical="top"/>
    </xf>
    <xf numFmtId="9" fontId="37" fillId="0" borderId="7" xfId="6" applyNumberFormat="1" applyFont="1" applyFill="1" applyBorder="1" applyAlignment="1">
      <alignment horizontal="center" vertical="top"/>
    </xf>
    <xf numFmtId="0" fontId="25" fillId="0" borderId="7" xfId="6" applyFont="1" applyBorder="1" applyAlignment="1">
      <alignment horizontal="left" vertical="top"/>
    </xf>
    <xf numFmtId="9" fontId="41" fillId="0" borderId="7" xfId="6" applyNumberFormat="1" applyFont="1" applyFill="1" applyBorder="1" applyAlignment="1">
      <alignment horizontal="center" vertical="top"/>
    </xf>
    <xf numFmtId="11" fontId="37" fillId="0" borderId="7" xfId="6" applyNumberFormat="1" applyFont="1" applyBorder="1" applyAlignment="1">
      <alignment horizontal="left" vertical="top"/>
    </xf>
    <xf numFmtId="9" fontId="131" fillId="0" borderId="7" xfId="6" applyNumberFormat="1" applyFont="1" applyBorder="1" applyAlignment="1">
      <alignment horizontal="center" vertical="top"/>
    </xf>
    <xf numFmtId="9" fontId="22" fillId="0" borderId="7" xfId="6" applyNumberFormat="1" applyFont="1" applyFill="1" applyBorder="1" applyAlignment="1">
      <alignment horizontal="center" vertical="top"/>
    </xf>
    <xf numFmtId="9" fontId="131" fillId="0" borderId="7" xfId="6" applyNumberFormat="1" applyFont="1" applyFill="1" applyBorder="1" applyAlignment="1">
      <alignment horizontal="center" vertical="top"/>
    </xf>
    <xf numFmtId="0" fontId="35" fillId="14" borderId="7" xfId="6" applyFont="1" applyFill="1" applyBorder="1" applyAlignment="1">
      <alignment horizontal="left" vertical="top"/>
    </xf>
    <xf numFmtId="0" fontId="19" fillId="0" borderId="2" xfId="6" applyFont="1" applyBorder="1" applyAlignment="1">
      <alignment horizontal="left" vertical="top" wrapText="1"/>
    </xf>
    <xf numFmtId="0" fontId="38" fillId="0" borderId="7" xfId="0" applyFont="1" applyBorder="1"/>
    <xf numFmtId="0" fontId="38" fillId="13" borderId="0" xfId="0" applyFont="1" applyFill="1"/>
    <xf numFmtId="0" fontId="38" fillId="0" borderId="6" xfId="6" applyFont="1" applyFill="1" applyBorder="1" applyAlignment="1">
      <alignment horizontal="center" vertical="top"/>
    </xf>
    <xf numFmtId="0" fontId="25" fillId="14" borderId="6" xfId="6" applyFont="1" applyFill="1" applyBorder="1" applyAlignment="1">
      <alignment horizontal="left" vertical="top"/>
    </xf>
    <xf numFmtId="0" fontId="25" fillId="0" borderId="6" xfId="6" applyFont="1" applyBorder="1" applyAlignment="1">
      <alignment horizontal="left" vertical="top"/>
    </xf>
    <xf numFmtId="0" fontId="130" fillId="0" borderId="76" xfId="0" applyFont="1" applyFill="1" applyBorder="1" applyAlignment="1">
      <alignment horizontal="left"/>
    </xf>
    <xf numFmtId="0" fontId="79" fillId="0" borderId="76" xfId="0" applyFont="1" applyFill="1" applyBorder="1" applyAlignment="1">
      <alignment horizontal="left"/>
    </xf>
    <xf numFmtId="0" fontId="48" fillId="0" borderId="76" xfId="0" applyFont="1" applyFill="1" applyBorder="1" applyAlignment="1">
      <alignment horizontal="left"/>
    </xf>
    <xf numFmtId="0" fontId="21" fillId="0" borderId="6" xfId="6" applyFont="1" applyBorder="1" applyAlignment="1">
      <alignment horizontal="left" vertical="top"/>
    </xf>
    <xf numFmtId="0" fontId="35" fillId="14" borderId="6" xfId="6" applyFont="1" applyFill="1" applyBorder="1" applyAlignment="1">
      <alignment horizontal="left" vertical="top"/>
    </xf>
    <xf numFmtId="0" fontId="81" fillId="0" borderId="0" xfId="0" applyFont="1"/>
    <xf numFmtId="0" fontId="19" fillId="0" borderId="4" xfId="6" applyFont="1" applyFill="1" applyBorder="1" applyAlignment="1">
      <alignment horizontal="left" vertical="top" wrapText="1"/>
    </xf>
    <xf numFmtId="0" fontId="19" fillId="0" borderId="0" xfId="6" applyFont="1" applyAlignment="1">
      <alignment horizontal="left" vertical="top" wrapText="1"/>
    </xf>
    <xf numFmtId="0" fontId="19" fillId="0" borderId="74" xfId="6" applyFont="1" applyBorder="1" applyAlignment="1">
      <alignment horizontal="left" vertical="top" wrapText="1"/>
    </xf>
    <xf numFmtId="9" fontId="37" fillId="0" borderId="5" xfId="6" applyNumberFormat="1" applyFont="1" applyFill="1" applyBorder="1" applyAlignment="1">
      <alignment horizontal="left" vertical="top"/>
    </xf>
    <xf numFmtId="9" fontId="37" fillId="0" borderId="5" xfId="6" applyNumberFormat="1" applyFont="1" applyFill="1" applyBorder="1" applyAlignment="1">
      <alignment horizontal="center" vertical="top"/>
    </xf>
    <xf numFmtId="0" fontId="25" fillId="0" borderId="5" xfId="6" applyFont="1" applyBorder="1" applyAlignment="1">
      <alignment horizontal="left" vertical="top"/>
    </xf>
    <xf numFmtId="0" fontId="19" fillId="0" borderId="0" xfId="6" applyFont="1" applyAlignment="1">
      <alignment horizontal="left" vertical="top"/>
    </xf>
    <xf numFmtId="9" fontId="35" fillId="17" borderId="0" xfId="6" applyNumberFormat="1" applyFont="1" applyFill="1" applyAlignment="1">
      <alignment horizontal="left" vertical="top"/>
    </xf>
    <xf numFmtId="9" fontId="35" fillId="0" borderId="3" xfId="3" applyFont="1" applyBorder="1" applyAlignment="1">
      <alignment horizontal="left" vertical="top"/>
    </xf>
    <xf numFmtId="9" fontId="73" fillId="0" borderId="2" xfId="6" applyNumberFormat="1" applyFont="1" applyBorder="1" applyAlignment="1">
      <alignment horizontal="left" vertical="top"/>
    </xf>
    <xf numFmtId="9" fontId="73" fillId="0" borderId="1" xfId="6" applyNumberFormat="1" applyFont="1" applyBorder="1" applyAlignment="1">
      <alignment horizontal="left" vertical="top"/>
    </xf>
    <xf numFmtId="9" fontId="73" fillId="0" borderId="4" xfId="6" applyNumberFormat="1" applyFont="1" applyBorder="1" applyAlignment="1">
      <alignment horizontal="left" vertical="top"/>
    </xf>
    <xf numFmtId="9" fontId="35" fillId="14" borderId="3" xfId="3" applyFont="1" applyFill="1" applyBorder="1" applyAlignment="1">
      <alignment horizontal="left" vertical="top"/>
    </xf>
    <xf numFmtId="9" fontId="37" fillId="14" borderId="1" xfId="6" applyNumberFormat="1" applyFont="1" applyFill="1" applyBorder="1" applyAlignment="1">
      <alignment horizontal="left" vertical="top"/>
    </xf>
    <xf numFmtId="9" fontId="37" fillId="14" borderId="3" xfId="3" applyFont="1" applyFill="1" applyBorder="1" applyAlignment="1">
      <alignment horizontal="left" vertical="top"/>
    </xf>
    <xf numFmtId="0" fontId="19" fillId="0" borderId="0" xfId="6" applyFont="1" applyFill="1" applyAlignment="1">
      <alignment horizontal="left" vertical="top"/>
    </xf>
    <xf numFmtId="0" fontId="47" fillId="0" borderId="0" xfId="6" applyFont="1" applyAlignment="1">
      <alignment horizontal="left" vertical="top"/>
    </xf>
    <xf numFmtId="0" fontId="19" fillId="0" borderId="0" xfId="6" quotePrefix="1" applyFont="1" applyAlignment="1">
      <alignment horizontal="left" vertical="top"/>
    </xf>
    <xf numFmtId="9" fontId="35" fillId="0" borderId="3" xfId="6" applyNumberFormat="1" applyFont="1" applyBorder="1" applyAlignment="1">
      <alignment horizontal="left" vertical="top"/>
    </xf>
    <xf numFmtId="9" fontId="35" fillId="14" borderId="3" xfId="6" applyNumberFormat="1" applyFont="1" applyFill="1" applyBorder="1" applyAlignment="1">
      <alignment horizontal="left" vertical="top"/>
    </xf>
    <xf numFmtId="0" fontId="35" fillId="7" borderId="0" xfId="6" applyFont="1" applyFill="1" applyAlignment="1">
      <alignment horizontal="left" vertical="top" wrapText="1"/>
    </xf>
    <xf numFmtId="0" fontId="47" fillId="7" borderId="0" xfId="6" applyFont="1" applyFill="1" applyAlignment="1">
      <alignment horizontal="left" vertical="top"/>
    </xf>
    <xf numFmtId="0" fontId="37" fillId="7" borderId="0" xfId="6" applyFont="1" applyFill="1" applyAlignment="1">
      <alignment horizontal="left" vertical="top"/>
    </xf>
    <xf numFmtId="0" fontId="49" fillId="6" borderId="3" xfId="6" applyFont="1" applyFill="1" applyBorder="1" applyAlignment="1">
      <alignment horizontal="left" vertical="top"/>
    </xf>
    <xf numFmtId="9" fontId="19" fillId="0" borderId="3" xfId="6" applyNumberFormat="1" applyFont="1" applyBorder="1" applyAlignment="1">
      <alignment horizontal="left" vertical="top"/>
    </xf>
    <xf numFmtId="9" fontId="19" fillId="14" borderId="3" xfId="6" applyNumberFormat="1" applyFont="1" applyFill="1" applyBorder="1" applyAlignment="1">
      <alignment horizontal="left" vertical="top"/>
    </xf>
    <xf numFmtId="0" fontId="37" fillId="0" borderId="0" xfId="0" applyFont="1" applyAlignment="1">
      <alignment horizontal="left" vertical="top"/>
    </xf>
    <xf numFmtId="1" fontId="37" fillId="14" borderId="11" xfId="0" applyNumberFormat="1" applyFont="1" applyFill="1" applyBorder="1" applyAlignment="1">
      <alignment horizontal="left" vertical="top"/>
    </xf>
    <xf numFmtId="165" fontId="37" fillId="14" borderId="0" xfId="3" applyNumberFormat="1" applyFont="1" applyFill="1" applyBorder="1" applyAlignment="1">
      <alignment horizontal="left" vertical="top"/>
    </xf>
    <xf numFmtId="9" fontId="37" fillId="14" borderId="0" xfId="0" applyNumberFormat="1" applyFont="1" applyFill="1" applyBorder="1" applyAlignment="1">
      <alignment horizontal="left" vertical="top"/>
    </xf>
    <xf numFmtId="1" fontId="37" fillId="14" borderId="18" xfId="0" applyNumberFormat="1" applyFont="1" applyFill="1" applyBorder="1" applyAlignment="1">
      <alignment horizontal="left" vertical="top"/>
    </xf>
    <xf numFmtId="165" fontId="37" fillId="14" borderId="15" xfId="3" applyNumberFormat="1" applyFont="1" applyFill="1" applyBorder="1" applyAlignment="1">
      <alignment horizontal="left" vertical="top"/>
    </xf>
    <xf numFmtId="164" fontId="37" fillId="14" borderId="11" xfId="0" applyNumberFormat="1" applyFont="1" applyFill="1" applyBorder="1" applyAlignment="1">
      <alignment horizontal="left" vertical="top"/>
    </xf>
    <xf numFmtId="164" fontId="37" fillId="14" borderId="16" xfId="0" applyNumberFormat="1" applyFont="1" applyFill="1" applyBorder="1" applyAlignment="1">
      <alignment horizontal="left" vertical="top"/>
    </xf>
    <xf numFmtId="9" fontId="37" fillId="14" borderId="11" xfId="0" applyNumberFormat="1" applyFont="1" applyFill="1" applyBorder="1" applyAlignment="1">
      <alignment horizontal="left" vertical="top"/>
    </xf>
    <xf numFmtId="9" fontId="37" fillId="14" borderId="16" xfId="0" applyNumberFormat="1" applyFont="1" applyFill="1" applyBorder="1" applyAlignment="1">
      <alignment horizontal="left" vertical="top"/>
    </xf>
    <xf numFmtId="9" fontId="37" fillId="14" borderId="0" xfId="3" applyFont="1" applyFill="1" applyBorder="1" applyAlignment="1">
      <alignment horizontal="left" vertical="top"/>
    </xf>
    <xf numFmtId="0" fontId="37" fillId="14" borderId="11" xfId="0" applyFont="1" applyFill="1" applyBorder="1" applyAlignment="1">
      <alignment horizontal="left" vertical="top"/>
    </xf>
    <xf numFmtId="0" fontId="37" fillId="14" borderId="15" xfId="0" quotePrefix="1" applyFont="1" applyFill="1" applyBorder="1"/>
    <xf numFmtId="0" fontId="37" fillId="14" borderId="15" xfId="0" applyFont="1" applyFill="1" applyBorder="1"/>
    <xf numFmtId="0" fontId="37" fillId="13" borderId="6" xfId="0" applyFont="1" applyFill="1" applyBorder="1" applyAlignment="1">
      <alignment horizontal="center" vertical="top"/>
    </xf>
    <xf numFmtId="0" fontId="37" fillId="0" borderId="83" xfId="0" applyFont="1" applyBorder="1" applyAlignment="1">
      <alignment horizontal="left" vertical="top"/>
    </xf>
    <xf numFmtId="165" fontId="37" fillId="0" borderId="0" xfId="3" applyNumberFormat="1" applyFont="1" applyBorder="1" applyAlignment="1">
      <alignment horizontal="left" vertical="top" wrapText="1"/>
    </xf>
    <xf numFmtId="0" fontId="37" fillId="0" borderId="0" xfId="0" applyFont="1" applyBorder="1" applyAlignment="1">
      <alignment horizontal="left" vertical="top" wrapText="1"/>
    </xf>
    <xf numFmtId="166" fontId="48" fillId="4" borderId="0" xfId="0" applyNumberFormat="1" applyFont="1" applyFill="1" applyAlignment="1">
      <alignment horizontal="left" vertical="top" wrapText="1"/>
    </xf>
    <xf numFmtId="166" fontId="48" fillId="0" borderId="0" xfId="0" applyNumberFormat="1" applyFont="1" applyAlignment="1">
      <alignment horizontal="left"/>
    </xf>
    <xf numFmtId="9" fontId="48" fillId="0" borderId="0" xfId="0" applyNumberFormat="1" applyFont="1" applyFill="1" applyAlignment="1">
      <alignment horizontal="left"/>
    </xf>
    <xf numFmtId="0" fontId="48" fillId="0" borderId="0" xfId="6" applyFont="1" applyFill="1" applyBorder="1" applyAlignment="1">
      <alignment horizontal="left" vertical="top"/>
    </xf>
    <xf numFmtId="0" fontId="48" fillId="0" borderId="0" xfId="0" applyFont="1" applyFill="1" applyAlignment="1">
      <alignment horizontal="left"/>
    </xf>
    <xf numFmtId="0" fontId="139" fillId="0" borderId="0" xfId="1" applyFont="1" applyAlignment="1" applyProtection="1"/>
    <xf numFmtId="0" fontId="37" fillId="14" borderId="0" xfId="0" quotePrefix="1" applyFont="1" applyFill="1" applyAlignment="1">
      <alignment horizontal="left"/>
    </xf>
    <xf numFmtId="0" fontId="48" fillId="0" borderId="0" xfId="0" applyFont="1" applyAlignment="1">
      <alignment horizontal="right"/>
    </xf>
    <xf numFmtId="164" fontId="37" fillId="0" borderId="0" xfId="3" applyNumberFormat="1" applyFont="1" applyAlignment="1">
      <alignment horizontal="left"/>
    </xf>
    <xf numFmtId="0" fontId="79" fillId="0" borderId="0" xfId="6" applyFont="1" applyBorder="1" applyAlignment="1">
      <alignment horizontal="left" vertical="top"/>
    </xf>
    <xf numFmtId="0" fontId="79" fillId="0" borderId="0" xfId="0" applyFont="1" applyAlignment="1">
      <alignment horizontal="left"/>
    </xf>
    <xf numFmtId="166" fontId="55" fillId="0" borderId="0" xfId="0" applyNumberFormat="1" applyFont="1" applyFill="1" applyAlignment="1">
      <alignment horizontal="left" vertical="top" wrapText="1"/>
    </xf>
    <xf numFmtId="166" fontId="37" fillId="0" borderId="0" xfId="0" applyNumberFormat="1" applyFont="1" applyFill="1" applyAlignment="1">
      <alignment horizontal="left" vertical="top" wrapText="1"/>
    </xf>
    <xf numFmtId="0" fontId="37" fillId="13" borderId="77" xfId="3" applyNumberFormat="1" applyFont="1" applyFill="1" applyBorder="1" applyAlignment="1">
      <alignment horizontal="left" vertical="top"/>
    </xf>
    <xf numFmtId="164" fontId="37" fillId="0" borderId="0" xfId="3" applyNumberFormat="1" applyFont="1" applyBorder="1" applyAlignment="1">
      <alignment horizontal="left" vertical="top"/>
    </xf>
    <xf numFmtId="9" fontId="48" fillId="0" borderId="0" xfId="0" applyNumberFormat="1" applyFont="1" applyBorder="1" applyAlignment="1">
      <alignment horizontal="left" vertical="top" wrapText="1"/>
    </xf>
    <xf numFmtId="164" fontId="37" fillId="14" borderId="0" xfId="3" applyNumberFormat="1" applyFont="1" applyFill="1" applyBorder="1" applyAlignment="1">
      <alignment horizontal="left" vertical="top"/>
    </xf>
    <xf numFmtId="0" fontId="37" fillId="13" borderId="83" xfId="0" applyFont="1" applyFill="1" applyBorder="1" applyAlignment="1">
      <alignment horizontal="left" vertical="top"/>
    </xf>
    <xf numFmtId="165" fontId="37" fillId="0" borderId="7" xfId="3" applyNumberFormat="1" applyFont="1" applyBorder="1" applyAlignment="1">
      <alignment horizontal="left" vertical="top"/>
    </xf>
    <xf numFmtId="0" fontId="37" fillId="0" borderId="7" xfId="0" applyFont="1" applyBorder="1" applyAlignment="1">
      <alignment horizontal="left" vertical="top"/>
    </xf>
    <xf numFmtId="166" fontId="55" fillId="4" borderId="7" xfId="0" applyNumberFormat="1" applyFont="1" applyFill="1" applyBorder="1" applyAlignment="1">
      <alignment horizontal="left" vertical="top"/>
    </xf>
    <xf numFmtId="0" fontId="37" fillId="0" borderId="82" xfId="0" applyFont="1" applyBorder="1" applyAlignment="1">
      <alignment horizontal="left" vertical="top"/>
    </xf>
    <xf numFmtId="165" fontId="37" fillId="0" borderId="8" xfId="3" applyNumberFormat="1" applyFont="1" applyBorder="1" applyAlignment="1">
      <alignment horizontal="left" vertical="top"/>
    </xf>
    <xf numFmtId="0" fontId="37" fillId="0" borderId="7" xfId="3" applyNumberFormat="1" applyFont="1" applyBorder="1" applyAlignment="1">
      <alignment horizontal="left" vertical="top"/>
    </xf>
    <xf numFmtId="166" fontId="55" fillId="4" borderId="6" xfId="0" applyNumberFormat="1" applyFont="1" applyFill="1" applyBorder="1" applyAlignment="1">
      <alignment horizontal="left" vertical="top"/>
    </xf>
    <xf numFmtId="166" fontId="55" fillId="0" borderId="7" xfId="0" applyNumberFormat="1" applyFont="1" applyBorder="1" applyAlignment="1">
      <alignment horizontal="left" vertical="top"/>
    </xf>
    <xf numFmtId="1" fontId="37" fillId="0" borderId="13" xfId="0" applyNumberFormat="1" applyFont="1" applyBorder="1" applyAlignment="1">
      <alignment horizontal="left" vertical="top" wrapText="1"/>
    </xf>
    <xf numFmtId="1" fontId="37" fillId="0" borderId="14" xfId="0" applyNumberFormat="1" applyFont="1" applyBorder="1" applyAlignment="1">
      <alignment horizontal="left" vertical="top" wrapText="1"/>
    </xf>
    <xf numFmtId="9" fontId="37" fillId="0" borderId="14" xfId="0" applyNumberFormat="1" applyFont="1" applyBorder="1" applyAlignment="1">
      <alignment horizontal="left" vertical="top" wrapText="1"/>
    </xf>
    <xf numFmtId="165" fontId="37" fillId="0" borderId="9" xfId="3" applyNumberFormat="1" applyFont="1" applyBorder="1" applyAlignment="1">
      <alignment horizontal="left" vertical="top"/>
    </xf>
    <xf numFmtId="164" fontId="37" fillId="0" borderId="14" xfId="3" applyNumberFormat="1" applyFont="1" applyBorder="1" applyAlignment="1">
      <alignment horizontal="left" vertical="top"/>
    </xf>
    <xf numFmtId="9" fontId="37" fillId="0" borderId="17" xfId="0" applyNumberFormat="1" applyFont="1" applyBorder="1" applyAlignment="1">
      <alignment horizontal="left" vertical="top"/>
    </xf>
    <xf numFmtId="0" fontId="37" fillId="0" borderId="9" xfId="0" quotePrefix="1" applyFont="1" applyBorder="1"/>
    <xf numFmtId="1" fontId="69" fillId="0" borderId="0" xfId="3" applyNumberFormat="1" applyFont="1" applyBorder="1" applyAlignment="1">
      <alignment horizontal="left" vertical="top"/>
    </xf>
    <xf numFmtId="1" fontId="69" fillId="0" borderId="0" xfId="0" applyNumberFormat="1" applyFont="1" applyBorder="1" applyAlignment="1">
      <alignment horizontal="left" vertical="top"/>
    </xf>
    <xf numFmtId="0" fontId="72" fillId="14" borderId="15" xfId="0" applyFont="1" applyFill="1" applyBorder="1"/>
    <xf numFmtId="9" fontId="72" fillId="0" borderId="0" xfId="0" applyNumberFormat="1" applyFont="1" applyBorder="1" applyAlignment="1">
      <alignment horizontal="left" vertical="top"/>
    </xf>
    <xf numFmtId="0" fontId="38" fillId="13" borderId="0" xfId="0" applyFont="1" applyFill="1" applyAlignment="1">
      <alignment horizontal="left" vertical="top"/>
    </xf>
    <xf numFmtId="9" fontId="47" fillId="0" borderId="0" xfId="0" applyNumberFormat="1" applyFont="1" applyBorder="1" applyAlignment="1">
      <alignment horizontal="left" vertical="top"/>
    </xf>
    <xf numFmtId="1" fontId="47" fillId="0" borderId="18" xfId="0" applyNumberFormat="1" applyFont="1" applyBorder="1" applyAlignment="1">
      <alignment horizontal="left" vertical="top"/>
    </xf>
    <xf numFmtId="165" fontId="47" fillId="0" borderId="15" xfId="3" applyNumberFormat="1" applyFont="1" applyBorder="1" applyAlignment="1">
      <alignment horizontal="left" vertical="top"/>
    </xf>
    <xf numFmtId="164" fontId="47" fillId="0" borderId="0" xfId="3" applyNumberFormat="1" applyFont="1" applyBorder="1" applyAlignment="1">
      <alignment horizontal="left" vertical="top"/>
    </xf>
    <xf numFmtId="164" fontId="47" fillId="0" borderId="11" xfId="0" applyNumberFormat="1" applyFont="1" applyBorder="1" applyAlignment="1">
      <alignment horizontal="left" vertical="top"/>
    </xf>
    <xf numFmtId="164" fontId="47" fillId="0" borderId="16" xfId="0" applyNumberFormat="1" applyFont="1" applyBorder="1" applyAlignment="1">
      <alignment horizontal="left" vertical="top"/>
    </xf>
    <xf numFmtId="9" fontId="47" fillId="0" borderId="11" xfId="0" applyNumberFormat="1" applyFont="1" applyBorder="1" applyAlignment="1">
      <alignment horizontal="left" vertical="top"/>
    </xf>
    <xf numFmtId="9" fontId="47" fillId="0" borderId="0" xfId="0" applyNumberFormat="1" applyFont="1" applyAlignment="1">
      <alignment horizontal="left" vertical="top"/>
    </xf>
    <xf numFmtId="9" fontId="47" fillId="0" borderId="16" xfId="0" applyNumberFormat="1" applyFont="1" applyBorder="1" applyAlignment="1">
      <alignment horizontal="left" vertical="top"/>
    </xf>
    <xf numFmtId="0" fontId="47" fillId="0" borderId="11" xfId="0" applyFont="1" applyBorder="1" applyAlignment="1">
      <alignment horizontal="left" vertical="top"/>
    </xf>
    <xf numFmtId="0" fontId="140" fillId="0" borderId="15" xfId="0" applyFont="1" applyBorder="1"/>
    <xf numFmtId="9" fontId="47" fillId="0" borderId="0" xfId="3" applyFont="1" applyBorder="1" applyAlignment="1">
      <alignment horizontal="left" vertical="top"/>
    </xf>
    <xf numFmtId="9" fontId="47" fillId="14" borderId="0" xfId="0" applyNumberFormat="1" applyFont="1" applyFill="1" applyBorder="1" applyAlignment="1">
      <alignment horizontal="left" vertical="top"/>
    </xf>
    <xf numFmtId="1" fontId="47" fillId="14" borderId="18" xfId="0" applyNumberFormat="1" applyFont="1" applyFill="1" applyBorder="1" applyAlignment="1">
      <alignment horizontal="left" vertical="top"/>
    </xf>
    <xf numFmtId="165" fontId="47" fillId="14" borderId="15" xfId="3" applyNumberFormat="1" applyFont="1" applyFill="1" applyBorder="1" applyAlignment="1">
      <alignment horizontal="left" vertical="top"/>
    </xf>
    <xf numFmtId="164" fontId="47" fillId="14" borderId="0" xfId="3" applyNumberFormat="1" applyFont="1" applyFill="1" applyBorder="1" applyAlignment="1">
      <alignment horizontal="left" vertical="top"/>
    </xf>
    <xf numFmtId="164" fontId="47" fillId="14" borderId="11" xfId="0" applyNumberFormat="1" applyFont="1" applyFill="1" applyBorder="1" applyAlignment="1">
      <alignment horizontal="left" vertical="top"/>
    </xf>
    <xf numFmtId="164" fontId="47" fillId="14" borderId="16" xfId="0" applyNumberFormat="1" applyFont="1" applyFill="1" applyBorder="1" applyAlignment="1">
      <alignment horizontal="left" vertical="top"/>
    </xf>
    <xf numFmtId="9" fontId="47" fillId="14" borderId="11" xfId="0" applyNumberFormat="1" applyFont="1" applyFill="1" applyBorder="1" applyAlignment="1">
      <alignment horizontal="left" vertical="top"/>
    </xf>
    <xf numFmtId="9" fontId="47" fillId="14" borderId="0" xfId="0" applyNumberFormat="1" applyFont="1" applyFill="1" applyAlignment="1">
      <alignment horizontal="left" vertical="top"/>
    </xf>
    <xf numFmtId="9" fontId="47" fillId="14" borderId="16" xfId="0" applyNumberFormat="1" applyFont="1" applyFill="1" applyBorder="1" applyAlignment="1">
      <alignment horizontal="left" vertical="top"/>
    </xf>
    <xf numFmtId="0" fontId="47" fillId="14" borderId="11" xfId="0" applyFont="1" applyFill="1" applyBorder="1" applyAlignment="1">
      <alignment horizontal="left" vertical="top"/>
    </xf>
    <xf numFmtId="0" fontId="140" fillId="14" borderId="15" xfId="0" applyFont="1" applyFill="1" applyBorder="1"/>
    <xf numFmtId="9" fontId="47" fillId="14" borderId="0" xfId="3" applyFont="1" applyFill="1" applyBorder="1" applyAlignment="1">
      <alignment horizontal="left" vertical="top"/>
    </xf>
    <xf numFmtId="9" fontId="140" fillId="0" borderId="0" xfId="0" applyNumberFormat="1" applyFont="1" applyAlignment="1">
      <alignment horizontal="left" vertical="top"/>
    </xf>
    <xf numFmtId="1" fontId="47" fillId="0" borderId="11" xfId="0" applyNumberFormat="1" applyFont="1" applyBorder="1" applyAlignment="1">
      <alignment horizontal="left" vertical="top"/>
    </xf>
    <xf numFmtId="165" fontId="47" fillId="0" borderId="0" xfId="3" applyNumberFormat="1" applyFont="1" applyBorder="1" applyAlignment="1">
      <alignment horizontal="left" vertical="top"/>
    </xf>
    <xf numFmtId="1" fontId="47" fillId="14" borderId="11" xfId="0" applyNumberFormat="1" applyFont="1" applyFill="1" applyBorder="1" applyAlignment="1">
      <alignment horizontal="left" vertical="top"/>
    </xf>
    <xf numFmtId="165" fontId="47" fillId="14" borderId="0" xfId="3" applyNumberFormat="1" applyFont="1" applyFill="1" applyBorder="1" applyAlignment="1">
      <alignment horizontal="left" vertical="top"/>
    </xf>
    <xf numFmtId="0" fontId="47" fillId="0" borderId="0" xfId="0" applyFont="1" applyAlignment="1">
      <alignment horizontal="left" vertical="top"/>
    </xf>
    <xf numFmtId="0" fontId="47" fillId="0" borderId="0" xfId="0" applyFont="1" applyFill="1" applyAlignment="1">
      <alignment horizontal="left" vertical="top"/>
    </xf>
    <xf numFmtId="0" fontId="37" fillId="0" borderId="0" xfId="0" applyNumberFormat="1" applyFont="1" applyBorder="1" applyAlignment="1">
      <alignment horizontal="left" vertical="top"/>
    </xf>
    <xf numFmtId="0" fontId="37" fillId="14" borderId="0" xfId="0" applyNumberFormat="1" applyFont="1" applyFill="1" applyBorder="1" applyAlignment="1">
      <alignment horizontal="left" vertical="top"/>
    </xf>
    <xf numFmtId="0" fontId="35" fillId="0" borderId="0" xfId="6" applyFont="1" applyAlignment="1">
      <alignment horizontal="left" vertical="top"/>
    </xf>
    <xf numFmtId="0" fontId="37" fillId="0" borderId="0" xfId="0" applyFont="1" applyAlignment="1">
      <alignment horizontal="left" vertical="top"/>
    </xf>
    <xf numFmtId="0" fontId="35" fillId="0" borderId="0" xfId="6" applyFont="1" applyAlignment="1">
      <alignment horizontal="left" vertical="top"/>
    </xf>
    <xf numFmtId="0" fontId="0" fillId="6" borderId="10" xfId="0" applyFill="1" applyBorder="1"/>
    <xf numFmtId="0" fontId="37" fillId="0" borderId="0" xfId="0" applyFont="1" applyAlignment="1">
      <alignment horizontal="left" vertical="top"/>
    </xf>
    <xf numFmtId="9" fontId="37" fillId="14" borderId="0" xfId="0" applyNumberFormat="1" applyFont="1" applyFill="1" applyAlignment="1">
      <alignment horizontal="left" vertical="top"/>
    </xf>
    <xf numFmtId="9" fontId="73" fillId="14" borderId="0" xfId="3" applyFont="1" applyFill="1" applyAlignment="1">
      <alignment horizontal="left"/>
    </xf>
    <xf numFmtId="0" fontId="79" fillId="0" borderId="0" xfId="0" applyFont="1" applyAlignment="1">
      <alignment vertical="top"/>
    </xf>
    <xf numFmtId="0" fontId="48" fillId="0" borderId="0" xfId="0" applyFont="1" applyAlignment="1">
      <alignment horizontal="left" vertical="top"/>
    </xf>
    <xf numFmtId="0" fontId="79" fillId="0" borderId="0" xfId="0" applyFont="1" applyAlignment="1">
      <alignment horizontal="center" vertical="top"/>
    </xf>
    <xf numFmtId="1" fontId="0" fillId="0" borderId="0" xfId="3" applyNumberFormat="1" applyFont="1" applyAlignment="1">
      <alignment horizontal="left"/>
    </xf>
    <xf numFmtId="1" fontId="0" fillId="14" borderId="0" xfId="3" applyNumberFormat="1" applyFont="1" applyFill="1" applyAlignment="1">
      <alignment horizontal="left"/>
    </xf>
    <xf numFmtId="165" fontId="0" fillId="0" borderId="0" xfId="3" applyNumberFormat="1" applyFont="1" applyAlignment="1">
      <alignment horizontal="left"/>
    </xf>
    <xf numFmtId="1" fontId="0" fillId="0" borderId="7" xfId="0" applyNumberFormat="1" applyBorder="1" applyAlignment="1">
      <alignment horizontal="left"/>
    </xf>
    <xf numFmtId="9" fontId="0" fillId="0" borderId="7" xfId="3" applyFont="1" applyBorder="1" applyAlignment="1">
      <alignment horizontal="left"/>
    </xf>
    <xf numFmtId="165" fontId="0" fillId="0" borderId="7" xfId="3" applyNumberFormat="1" applyFont="1" applyBorder="1" applyAlignment="1">
      <alignment horizontal="left"/>
    </xf>
    <xf numFmtId="1" fontId="0" fillId="14" borderId="7" xfId="0" applyNumberFormat="1" applyFill="1" applyBorder="1" applyAlignment="1">
      <alignment horizontal="left"/>
    </xf>
    <xf numFmtId="165" fontId="0" fillId="14" borderId="7" xfId="3" applyNumberFormat="1" applyFont="1" applyFill="1" applyBorder="1" applyAlignment="1">
      <alignment horizontal="left"/>
    </xf>
    <xf numFmtId="0" fontId="38" fillId="0" borderId="7" xfId="0" applyFont="1" applyBorder="1" applyAlignment="1">
      <alignment horizontal="left"/>
    </xf>
    <xf numFmtId="0" fontId="79" fillId="0" borderId="0" xfId="0" applyFont="1" applyAlignment="1">
      <alignment horizontal="right" vertical="top"/>
    </xf>
    <xf numFmtId="0" fontId="93" fillId="0" borderId="0" xfId="0" applyFont="1" applyAlignment="1">
      <alignment horizontal="left" vertical="top"/>
    </xf>
    <xf numFmtId="9" fontId="79" fillId="0" borderId="0" xfId="0" applyNumberFormat="1" applyFont="1" applyAlignment="1">
      <alignment horizontal="left" vertical="top"/>
    </xf>
    <xf numFmtId="9" fontId="79" fillId="0" borderId="0" xfId="3" applyFont="1" applyAlignment="1">
      <alignment horizontal="left" vertical="top"/>
    </xf>
    <xf numFmtId="0" fontId="79" fillId="0" borderId="0" xfId="6" applyFont="1" applyFill="1" applyBorder="1" applyAlignment="1">
      <alignment horizontal="left" vertical="top"/>
    </xf>
    <xf numFmtId="9" fontId="79" fillId="0" borderId="0" xfId="0" applyNumberFormat="1" applyFont="1" applyFill="1" applyAlignment="1">
      <alignment horizontal="left" vertical="top"/>
    </xf>
    <xf numFmtId="0" fontId="37" fillId="13" borderId="0" xfId="0" applyFont="1" applyFill="1" applyAlignment="1">
      <alignment horizontal="left" vertical="top"/>
    </xf>
    <xf numFmtId="0" fontId="37" fillId="0" borderId="11" xfId="0" applyNumberFormat="1" applyFont="1" applyBorder="1" applyAlignment="1">
      <alignment horizontal="left" vertical="top"/>
    </xf>
    <xf numFmtId="0" fontId="37" fillId="0" borderId="13" xfId="0" applyNumberFormat="1" applyFont="1" applyBorder="1" applyAlignment="1">
      <alignment horizontal="left" vertical="top"/>
    </xf>
    <xf numFmtId="0" fontId="37" fillId="14" borderId="11" xfId="0" applyNumberFormat="1" applyFont="1" applyFill="1" applyBorder="1" applyAlignment="1">
      <alignment horizontal="left" vertical="top"/>
    </xf>
    <xf numFmtId="0" fontId="38" fillId="0" borderId="0" xfId="0" applyNumberFormat="1" applyFont="1" applyBorder="1" applyAlignment="1">
      <alignment horizontal="left" vertical="top"/>
    </xf>
    <xf numFmtId="0" fontId="38" fillId="13" borderId="0" xfId="0" quotePrefix="1" applyNumberFormat="1" applyFont="1" applyFill="1" applyBorder="1" applyAlignment="1">
      <alignment horizontal="left" vertical="top"/>
    </xf>
    <xf numFmtId="0" fontId="69" fillId="0" borderId="0" xfId="0" applyNumberFormat="1" applyFont="1" applyBorder="1" applyAlignment="1">
      <alignment horizontal="left" vertical="top"/>
    </xf>
    <xf numFmtId="0" fontId="38" fillId="7" borderId="0" xfId="0" applyNumberFormat="1" applyFont="1" applyFill="1" applyBorder="1" applyAlignment="1">
      <alignment horizontal="left" vertical="top"/>
    </xf>
    <xf numFmtId="0" fontId="38" fillId="0" borderId="0" xfId="0" applyNumberFormat="1" applyFont="1" applyFill="1" applyBorder="1" applyAlignment="1">
      <alignment horizontal="left" vertical="top"/>
    </xf>
    <xf numFmtId="0" fontId="37" fillId="0" borderId="12" xfId="0" applyNumberFormat="1" applyFont="1" applyBorder="1" applyAlignment="1">
      <alignment horizontal="left" vertical="top"/>
    </xf>
    <xf numFmtId="0" fontId="77" fillId="8" borderId="12" xfId="0" applyNumberFormat="1" applyFont="1" applyFill="1" applyBorder="1" applyAlignment="1">
      <alignment horizontal="left" vertical="top"/>
    </xf>
    <xf numFmtId="0" fontId="77" fillId="8" borderId="10" xfId="0" applyFont="1" applyFill="1" applyBorder="1" applyAlignment="1">
      <alignment horizontal="left" vertical="top"/>
    </xf>
    <xf numFmtId="0" fontId="73" fillId="0" borderId="15" xfId="0" applyFont="1" applyBorder="1" applyAlignment="1">
      <alignment horizontal="center" vertical="top"/>
    </xf>
    <xf numFmtId="1" fontId="37" fillId="0" borderId="15" xfId="0" applyNumberFormat="1" applyFont="1" applyBorder="1" applyAlignment="1">
      <alignment horizontal="left" vertical="top"/>
    </xf>
    <xf numFmtId="9" fontId="37" fillId="0" borderId="0" xfId="3" applyNumberFormat="1" applyFont="1" applyBorder="1" applyAlignment="1">
      <alignment horizontal="left" vertical="top"/>
    </xf>
    <xf numFmtId="0" fontId="18" fillId="0" borderId="11" xfId="6" applyFont="1" applyBorder="1" applyAlignment="1">
      <alignment horizontal="left" vertical="top"/>
    </xf>
    <xf numFmtId="0" fontId="37" fillId="0" borderId="0" xfId="6" applyFont="1" applyBorder="1" applyAlignment="1">
      <alignment horizontal="center" vertical="top"/>
    </xf>
    <xf numFmtId="9" fontId="37" fillId="0" borderId="0" xfId="6" applyNumberFormat="1" applyFont="1" applyBorder="1" applyAlignment="1">
      <alignment horizontal="center" vertical="top"/>
    </xf>
    <xf numFmtId="0" fontId="37" fillId="0" borderId="0" xfId="6" applyFont="1" applyAlignment="1">
      <alignment horizontal="center" vertical="top"/>
    </xf>
    <xf numFmtId="9" fontId="35" fillId="0" borderId="11" xfId="6" applyNumberFormat="1" applyFont="1" applyBorder="1" applyAlignment="1">
      <alignment horizontal="left" vertical="top"/>
    </xf>
    <xf numFmtId="0" fontId="37" fillId="0" borderId="35" xfId="6" applyFont="1" applyBorder="1" applyAlignment="1">
      <alignment horizontal="center" vertical="top"/>
    </xf>
    <xf numFmtId="9" fontId="37" fillId="0" borderId="38" xfId="6" applyNumberFormat="1" applyFont="1" applyBorder="1" applyAlignment="1">
      <alignment horizontal="center" vertical="top"/>
    </xf>
    <xf numFmtId="165" fontId="37" fillId="0" borderId="0" xfId="0" applyNumberFormat="1" applyFont="1" applyBorder="1" applyAlignment="1">
      <alignment horizontal="left" vertical="top"/>
    </xf>
    <xf numFmtId="0" fontId="51" fillId="0" borderId="0" xfId="0" applyFont="1" applyFill="1" applyAlignment="1">
      <alignment horizontal="left"/>
    </xf>
    <xf numFmtId="0" fontId="79" fillId="0" borderId="0" xfId="0" applyFont="1" applyFill="1" applyAlignment="1">
      <alignment horizontal="left"/>
    </xf>
    <xf numFmtId="0" fontId="48" fillId="0" borderId="0" xfId="0" applyFont="1" applyBorder="1" applyAlignment="1">
      <alignment horizontal="left" vertical="top"/>
    </xf>
    <xf numFmtId="0" fontId="48" fillId="14" borderId="0" xfId="0" applyFont="1" applyFill="1" applyBorder="1" applyAlignment="1">
      <alignment horizontal="left" vertical="top"/>
    </xf>
    <xf numFmtId="0" fontId="47" fillId="0" borderId="0" xfId="0" applyFont="1" applyBorder="1" applyAlignment="1">
      <alignment horizontal="left" vertical="top"/>
    </xf>
    <xf numFmtId="1" fontId="48" fillId="0" borderId="0" xfId="0" applyNumberFormat="1" applyFont="1" applyAlignment="1">
      <alignment horizontal="left"/>
    </xf>
    <xf numFmtId="14" fontId="48" fillId="0" borderId="0" xfId="0" applyNumberFormat="1" applyFont="1" applyFill="1" applyAlignment="1">
      <alignment horizontal="left"/>
    </xf>
    <xf numFmtId="166" fontId="48" fillId="0" borderId="0" xfId="0" applyNumberFormat="1" applyFont="1" applyFill="1" applyAlignment="1">
      <alignment horizontal="left" vertical="top"/>
    </xf>
    <xf numFmtId="1" fontId="48" fillId="0" borderId="0" xfId="3" applyNumberFormat="1" applyFont="1" applyBorder="1" applyAlignment="1">
      <alignment horizontal="left" vertical="top"/>
    </xf>
    <xf numFmtId="0" fontId="37" fillId="14" borderId="11" xfId="0" applyFont="1" applyFill="1" applyBorder="1" applyAlignment="1">
      <alignment horizontal="left"/>
    </xf>
    <xf numFmtId="9" fontId="0" fillId="14" borderId="15" xfId="0" applyNumberFormat="1" applyFill="1" applyBorder="1" applyAlignment="1">
      <alignment horizontal="center"/>
    </xf>
    <xf numFmtId="1" fontId="37" fillId="14" borderId="0" xfId="0" applyNumberFormat="1" applyFont="1" applyFill="1" applyBorder="1" applyAlignment="1">
      <alignment horizontal="left"/>
    </xf>
    <xf numFmtId="10" fontId="37" fillId="14" borderId="0" xfId="3" applyNumberFormat="1" applyFont="1" applyFill="1" applyBorder="1" applyAlignment="1">
      <alignment horizontal="left"/>
    </xf>
    <xf numFmtId="1" fontId="0" fillId="14" borderId="0" xfId="0" applyNumberFormat="1" applyFill="1" applyBorder="1" applyAlignment="1">
      <alignment horizontal="left"/>
    </xf>
    <xf numFmtId="1" fontId="37" fillId="14" borderId="11" xfId="0" applyNumberFormat="1" applyFont="1" applyFill="1" applyBorder="1" applyAlignment="1">
      <alignment horizontal="left"/>
    </xf>
    <xf numFmtId="9" fontId="0" fillId="14" borderId="15" xfId="3" applyFont="1" applyFill="1" applyBorder="1" applyAlignment="1">
      <alignment horizontal="left"/>
    </xf>
    <xf numFmtId="0" fontId="0" fillId="14" borderId="0" xfId="0" applyFill="1"/>
    <xf numFmtId="0" fontId="37" fillId="0" borderId="7" xfId="6" applyFont="1" applyFill="1" applyBorder="1" applyAlignment="1">
      <alignment horizontal="left" vertical="top"/>
    </xf>
    <xf numFmtId="165" fontId="0" fillId="0" borderId="7" xfId="3" applyNumberFormat="1" applyFont="1" applyFill="1" applyBorder="1" applyAlignment="1">
      <alignment horizontal="left"/>
    </xf>
    <xf numFmtId="165" fontId="0" fillId="0" borderId="0" xfId="3" applyNumberFormat="1" applyFont="1" applyFill="1" applyBorder="1" applyAlignment="1">
      <alignment horizontal="left"/>
    </xf>
    <xf numFmtId="1" fontId="37" fillId="0" borderId="11" xfId="0" applyNumberFormat="1" applyFont="1" applyBorder="1" applyAlignment="1">
      <alignment horizontal="left" vertical="top" wrapText="1"/>
    </xf>
    <xf numFmtId="1" fontId="0" fillId="0" borderId="7" xfId="0" applyNumberFormat="1" applyFill="1" applyBorder="1" applyAlignment="1">
      <alignment horizontal="left" indent="1"/>
    </xf>
    <xf numFmtId="164" fontId="0" fillId="14" borderId="7" xfId="0" applyNumberFormat="1" applyFill="1" applyBorder="1" applyAlignment="1">
      <alignment horizontal="left"/>
    </xf>
    <xf numFmtId="164" fontId="0" fillId="0" borderId="7" xfId="0" applyNumberFormat="1" applyBorder="1" applyAlignment="1">
      <alignment horizontal="left"/>
    </xf>
    <xf numFmtId="1" fontId="79" fillId="0" borderId="0" xfId="0" applyNumberFormat="1" applyFont="1" applyAlignment="1">
      <alignment horizontal="left" vertical="top"/>
    </xf>
    <xf numFmtId="0" fontId="48" fillId="0" borderId="0" xfId="0" applyFont="1" applyAlignment="1">
      <alignment horizontal="right" vertical="top"/>
    </xf>
    <xf numFmtId="0" fontId="37" fillId="8" borderId="0" xfId="0" applyFont="1" applyFill="1" applyAlignment="1">
      <alignment horizontal="left" vertical="top"/>
    </xf>
    <xf numFmtId="0" fontId="37" fillId="19" borderId="0" xfId="0" applyFont="1" applyFill="1" applyAlignment="1">
      <alignment horizontal="left" vertical="top"/>
    </xf>
    <xf numFmtId="0" fontId="37" fillId="20" borderId="0" xfId="0" applyFont="1" applyFill="1" applyAlignment="1">
      <alignment horizontal="left" vertical="top"/>
    </xf>
    <xf numFmtId="0" fontId="37" fillId="18" borderId="0" xfId="0" applyFont="1" applyFill="1" applyAlignment="1">
      <alignment horizontal="left" vertical="top"/>
    </xf>
    <xf numFmtId="0" fontId="37" fillId="7" borderId="0" xfId="0" applyFont="1" applyFill="1" applyAlignment="1">
      <alignment horizontal="left" vertical="top"/>
    </xf>
    <xf numFmtId="0" fontId="37" fillId="21" borderId="0" xfId="0" applyFont="1" applyFill="1" applyAlignment="1">
      <alignment horizontal="left" vertical="top"/>
    </xf>
    <xf numFmtId="0" fontId="37" fillId="22" borderId="0" xfId="0" applyFont="1" applyFill="1" applyAlignment="1">
      <alignment horizontal="left" vertical="top"/>
    </xf>
    <xf numFmtId="9" fontId="48" fillId="14" borderId="16" xfId="0" applyNumberFormat="1" applyFont="1" applyFill="1" applyBorder="1" applyAlignment="1">
      <alignment horizontal="left" vertical="top"/>
    </xf>
    <xf numFmtId="9" fontId="48" fillId="0" borderId="16" xfId="0" applyNumberFormat="1" applyFont="1" applyBorder="1" applyAlignment="1">
      <alignment horizontal="left" vertical="top"/>
    </xf>
    <xf numFmtId="164" fontId="48" fillId="14" borderId="16" xfId="0" applyNumberFormat="1" applyFont="1" applyFill="1" applyBorder="1" applyAlignment="1">
      <alignment horizontal="left" vertical="top"/>
    </xf>
    <xf numFmtId="164" fontId="48" fillId="0" borderId="16" xfId="0" applyNumberFormat="1" applyFont="1" applyBorder="1" applyAlignment="1">
      <alignment horizontal="left" vertical="top"/>
    </xf>
    <xf numFmtId="9" fontId="48" fillId="0" borderId="11" xfId="0" applyNumberFormat="1" applyFont="1" applyBorder="1" applyAlignment="1">
      <alignment horizontal="left" vertical="top"/>
    </xf>
    <xf numFmtId="9" fontId="48" fillId="14" borderId="11" xfId="0" applyNumberFormat="1" applyFont="1" applyFill="1" applyBorder="1" applyAlignment="1">
      <alignment horizontal="left" vertical="top"/>
    </xf>
    <xf numFmtId="9" fontId="48" fillId="0" borderId="0" xfId="0" applyNumberFormat="1" applyFont="1" applyBorder="1" applyAlignment="1">
      <alignment horizontal="left" vertical="top"/>
    </xf>
    <xf numFmtId="0" fontId="37" fillId="0" borderId="85" xfId="0" applyNumberFormat="1" applyFont="1" applyBorder="1" applyAlignment="1">
      <alignment horizontal="left" vertical="top"/>
    </xf>
    <xf numFmtId="0" fontId="37" fillId="0" borderId="85" xfId="0" applyFont="1" applyBorder="1" applyAlignment="1">
      <alignment horizontal="left" vertical="top"/>
    </xf>
    <xf numFmtId="164" fontId="48" fillId="14" borderId="11" xfId="0" applyNumberFormat="1" applyFont="1" applyFill="1" applyBorder="1" applyAlignment="1">
      <alignment horizontal="left" vertical="top"/>
    </xf>
    <xf numFmtId="164" fontId="48" fillId="0" borderId="11" xfId="0" applyNumberFormat="1" applyFont="1" applyBorder="1" applyAlignment="1">
      <alignment horizontal="left" vertical="top"/>
    </xf>
    <xf numFmtId="0" fontId="140" fillId="0" borderId="0" xfId="0" applyFont="1" applyBorder="1"/>
    <xf numFmtId="164" fontId="47" fillId="0" borderId="0" xfId="0" applyNumberFormat="1" applyFont="1" applyBorder="1" applyAlignment="1">
      <alignment horizontal="left" vertical="top"/>
    </xf>
    <xf numFmtId="9" fontId="38" fillId="14" borderId="16" xfId="0" applyNumberFormat="1" applyFont="1" applyFill="1" applyBorder="1" applyAlignment="1">
      <alignment horizontal="left" vertical="top"/>
    </xf>
    <xf numFmtId="0" fontId="38" fillId="6" borderId="0" xfId="0" applyNumberFormat="1" applyFont="1" applyFill="1" applyBorder="1" applyAlignment="1">
      <alignment horizontal="left" vertical="top"/>
    </xf>
    <xf numFmtId="1" fontId="37" fillId="7" borderId="0" xfId="0" applyNumberFormat="1" applyFont="1" applyFill="1" applyAlignment="1">
      <alignment horizontal="left" vertical="top"/>
    </xf>
    <xf numFmtId="1" fontId="69" fillId="7" borderId="0" xfId="3" applyNumberFormat="1" applyFont="1" applyFill="1" applyBorder="1" applyAlignment="1">
      <alignment horizontal="left" vertical="top"/>
    </xf>
    <xf numFmtId="1" fontId="69" fillId="7" borderId="0" xfId="0" applyNumberFormat="1" applyFont="1" applyFill="1" applyBorder="1" applyAlignment="1">
      <alignment horizontal="left" vertical="top"/>
    </xf>
    <xf numFmtId="0" fontId="110" fillId="0" borderId="0" xfId="0" applyNumberFormat="1" applyFont="1" applyBorder="1" applyAlignment="1">
      <alignment horizontal="left" vertical="top"/>
    </xf>
    <xf numFmtId="2" fontId="37" fillId="0" borderId="0" xfId="0" applyNumberFormat="1" applyFont="1" applyBorder="1" applyAlignment="1">
      <alignment horizontal="left"/>
    </xf>
    <xf numFmtId="0" fontId="37" fillId="0" borderId="20" xfId="0" applyFont="1" applyBorder="1"/>
    <xf numFmtId="0" fontId="37" fillId="0" borderId="0" xfId="0" applyFont="1" applyAlignment="1">
      <alignment horizontal="center"/>
    </xf>
    <xf numFmtId="0" fontId="0" fillId="6" borderId="12" xfId="0" applyFill="1" applyBorder="1"/>
    <xf numFmtId="0" fontId="0" fillId="6" borderId="5" xfId="0" applyFill="1" applyBorder="1"/>
    <xf numFmtId="0" fontId="38" fillId="6" borderId="5" xfId="0" applyFont="1" applyFill="1" applyBorder="1"/>
    <xf numFmtId="9" fontId="37" fillId="0" borderId="1" xfId="0" applyNumberFormat="1" applyFont="1" applyBorder="1" applyAlignment="1">
      <alignment horizontal="center"/>
    </xf>
    <xf numFmtId="9" fontId="37" fillId="14" borderId="1" xfId="0" applyNumberFormat="1" applyFont="1" applyFill="1" applyBorder="1" applyAlignment="1">
      <alignment horizontal="center"/>
    </xf>
    <xf numFmtId="9" fontId="37" fillId="0" borderId="4" xfId="0" applyNumberFormat="1" applyFont="1" applyBorder="1" applyAlignment="1">
      <alignment horizontal="center"/>
    </xf>
    <xf numFmtId="0" fontId="38" fillId="6" borderId="2" xfId="6" applyFont="1" applyFill="1" applyBorder="1" applyAlignment="1">
      <alignment horizontal="center" vertical="top"/>
    </xf>
    <xf numFmtId="0" fontId="38" fillId="6" borderId="4" xfId="6" applyFont="1" applyFill="1" applyBorder="1" applyAlignment="1">
      <alignment horizontal="center" vertical="top"/>
    </xf>
    <xf numFmtId="0" fontId="38" fillId="6" borderId="6" xfId="6" applyFont="1" applyFill="1" applyBorder="1" applyAlignment="1">
      <alignment horizontal="left" vertical="top"/>
    </xf>
    <xf numFmtId="0" fontId="0" fillId="0" borderId="2" xfId="0" applyBorder="1" applyAlignment="1">
      <alignment horizontal="center"/>
    </xf>
    <xf numFmtId="0" fontId="17" fillId="0" borderId="0" xfId="6" applyFont="1" applyAlignment="1">
      <alignment horizontal="left" vertical="top"/>
    </xf>
    <xf numFmtId="0" fontId="17" fillId="0" borderId="0" xfId="6" applyFont="1" applyAlignment="1">
      <alignment vertical="top"/>
    </xf>
    <xf numFmtId="0" fontId="37" fillId="8" borderId="3" xfId="0" applyFont="1" applyFill="1" applyBorder="1" applyAlignment="1">
      <alignment horizontal="left" vertical="top"/>
    </xf>
    <xf numFmtId="0" fontId="37" fillId="22" borderId="3" xfId="0" applyFont="1" applyFill="1" applyBorder="1" applyAlignment="1">
      <alignment horizontal="left" vertical="top"/>
    </xf>
    <xf numFmtId="0" fontId="37" fillId="19" borderId="3" xfId="0" applyFont="1" applyFill="1" applyBorder="1" applyAlignment="1">
      <alignment horizontal="left" vertical="top"/>
    </xf>
    <xf numFmtId="0" fontId="37" fillId="14" borderId="8" xfId="0" applyFont="1" applyFill="1" applyBorder="1" applyAlignment="1">
      <alignment horizontal="center" vertical="top"/>
    </xf>
    <xf numFmtId="0" fontId="38" fillId="9" borderId="3" xfId="0" applyFont="1" applyFill="1" applyBorder="1" applyAlignment="1">
      <alignment horizontal="left"/>
    </xf>
    <xf numFmtId="0" fontId="37" fillId="0" borderId="3" xfId="0" applyFont="1" applyBorder="1" applyAlignment="1">
      <alignment horizontal="left"/>
    </xf>
    <xf numFmtId="1" fontId="69" fillId="0" borderId="0" xfId="3" applyNumberFormat="1" applyFont="1" applyFill="1" applyBorder="1" applyAlignment="1">
      <alignment horizontal="left" vertical="top"/>
    </xf>
    <xf numFmtId="1" fontId="69" fillId="0" borderId="0" xfId="0" applyNumberFormat="1" applyFont="1" applyFill="1" applyBorder="1" applyAlignment="1">
      <alignment horizontal="left" vertical="top"/>
    </xf>
    <xf numFmtId="1" fontId="37" fillId="0" borderId="0" xfId="0" applyNumberFormat="1" applyFont="1" applyFill="1" applyBorder="1" applyAlignment="1">
      <alignment horizontal="right" vertical="top"/>
    </xf>
    <xf numFmtId="1" fontId="37" fillId="0" borderId="15" xfId="0" applyNumberFormat="1" applyFont="1" applyFill="1" applyBorder="1" applyAlignment="1">
      <alignment horizontal="left" vertical="top"/>
    </xf>
    <xf numFmtId="164" fontId="38" fillId="14" borderId="11" xfId="0" applyNumberFormat="1" applyFont="1" applyFill="1" applyBorder="1" applyAlignment="1">
      <alignment horizontal="left" vertical="top"/>
    </xf>
    <xf numFmtId="0" fontId="37" fillId="0" borderId="0" xfId="0" applyFont="1" applyFill="1" applyAlignment="1">
      <alignment horizontal="left" vertical="top" wrapText="1"/>
    </xf>
    <xf numFmtId="0" fontId="38" fillId="14" borderId="35" xfId="0" applyNumberFormat="1" applyFont="1" applyFill="1" applyBorder="1" applyAlignment="1">
      <alignment horizontal="left" vertical="top"/>
    </xf>
    <xf numFmtId="0" fontId="38" fillId="14" borderId="38" xfId="0" applyNumberFormat="1" applyFont="1" applyFill="1" applyBorder="1" applyAlignment="1">
      <alignment horizontal="left" vertical="top"/>
    </xf>
    <xf numFmtId="0" fontId="17" fillId="0" borderId="0" xfId="6" quotePrefix="1" applyFont="1" applyAlignment="1">
      <alignment horizontal="left" vertical="top" indent="1"/>
    </xf>
    <xf numFmtId="164" fontId="35" fillId="0" borderId="0" xfId="6" applyNumberFormat="1" applyFont="1" applyBorder="1" applyAlignment="1">
      <alignment horizontal="left" vertical="top"/>
    </xf>
    <xf numFmtId="9" fontId="35" fillId="0" borderId="9" xfId="6" applyNumberFormat="1" applyFont="1" applyBorder="1" applyAlignment="1">
      <alignment horizontal="left" vertical="top"/>
    </xf>
    <xf numFmtId="0" fontId="49" fillId="0" borderId="3" xfId="6" applyFont="1" applyBorder="1" applyAlignment="1">
      <alignment horizontal="left" vertical="top"/>
    </xf>
    <xf numFmtId="1" fontId="17" fillId="0" borderId="1" xfId="6" quotePrefix="1" applyNumberFormat="1" applyFont="1" applyBorder="1" applyAlignment="1">
      <alignment horizontal="left" vertical="top"/>
    </xf>
    <xf numFmtId="1" fontId="17" fillId="14" borderId="1" xfId="6" quotePrefix="1" applyNumberFormat="1" applyFont="1" applyFill="1" applyBorder="1" applyAlignment="1">
      <alignment horizontal="left" vertical="top"/>
    </xf>
    <xf numFmtId="1" fontId="17" fillId="0" borderId="4" xfId="6" quotePrefix="1" applyNumberFormat="1" applyFont="1" applyBorder="1" applyAlignment="1">
      <alignment horizontal="left" vertical="top"/>
    </xf>
    <xf numFmtId="164" fontId="35" fillId="0" borderId="2" xfId="6" applyNumberFormat="1" applyFont="1" applyBorder="1" applyAlignment="1">
      <alignment horizontal="left" vertical="top"/>
    </xf>
    <xf numFmtId="164" fontId="35" fillId="0" borderId="1" xfId="6" applyNumberFormat="1" applyFont="1" applyBorder="1" applyAlignment="1">
      <alignment horizontal="left" vertical="top"/>
    </xf>
    <xf numFmtId="164" fontId="35" fillId="0" borderId="4" xfId="6" applyNumberFormat="1" applyFont="1" applyBorder="1" applyAlignment="1">
      <alignment horizontal="left" vertical="top"/>
    </xf>
    <xf numFmtId="9" fontId="35" fillId="0" borderId="2" xfId="3" applyFont="1" applyBorder="1" applyAlignment="1">
      <alignment horizontal="left" vertical="top"/>
    </xf>
    <xf numFmtId="9" fontId="35" fillId="0" borderId="4" xfId="3" applyFont="1" applyBorder="1" applyAlignment="1">
      <alignment horizontal="left" vertical="top"/>
    </xf>
    <xf numFmtId="0" fontId="17" fillId="0" borderId="3" xfId="6" applyFont="1" applyBorder="1" applyAlignment="1">
      <alignment horizontal="left" vertical="top"/>
    </xf>
    <xf numFmtId="9" fontId="35" fillId="0" borderId="1" xfId="6" applyNumberFormat="1" applyFont="1" applyBorder="1" applyAlignment="1">
      <alignment horizontal="left" vertical="top"/>
    </xf>
    <xf numFmtId="0" fontId="81" fillId="0" borderId="0" xfId="0" applyFont="1" applyAlignment="1">
      <alignment horizontal="left" vertical="top"/>
    </xf>
    <xf numFmtId="0" fontId="48" fillId="0" borderId="0" xfId="0" applyFont="1" applyAlignment="1">
      <alignment horizontal="left" vertical="top" indent="1"/>
    </xf>
    <xf numFmtId="0" fontId="37" fillId="23" borderId="0" xfId="0" applyFont="1" applyFill="1" applyAlignment="1">
      <alignment horizontal="left" vertical="top"/>
    </xf>
    <xf numFmtId="9" fontId="37" fillId="14" borderId="0" xfId="3" applyFont="1" applyFill="1" applyAlignment="1">
      <alignment horizontal="left"/>
    </xf>
    <xf numFmtId="0" fontId="35" fillId="0" borderId="0" xfId="6" applyFont="1" applyAlignment="1">
      <alignment horizontal="left" vertical="top"/>
    </xf>
    <xf numFmtId="0" fontId="37" fillId="0" borderId="0" xfId="0" applyFont="1" applyAlignment="1">
      <alignment horizontal="left" vertical="top"/>
    </xf>
    <xf numFmtId="0" fontId="37" fillId="11" borderId="0" xfId="15" applyNumberFormat="1" applyFill="1" applyAlignment="1">
      <alignment horizontal="left" vertical="top" wrapText="1"/>
    </xf>
    <xf numFmtId="171" fontId="77" fillId="8" borderId="0" xfId="15" applyFont="1" applyFill="1" applyAlignment="1">
      <alignment horizontal="left"/>
    </xf>
    <xf numFmtId="0" fontId="37" fillId="8" borderId="0" xfId="15" applyNumberFormat="1" applyFill="1" applyAlignment="1">
      <alignment horizontal="left" vertical="top" wrapText="1"/>
    </xf>
    <xf numFmtId="0" fontId="38" fillId="7" borderId="0" xfId="15" applyNumberFormat="1" applyFont="1" applyFill="1" applyAlignment="1">
      <alignment horizontal="left" vertical="top"/>
    </xf>
    <xf numFmtId="0" fontId="37" fillId="0" borderId="0" xfId="15" applyNumberFormat="1" applyFill="1" applyAlignment="1">
      <alignment horizontal="left" vertical="top" wrapText="1"/>
    </xf>
    <xf numFmtId="0" fontId="139" fillId="0" borderId="0" xfId="16" applyNumberFormat="1" applyFont="1" applyFill="1" applyAlignment="1" applyProtection="1">
      <alignment horizontal="left" vertical="top"/>
    </xf>
    <xf numFmtId="0" fontId="37" fillId="0" borderId="0" xfId="15" applyNumberFormat="1" applyFont="1" applyFill="1" applyAlignment="1">
      <alignment horizontal="left" vertical="top"/>
    </xf>
    <xf numFmtId="0" fontId="37" fillId="0" borderId="0" xfId="16" applyNumberFormat="1" applyFont="1" applyFill="1" applyAlignment="1" applyProtection="1">
      <alignment horizontal="left" vertical="top"/>
    </xf>
    <xf numFmtId="0" fontId="37" fillId="0" borderId="0" xfId="15" applyNumberFormat="1" applyFill="1" applyAlignment="1">
      <alignment horizontal="left" vertical="top"/>
    </xf>
    <xf numFmtId="0" fontId="37" fillId="0" borderId="0" xfId="15" applyNumberFormat="1" applyFont="1" applyFill="1" applyAlignment="1">
      <alignment vertical="top"/>
    </xf>
    <xf numFmtId="0" fontId="37" fillId="0" borderId="0" xfId="15" applyNumberFormat="1" applyFont="1" applyFill="1" applyBorder="1" applyAlignment="1">
      <alignment horizontal="left" vertical="top"/>
    </xf>
    <xf numFmtId="0" fontId="110" fillId="0" borderId="0" xfId="15" applyNumberFormat="1" applyFont="1" applyFill="1" applyAlignment="1">
      <alignment vertical="top"/>
    </xf>
    <xf numFmtId="0" fontId="139" fillId="0" borderId="0" xfId="1" applyFont="1" applyAlignment="1" applyProtection="1">
      <alignment vertical="top"/>
    </xf>
    <xf numFmtId="1" fontId="37" fillId="0" borderId="15" xfId="0" applyNumberFormat="1" applyFont="1" applyBorder="1" applyAlignment="1">
      <alignment horizontal="left" vertical="top"/>
    </xf>
    <xf numFmtId="0" fontId="37" fillId="0" borderId="0" xfId="6" applyFont="1" applyFill="1" applyBorder="1" applyAlignment="1">
      <alignment horizontal="center" vertical="top"/>
    </xf>
    <xf numFmtId="0" fontId="146" fillId="0" borderId="0" xfId="6" applyFont="1" applyFill="1" applyBorder="1" applyAlignment="1">
      <alignment horizontal="left" vertical="top"/>
    </xf>
    <xf numFmtId="2" fontId="0" fillId="0" borderId="0" xfId="0" applyNumberFormat="1" applyAlignment="1">
      <alignment horizontal="left"/>
    </xf>
    <xf numFmtId="2" fontId="0" fillId="14" borderId="0" xfId="0" applyNumberFormat="1" applyFill="1" applyAlignment="1">
      <alignment horizontal="left"/>
    </xf>
    <xf numFmtId="1" fontId="16" fillId="0" borderId="11" xfId="6" applyNumberFormat="1" applyFont="1" applyFill="1" applyBorder="1" applyAlignment="1">
      <alignment horizontal="left" vertical="top"/>
    </xf>
    <xf numFmtId="1" fontId="16" fillId="0" borderId="13" xfId="6" applyNumberFormat="1" applyFont="1" applyFill="1" applyBorder="1" applyAlignment="1">
      <alignment horizontal="left" vertical="top"/>
    </xf>
    <xf numFmtId="0" fontId="37" fillId="0" borderId="7" xfId="0" applyNumberFormat="1" applyFont="1" applyBorder="1" applyAlignment="1">
      <alignment horizontal="left" vertical="top"/>
    </xf>
    <xf numFmtId="1" fontId="16" fillId="0" borderId="6" xfId="6" applyNumberFormat="1" applyFont="1" applyFill="1" applyBorder="1" applyAlignment="1">
      <alignment horizontal="left" vertical="top"/>
    </xf>
    <xf numFmtId="9" fontId="16" fillId="0" borderId="7" xfId="3" applyFont="1" applyFill="1" applyBorder="1" applyAlignment="1">
      <alignment horizontal="left" vertical="top"/>
    </xf>
    <xf numFmtId="9" fontId="16" fillId="0" borderId="8" xfId="3" applyFont="1" applyFill="1" applyBorder="1" applyAlignment="1">
      <alignment horizontal="left" vertical="top"/>
    </xf>
    <xf numFmtId="165" fontId="16" fillId="0" borderId="7" xfId="3" applyNumberFormat="1" applyFont="1" applyFill="1" applyBorder="1" applyAlignment="1">
      <alignment horizontal="left" vertical="top"/>
    </xf>
    <xf numFmtId="0" fontId="37" fillId="14" borderId="7" xfId="0" applyNumberFormat="1" applyFont="1" applyFill="1" applyBorder="1" applyAlignment="1">
      <alignment horizontal="left" vertical="top"/>
    </xf>
    <xf numFmtId="1" fontId="16" fillId="14" borderId="6" xfId="6" applyNumberFormat="1" applyFont="1" applyFill="1" applyBorder="1" applyAlignment="1">
      <alignment horizontal="left" vertical="top"/>
    </xf>
    <xf numFmtId="165" fontId="16" fillId="14" borderId="7" xfId="3" applyNumberFormat="1" applyFont="1" applyFill="1" applyBorder="1" applyAlignment="1">
      <alignment horizontal="left" vertical="top"/>
    </xf>
    <xf numFmtId="1" fontId="48" fillId="0" borderId="11" xfId="0" applyNumberFormat="1" applyFont="1" applyBorder="1" applyAlignment="1">
      <alignment horizontal="left" vertical="top"/>
    </xf>
    <xf numFmtId="165" fontId="48" fillId="0" borderId="0" xfId="3" applyNumberFormat="1" applyFont="1" applyBorder="1" applyAlignment="1">
      <alignment horizontal="left" vertical="top"/>
    </xf>
    <xf numFmtId="1" fontId="48" fillId="14" borderId="11" xfId="0" applyNumberFormat="1" applyFont="1" applyFill="1" applyBorder="1" applyAlignment="1">
      <alignment horizontal="left" vertical="top"/>
    </xf>
    <xf numFmtId="165" fontId="48" fillId="14" borderId="0" xfId="3" applyNumberFormat="1" applyFont="1" applyFill="1" applyBorder="1" applyAlignment="1">
      <alignment horizontal="left" vertical="top"/>
    </xf>
    <xf numFmtId="9" fontId="48" fillId="0" borderId="0" xfId="3" applyFont="1" applyBorder="1" applyAlignment="1">
      <alignment horizontal="left" vertical="top" wrapText="1"/>
    </xf>
    <xf numFmtId="1" fontId="16" fillId="0" borderId="7" xfId="6" applyNumberFormat="1" applyFont="1" applyFill="1" applyBorder="1" applyAlignment="1">
      <alignment horizontal="left" vertical="top"/>
    </xf>
    <xf numFmtId="165" fontId="16" fillId="0" borderId="9" xfId="3" applyNumberFormat="1" applyFont="1" applyFill="1" applyBorder="1" applyAlignment="1">
      <alignment horizontal="left" vertical="top"/>
    </xf>
    <xf numFmtId="1" fontId="37" fillId="0" borderId="7" xfId="6" applyNumberFormat="1" applyFont="1" applyFill="1" applyBorder="1" applyAlignment="1">
      <alignment horizontal="left" vertical="top"/>
    </xf>
    <xf numFmtId="165" fontId="37" fillId="14" borderId="8" xfId="3" applyNumberFormat="1" applyFont="1" applyFill="1" applyBorder="1" applyAlignment="1">
      <alignment horizontal="left" vertical="top"/>
    </xf>
    <xf numFmtId="0" fontId="37" fillId="0" borderId="5" xfId="0" applyNumberFormat="1" applyFont="1" applyBorder="1" applyAlignment="1">
      <alignment horizontal="left" vertical="top"/>
    </xf>
    <xf numFmtId="0" fontId="16" fillId="0" borderId="0" xfId="6" applyFont="1" applyFill="1" applyBorder="1" applyAlignment="1">
      <alignment horizontal="left" vertical="top"/>
    </xf>
    <xf numFmtId="0" fontId="48" fillId="0" borderId="0" xfId="0" applyFont="1" applyBorder="1" applyAlignment="1">
      <alignment horizontal="left"/>
    </xf>
    <xf numFmtId="171" fontId="48" fillId="0" borderId="0" xfId="0" applyNumberFormat="1" applyFont="1" applyBorder="1"/>
    <xf numFmtId="9" fontId="48" fillId="0" borderId="8" xfId="3" applyNumberFormat="1" applyFont="1" applyFill="1" applyBorder="1" applyAlignment="1">
      <alignment horizontal="left" vertical="top"/>
    </xf>
    <xf numFmtId="9" fontId="48" fillId="0" borderId="15" xfId="3" applyNumberFormat="1" applyFont="1" applyFill="1" applyBorder="1" applyAlignment="1">
      <alignment horizontal="left" vertical="top"/>
    </xf>
    <xf numFmtId="164" fontId="35" fillId="14" borderId="0" xfId="6" applyNumberFormat="1" applyFont="1" applyFill="1" applyBorder="1" applyAlignment="1">
      <alignment horizontal="left" vertical="top"/>
    </xf>
    <xf numFmtId="9" fontId="35" fillId="0" borderId="11" xfId="6" applyNumberFormat="1" applyFont="1" applyFill="1" applyBorder="1" applyAlignment="1">
      <alignment horizontal="left" vertical="top"/>
    </xf>
    <xf numFmtId="0" fontId="17" fillId="0" borderId="6" xfId="6" applyFont="1" applyBorder="1" applyAlignment="1">
      <alignment horizontal="left" vertical="top"/>
    </xf>
    <xf numFmtId="0" fontId="49" fillId="0" borderId="6" xfId="6" applyFont="1" applyBorder="1" applyAlignment="1">
      <alignment horizontal="left" vertical="top"/>
    </xf>
    <xf numFmtId="9" fontId="35" fillId="0" borderId="13" xfId="3" applyFont="1" applyBorder="1" applyAlignment="1">
      <alignment horizontal="left" vertical="top"/>
    </xf>
    <xf numFmtId="1" fontId="17" fillId="0" borderId="2" xfId="6" quotePrefix="1" applyNumberFormat="1" applyFont="1" applyBorder="1" applyAlignment="1">
      <alignment horizontal="left" vertical="top"/>
    </xf>
    <xf numFmtId="9" fontId="35" fillId="14" borderId="11" xfId="6" applyNumberFormat="1" applyFont="1" applyFill="1" applyBorder="1" applyAlignment="1">
      <alignment horizontal="left" vertical="top"/>
    </xf>
    <xf numFmtId="1" fontId="35" fillId="0" borderId="1" xfId="6" applyNumberFormat="1" applyFont="1" applyBorder="1" applyAlignment="1">
      <alignment horizontal="left" vertical="top"/>
    </xf>
    <xf numFmtId="9" fontId="35" fillId="0" borderId="3" xfId="6" applyNumberFormat="1" applyFont="1" applyFill="1" applyBorder="1" applyAlignment="1">
      <alignment horizontal="left" vertical="top"/>
    </xf>
    <xf numFmtId="9" fontId="35" fillId="12" borderId="3" xfId="6" applyNumberFormat="1" applyFont="1" applyFill="1" applyBorder="1" applyAlignment="1">
      <alignment horizontal="left" vertical="top"/>
    </xf>
    <xf numFmtId="0" fontId="16" fillId="0" borderId="3" xfId="6" applyFont="1" applyBorder="1" applyAlignment="1">
      <alignment horizontal="left" vertical="top"/>
    </xf>
    <xf numFmtId="0" fontId="38" fillId="0" borderId="15" xfId="6" applyFont="1" applyBorder="1" applyAlignment="1">
      <alignment horizontal="left" vertical="top"/>
    </xf>
    <xf numFmtId="0" fontId="110" fillId="0" borderId="0" xfId="6" applyFont="1" applyFill="1" applyAlignment="1">
      <alignment horizontal="left" vertical="top"/>
    </xf>
    <xf numFmtId="14" fontId="69" fillId="0" borderId="0" xfId="0" applyNumberFormat="1" applyFont="1" applyAlignment="1">
      <alignment horizontal="left"/>
    </xf>
    <xf numFmtId="0" fontId="69" fillId="0" borderId="0" xfId="6" applyFont="1" applyBorder="1" applyAlignment="1">
      <alignment horizontal="left" vertical="top"/>
    </xf>
    <xf numFmtId="0" fontId="69" fillId="14" borderId="0" xfId="6" applyFont="1" applyFill="1" applyBorder="1" applyAlignment="1">
      <alignment horizontal="left" vertical="top"/>
    </xf>
    <xf numFmtId="0" fontId="81" fillId="0" borderId="0" xfId="6" applyFont="1" applyAlignment="1">
      <alignment horizontal="center" vertical="top"/>
    </xf>
    <xf numFmtId="0" fontId="37" fillId="0" borderId="14" xfId="0" applyNumberFormat="1" applyFont="1" applyBorder="1" applyAlignment="1">
      <alignment horizontal="left" vertical="top"/>
    </xf>
    <xf numFmtId="0" fontId="38" fillId="6" borderId="12" xfId="0" applyNumberFormat="1" applyFont="1" applyFill="1" applyBorder="1" applyAlignment="1">
      <alignment horizontal="left" vertical="top"/>
    </xf>
    <xf numFmtId="0" fontId="37" fillId="6" borderId="10" xfId="0" applyFont="1" applyFill="1" applyBorder="1" applyAlignment="1">
      <alignment horizontal="left" vertical="top"/>
    </xf>
    <xf numFmtId="0" fontId="35" fillId="6" borderId="13" xfId="6" applyFont="1" applyFill="1" applyBorder="1" applyAlignment="1">
      <alignment horizontal="left" vertical="top"/>
    </xf>
    <xf numFmtId="0" fontId="38" fillId="6" borderId="9" xfId="0" applyFont="1" applyFill="1" applyBorder="1" applyAlignment="1">
      <alignment horizontal="left" vertical="top"/>
    </xf>
    <xf numFmtId="165" fontId="38" fillId="13" borderId="3" xfId="3" applyNumberFormat="1" applyFont="1" applyFill="1" applyBorder="1" applyAlignment="1">
      <alignment horizontal="left" vertical="top"/>
    </xf>
    <xf numFmtId="0" fontId="38" fillId="13" borderId="3" xfId="0" applyFont="1" applyFill="1" applyBorder="1" applyAlignment="1">
      <alignment horizontal="left" vertical="top"/>
    </xf>
    <xf numFmtId="9" fontId="16" fillId="0" borderId="5" xfId="3" applyFont="1" applyFill="1" applyBorder="1" applyAlignment="1">
      <alignment horizontal="left" vertical="top"/>
    </xf>
    <xf numFmtId="165" fontId="16" fillId="0" borderId="15" xfId="3" applyNumberFormat="1" applyFont="1" applyFill="1" applyBorder="1" applyAlignment="1">
      <alignment horizontal="left" vertical="top"/>
    </xf>
    <xf numFmtId="1" fontId="37" fillId="14" borderId="7" xfId="6" applyNumberFormat="1" applyFont="1" applyFill="1" applyBorder="1" applyAlignment="1">
      <alignment horizontal="left" vertical="top"/>
    </xf>
    <xf numFmtId="9" fontId="35" fillId="0" borderId="8" xfId="6" applyNumberFormat="1" applyFont="1" applyFill="1" applyBorder="1" applyAlignment="1">
      <alignment horizontal="left" vertical="top"/>
    </xf>
    <xf numFmtId="0" fontId="37" fillId="0" borderId="1" xfId="0" applyFont="1" applyBorder="1" applyAlignment="1">
      <alignment horizontal="left" vertical="top"/>
    </xf>
    <xf numFmtId="0" fontId="48" fillId="0" borderId="89" xfId="0" applyFont="1" applyBorder="1" applyAlignment="1">
      <alignment horizontal="left"/>
    </xf>
    <xf numFmtId="9" fontId="48" fillId="0" borderId="90" xfId="6" applyNumberFormat="1" applyFont="1" applyFill="1" applyBorder="1" applyAlignment="1">
      <alignment horizontal="left" vertical="top"/>
    </xf>
    <xf numFmtId="0" fontId="48" fillId="0" borderId="89" xfId="6" applyFont="1" applyFill="1" applyBorder="1" applyAlignment="1">
      <alignment horizontal="left" vertical="top"/>
    </xf>
    <xf numFmtId="1" fontId="16" fillId="0" borderId="5" xfId="6" applyNumberFormat="1" applyFont="1" applyFill="1" applyBorder="1" applyAlignment="1">
      <alignment horizontal="left" vertical="top"/>
    </xf>
    <xf numFmtId="0" fontId="37" fillId="0" borderId="0" xfId="6" applyFont="1" applyFill="1" applyBorder="1" applyAlignment="1">
      <alignment horizontal="left" vertical="top" indent="2"/>
    </xf>
    <xf numFmtId="0" fontId="15" fillId="0" borderId="0" xfId="6" applyFont="1" applyFill="1" applyAlignment="1">
      <alignment horizontal="left" vertical="top" indent="2"/>
    </xf>
    <xf numFmtId="0" fontId="35" fillId="0" borderId="91" xfId="6" applyFont="1" applyFill="1" applyBorder="1" applyAlignment="1">
      <alignment horizontal="left" vertical="top" indent="2"/>
    </xf>
    <xf numFmtId="0" fontId="15" fillId="0" borderId="91" xfId="6" applyFont="1" applyFill="1" applyBorder="1" applyAlignment="1">
      <alignment horizontal="left" vertical="top" wrapText="1"/>
    </xf>
    <xf numFmtId="0" fontId="35" fillId="0" borderId="0" xfId="6" applyFont="1" applyFill="1" applyAlignment="1">
      <alignment horizontal="left" vertical="top" indent="2"/>
    </xf>
    <xf numFmtId="0" fontId="56" fillId="0" borderId="0" xfId="6" applyFont="1" applyBorder="1" applyAlignment="1">
      <alignment horizontal="left" indent="2"/>
    </xf>
    <xf numFmtId="0" fontId="21" fillId="0" borderId="3" xfId="6" applyFont="1" applyBorder="1" applyAlignment="1">
      <alignment horizontal="right" vertical="top" wrapText="1"/>
    </xf>
    <xf numFmtId="0" fontId="147" fillId="0" borderId="0" xfId="6" applyFont="1" applyFill="1" applyBorder="1" applyAlignment="1">
      <alignment horizontal="left" vertical="top"/>
    </xf>
    <xf numFmtId="0" fontId="35" fillId="0" borderId="0" xfId="6" applyFont="1" applyFill="1" applyAlignment="1">
      <alignment vertical="top"/>
    </xf>
    <xf numFmtId="0" fontId="35" fillId="0" borderId="0" xfId="6" applyFont="1" applyFill="1" applyAlignment="1">
      <alignment vertical="top" wrapText="1"/>
    </xf>
    <xf numFmtId="0" fontId="35" fillId="0" borderId="0" xfId="6" applyFont="1" applyAlignment="1">
      <alignment horizontal="left" vertical="top"/>
    </xf>
    <xf numFmtId="0" fontId="17" fillId="0" borderId="0" xfId="6" applyFont="1" applyAlignment="1">
      <alignment horizontal="left" vertical="top"/>
    </xf>
    <xf numFmtId="0" fontId="15" fillId="0" borderId="0" xfId="6" applyFont="1" applyFill="1" applyBorder="1" applyAlignment="1">
      <alignment horizontal="left" vertical="top"/>
    </xf>
    <xf numFmtId="0" fontId="35" fillId="0" borderId="0" xfId="6" applyFont="1" applyFill="1" applyAlignment="1">
      <alignment horizontal="left" vertical="top" indent="2"/>
    </xf>
    <xf numFmtId="0" fontId="147" fillId="0" borderId="0" xfId="6" applyFont="1" applyFill="1" applyBorder="1" applyAlignment="1">
      <alignment horizontal="right" vertical="top"/>
    </xf>
    <xf numFmtId="0" fontId="79" fillId="0" borderId="0" xfId="6" applyFont="1" applyAlignment="1">
      <alignment horizontal="left" vertical="top"/>
    </xf>
    <xf numFmtId="0" fontId="35" fillId="0" borderId="2" xfId="6" applyFont="1" applyBorder="1" applyAlignment="1">
      <alignment horizontal="left" vertical="top"/>
    </xf>
    <xf numFmtId="1" fontId="17" fillId="14" borderId="3" xfId="6" quotePrefix="1" applyNumberFormat="1" applyFont="1" applyFill="1" applyBorder="1" applyAlignment="1">
      <alignment horizontal="left" vertical="top"/>
    </xf>
    <xf numFmtId="164" fontId="35" fillId="14" borderId="7" xfId="6" applyNumberFormat="1" applyFont="1" applyFill="1" applyBorder="1" applyAlignment="1">
      <alignment horizontal="left" vertical="top"/>
    </xf>
    <xf numFmtId="1" fontId="35" fillId="14" borderId="3" xfId="6" applyNumberFormat="1" applyFont="1" applyFill="1" applyBorder="1" applyAlignment="1">
      <alignment horizontal="left" vertical="top"/>
    </xf>
    <xf numFmtId="164" fontId="35" fillId="0" borderId="5" xfId="6" applyNumberFormat="1" applyFont="1" applyBorder="1" applyAlignment="1">
      <alignment horizontal="left" vertical="top"/>
    </xf>
    <xf numFmtId="9" fontId="35" fillId="0" borderId="12" xfId="6" applyNumberFormat="1" applyFont="1" applyBorder="1" applyAlignment="1">
      <alignment horizontal="left" vertical="top"/>
    </xf>
    <xf numFmtId="0" fontId="49" fillId="0" borderId="2" xfId="6" applyFont="1" applyBorder="1" applyAlignment="1">
      <alignment horizontal="center" vertical="top"/>
    </xf>
    <xf numFmtId="9" fontId="49" fillId="0" borderId="4" xfId="6" applyNumberFormat="1" applyFont="1" applyFill="1" applyBorder="1" applyAlignment="1">
      <alignment horizontal="center" vertical="top"/>
    </xf>
    <xf numFmtId="0" fontId="37" fillId="0" borderId="3" xfId="6" applyFont="1" applyBorder="1" applyAlignment="1">
      <alignment horizontal="left" vertical="top"/>
    </xf>
    <xf numFmtId="0" fontId="37" fillId="14" borderId="11" xfId="6" applyFont="1" applyFill="1" applyBorder="1" applyAlignment="1">
      <alignment horizontal="left" vertical="top"/>
    </xf>
    <xf numFmtId="0" fontId="37" fillId="14" borderId="1" xfId="6" applyFont="1" applyFill="1" applyBorder="1" applyAlignment="1">
      <alignment horizontal="left" vertical="top"/>
    </xf>
    <xf numFmtId="0" fontId="37" fillId="0" borderId="4" xfId="6" applyFont="1" applyBorder="1" applyAlignment="1">
      <alignment horizontal="left" vertical="top"/>
    </xf>
    <xf numFmtId="164" fontId="35" fillId="0" borderId="14" xfId="6" applyNumberFormat="1" applyFont="1" applyBorder="1" applyAlignment="1">
      <alignment horizontal="left" vertical="top"/>
    </xf>
    <xf numFmtId="0" fontId="14" fillId="0" borderId="9" xfId="6" applyFont="1" applyBorder="1" applyAlignment="1">
      <alignment horizontal="left" vertical="top"/>
    </xf>
    <xf numFmtId="0" fontId="37" fillId="0" borderId="2" xfId="6" applyFont="1" applyBorder="1" applyAlignment="1">
      <alignment horizontal="left" vertical="top"/>
    </xf>
    <xf numFmtId="164" fontId="79" fillId="0" borderId="0" xfId="6" applyNumberFormat="1" applyFont="1" applyAlignment="1">
      <alignment horizontal="left" vertical="top" wrapText="1" indent="1"/>
    </xf>
    <xf numFmtId="164" fontId="48" fillId="0" borderId="0" xfId="6" applyNumberFormat="1" applyFont="1" applyAlignment="1">
      <alignment horizontal="left" vertical="top"/>
    </xf>
    <xf numFmtId="0" fontId="50" fillId="0" borderId="38" xfId="6" applyFont="1" applyBorder="1" applyAlignment="1">
      <alignment horizontal="left"/>
    </xf>
    <xf numFmtId="0" fontId="56" fillId="0" borderId="38" xfId="6" applyFont="1" applyBorder="1" applyAlignment="1">
      <alignment horizontal="left"/>
    </xf>
    <xf numFmtId="0" fontId="35" fillId="0" borderId="0" xfId="6" applyFont="1" applyAlignment="1">
      <alignment horizontal="right" vertical="top"/>
    </xf>
    <xf numFmtId="0" fontId="139" fillId="0" borderId="0" xfId="1" applyFont="1" applyAlignment="1" applyProtection="1">
      <alignment horizontal="left" vertical="top"/>
    </xf>
    <xf numFmtId="0" fontId="15" fillId="0" borderId="0" xfId="6" applyFont="1" applyFill="1" applyBorder="1" applyAlignment="1">
      <alignment horizontal="left" vertical="top"/>
    </xf>
    <xf numFmtId="0" fontId="37" fillId="0" borderId="0" xfId="6" applyFont="1" applyAlignment="1">
      <alignment horizontal="left" vertical="top" wrapText="1"/>
    </xf>
    <xf numFmtId="0" fontId="35" fillId="0" borderId="0" xfId="6" applyFont="1" applyAlignment="1">
      <alignment horizontal="left" vertical="top"/>
    </xf>
    <xf numFmtId="0" fontId="14" fillId="0" borderId="0" xfId="6" applyFont="1" applyAlignment="1">
      <alignment horizontal="left" vertical="top"/>
    </xf>
    <xf numFmtId="0" fontId="35" fillId="0" borderId="0" xfId="6" applyFont="1" applyFill="1" applyAlignment="1">
      <alignment horizontal="left" vertical="top" wrapText="1"/>
    </xf>
    <xf numFmtId="0" fontId="35" fillId="0" borderId="15" xfId="6" applyFont="1" applyBorder="1" applyAlignment="1">
      <alignment horizontal="left" vertical="top"/>
    </xf>
    <xf numFmtId="0" fontId="35" fillId="0" borderId="0" xfId="6" applyFont="1" applyAlignment="1">
      <alignment horizontal="left" vertical="top" wrapText="1"/>
    </xf>
    <xf numFmtId="0" fontId="48" fillId="0" borderId="0" xfId="6" applyFont="1" applyBorder="1" applyAlignment="1">
      <alignment horizontal="left" vertical="top"/>
    </xf>
    <xf numFmtId="0" fontId="48" fillId="0" borderId="0" xfId="6" applyFont="1" applyBorder="1" applyAlignment="1">
      <alignment horizontal="left" vertical="top" wrapText="1"/>
    </xf>
    <xf numFmtId="164" fontId="48" fillId="0" borderId="0" xfId="6" applyNumberFormat="1" applyFont="1" applyBorder="1" applyAlignment="1">
      <alignment horizontal="left" vertical="top" wrapText="1"/>
    </xf>
    <xf numFmtId="0" fontId="110" fillId="0" borderId="0" xfId="0" applyFont="1" applyBorder="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1" fontId="37" fillId="0" borderId="0" xfId="0" applyNumberFormat="1" applyFont="1" applyBorder="1" applyAlignment="1">
      <alignment horizontal="left" vertical="top"/>
    </xf>
    <xf numFmtId="0" fontId="37" fillId="0" borderId="0" xfId="6" applyFont="1" applyFill="1" applyBorder="1" applyAlignment="1">
      <alignment horizontal="left" vertical="top" indent="1"/>
    </xf>
    <xf numFmtId="0" fontId="49" fillId="13" borderId="3" xfId="6" applyFont="1" applyFill="1" applyBorder="1" applyAlignment="1">
      <alignment vertical="top"/>
    </xf>
    <xf numFmtId="164" fontId="17" fillId="0" borderId="3" xfId="6" quotePrefix="1" applyNumberFormat="1" applyFont="1" applyBorder="1" applyAlignment="1">
      <alignment horizontal="left" vertical="top" indent="1"/>
    </xf>
    <xf numFmtId="164" fontId="17" fillId="14" borderId="3" xfId="6" quotePrefix="1" applyNumberFormat="1" applyFont="1" applyFill="1" applyBorder="1" applyAlignment="1">
      <alignment horizontal="left" vertical="top" indent="1"/>
    </xf>
    <xf numFmtId="0" fontId="49" fillId="6" borderId="12" xfId="6" applyFont="1" applyFill="1" applyBorder="1" applyAlignment="1">
      <alignment horizontal="left" vertical="top"/>
    </xf>
    <xf numFmtId="0" fontId="49" fillId="6" borderId="10" xfId="6" applyFont="1" applyFill="1" applyBorder="1" applyAlignment="1">
      <alignment horizontal="left" vertical="top"/>
    </xf>
    <xf numFmtId="0" fontId="35" fillId="6" borderId="9" xfId="6" applyFont="1" applyFill="1" applyBorder="1" applyAlignment="1">
      <alignment horizontal="left" vertical="top"/>
    </xf>
    <xf numFmtId="0" fontId="148" fillId="0" borderId="0" xfId="6" applyFont="1" applyAlignment="1">
      <alignment horizontal="left" vertical="top"/>
    </xf>
    <xf numFmtId="0" fontId="48" fillId="0" borderId="0" xfId="6" applyFont="1" applyAlignment="1">
      <alignment vertical="top"/>
    </xf>
    <xf numFmtId="0" fontId="48" fillId="0" borderId="0" xfId="0" applyFont="1"/>
    <xf numFmtId="0" fontId="125" fillId="0" borderId="0" xfId="0" applyFont="1"/>
    <xf numFmtId="0" fontId="123" fillId="0" borderId="7" xfId="0" applyFont="1" applyBorder="1"/>
    <xf numFmtId="0" fontId="48" fillId="0" borderId="7" xfId="0" applyFont="1" applyBorder="1"/>
    <xf numFmtId="9" fontId="48" fillId="0" borderId="7" xfId="0" applyNumberFormat="1" applyFont="1" applyBorder="1" applyAlignment="1">
      <alignment horizontal="left"/>
    </xf>
    <xf numFmtId="0" fontId="48" fillId="0" borderId="5" xfId="0" applyFont="1" applyBorder="1"/>
    <xf numFmtId="9" fontId="48" fillId="0" borderId="5" xfId="0" applyNumberFormat="1" applyFont="1" applyBorder="1" applyAlignment="1">
      <alignment horizontal="left"/>
    </xf>
    <xf numFmtId="0" fontId="48" fillId="0" borderId="84" xfId="0" applyFont="1" applyBorder="1" applyAlignment="1">
      <alignment horizontal="left" indent="1"/>
    </xf>
    <xf numFmtId="9" fontId="48" fillId="0" borderId="84" xfId="0" applyNumberFormat="1" applyFont="1" applyBorder="1" applyAlignment="1">
      <alignment horizontal="left" indent="1"/>
    </xf>
    <xf numFmtId="0" fontId="48" fillId="0" borderId="14" xfId="0" applyFont="1" applyBorder="1" applyAlignment="1">
      <alignment horizontal="left" indent="1"/>
    </xf>
    <xf numFmtId="9" fontId="48" fillId="0" borderId="14" xfId="0" applyNumberFormat="1" applyFont="1" applyBorder="1" applyAlignment="1">
      <alignment horizontal="left" indent="1"/>
    </xf>
    <xf numFmtId="165" fontId="48" fillId="0" borderId="7" xfId="0" applyNumberFormat="1" applyFont="1" applyBorder="1" applyAlignment="1">
      <alignment horizontal="left"/>
    </xf>
    <xf numFmtId="165" fontId="48" fillId="0" borderId="7" xfId="3" applyNumberFormat="1" applyFont="1" applyBorder="1" applyAlignment="1">
      <alignment horizontal="left"/>
    </xf>
    <xf numFmtId="0" fontId="35" fillId="0" borderId="12" xfId="6" applyFont="1" applyBorder="1" applyAlignment="1">
      <alignment horizontal="left" vertical="top"/>
    </xf>
    <xf numFmtId="0" fontId="35" fillId="0" borderId="13" xfId="6" applyFont="1" applyBorder="1" applyAlignment="1">
      <alignment horizontal="left" vertical="top"/>
    </xf>
    <xf numFmtId="0" fontId="37" fillId="0" borderId="0" xfId="0" applyFont="1" applyAlignment="1">
      <alignment horizontal="right"/>
    </xf>
    <xf numFmtId="9" fontId="38" fillId="0" borderId="0" xfId="6" applyNumberFormat="1" applyFont="1" applyBorder="1" applyAlignment="1">
      <alignment horizontal="left" vertical="top"/>
    </xf>
    <xf numFmtId="0" fontId="35" fillId="0" borderId="8" xfId="6" applyFont="1" applyBorder="1" applyAlignment="1">
      <alignment horizontal="right" vertical="top"/>
    </xf>
    <xf numFmtId="0" fontId="35" fillId="0" borderId="6" xfId="6" applyFont="1" applyBorder="1" applyAlignment="1">
      <alignment horizontal="left" vertical="top" wrapText="1"/>
    </xf>
    <xf numFmtId="0" fontId="37" fillId="0" borderId="0" xfId="0" applyFont="1" applyAlignment="1">
      <alignment horizontal="left" vertical="top"/>
    </xf>
    <xf numFmtId="0" fontId="37" fillId="18" borderId="3" xfId="0" applyFont="1" applyFill="1" applyBorder="1" applyAlignment="1">
      <alignment horizontal="left" vertical="top"/>
    </xf>
    <xf numFmtId="0" fontId="38" fillId="0" borderId="0" xfId="0" applyFont="1" applyBorder="1" applyAlignment="1">
      <alignment horizontal="right" vertical="top"/>
    </xf>
    <xf numFmtId="0" fontId="37" fillId="0" borderId="0" xfId="0" applyFont="1" applyBorder="1" applyAlignment="1">
      <alignment horizontal="center" vertical="top"/>
    </xf>
    <xf numFmtId="0" fontId="38" fillId="0" borderId="0" xfId="0" applyFont="1" applyBorder="1" applyAlignment="1">
      <alignment horizontal="center" vertical="top"/>
    </xf>
    <xf numFmtId="9" fontId="110" fillId="0" borderId="0" xfId="6" applyNumberFormat="1" applyFont="1" applyBorder="1" applyAlignment="1">
      <alignment horizontal="left" vertical="top"/>
    </xf>
    <xf numFmtId="9" fontId="37" fillId="0" borderId="12" xfId="3" applyFont="1" applyBorder="1" applyAlignment="1">
      <alignment horizontal="left" vertical="top"/>
    </xf>
    <xf numFmtId="9" fontId="37" fillId="0" borderId="11" xfId="3" applyFont="1" applyBorder="1" applyAlignment="1">
      <alignment horizontal="left" vertical="top"/>
    </xf>
    <xf numFmtId="9" fontId="37" fillId="0" borderId="13" xfId="3" applyFont="1" applyBorder="1" applyAlignment="1">
      <alignment horizontal="left" vertical="top"/>
    </xf>
    <xf numFmtId="0" fontId="37" fillId="0" borderId="77" xfId="0" applyFont="1" applyBorder="1" applyAlignment="1">
      <alignment horizontal="left" vertical="top"/>
    </xf>
    <xf numFmtId="9" fontId="37" fillId="0" borderId="92" xfId="3" applyFont="1" applyBorder="1" applyAlignment="1">
      <alignment horizontal="left" vertical="top"/>
    </xf>
    <xf numFmtId="9" fontId="37" fillId="0" borderId="93" xfId="3" applyFont="1" applyBorder="1" applyAlignment="1">
      <alignment horizontal="left" vertical="top"/>
    </xf>
    <xf numFmtId="9" fontId="37" fillId="0" borderId="94" xfId="3" applyFont="1" applyBorder="1" applyAlignment="1">
      <alignment horizontal="left" vertical="top"/>
    </xf>
    <xf numFmtId="9" fontId="37" fillId="14" borderId="11" xfId="3" applyFont="1" applyFill="1" applyBorder="1" applyAlignment="1">
      <alignment horizontal="left" vertical="top"/>
    </xf>
    <xf numFmtId="9" fontId="37" fillId="14" borderId="93" xfId="3" applyFont="1" applyFill="1" applyBorder="1" applyAlignment="1">
      <alignment horizontal="left" vertical="top"/>
    </xf>
    <xf numFmtId="0" fontId="37" fillId="14" borderId="15" xfId="6" applyFont="1" applyFill="1" applyBorder="1" applyAlignment="1">
      <alignment horizontal="left" vertical="top"/>
    </xf>
    <xf numFmtId="0" fontId="37" fillId="0" borderId="0" xfId="0" applyFont="1" applyBorder="1" applyAlignment="1">
      <alignment horizontal="right" vertical="top"/>
    </xf>
    <xf numFmtId="0" fontId="38" fillId="0" borderId="35" xfId="0" applyFont="1" applyBorder="1" applyAlignment="1">
      <alignment horizontal="left" vertical="top"/>
    </xf>
    <xf numFmtId="0" fontId="38" fillId="0" borderId="0" xfId="0" applyFont="1" applyBorder="1" applyAlignment="1">
      <alignment horizontal="left" vertical="top"/>
    </xf>
    <xf numFmtId="0" fontId="147" fillId="0" borderId="0" xfId="0" applyFont="1" applyAlignment="1">
      <alignment horizontal="left" vertical="top"/>
    </xf>
    <xf numFmtId="0" fontId="38" fillId="14" borderId="0" xfId="0" applyNumberFormat="1" applyFont="1" applyFill="1" applyBorder="1" applyAlignment="1">
      <alignment horizontal="left" vertical="top"/>
    </xf>
    <xf numFmtId="9" fontId="37" fillId="0" borderId="0" xfId="3" applyFont="1" applyBorder="1" applyAlignment="1">
      <alignment horizontal="left" vertical="top" wrapText="1"/>
    </xf>
    <xf numFmtId="0" fontId="35" fillId="0" borderId="0" xfId="6" applyFont="1" applyFill="1" applyAlignment="1">
      <alignment horizontal="left" vertical="top" indent="2"/>
    </xf>
    <xf numFmtId="0" fontId="35" fillId="0" borderId="0" xfId="6" applyFont="1" applyAlignment="1">
      <alignment horizontal="left" vertical="top"/>
    </xf>
    <xf numFmtId="0" fontId="35" fillId="0" borderId="0" xfId="6" applyFont="1" applyAlignment="1">
      <alignment horizontal="left" vertical="top" wrapText="1"/>
    </xf>
    <xf numFmtId="0" fontId="35" fillId="0" borderId="0" xfId="6" applyFont="1" applyFill="1" applyAlignment="1">
      <alignment vertical="top" wrapText="1"/>
    </xf>
    <xf numFmtId="0" fontId="35" fillId="0" borderId="0" xfId="6" applyFont="1" applyFill="1" applyAlignment="1">
      <alignment horizontal="left" vertical="top" wrapText="1"/>
    </xf>
    <xf numFmtId="0" fontId="37" fillId="0" borderId="0" xfId="0" applyFont="1" applyAlignment="1">
      <alignment horizontal="left" vertical="top"/>
    </xf>
    <xf numFmtId="0" fontId="110" fillId="0" borderId="0" xfId="0" applyFont="1" applyAlignment="1">
      <alignment horizontal="left" vertical="top"/>
    </xf>
    <xf numFmtId="0" fontId="37" fillId="0" borderId="0" xfId="0" applyFont="1" applyBorder="1" applyAlignment="1">
      <alignment horizontal="left" vertical="top"/>
    </xf>
    <xf numFmtId="0" fontId="37" fillId="0" borderId="0" xfId="0" applyFont="1" applyFill="1" applyAlignment="1">
      <alignment vertical="top"/>
    </xf>
    <xf numFmtId="0" fontId="37" fillId="0" borderId="0" xfId="0" applyFont="1" applyAlignment="1">
      <alignment horizontal="left" vertical="top"/>
    </xf>
    <xf numFmtId="0" fontId="37" fillId="0" borderId="0" xfId="0" applyFont="1" applyBorder="1" applyAlignment="1">
      <alignment horizontal="left" vertical="top"/>
    </xf>
    <xf numFmtId="0" fontId="73" fillId="0" borderId="0" xfId="6" applyFont="1" applyBorder="1" applyAlignment="1">
      <alignment horizontal="left" vertical="top" wrapText="1"/>
    </xf>
    <xf numFmtId="0" fontId="122" fillId="0" borderId="0" xfId="6" applyFont="1" applyBorder="1" applyAlignment="1">
      <alignment horizontal="left" vertical="top"/>
    </xf>
    <xf numFmtId="0" fontId="20" fillId="0" borderId="35" xfId="6" applyFont="1" applyBorder="1" applyAlignment="1">
      <alignment horizontal="left" vertical="top"/>
    </xf>
    <xf numFmtId="0" fontId="35" fillId="0" borderId="80" xfId="6" applyFont="1" applyBorder="1" applyAlignment="1">
      <alignment horizontal="left" vertical="top"/>
    </xf>
    <xf numFmtId="0" fontId="18" fillId="0" borderId="80" xfId="6" applyFont="1" applyBorder="1" applyAlignment="1">
      <alignment horizontal="left" vertical="top"/>
    </xf>
    <xf numFmtId="0" fontId="12" fillId="0" borderId="79" xfId="6" applyFont="1" applyBorder="1" applyAlignment="1">
      <alignment horizontal="left" vertical="top"/>
    </xf>
    <xf numFmtId="9" fontId="35" fillId="0" borderId="35" xfId="6" applyNumberFormat="1" applyFont="1" applyBorder="1" applyAlignment="1">
      <alignment horizontal="center" vertical="top"/>
    </xf>
    <xf numFmtId="9" fontId="37" fillId="0" borderId="35" xfId="6" applyNumberFormat="1" applyFont="1" applyBorder="1" applyAlignment="1">
      <alignment horizontal="center" vertical="top"/>
    </xf>
    <xf numFmtId="0" fontId="12" fillId="0" borderId="35" xfId="6" applyFont="1" applyBorder="1" applyAlignment="1">
      <alignment horizontal="left" vertical="top"/>
    </xf>
    <xf numFmtId="0" fontId="35" fillId="0" borderId="35" xfId="6" applyFont="1" applyBorder="1" applyAlignment="1">
      <alignment horizontal="left" vertical="top" wrapText="1"/>
    </xf>
    <xf numFmtId="0" fontId="35" fillId="0" borderId="35" xfId="6" applyFont="1" applyBorder="1" applyAlignment="1">
      <alignment horizontal="center" vertical="top"/>
    </xf>
    <xf numFmtId="165" fontId="37" fillId="0" borderId="35" xfId="6" applyNumberFormat="1" applyFont="1" applyBorder="1" applyAlignment="1">
      <alignment horizontal="center" vertical="top"/>
    </xf>
    <xf numFmtId="0" fontId="12" fillId="0" borderId="38" xfId="6" applyFont="1" applyBorder="1" applyAlignment="1">
      <alignment horizontal="left" vertical="top"/>
    </xf>
    <xf numFmtId="0" fontId="35" fillId="0" borderId="38" xfId="6" applyFont="1" applyBorder="1" applyAlignment="1">
      <alignment horizontal="left" vertical="top" wrapText="1"/>
    </xf>
    <xf numFmtId="0" fontId="35" fillId="0" borderId="38" xfId="6" applyFont="1" applyBorder="1" applyAlignment="1">
      <alignment horizontal="center" vertical="top"/>
    </xf>
    <xf numFmtId="165" fontId="37" fillId="0" borderId="38" xfId="6" applyNumberFormat="1" applyFont="1" applyBorder="1" applyAlignment="1">
      <alignment horizontal="center" vertical="top"/>
    </xf>
    <xf numFmtId="0" fontId="12" fillId="0" borderId="11" xfId="6" applyFont="1" applyBorder="1" applyAlignment="1">
      <alignment horizontal="left" vertical="top"/>
    </xf>
    <xf numFmtId="0" fontId="37" fillId="0" borderId="38" xfId="6" applyFont="1" applyBorder="1" applyAlignment="1">
      <alignment horizontal="center" vertical="top"/>
    </xf>
    <xf numFmtId="0" fontId="111" fillId="14" borderId="0" xfId="6" applyFont="1" applyFill="1" applyBorder="1" applyAlignment="1">
      <alignment horizontal="left" vertical="top"/>
    </xf>
    <xf numFmtId="0" fontId="111" fillId="14" borderId="0" xfId="6" applyFont="1" applyFill="1" applyBorder="1" applyAlignment="1">
      <alignment horizontal="center" vertical="top"/>
    </xf>
    <xf numFmtId="0" fontId="37" fillId="0" borderId="0" xfId="6" applyFont="1" applyFill="1" applyAlignment="1">
      <alignment horizontal="center" vertical="top"/>
    </xf>
    <xf numFmtId="0" fontId="12" fillId="0" borderId="7" xfId="6" applyFont="1" applyBorder="1" applyAlignment="1">
      <alignment horizontal="left" vertical="top" wrapText="1"/>
    </xf>
    <xf numFmtId="0" fontId="111" fillId="14" borderId="0" xfId="0" applyFont="1" applyFill="1"/>
    <xf numFmtId="0" fontId="49" fillId="3" borderId="0" xfId="6" applyFont="1" applyFill="1" applyBorder="1" applyAlignment="1">
      <alignment horizontal="left" vertical="top"/>
    </xf>
    <xf numFmtId="0" fontId="17" fillId="0" borderId="0" xfId="6" quotePrefix="1" applyFont="1" applyAlignment="1">
      <alignment horizontal="left" vertical="top"/>
    </xf>
    <xf numFmtId="0" fontId="35" fillId="0" borderId="0" xfId="6" quotePrefix="1" applyFont="1" applyAlignment="1">
      <alignment horizontal="left" vertical="top"/>
    </xf>
    <xf numFmtId="0" fontId="35" fillId="0" borderId="0" xfId="6" quotePrefix="1" applyFont="1" applyAlignment="1">
      <alignment horizontal="left" vertical="top" wrapText="1"/>
    </xf>
    <xf numFmtId="9" fontId="69" fillId="0" borderId="0" xfId="6" applyNumberFormat="1" applyFont="1" applyAlignment="1">
      <alignment horizontal="left" vertical="top"/>
    </xf>
    <xf numFmtId="0" fontId="35" fillId="0" borderId="0" xfId="6" applyFont="1" applyAlignment="1">
      <alignment vertical="top" wrapText="1"/>
    </xf>
    <xf numFmtId="9" fontId="35" fillId="24" borderId="0" xfId="6" applyNumberFormat="1" applyFont="1" applyFill="1" applyAlignment="1">
      <alignment horizontal="left" vertical="top"/>
    </xf>
    <xf numFmtId="9" fontId="37" fillId="0" borderId="1" xfId="6" applyNumberFormat="1" applyFont="1" applyBorder="1" applyAlignment="1">
      <alignment horizontal="left" vertical="top"/>
    </xf>
    <xf numFmtId="0" fontId="35" fillId="0" borderId="11" xfId="6" applyFont="1" applyFill="1" applyBorder="1" applyAlignment="1">
      <alignment horizontal="left" vertical="top"/>
    </xf>
    <xf numFmtId="0" fontId="37" fillId="0" borderId="38" xfId="0" applyFont="1" applyBorder="1" applyAlignment="1">
      <alignment horizontal="left" vertical="top"/>
    </xf>
    <xf numFmtId="0" fontId="37" fillId="0" borderId="95" xfId="0" applyFont="1" applyBorder="1" applyAlignment="1">
      <alignment horizontal="left" vertical="top"/>
    </xf>
    <xf numFmtId="0" fontId="77" fillId="18" borderId="0" xfId="0" applyNumberFormat="1" applyFont="1" applyFill="1" applyBorder="1" applyAlignment="1">
      <alignment horizontal="left" vertical="top"/>
    </xf>
    <xf numFmtId="0" fontId="38" fillId="0" borderId="6" xfId="0" applyFont="1" applyBorder="1" applyAlignment="1">
      <alignment horizontal="left" vertical="top"/>
    </xf>
    <xf numFmtId="0" fontId="38" fillId="0" borderId="3" xfId="0" applyFont="1" applyBorder="1" applyAlignment="1">
      <alignment horizontal="left" vertical="top"/>
    </xf>
    <xf numFmtId="9" fontId="38" fillId="13" borderId="3" xfId="0" applyNumberFormat="1" applyFont="1" applyFill="1" applyBorder="1" applyAlignment="1">
      <alignment horizontal="left" vertical="top"/>
    </xf>
    <xf numFmtId="0" fontId="37" fillId="0" borderId="92" xfId="0" applyFont="1" applyBorder="1" applyAlignment="1">
      <alignment horizontal="left" vertical="top"/>
    </xf>
    <xf numFmtId="9" fontId="37" fillId="0" borderId="77" xfId="3" applyFont="1" applyBorder="1" applyAlignment="1">
      <alignment horizontal="left" vertical="top"/>
    </xf>
    <xf numFmtId="0" fontId="37" fillId="0" borderId="34" xfId="6" applyFont="1" applyBorder="1" applyAlignment="1">
      <alignment horizontal="left" vertical="top"/>
    </xf>
    <xf numFmtId="0" fontId="37" fillId="0" borderId="36" xfId="6" applyFont="1" applyBorder="1" applyAlignment="1">
      <alignment horizontal="left" vertical="top"/>
    </xf>
    <xf numFmtId="0" fontId="37" fillId="14" borderId="36" xfId="6" applyFont="1" applyFill="1" applyBorder="1" applyAlignment="1">
      <alignment horizontal="left" vertical="top"/>
    </xf>
    <xf numFmtId="0" fontId="35" fillId="0" borderId="36" xfId="6" applyFont="1" applyBorder="1" applyAlignment="1">
      <alignment horizontal="left" vertical="top"/>
    </xf>
    <xf numFmtId="0" fontId="37" fillId="0" borderId="37" xfId="6" applyFont="1" applyBorder="1" applyAlignment="1">
      <alignment horizontal="left" vertical="top"/>
    </xf>
    <xf numFmtId="0" fontId="37" fillId="0" borderId="32" xfId="0" applyFont="1" applyBorder="1" applyAlignment="1">
      <alignment horizontal="left" vertical="top"/>
    </xf>
    <xf numFmtId="9" fontId="37" fillId="0" borderId="0" xfId="3" applyNumberFormat="1" applyFont="1" applyAlignment="1">
      <alignment horizontal="left" vertical="top"/>
    </xf>
    <xf numFmtId="9" fontId="37" fillId="0" borderId="46" xfId="3" applyFont="1" applyFill="1" applyBorder="1" applyAlignment="1">
      <alignment horizontal="left" vertical="top"/>
    </xf>
    <xf numFmtId="0" fontId="146" fillId="0" borderId="0" xfId="0" applyFont="1" applyAlignment="1">
      <alignment horizontal="left" vertical="top"/>
    </xf>
    <xf numFmtId="0" fontId="48" fillId="0" borderId="8" xfId="6" applyFont="1" applyBorder="1" applyAlignment="1">
      <alignment horizontal="left" vertical="top"/>
    </xf>
    <xf numFmtId="164" fontId="48" fillId="0" borderId="7" xfId="0" applyNumberFormat="1" applyFont="1" applyBorder="1" applyAlignment="1">
      <alignment horizontal="left"/>
    </xf>
    <xf numFmtId="0" fontId="0" fillId="13" borderId="0" xfId="0" applyFill="1"/>
    <xf numFmtId="2" fontId="37" fillId="0" borderId="0" xfId="0" applyNumberFormat="1" applyFont="1" applyAlignment="1">
      <alignment horizontal="left" vertical="top"/>
    </xf>
    <xf numFmtId="0" fontId="37" fillId="0" borderId="5" xfId="0" applyFont="1" applyBorder="1" applyAlignment="1">
      <alignment horizontal="right" vertical="top"/>
    </xf>
    <xf numFmtId="0" fontId="37" fillId="0" borderId="96" xfId="0" applyFont="1" applyBorder="1" applyAlignment="1">
      <alignment horizontal="right" vertical="top"/>
    </xf>
    <xf numFmtId="9" fontId="37" fillId="0" borderId="96" xfId="3" applyFont="1" applyBorder="1" applyAlignment="1">
      <alignment horizontal="left" vertical="top"/>
    </xf>
    <xf numFmtId="9" fontId="0" fillId="0" borderId="7" xfId="0" applyNumberFormat="1" applyBorder="1" applyAlignment="1">
      <alignment horizontal="left"/>
    </xf>
    <xf numFmtId="9" fontId="38" fillId="0" borderId="7" xfId="0" applyNumberFormat="1" applyFont="1" applyBorder="1" applyAlignment="1">
      <alignment horizontal="left"/>
    </xf>
    <xf numFmtId="0" fontId="0" fillId="11" borderId="0" xfId="0" applyFill="1" applyAlignment="1">
      <alignment vertical="top"/>
    </xf>
    <xf numFmtId="0" fontId="38" fillId="11" borderId="0" xfId="0" applyFont="1" applyFill="1" applyAlignment="1">
      <alignment vertical="top"/>
    </xf>
    <xf numFmtId="0" fontId="0" fillId="0" borderId="0" xfId="0" applyFill="1" applyAlignment="1">
      <alignment vertical="top"/>
    </xf>
    <xf numFmtId="0" fontId="38" fillId="0" borderId="0" xfId="0" applyFont="1" applyFill="1" applyAlignment="1">
      <alignment vertical="top"/>
    </xf>
    <xf numFmtId="0" fontId="77" fillId="8" borderId="0" xfId="0" applyFont="1" applyFill="1" applyAlignment="1">
      <alignment vertical="top"/>
    </xf>
    <xf numFmtId="0" fontId="78" fillId="8" borderId="0" xfId="0" applyFont="1" applyFill="1" applyAlignment="1">
      <alignment vertical="top"/>
    </xf>
    <xf numFmtId="0" fontId="81" fillId="6" borderId="0" xfId="1" applyFont="1" applyFill="1" applyAlignment="1" applyProtection="1">
      <alignment vertical="top"/>
    </xf>
    <xf numFmtId="0" fontId="38" fillId="6" borderId="0" xfId="0" applyFont="1" applyFill="1" applyAlignment="1">
      <alignment vertical="top"/>
    </xf>
    <xf numFmtId="0" fontId="110" fillId="0" borderId="0" xfId="0" applyFont="1" applyFill="1" applyAlignment="1">
      <alignment vertical="top"/>
    </xf>
    <xf numFmtId="0" fontId="81" fillId="7" borderId="0" xfId="1" applyFont="1" applyFill="1" applyAlignment="1" applyProtection="1">
      <alignment vertical="top"/>
    </xf>
    <xf numFmtId="0" fontId="0" fillId="7" borderId="0" xfId="0" applyFill="1" applyAlignment="1">
      <alignment vertical="top"/>
    </xf>
    <xf numFmtId="0" fontId="81" fillId="0" borderId="0" xfId="1" applyFont="1" applyFill="1" applyAlignment="1" applyProtection="1">
      <alignment vertical="top"/>
    </xf>
    <xf numFmtId="0" fontId="81" fillId="3" borderId="0" xfId="1" quotePrefix="1" applyFont="1" applyFill="1" applyAlignment="1" applyProtection="1">
      <alignment vertical="top"/>
    </xf>
    <xf numFmtId="0" fontId="0" fillId="3" borderId="0" xfId="0" applyFill="1" applyAlignment="1">
      <alignment vertical="top"/>
    </xf>
    <xf numFmtId="171" fontId="37" fillId="0" borderId="0" xfId="0" applyNumberFormat="1" applyFont="1" applyFill="1" applyAlignment="1">
      <alignment vertical="top"/>
    </xf>
    <xf numFmtId="0" fontId="139" fillId="0" borderId="0" xfId="1" applyFont="1" applyFill="1" applyAlignment="1" applyProtection="1">
      <alignment vertical="top"/>
    </xf>
    <xf numFmtId="0" fontId="81" fillId="3" borderId="0" xfId="1" applyFont="1" applyFill="1" applyAlignment="1" applyProtection="1">
      <alignment vertical="top"/>
    </xf>
    <xf numFmtId="0" fontId="37" fillId="11" borderId="0" xfId="0" applyFont="1" applyFill="1" applyAlignment="1">
      <alignment vertical="top"/>
    </xf>
    <xf numFmtId="0" fontId="79" fillId="0" borderId="0" xfId="0" applyFont="1" applyFill="1" applyAlignment="1">
      <alignment vertical="top"/>
    </xf>
    <xf numFmtId="0" fontId="79" fillId="11" borderId="0" xfId="0" applyFont="1" applyFill="1" applyAlignment="1">
      <alignment vertical="top"/>
    </xf>
    <xf numFmtId="0" fontId="38" fillId="0" borderId="0" xfId="1" quotePrefix="1" applyFont="1" applyFill="1" applyAlignment="1" applyProtection="1">
      <alignment vertical="top"/>
    </xf>
    <xf numFmtId="0" fontId="39" fillId="0" borderId="0" xfId="4" applyFont="1" applyFill="1" applyBorder="1" applyAlignment="1">
      <alignment vertical="top"/>
    </xf>
    <xf numFmtId="0" fontId="39" fillId="0" borderId="5" xfId="4" applyFont="1" applyFill="1" applyBorder="1" applyAlignment="1">
      <alignment vertical="top"/>
    </xf>
    <xf numFmtId="0" fontId="0" fillId="0" borderId="5" xfId="0" applyFill="1" applyBorder="1" applyAlignment="1">
      <alignment vertical="top"/>
    </xf>
    <xf numFmtId="0" fontId="38" fillId="0" borderId="5" xfId="4" applyFont="1" applyFill="1" applyBorder="1" applyAlignment="1">
      <alignment vertical="top"/>
    </xf>
    <xf numFmtId="0" fontId="39" fillId="0" borderId="0" xfId="4" applyFont="1" applyFill="1" applyAlignment="1">
      <alignment vertical="top"/>
    </xf>
    <xf numFmtId="0" fontId="46" fillId="0" borderId="0" xfId="4" applyFont="1" applyFill="1" applyAlignment="1">
      <alignment vertical="top"/>
    </xf>
    <xf numFmtId="14" fontId="84" fillId="0" borderId="0" xfId="13" applyNumberFormat="1" applyFont="1" applyFill="1" applyAlignment="1">
      <alignment horizontal="left" vertical="top"/>
    </xf>
    <xf numFmtId="0" fontId="47" fillId="0" borderId="14" xfId="0" applyFont="1" applyBorder="1" applyAlignment="1">
      <alignment horizontal="left" vertical="top"/>
    </xf>
    <xf numFmtId="9" fontId="47" fillId="0" borderId="5" xfId="0" applyNumberFormat="1" applyFont="1" applyBorder="1" applyAlignment="1">
      <alignment horizontal="left" vertical="top"/>
    </xf>
    <xf numFmtId="9" fontId="47" fillId="0" borderId="0" xfId="3" applyNumberFormat="1" applyFont="1" applyAlignment="1">
      <alignment horizontal="left" vertical="top"/>
    </xf>
    <xf numFmtId="9" fontId="154" fillId="0" borderId="5" xfId="0" applyNumberFormat="1" applyFont="1" applyBorder="1" applyAlignment="1">
      <alignment horizontal="left" vertical="top"/>
    </xf>
    <xf numFmtId="9" fontId="73" fillId="0" borderId="0" xfId="0" applyNumberFormat="1" applyFont="1" applyAlignment="1">
      <alignment horizontal="left" vertical="top"/>
    </xf>
    <xf numFmtId="0" fontId="48" fillId="0" borderId="0" xfId="0" applyFont="1" applyBorder="1"/>
    <xf numFmtId="9" fontId="48" fillId="0" borderId="0" xfId="0" applyNumberFormat="1" applyFont="1" applyBorder="1" applyAlignment="1">
      <alignment horizontal="left"/>
    </xf>
    <xf numFmtId="0" fontId="111" fillId="0" borderId="0" xfId="0" applyFont="1" applyFill="1" applyAlignment="1">
      <alignment vertical="top"/>
    </xf>
    <xf numFmtId="0" fontId="35" fillId="0" borderId="0" xfId="6" applyFont="1" applyAlignment="1">
      <alignment horizontal="left" vertical="top"/>
    </xf>
    <xf numFmtId="0" fontId="37" fillId="0" borderId="0" xfId="0" applyFont="1" applyBorder="1" applyAlignment="1">
      <alignment horizontal="left" vertical="top"/>
    </xf>
    <xf numFmtId="0" fontId="37" fillId="0" borderId="0" xfId="0" applyFont="1" applyBorder="1" applyAlignment="1">
      <alignment horizontal="left" vertical="top" wrapText="1"/>
    </xf>
    <xf numFmtId="0" fontId="37" fillId="0" borderId="0" xfId="0" applyFont="1" applyAlignment="1">
      <alignment horizontal="left" vertical="top"/>
    </xf>
    <xf numFmtId="0" fontId="37" fillId="0" borderId="0" xfId="0" applyFont="1" applyBorder="1" applyAlignment="1">
      <alignment horizontal="left" vertical="top"/>
    </xf>
    <xf numFmtId="0" fontId="37" fillId="0" borderId="12" xfId="0" applyFont="1" applyBorder="1" applyAlignment="1">
      <alignment horizontal="left" vertical="top"/>
    </xf>
    <xf numFmtId="164" fontId="37" fillId="0" borderId="0" xfId="0" applyNumberFormat="1" applyFont="1" applyFill="1" applyBorder="1" applyAlignment="1">
      <alignment horizontal="left" vertical="top"/>
    </xf>
    <xf numFmtId="0" fontId="38" fillId="13" borderId="0" xfId="0" applyNumberFormat="1" applyFont="1" applyFill="1" applyBorder="1" applyAlignment="1">
      <alignment horizontal="left" vertical="top"/>
    </xf>
    <xf numFmtId="0" fontId="38" fillId="0" borderId="14" xfId="0" applyFont="1" applyBorder="1" applyAlignment="1">
      <alignment horizontal="left" vertical="top"/>
    </xf>
    <xf numFmtId="0" fontId="35" fillId="0" borderId="0" xfId="6" applyFont="1" applyAlignment="1">
      <alignment horizontal="left" vertical="top" wrapText="1"/>
    </xf>
    <xf numFmtId="0" fontId="35" fillId="0" borderId="0" xfId="6" applyFont="1" applyAlignment="1">
      <alignment horizontal="left" vertical="top"/>
    </xf>
    <xf numFmtId="0" fontId="35" fillId="0" borderId="0" xfId="6" applyFont="1" applyFill="1" applyAlignment="1">
      <alignment horizontal="left" vertical="top"/>
    </xf>
    <xf numFmtId="0" fontId="35" fillId="0" borderId="0" xfId="6" applyFont="1" applyFill="1" applyAlignment="1">
      <alignment horizontal="left" vertical="top" indent="2"/>
    </xf>
    <xf numFmtId="0" fontId="35" fillId="0" borderId="0" xfId="6" applyFont="1" applyFill="1" applyAlignment="1">
      <alignment vertical="top" wrapText="1"/>
    </xf>
    <xf numFmtId="0" fontId="37" fillId="0" borderId="0" xfId="0" applyFont="1" applyAlignment="1">
      <alignment horizontal="left" vertical="top" wrapText="1"/>
    </xf>
    <xf numFmtId="0" fontId="37" fillId="0" borderId="33" xfId="0" applyFont="1" applyBorder="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0" fontId="37" fillId="0" borderId="15" xfId="0" applyFont="1" applyBorder="1" applyAlignment="1">
      <alignment horizontal="left" vertical="top"/>
    </xf>
    <xf numFmtId="0" fontId="37" fillId="0" borderId="35" xfId="0" applyFont="1" applyBorder="1" applyAlignment="1">
      <alignment horizontal="left" vertical="top"/>
    </xf>
    <xf numFmtId="0" fontId="37" fillId="14" borderId="0" xfId="0" applyFont="1" applyFill="1" applyAlignment="1">
      <alignment horizontal="left" vertical="top"/>
    </xf>
    <xf numFmtId="0" fontId="37" fillId="14" borderId="15" xfId="0" applyFont="1" applyFill="1" applyBorder="1" applyAlignment="1">
      <alignment horizontal="left" vertical="top"/>
    </xf>
    <xf numFmtId="0" fontId="37" fillId="0" borderId="3" xfId="0" applyFont="1" applyBorder="1" applyAlignment="1">
      <alignment horizontal="left" vertical="top"/>
    </xf>
    <xf numFmtId="0" fontId="37" fillId="0" borderId="4" xfId="0" applyFont="1" applyBorder="1" applyAlignment="1">
      <alignment horizontal="left" vertical="top"/>
    </xf>
    <xf numFmtId="0" fontId="37" fillId="0" borderId="9" xfId="6" applyFont="1" applyFill="1" applyBorder="1" applyAlignment="1">
      <alignment horizontal="left" vertical="top"/>
    </xf>
    <xf numFmtId="0" fontId="73" fillId="0" borderId="0" xfId="0" applyFont="1" applyBorder="1" applyAlignment="1">
      <alignment horizontal="left" vertical="top"/>
    </xf>
    <xf numFmtId="0" fontId="37" fillId="0" borderId="1" xfId="0" quotePrefix="1" applyFont="1" applyBorder="1" applyAlignment="1">
      <alignment horizontal="left" vertical="top"/>
    </xf>
    <xf numFmtId="0" fontId="37" fillId="14" borderId="1" xfId="0" applyFont="1" applyFill="1" applyBorder="1" applyAlignment="1">
      <alignment horizontal="left" vertical="top"/>
    </xf>
    <xf numFmtId="0" fontId="37" fillId="0" borderId="10" xfId="0" applyFont="1" applyBorder="1" applyAlignment="1">
      <alignment horizontal="left" vertical="top"/>
    </xf>
    <xf numFmtId="0" fontId="37" fillId="14" borderId="99" xfId="0" applyFont="1" applyFill="1" applyBorder="1" applyAlignment="1">
      <alignment horizontal="left" vertical="top"/>
    </xf>
    <xf numFmtId="0" fontId="37" fillId="0" borderId="99" xfId="0" applyFont="1" applyBorder="1" applyAlignment="1">
      <alignment horizontal="left" vertical="top"/>
    </xf>
    <xf numFmtId="0" fontId="37" fillId="0" borderId="15" xfId="6" applyFont="1" applyFill="1" applyBorder="1" applyAlignment="1">
      <alignment horizontal="left" vertical="top"/>
    </xf>
    <xf numFmtId="171" fontId="49" fillId="7" borderId="0" xfId="0" applyNumberFormat="1" applyFont="1" applyFill="1"/>
    <xf numFmtId="0" fontId="37" fillId="0" borderId="13" xfId="0" applyNumberFormat="1" applyFont="1" applyFill="1" applyBorder="1" applyAlignment="1">
      <alignment horizontal="left" vertical="top"/>
    </xf>
    <xf numFmtId="0" fontId="37" fillId="0" borderId="14" xfId="0" applyFont="1" applyFill="1" applyBorder="1" applyAlignment="1">
      <alignment horizontal="left" vertical="top"/>
    </xf>
    <xf numFmtId="0" fontId="48" fillId="0" borderId="14" xfId="0" applyFont="1" applyBorder="1" applyAlignment="1">
      <alignment horizontal="left" vertical="top"/>
    </xf>
    <xf numFmtId="0" fontId="37" fillId="0" borderId="4" xfId="0" quotePrefix="1" applyFont="1" applyBorder="1" applyAlignment="1">
      <alignment horizontal="left" vertical="top"/>
    </xf>
    <xf numFmtId="0" fontId="37" fillId="0" borderId="97" xfId="0" applyFont="1" applyBorder="1" applyAlignment="1">
      <alignment horizontal="left" vertical="top"/>
    </xf>
    <xf numFmtId="164" fontId="38" fillId="0" borderId="5" xfId="0" applyNumberFormat="1" applyFont="1" applyBorder="1" applyAlignment="1">
      <alignment horizontal="left" vertical="top"/>
    </xf>
    <xf numFmtId="0" fontId="47" fillId="0" borderId="5" xfId="0" applyFont="1" applyBorder="1" applyAlignment="1">
      <alignment horizontal="left" vertical="top"/>
    </xf>
    <xf numFmtId="0" fontId="41" fillId="0" borderId="0" xfId="0" applyFont="1" applyAlignment="1">
      <alignment horizontal="left" vertical="top" wrapText="1"/>
    </xf>
    <xf numFmtId="0" fontId="37" fillId="0" borderId="0" xfId="0" applyNumberFormat="1" applyFont="1" applyAlignment="1">
      <alignment horizontal="left" vertical="top"/>
    </xf>
    <xf numFmtId="0" fontId="139" fillId="3" borderId="0" xfId="1" applyFont="1" applyFill="1" applyAlignment="1" applyProtection="1"/>
    <xf numFmtId="171" fontId="37" fillId="5" borderId="6" xfId="0" applyNumberFormat="1" applyFont="1" applyFill="1" applyBorder="1" applyAlignment="1">
      <alignment horizontal="left"/>
    </xf>
    <xf numFmtId="171" fontId="37" fillId="5" borderId="8" xfId="0" applyNumberFormat="1" applyFont="1" applyFill="1" applyBorder="1" applyAlignment="1">
      <alignment horizontal="left"/>
    </xf>
    <xf numFmtId="0" fontId="38" fillId="6" borderId="3" xfId="0" applyFont="1" applyFill="1" applyBorder="1" applyAlignment="1">
      <alignment horizontal="center"/>
    </xf>
    <xf numFmtId="14" fontId="38" fillId="3" borderId="3" xfId="0" applyNumberFormat="1" applyFont="1" applyFill="1" applyBorder="1" applyAlignment="1">
      <alignment horizontal="left"/>
    </xf>
    <xf numFmtId="14" fontId="37" fillId="0" borderId="3" xfId="0" applyNumberFormat="1" applyFont="1" applyFill="1" applyBorder="1" applyAlignment="1">
      <alignment horizontal="left"/>
    </xf>
    <xf numFmtId="14" fontId="38" fillId="25" borderId="3" xfId="0" applyNumberFormat="1" applyFont="1" applyFill="1" applyBorder="1" applyAlignment="1">
      <alignment horizontal="left"/>
    </xf>
    <xf numFmtId="0" fontId="38" fillId="25" borderId="3" xfId="0" applyFont="1" applyFill="1" applyBorder="1" applyAlignment="1">
      <alignment horizontal="left"/>
    </xf>
    <xf numFmtId="0" fontId="38" fillId="0" borderId="3" xfId="0" applyFont="1" applyFill="1" applyBorder="1" applyAlignment="1">
      <alignment horizontal="left"/>
    </xf>
    <xf numFmtId="0" fontId="37" fillId="0" borderId="3" xfId="0" applyFont="1" applyFill="1" applyBorder="1" applyAlignment="1">
      <alignment horizontal="left"/>
    </xf>
    <xf numFmtId="0" fontId="0" fillId="0" borderId="0" xfId="0" applyAlignment="1">
      <alignment vertical="top"/>
    </xf>
    <xf numFmtId="0" fontId="0" fillId="0" borderId="7" xfId="0" applyBorder="1" applyAlignment="1">
      <alignment vertical="top"/>
    </xf>
    <xf numFmtId="0" fontId="0" fillId="0" borderId="35" xfId="0" applyBorder="1" applyAlignment="1">
      <alignment vertical="top"/>
    </xf>
    <xf numFmtId="0" fontId="0" fillId="0" borderId="33" xfId="0" applyBorder="1" applyAlignment="1">
      <alignment vertical="top"/>
    </xf>
    <xf numFmtId="0" fontId="37" fillId="0" borderId="0" xfId="0" applyFont="1" applyAlignment="1">
      <alignment vertical="top"/>
    </xf>
    <xf numFmtId="0" fontId="53" fillId="0" borderId="0" xfId="0" applyFont="1" applyAlignment="1">
      <alignment horizontal="right" vertical="top"/>
    </xf>
    <xf numFmtId="0" fontId="37" fillId="0" borderId="0" xfId="0" quotePrefix="1" applyFont="1" applyFill="1" applyAlignment="1">
      <alignment horizontal="left" vertical="top"/>
    </xf>
    <xf numFmtId="0" fontId="155" fillId="0" borderId="0" xfId="1" applyFont="1" applyBorder="1" applyAlignment="1" applyProtection="1">
      <alignment vertical="top"/>
    </xf>
    <xf numFmtId="0" fontId="0" fillId="0" borderId="0" xfId="0" applyFont="1" applyBorder="1" applyAlignment="1">
      <alignment vertical="top"/>
    </xf>
    <xf numFmtId="0" fontId="50" fillId="0" borderId="0" xfId="0" applyFont="1" applyBorder="1" applyAlignment="1">
      <alignment vertical="top"/>
    </xf>
    <xf numFmtId="0" fontId="37" fillId="0" borderId="6" xfId="0" applyFont="1" applyBorder="1" applyAlignment="1">
      <alignment vertical="top"/>
    </xf>
    <xf numFmtId="0" fontId="0" fillId="0" borderId="8" xfId="0" applyFont="1" applyBorder="1" applyAlignment="1">
      <alignment vertical="top"/>
    </xf>
    <xf numFmtId="0" fontId="0" fillId="0" borderId="6" xfId="0" applyFont="1" applyBorder="1" applyAlignment="1">
      <alignment vertical="top"/>
    </xf>
    <xf numFmtId="0" fontId="37" fillId="0" borderId="76" xfId="0" applyFont="1" applyBorder="1" applyAlignment="1">
      <alignment vertical="top"/>
    </xf>
    <xf numFmtId="0" fontId="38" fillId="0" borderId="3" xfId="0" applyFont="1" applyBorder="1" applyAlignment="1">
      <alignment vertical="top"/>
    </xf>
    <xf numFmtId="0" fontId="0" fillId="0" borderId="11" xfId="0" applyBorder="1" applyAlignment="1">
      <alignment vertical="top"/>
    </xf>
    <xf numFmtId="0" fontId="0" fillId="0" borderId="15" xfId="0" applyBorder="1" applyAlignment="1">
      <alignment vertical="top"/>
    </xf>
    <xf numFmtId="0" fontId="37" fillId="0" borderId="30" xfId="0" applyFont="1" applyBorder="1" applyAlignment="1">
      <alignment vertical="top"/>
    </xf>
    <xf numFmtId="0" fontId="0" fillId="0" borderId="11" xfId="0" applyFill="1" applyBorder="1" applyAlignment="1">
      <alignment vertical="top"/>
    </xf>
    <xf numFmtId="0" fontId="37" fillId="0" borderId="12" xfId="0" applyFont="1" applyBorder="1" applyAlignment="1">
      <alignment vertical="top"/>
    </xf>
    <xf numFmtId="0" fontId="37" fillId="0" borderId="10" xfId="0" applyFont="1" applyBorder="1" applyAlignment="1">
      <alignment vertical="top"/>
    </xf>
    <xf numFmtId="0" fontId="37" fillId="0" borderId="2" xfId="0" applyFont="1" applyFill="1" applyBorder="1" applyAlignment="1">
      <alignment vertical="top"/>
    </xf>
    <xf numFmtId="0" fontId="37" fillId="0" borderId="2" xfId="0" quotePrefix="1" applyFont="1" applyBorder="1" applyAlignment="1">
      <alignment vertical="top"/>
    </xf>
    <xf numFmtId="0" fontId="48" fillId="0" borderId="98" xfId="0" applyFont="1" applyBorder="1" applyAlignment="1">
      <alignment vertical="top"/>
    </xf>
    <xf numFmtId="0" fontId="37" fillId="0" borderId="5" xfId="0" applyFont="1" applyBorder="1" applyAlignment="1">
      <alignment vertical="top"/>
    </xf>
    <xf numFmtId="0" fontId="37" fillId="0" borderId="2" xfId="0" applyFont="1" applyBorder="1" applyAlignment="1">
      <alignment vertical="top"/>
    </xf>
    <xf numFmtId="0" fontId="37" fillId="0" borderId="36" xfId="0" applyFont="1" applyBorder="1" applyAlignment="1">
      <alignment vertical="top"/>
    </xf>
    <xf numFmtId="0" fontId="37" fillId="0" borderId="11" xfId="0" applyFont="1" applyBorder="1" applyAlignment="1">
      <alignment vertical="top"/>
    </xf>
    <xf numFmtId="0" fontId="37" fillId="0" borderId="15" xfId="0" applyFont="1" applyBorder="1" applyAlignment="1">
      <alignment vertical="top"/>
    </xf>
    <xf numFmtId="0" fontId="37" fillId="0" borderId="1" xfId="0" applyFont="1" applyFill="1" applyBorder="1" applyAlignment="1">
      <alignment vertical="top"/>
    </xf>
    <xf numFmtId="0" fontId="37" fillId="0" borderId="1" xfId="0" quotePrefix="1" applyFont="1" applyBorder="1" applyAlignment="1">
      <alignment vertical="top"/>
    </xf>
    <xf numFmtId="0" fontId="48" fillId="0" borderId="11" xfId="0" applyFont="1" applyBorder="1" applyAlignment="1">
      <alignment vertical="top"/>
    </xf>
    <xf numFmtId="0" fontId="48" fillId="0" borderId="99" xfId="0" applyFont="1" applyBorder="1" applyAlignment="1">
      <alignment vertical="top"/>
    </xf>
    <xf numFmtId="0" fontId="37" fillId="0" borderId="0" xfId="0" applyFont="1" applyBorder="1" applyAlignment="1">
      <alignment vertical="top"/>
    </xf>
    <xf numFmtId="0" fontId="37" fillId="0" borderId="1" xfId="0" applyFont="1" applyBorder="1" applyAlignment="1">
      <alignment vertical="top"/>
    </xf>
    <xf numFmtId="0" fontId="0" fillId="14" borderId="11" xfId="0" applyFill="1" applyBorder="1" applyAlignment="1">
      <alignment vertical="top"/>
    </xf>
    <xf numFmtId="0" fontId="0" fillId="14" borderId="15" xfId="0" applyFill="1" applyBorder="1" applyAlignment="1">
      <alignment vertical="top"/>
    </xf>
    <xf numFmtId="0" fontId="37" fillId="14" borderId="36" xfId="0" applyFont="1" applyFill="1" applyBorder="1" applyAlignment="1">
      <alignment vertical="top"/>
    </xf>
    <xf numFmtId="0" fontId="37" fillId="14" borderId="11" xfId="0" applyFont="1" applyFill="1" applyBorder="1" applyAlignment="1">
      <alignment vertical="top"/>
    </xf>
    <xf numFmtId="0" fontId="37" fillId="14" borderId="15" xfId="0" applyFont="1" applyFill="1" applyBorder="1" applyAlignment="1">
      <alignment vertical="top"/>
    </xf>
    <xf numFmtId="0" fontId="37" fillId="14" borderId="1" xfId="0" applyFont="1" applyFill="1" applyBorder="1" applyAlignment="1">
      <alignment vertical="top"/>
    </xf>
    <xf numFmtId="0" fontId="37" fillId="14" borderId="1" xfId="0" quotePrefix="1" applyFont="1" applyFill="1" applyBorder="1" applyAlignment="1">
      <alignment vertical="top"/>
    </xf>
    <xf numFmtId="0" fontId="48" fillId="14" borderId="99" xfId="0" applyFont="1" applyFill="1" applyBorder="1" applyAlignment="1">
      <alignment vertical="top"/>
    </xf>
    <xf numFmtId="0" fontId="37" fillId="14" borderId="0" xfId="0" applyFont="1" applyFill="1" applyBorder="1" applyAlignment="1">
      <alignment vertical="top"/>
    </xf>
    <xf numFmtId="0" fontId="0" fillId="14" borderId="15" xfId="0" applyFont="1" applyFill="1" applyBorder="1" applyAlignment="1">
      <alignment vertical="top"/>
    </xf>
    <xf numFmtId="0" fontId="50" fillId="14" borderId="36" xfId="0" applyFont="1" applyFill="1" applyBorder="1" applyAlignment="1">
      <alignment vertical="top"/>
    </xf>
    <xf numFmtId="0" fontId="72" fillId="0" borderId="1" xfId="0" quotePrefix="1" applyFont="1" applyBorder="1" applyAlignment="1">
      <alignment vertical="top"/>
    </xf>
    <xf numFmtId="0" fontId="48" fillId="0" borderId="15" xfId="0" applyFont="1" applyBorder="1" applyAlignment="1">
      <alignment vertical="top"/>
    </xf>
    <xf numFmtId="0" fontId="56" fillId="0" borderId="11" xfId="0" applyFont="1" applyBorder="1" applyAlignment="1">
      <alignment vertical="top"/>
    </xf>
    <xf numFmtId="0" fontId="56" fillId="0" borderId="15" xfId="0" applyFont="1" applyBorder="1" applyAlignment="1">
      <alignment vertical="top"/>
    </xf>
    <xf numFmtId="0" fontId="0" fillId="0" borderId="15" xfId="0" applyFont="1" applyBorder="1" applyAlignment="1">
      <alignment vertical="top"/>
    </xf>
    <xf numFmtId="0" fontId="50" fillId="0" borderId="36" xfId="0" applyFont="1" applyBorder="1" applyAlignment="1">
      <alignment vertical="top"/>
    </xf>
    <xf numFmtId="0" fontId="37" fillId="0" borderId="1" xfId="0" quotePrefix="1" applyFont="1" applyFill="1" applyBorder="1" applyAlignment="1">
      <alignment vertical="top"/>
    </xf>
    <xf numFmtId="0" fontId="72" fillId="0" borderId="1" xfId="0" applyFont="1" applyBorder="1" applyAlignment="1">
      <alignment vertical="top"/>
    </xf>
    <xf numFmtId="0" fontId="0" fillId="0" borderId="9" xfId="0" applyFont="1" applyBorder="1" applyAlignment="1">
      <alignment vertical="top"/>
    </xf>
    <xf numFmtId="0" fontId="37" fillId="0" borderId="94" xfId="0" applyFont="1" applyBorder="1" applyAlignment="1">
      <alignment vertical="top"/>
    </xf>
    <xf numFmtId="0" fontId="48" fillId="0" borderId="0" xfId="0" applyFont="1" applyFill="1" applyBorder="1" applyAlignment="1">
      <alignment vertical="top"/>
    </xf>
    <xf numFmtId="0" fontId="37" fillId="0" borderId="0" xfId="0" applyFont="1" applyFill="1" applyBorder="1" applyAlignment="1">
      <alignment vertical="top"/>
    </xf>
    <xf numFmtId="0" fontId="37" fillId="0" borderId="0" xfId="0" quotePrefix="1" applyFont="1" applyFill="1" applyBorder="1" applyAlignment="1">
      <alignment vertical="top"/>
    </xf>
    <xf numFmtId="0" fontId="72" fillId="0" borderId="15" xfId="0" quotePrefix="1" applyFont="1" applyBorder="1" applyAlignment="1">
      <alignment vertical="top"/>
    </xf>
    <xf numFmtId="0" fontId="37" fillId="0" borderId="33" xfId="0" applyFont="1" applyFill="1" applyBorder="1" applyAlignment="1">
      <alignment horizontal="left" vertical="top"/>
    </xf>
    <xf numFmtId="0" fontId="37" fillId="0" borderId="33" xfId="0" applyFont="1" applyFill="1" applyBorder="1" applyAlignment="1">
      <alignment vertical="top"/>
    </xf>
    <xf numFmtId="0" fontId="37" fillId="0" borderId="33" xfId="6" applyFont="1" applyFill="1" applyBorder="1" applyAlignment="1">
      <alignment horizontal="left" vertical="top"/>
    </xf>
    <xf numFmtId="0" fontId="37" fillId="0" borderId="7" xfId="0" applyFont="1" applyFill="1" applyBorder="1" applyAlignment="1">
      <alignment vertical="top"/>
    </xf>
    <xf numFmtId="0" fontId="38" fillId="3" borderId="0" xfId="0" applyNumberFormat="1" applyFont="1" applyFill="1" applyBorder="1" applyAlignment="1">
      <alignment horizontal="left" vertical="top"/>
    </xf>
    <xf numFmtId="0" fontId="37" fillId="0" borderId="0" xfId="1" applyFont="1" applyAlignment="1" applyProtection="1">
      <alignment horizontal="left" vertical="top" indent="1"/>
    </xf>
    <xf numFmtId="1" fontId="79" fillId="0" borderId="0" xfId="0" applyNumberFormat="1" applyFont="1" applyAlignment="1">
      <alignment horizontal="left"/>
    </xf>
    <xf numFmtId="164" fontId="79" fillId="0" borderId="0" xfId="0" applyNumberFormat="1" applyFont="1" applyAlignment="1">
      <alignment horizontal="left"/>
    </xf>
    <xf numFmtId="9" fontId="79" fillId="0" borderId="0" xfId="0" applyNumberFormat="1" applyFont="1" applyAlignment="1">
      <alignment horizontal="left"/>
    </xf>
    <xf numFmtId="9" fontId="79" fillId="0" borderId="0" xfId="3" applyFont="1" applyAlignment="1">
      <alignment horizontal="left"/>
    </xf>
    <xf numFmtId="2" fontId="79" fillId="0" borderId="0" xfId="0" applyNumberFormat="1" applyFont="1" applyAlignment="1">
      <alignment horizontal="left"/>
    </xf>
    <xf numFmtId="1" fontId="79" fillId="0" borderId="0" xfId="3" applyNumberFormat="1" applyFont="1" applyAlignment="1">
      <alignment horizontal="left"/>
    </xf>
    <xf numFmtId="164" fontId="79" fillId="0" borderId="0" xfId="3" applyNumberFormat="1" applyFont="1" applyAlignment="1">
      <alignment horizontal="left"/>
    </xf>
    <xf numFmtId="9" fontId="79" fillId="0" borderId="37" xfId="3" applyFont="1" applyFill="1" applyBorder="1" applyAlignment="1">
      <alignment horizontal="left"/>
    </xf>
    <xf numFmtId="9" fontId="79" fillId="0" borderId="38" xfId="3" applyFont="1" applyFill="1" applyBorder="1" applyAlignment="1">
      <alignment horizontal="left"/>
    </xf>
    <xf numFmtId="9" fontId="79" fillId="0" borderId="43" xfId="3" applyFont="1" applyFill="1" applyBorder="1" applyAlignment="1">
      <alignment horizontal="left"/>
    </xf>
    <xf numFmtId="9" fontId="79" fillId="0" borderId="37" xfId="3" applyFont="1" applyBorder="1" applyAlignment="1">
      <alignment horizontal="left"/>
    </xf>
    <xf numFmtId="9" fontId="79" fillId="0" borderId="38" xfId="3" applyFont="1" applyBorder="1" applyAlignment="1">
      <alignment horizontal="left"/>
    </xf>
    <xf numFmtId="9" fontId="79" fillId="0" borderId="43" xfId="3" applyFont="1" applyBorder="1" applyAlignment="1">
      <alignment horizontal="left"/>
    </xf>
    <xf numFmtId="9" fontId="79" fillId="0" borderId="0" xfId="3" applyNumberFormat="1" applyFont="1" applyAlignment="1">
      <alignment horizontal="left"/>
    </xf>
    <xf numFmtId="0" fontId="37" fillId="0" borderId="27" xfId="0" applyFont="1" applyBorder="1" applyAlignment="1">
      <alignment horizontal="left" vertical="top"/>
    </xf>
    <xf numFmtId="164" fontId="37" fillId="0" borderId="6" xfId="0" applyNumberFormat="1" applyFont="1" applyBorder="1" applyAlignment="1">
      <alignment horizontal="left" vertical="top"/>
    </xf>
    <xf numFmtId="164" fontId="37" fillId="0" borderId="27" xfId="0" applyNumberFormat="1" applyFont="1" applyBorder="1" applyAlignment="1">
      <alignment horizontal="left" vertical="top"/>
    </xf>
    <xf numFmtId="0" fontId="41" fillId="0" borderId="0" xfId="0" applyFont="1" applyFill="1" applyBorder="1" applyAlignment="1">
      <alignment horizontal="left" vertical="top"/>
    </xf>
    <xf numFmtId="0" fontId="139" fillId="0" borderId="0" xfId="0" applyNumberFormat="1" applyFont="1" applyBorder="1" applyAlignment="1">
      <alignment horizontal="left" vertical="top"/>
    </xf>
    <xf numFmtId="0" fontId="139" fillId="0" borderId="0" xfId="0" applyFont="1" applyAlignment="1">
      <alignment horizontal="left" vertical="top"/>
    </xf>
    <xf numFmtId="0" fontId="81" fillId="0" borderId="0" xfId="0" applyFont="1" applyFill="1" applyAlignment="1">
      <alignment horizontal="left" vertical="top"/>
    </xf>
    <xf numFmtId="0" fontId="139" fillId="0" borderId="0" xfId="0" applyFont="1" applyBorder="1" applyAlignment="1">
      <alignment horizontal="left" vertical="top"/>
    </xf>
    <xf numFmtId="0" fontId="111" fillId="0" borderId="0" xfId="0" applyNumberFormat="1" applyFont="1" applyBorder="1" applyAlignment="1">
      <alignment horizontal="left" vertical="top"/>
    </xf>
    <xf numFmtId="0" fontId="37" fillId="0" borderId="0" xfId="0" applyFont="1" applyAlignment="1">
      <alignment horizontal="left" vertical="top" wrapText="1"/>
    </xf>
    <xf numFmtId="0" fontId="37" fillId="0" borderId="0" xfId="0" applyFont="1" applyAlignment="1">
      <alignment horizontal="left" vertical="top"/>
    </xf>
    <xf numFmtId="0" fontId="37" fillId="0" borderId="0" xfId="0" applyFont="1" applyBorder="1" applyAlignment="1">
      <alignment horizontal="left" vertical="top"/>
    </xf>
    <xf numFmtId="0" fontId="37" fillId="0" borderId="0" xfId="0" applyFont="1" applyAlignment="1">
      <alignment vertical="top" wrapText="1"/>
    </xf>
    <xf numFmtId="0" fontId="37" fillId="0" borderId="0" xfId="0" applyNumberFormat="1" applyFont="1" applyAlignment="1">
      <alignment horizontal="left" vertical="top" wrapText="1"/>
    </xf>
    <xf numFmtId="0" fontId="37" fillId="0" borderId="0" xfId="0" quotePrefix="1" applyFont="1" applyAlignment="1">
      <alignment horizontal="left" vertical="top" wrapText="1"/>
    </xf>
    <xf numFmtId="0" fontId="37" fillId="0" borderId="33" xfId="0" applyFont="1" applyBorder="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0" fontId="48" fillId="0" borderId="0" xfId="0" applyFont="1" applyAlignment="1">
      <alignment horizontal="left" vertical="top" wrapText="1"/>
    </xf>
    <xf numFmtId="0" fontId="38" fillId="0" borderId="0" xfId="0" applyNumberFormat="1" applyFont="1" applyAlignment="1">
      <alignment horizontal="left" vertical="top" wrapText="1"/>
    </xf>
    <xf numFmtId="0" fontId="38" fillId="0" borderId="0" xfId="0" applyNumberFormat="1" applyFont="1" applyAlignment="1">
      <alignment horizontal="left" vertical="top"/>
    </xf>
    <xf numFmtId="0" fontId="38" fillId="0" borderId="0" xfId="0" applyFont="1" applyAlignment="1">
      <alignment vertical="top"/>
    </xf>
    <xf numFmtId="0" fontId="37" fillId="0" borderId="0" xfId="0" applyFont="1" applyAlignment="1">
      <alignment horizontal="left" vertical="top" indent="1"/>
    </xf>
    <xf numFmtId="0" fontId="37" fillId="0" borderId="0" xfId="0" quotePrefix="1" applyFont="1" applyAlignment="1">
      <alignment horizontal="left" vertical="top" wrapText="1" indent="1"/>
    </xf>
    <xf numFmtId="0" fontId="37" fillId="0" borderId="0" xfId="0" quotePrefix="1" applyFont="1" applyBorder="1" applyAlignment="1">
      <alignment horizontal="left" vertical="top" indent="1"/>
    </xf>
    <xf numFmtId="0" fontId="37" fillId="0" borderId="0" xfId="0" applyFont="1" applyAlignment="1">
      <alignment horizontal="left" vertical="top" indent="2"/>
    </xf>
    <xf numFmtId="0" fontId="37" fillId="0" borderId="0" xfId="0" quotePrefix="1" applyNumberFormat="1" applyFont="1" applyAlignment="1">
      <alignment horizontal="left" vertical="top" indent="1"/>
    </xf>
    <xf numFmtId="0" fontId="157" fillId="0" borderId="0" xfId="1" applyFont="1" applyAlignment="1" applyProtection="1"/>
    <xf numFmtId="0" fontId="37" fillId="0" borderId="0" xfId="0" quotePrefix="1" applyFont="1" applyAlignment="1">
      <alignment horizontal="left" vertical="top" indent="1"/>
    </xf>
    <xf numFmtId="0" fontId="47" fillId="0" borderId="33" xfId="0" applyFont="1" applyFill="1" applyBorder="1" applyAlignment="1">
      <alignment horizontal="left" vertical="top"/>
    </xf>
    <xf numFmtId="0" fontId="47" fillId="0" borderId="33" xfId="0" applyFont="1" applyBorder="1" applyAlignment="1">
      <alignment horizontal="left" vertical="top"/>
    </xf>
    <xf numFmtId="0" fontId="47" fillId="0" borderId="33" xfId="0" applyFont="1" applyFill="1" applyBorder="1" applyAlignment="1">
      <alignment vertical="top"/>
    </xf>
    <xf numFmtId="0" fontId="47" fillId="0" borderId="33" xfId="6" applyFont="1" applyFill="1" applyBorder="1" applyAlignment="1">
      <alignment horizontal="left" vertical="top"/>
    </xf>
    <xf numFmtId="0" fontId="158" fillId="0" borderId="33" xfId="0" applyFont="1" applyFill="1" applyBorder="1" applyAlignment="1">
      <alignment horizontal="left" vertical="top"/>
    </xf>
    <xf numFmtId="0" fontId="158" fillId="0" borderId="33" xfId="0" applyFont="1" applyBorder="1" applyAlignment="1">
      <alignment horizontal="left" vertical="top"/>
    </xf>
    <xf numFmtId="0" fontId="158" fillId="0" borderId="33" xfId="0" applyFont="1" applyFill="1" applyBorder="1" applyAlignment="1">
      <alignment vertical="top"/>
    </xf>
    <xf numFmtId="0" fontId="158" fillId="0" borderId="33" xfId="6" applyFont="1" applyFill="1" applyBorder="1" applyAlignment="1">
      <alignment horizontal="left" vertical="top"/>
    </xf>
    <xf numFmtId="0" fontId="131" fillId="0" borderId="0" xfId="0" applyFont="1" applyAlignment="1">
      <alignment horizontal="left" vertical="top" wrapText="1" indent="2"/>
    </xf>
    <xf numFmtId="0" fontId="47" fillId="0" borderId="0" xfId="0" applyFont="1" applyFill="1" applyBorder="1" applyAlignment="1">
      <alignment horizontal="left" vertical="top"/>
    </xf>
    <xf numFmtId="0" fontId="47" fillId="0" borderId="0" xfId="0" applyFont="1" applyFill="1" applyBorder="1" applyAlignment="1">
      <alignment vertical="top"/>
    </xf>
    <xf numFmtId="0" fontId="47" fillId="0" borderId="0" xfId="6" applyFont="1" applyFill="1" applyBorder="1" applyAlignment="1">
      <alignment horizontal="left" vertical="top"/>
    </xf>
    <xf numFmtId="0" fontId="132" fillId="0" borderId="38" xfId="0" applyFont="1" applyBorder="1" applyAlignment="1">
      <alignment horizontal="left" vertical="top"/>
    </xf>
    <xf numFmtId="0" fontId="158" fillId="0" borderId="0" xfId="0" applyFont="1" applyFill="1" applyBorder="1" applyAlignment="1">
      <alignment horizontal="left" vertical="top"/>
    </xf>
    <xf numFmtId="164" fontId="47" fillId="0" borderId="0" xfId="0" applyNumberFormat="1" applyFont="1" applyAlignment="1">
      <alignment horizontal="left" vertical="top"/>
    </xf>
    <xf numFmtId="0" fontId="37" fillId="0" borderId="0" xfId="0" applyFont="1" applyFill="1" applyBorder="1" applyAlignment="1">
      <alignment horizontal="right" vertical="top"/>
    </xf>
    <xf numFmtId="0" fontId="158" fillId="0" borderId="0" xfId="0" applyFont="1" applyBorder="1" applyAlignment="1">
      <alignment horizontal="left" vertical="top" wrapText="1"/>
    </xf>
    <xf numFmtId="0" fontId="38" fillId="0" borderId="0" xfId="0" applyFont="1" applyFill="1" applyAlignment="1">
      <alignment horizontal="left" vertical="top" wrapText="1"/>
    </xf>
    <xf numFmtId="0" fontId="132" fillId="0" borderId="0" xfId="0" applyFont="1" applyBorder="1" applyAlignment="1">
      <alignment horizontal="left" vertical="top"/>
    </xf>
    <xf numFmtId="0" fontId="47" fillId="0" borderId="38" xfId="0" applyFont="1" applyFill="1" applyBorder="1" applyAlignment="1">
      <alignment horizontal="left" vertical="top"/>
    </xf>
    <xf numFmtId="0" fontId="161" fillId="0" borderId="0" xfId="0" applyFont="1" applyFill="1" applyBorder="1" applyAlignment="1">
      <alignment horizontal="left" vertical="top" wrapText="1"/>
    </xf>
    <xf numFmtId="0" fontId="156" fillId="0" borderId="0" xfId="0" applyFont="1" applyFill="1" applyBorder="1" applyAlignment="1">
      <alignment horizontal="left" vertical="top" wrapText="1"/>
    </xf>
    <xf numFmtId="0" fontId="0" fillId="0" borderId="0" xfId="0" applyAlignment="1">
      <alignment horizontal="left" vertical="top"/>
    </xf>
    <xf numFmtId="9" fontId="37" fillId="14" borderId="0" xfId="0" applyNumberFormat="1" applyFont="1" applyFill="1" applyBorder="1"/>
    <xf numFmtId="0" fontId="132" fillId="0" borderId="0" xfId="0" applyFont="1" applyFill="1" applyBorder="1" applyAlignment="1">
      <alignment horizontal="left" vertical="top"/>
    </xf>
    <xf numFmtId="0" fontId="132" fillId="0" borderId="0" xfId="0" applyFont="1" applyFill="1" applyBorder="1" applyAlignment="1">
      <alignment vertical="top"/>
    </xf>
    <xf numFmtId="0" fontId="132" fillId="0" borderId="0" xfId="6" applyFont="1" applyFill="1" applyBorder="1" applyAlignment="1">
      <alignment horizontal="left" vertical="top"/>
    </xf>
    <xf numFmtId="0" fontId="132" fillId="0" borderId="0" xfId="0" applyFont="1" applyAlignment="1">
      <alignment horizontal="left" vertical="top"/>
    </xf>
    <xf numFmtId="0" fontId="47" fillId="0" borderId="38" xfId="0" applyFont="1" applyFill="1" applyBorder="1" applyAlignment="1">
      <alignment vertical="top"/>
    </xf>
    <xf numFmtId="0" fontId="47" fillId="0" borderId="38" xfId="6" applyFont="1" applyFill="1" applyBorder="1" applyAlignment="1">
      <alignment horizontal="left" vertical="top"/>
    </xf>
    <xf numFmtId="0" fontId="47" fillId="0" borderId="7" xfId="0" applyFont="1" applyBorder="1" applyAlignment="1">
      <alignment horizontal="left" vertical="top"/>
    </xf>
    <xf numFmtId="9" fontId="47" fillId="0" borderId="7" xfId="3" applyFont="1" applyBorder="1" applyAlignment="1">
      <alignment horizontal="left" vertical="top"/>
    </xf>
    <xf numFmtId="172" fontId="166" fillId="0" borderId="0" xfId="17" applyNumberFormat="1" applyFont="1" applyFill="1" applyBorder="1" applyAlignment="1">
      <alignment horizontal="right"/>
    </xf>
    <xf numFmtId="1" fontId="37" fillId="0" borderId="0" xfId="0" applyNumberFormat="1" applyFont="1" applyFill="1" applyAlignment="1">
      <alignment horizontal="left"/>
    </xf>
    <xf numFmtId="0" fontId="37" fillId="0" borderId="0" xfId="0" applyFont="1" applyFill="1" applyAlignment="1">
      <alignment vertical="top" wrapText="1"/>
    </xf>
    <xf numFmtId="0" fontId="35" fillId="0" borderId="0" xfId="6" applyFont="1" applyAlignment="1">
      <alignment horizontal="left" vertical="top" wrapText="1"/>
    </xf>
    <xf numFmtId="0" fontId="35" fillId="0" borderId="0" xfId="6" applyFont="1" applyAlignment="1">
      <alignment horizontal="left" vertical="top"/>
    </xf>
    <xf numFmtId="0" fontId="158" fillId="0" borderId="0" xfId="0" applyFont="1" applyFill="1" applyBorder="1" applyAlignment="1">
      <alignment horizontal="left" vertical="top" wrapText="1"/>
    </xf>
    <xf numFmtId="0" fontId="37" fillId="0" borderId="33" xfId="0" applyFont="1" applyBorder="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9" fontId="38" fillId="0" borderId="7" xfId="0" applyNumberFormat="1" applyFont="1" applyFill="1" applyBorder="1" applyAlignment="1">
      <alignment horizontal="left"/>
    </xf>
    <xf numFmtId="0" fontId="48" fillId="0" borderId="7" xfId="0" applyFont="1" applyFill="1" applyBorder="1"/>
    <xf numFmtId="9" fontId="123" fillId="0" borderId="7" xfId="0" applyNumberFormat="1" applyFont="1" applyFill="1" applyBorder="1" applyAlignment="1">
      <alignment horizontal="left"/>
    </xf>
    <xf numFmtId="171" fontId="111" fillId="14" borderId="0" xfId="0" applyNumberFormat="1" applyFont="1" applyFill="1" applyAlignment="1">
      <alignment horizontal="left"/>
    </xf>
    <xf numFmtId="0" fontId="37" fillId="0" borderId="7" xfId="0" applyFont="1" applyFill="1" applyBorder="1"/>
    <xf numFmtId="0" fontId="37" fillId="0" borderId="0" xfId="0" quotePrefix="1" applyFont="1" applyAlignment="1">
      <alignment vertical="top"/>
    </xf>
    <xf numFmtId="0" fontId="81" fillId="0" borderId="0" xfId="0" applyNumberFormat="1" applyFont="1" applyFill="1" applyBorder="1" applyAlignment="1">
      <alignment horizontal="left" vertical="top"/>
    </xf>
    <xf numFmtId="0" fontId="139" fillId="0" borderId="0" xfId="0" applyFont="1" applyFill="1" applyAlignment="1">
      <alignment horizontal="left" vertical="top"/>
    </xf>
    <xf numFmtId="0" fontId="139" fillId="0" borderId="0" xfId="0" quotePrefix="1" applyFont="1" applyBorder="1" applyAlignment="1">
      <alignment horizontal="left" vertical="top" wrapText="1" indent="1"/>
    </xf>
    <xf numFmtId="0" fontId="37" fillId="0" borderId="0" xfId="0" applyFont="1" applyAlignment="1">
      <alignment horizontal="left" vertical="top" wrapText="1"/>
    </xf>
    <xf numFmtId="0" fontId="37" fillId="0" borderId="33" xfId="0" applyFont="1" applyBorder="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0" fontId="37" fillId="0" borderId="0" xfId="0" applyNumberFormat="1" applyFont="1" applyAlignment="1">
      <alignment horizontal="left" vertical="top" wrapText="1"/>
    </xf>
    <xf numFmtId="0" fontId="131" fillId="0" borderId="0" xfId="0" applyFont="1" applyAlignment="1">
      <alignment horizontal="left" vertical="top" wrapText="1" indent="2"/>
    </xf>
    <xf numFmtId="0" fontId="37" fillId="0" borderId="0" xfId="0" applyFont="1" applyBorder="1" applyAlignment="1">
      <alignment horizontal="left" vertical="top" wrapText="1"/>
    </xf>
    <xf numFmtId="0" fontId="37" fillId="0" borderId="0" xfId="0" quotePrefix="1" applyFont="1" applyAlignment="1">
      <alignment horizontal="left" vertical="top" wrapText="1"/>
    </xf>
    <xf numFmtId="0" fontId="37" fillId="0" borderId="33" xfId="0" applyFont="1" applyBorder="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0" fontId="37" fillId="0" borderId="0" xfId="0" applyNumberFormat="1" applyFont="1" applyBorder="1" applyAlignment="1">
      <alignment horizontal="left" vertical="top" wrapText="1"/>
    </xf>
    <xf numFmtId="0" fontId="131" fillId="0" borderId="0" xfId="0" applyFont="1" applyAlignment="1">
      <alignment horizontal="left" vertical="top" wrapText="1" indent="2"/>
    </xf>
    <xf numFmtId="0" fontId="37" fillId="0" borderId="0" xfId="1" applyFont="1" applyAlignment="1" applyProtection="1">
      <alignment horizontal="left" vertical="top"/>
    </xf>
    <xf numFmtId="0" fontId="41" fillId="0" borderId="0" xfId="1" applyFont="1" applyAlignment="1" applyProtection="1">
      <alignment horizontal="left" vertical="top"/>
    </xf>
    <xf numFmtId="0" fontId="41" fillId="0" borderId="0" xfId="0" applyFont="1" applyAlignment="1">
      <alignment horizontal="left" vertical="top"/>
    </xf>
    <xf numFmtId="0" fontId="45" fillId="0" borderId="0" xfId="0" applyFont="1" applyAlignment="1">
      <alignment horizontal="left" vertical="top"/>
    </xf>
    <xf numFmtId="0" fontId="41" fillId="0" borderId="33" xfId="0" applyFont="1" applyFill="1" applyBorder="1" applyAlignment="1">
      <alignment horizontal="left" vertical="top"/>
    </xf>
    <xf numFmtId="0" fontId="41" fillId="0" borderId="33" xfId="0" applyFont="1" applyBorder="1" applyAlignment="1">
      <alignment horizontal="left" vertical="top"/>
    </xf>
    <xf numFmtId="0" fontId="41" fillId="0" borderId="33" xfId="0" applyFont="1" applyFill="1" applyBorder="1" applyAlignment="1">
      <alignment vertical="top"/>
    </xf>
    <xf numFmtId="0" fontId="41" fillId="0" borderId="33" xfId="6" applyFont="1" applyFill="1" applyBorder="1" applyAlignment="1">
      <alignment horizontal="left" vertical="top"/>
    </xf>
    <xf numFmtId="0" fontId="41" fillId="0" borderId="33" xfId="6" quotePrefix="1" applyNumberFormat="1" applyFont="1" applyFill="1" applyBorder="1" applyAlignment="1">
      <alignment horizontal="left" vertical="top"/>
    </xf>
    <xf numFmtId="0" fontId="41" fillId="0" borderId="33" xfId="0" quotePrefix="1" applyNumberFormat="1" applyFont="1" applyFill="1" applyBorder="1" applyAlignment="1">
      <alignment horizontal="left" vertical="top"/>
    </xf>
    <xf numFmtId="0" fontId="41" fillId="0" borderId="0" xfId="0" applyFont="1" applyBorder="1" applyAlignment="1">
      <alignment horizontal="left" vertical="top" wrapText="1"/>
    </xf>
    <xf numFmtId="0" fontId="37" fillId="0" borderId="0" xfId="1" applyFont="1" applyAlignment="1" applyProtection="1"/>
    <xf numFmtId="0" fontId="41" fillId="0" borderId="0" xfId="0" applyFont="1" applyAlignment="1">
      <alignment horizontal="left" vertical="top" indent="1"/>
    </xf>
    <xf numFmtId="0" fontId="132" fillId="0" borderId="0" xfId="0" applyFont="1" applyAlignment="1">
      <alignment horizontal="left" vertical="top" indent="1"/>
    </xf>
    <xf numFmtId="0" fontId="37" fillId="0" borderId="34" xfId="0" applyFont="1" applyBorder="1" applyAlignment="1">
      <alignment horizontal="left" vertical="top"/>
    </xf>
    <xf numFmtId="0" fontId="37" fillId="0" borderId="41" xfId="0" applyFont="1" applyBorder="1" applyAlignment="1">
      <alignment horizontal="left" vertical="top"/>
    </xf>
    <xf numFmtId="0" fontId="132" fillId="0" borderId="42" xfId="0" applyFont="1" applyBorder="1" applyAlignment="1">
      <alignment horizontal="left" vertical="top"/>
    </xf>
    <xf numFmtId="0" fontId="37" fillId="0" borderId="43" xfId="0" applyFont="1" applyBorder="1" applyAlignment="1">
      <alignment horizontal="left" vertical="top"/>
    </xf>
    <xf numFmtId="0" fontId="41" fillId="0" borderId="0" xfId="0" applyFont="1" applyBorder="1" applyAlignment="1">
      <alignment horizontal="left" vertical="top"/>
    </xf>
    <xf numFmtId="0" fontId="41" fillId="0" borderId="38" xfId="0" applyFont="1" applyBorder="1" applyAlignment="1">
      <alignment horizontal="left" vertical="top"/>
    </xf>
    <xf numFmtId="0" fontId="132" fillId="0" borderId="0" xfId="0" applyFont="1" applyBorder="1" applyAlignment="1">
      <alignment horizontal="left" vertical="top" indent="1"/>
    </xf>
    <xf numFmtId="0" fontId="45" fillId="0" borderId="33" xfId="0" applyFont="1" applyBorder="1" applyAlignment="1">
      <alignment horizontal="left" vertical="top"/>
    </xf>
    <xf numFmtId="0" fontId="47" fillId="0" borderId="0" xfId="0" applyFont="1" applyAlignment="1">
      <alignment horizontal="right" vertical="top"/>
    </xf>
    <xf numFmtId="0" fontId="157" fillId="0" borderId="0" xfId="1" applyFont="1" applyAlignment="1" applyProtection="1">
      <alignment horizontal="left" vertical="top"/>
    </xf>
    <xf numFmtId="0" fontId="37" fillId="0" borderId="0" xfId="0" applyFont="1" applyBorder="1" applyAlignment="1">
      <alignment horizontal="left" vertical="top" indent="1"/>
    </xf>
    <xf numFmtId="0" fontId="37" fillId="0" borderId="0" xfId="0" applyFont="1" applyBorder="1" applyAlignment="1">
      <alignment horizontal="left" vertical="top" indent="2"/>
    </xf>
    <xf numFmtId="0" fontId="38" fillId="0" borderId="0" xfId="0" applyFont="1" applyBorder="1" applyAlignment="1">
      <alignment horizontal="left" vertical="top" indent="1"/>
    </xf>
    <xf numFmtId="0" fontId="38" fillId="0" borderId="0" xfId="1" applyFont="1" applyAlignment="1" applyProtection="1">
      <alignment horizontal="left" vertical="top"/>
    </xf>
    <xf numFmtId="0" fontId="170" fillId="0" borderId="0" xfId="1" applyFont="1" applyAlignment="1" applyProtection="1"/>
    <xf numFmtId="0" fontId="170" fillId="0" borderId="0" xfId="1" applyFont="1" applyAlignment="1" applyProtection="1">
      <alignment horizontal="left" vertical="top"/>
    </xf>
    <xf numFmtId="0" fontId="38" fillId="3" borderId="0" xfId="0" applyFont="1" applyFill="1" applyAlignment="1">
      <alignment horizontal="left" vertical="top"/>
    </xf>
    <xf numFmtId="0" fontId="37" fillId="0" borderId="14" xfId="6" applyFont="1" applyFill="1" applyBorder="1" applyAlignment="1">
      <alignment horizontal="left" vertical="top"/>
    </xf>
    <xf numFmtId="0" fontId="77"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NumberFormat="1" applyFont="1" applyFill="1" applyBorder="1" applyAlignment="1">
      <alignment horizontal="left" vertical="top" wrapText="1"/>
    </xf>
    <xf numFmtId="0" fontId="111" fillId="0" borderId="0" xfId="6" applyFont="1" applyFill="1" applyBorder="1" applyAlignment="1">
      <alignment horizontal="center" vertical="top"/>
    </xf>
    <xf numFmtId="0" fontId="156" fillId="0" borderId="0" xfId="1" applyFont="1" applyBorder="1" applyAlignment="1" applyProtection="1">
      <alignment horizontal="left" vertical="top"/>
    </xf>
    <xf numFmtId="0" fontId="41" fillId="0" borderId="0" xfId="0" applyNumberFormat="1" applyFont="1" applyBorder="1" applyAlignment="1">
      <alignment horizontal="left" vertical="top" wrapText="1" indent="2"/>
    </xf>
    <xf numFmtId="0" fontId="155" fillId="0" borderId="0" xfId="1" applyFont="1" applyAlignment="1" applyProtection="1"/>
    <xf numFmtId="0" fontId="37" fillId="0" borderId="0" xfId="0" applyFont="1" applyFill="1" applyAlignment="1">
      <alignment vertical="top" wrapText="1"/>
    </xf>
    <xf numFmtId="0" fontId="37" fillId="0" borderId="0" xfId="0" applyFont="1" applyBorder="1" applyAlignment="1">
      <alignment horizontal="left" vertical="top" wrapText="1"/>
    </xf>
    <xf numFmtId="0" fontId="37" fillId="0" borderId="0" xfId="0" applyFont="1" applyAlignment="1">
      <alignment horizontal="left" vertical="top" wrapText="1"/>
    </xf>
    <xf numFmtId="0" fontId="37" fillId="0" borderId="0" xfId="0" applyFont="1" applyAlignment="1">
      <alignment horizontal="left" vertical="top"/>
    </xf>
    <xf numFmtId="0" fontId="37" fillId="0" borderId="35" xfId="0" applyFont="1" applyBorder="1" applyAlignment="1">
      <alignment horizontal="left" vertical="top"/>
    </xf>
    <xf numFmtId="0" fontId="110" fillId="0" borderId="0" xfId="0" applyFont="1" applyBorder="1" applyAlignment="1">
      <alignment horizontal="left" vertical="top"/>
    </xf>
    <xf numFmtId="0" fontId="37" fillId="0" borderId="0" xfId="0" applyFont="1" applyBorder="1" applyAlignment="1">
      <alignment horizontal="left" vertical="top"/>
    </xf>
    <xf numFmtId="0" fontId="132" fillId="0" borderId="0" xfId="0" applyFont="1" applyBorder="1" applyAlignment="1">
      <alignment horizontal="left" vertical="top" wrapText="1"/>
    </xf>
    <xf numFmtId="0" fontId="47" fillId="0" borderId="0" xfId="0" applyFont="1" applyAlignment="1">
      <alignment horizontal="left" vertical="top" wrapText="1"/>
    </xf>
    <xf numFmtId="0" fontId="132" fillId="0" borderId="0" xfId="1" quotePrefix="1" applyFont="1" applyAlignment="1" applyProtection="1">
      <alignment horizontal="left" vertical="top" wrapText="1" indent="1"/>
    </xf>
    <xf numFmtId="0" fontId="37" fillId="0" borderId="0" xfId="0" applyFont="1" applyAlignment="1">
      <alignment horizontal="left" vertical="top"/>
    </xf>
    <xf numFmtId="0" fontId="37" fillId="0" borderId="0" xfId="0" applyFont="1" applyAlignment="1">
      <alignment horizontal="left" vertical="top" wrapText="1" indent="1"/>
    </xf>
    <xf numFmtId="0" fontId="37" fillId="0" borderId="0" xfId="0" applyFont="1" applyAlignment="1">
      <alignment vertical="top" wrapText="1"/>
    </xf>
    <xf numFmtId="0" fontId="48" fillId="0" borderId="0" xfId="0" applyFont="1" applyAlignment="1">
      <alignment horizontal="left" vertical="top" wrapText="1" indent="1"/>
    </xf>
    <xf numFmtId="0" fontId="41" fillId="0" borderId="0" xfId="0" applyNumberFormat="1" applyFont="1" applyBorder="1" applyAlignment="1">
      <alignment horizontal="left" vertical="top" wrapText="1" indent="1"/>
    </xf>
    <xf numFmtId="0" fontId="79" fillId="0" borderId="0" xfId="0" applyFont="1" applyFill="1" applyAlignment="1">
      <alignment horizontal="left" vertical="top"/>
    </xf>
    <xf numFmtId="0" fontId="132" fillId="0" borderId="0" xfId="0" applyNumberFormat="1" applyFont="1" applyBorder="1" applyAlignment="1">
      <alignment horizontal="left" vertical="top" wrapText="1" indent="1"/>
    </xf>
    <xf numFmtId="0" fontId="41" fillId="0" borderId="0" xfId="0" applyNumberFormat="1" applyFont="1" applyBorder="1" applyAlignment="1">
      <alignment horizontal="left" vertical="top" indent="2"/>
    </xf>
    <xf numFmtId="0" fontId="37" fillId="0" borderId="0" xfId="0" quotePrefix="1" applyFont="1" applyBorder="1" applyAlignment="1">
      <alignment horizontal="left" vertical="top"/>
    </xf>
    <xf numFmtId="0" fontId="48" fillId="0" borderId="0" xfId="1" applyFont="1" applyAlignment="1" applyProtection="1"/>
    <xf numFmtId="0" fontId="158" fillId="0" borderId="0" xfId="0" applyFont="1" applyAlignment="1">
      <alignment horizontal="left" vertical="top"/>
    </xf>
    <xf numFmtId="0" fontId="38" fillId="0" borderId="0" xfId="0" applyFont="1" applyAlignment="1">
      <alignment horizontal="left" vertical="top" wrapText="1"/>
    </xf>
    <xf numFmtId="0" fontId="132" fillId="0" borderId="36" xfId="0" applyFont="1" applyBorder="1" applyAlignment="1">
      <alignment horizontal="left" vertical="top"/>
    </xf>
    <xf numFmtId="0" fontId="132" fillId="0" borderId="36" xfId="1" applyFont="1" applyBorder="1" applyAlignment="1" applyProtection="1">
      <alignment horizontal="left"/>
    </xf>
    <xf numFmtId="0" fontId="132" fillId="0" borderId="0" xfId="1" applyFont="1" applyBorder="1" applyAlignment="1" applyProtection="1">
      <alignment horizontal="left" vertical="top"/>
    </xf>
    <xf numFmtId="0" fontId="132" fillId="0" borderId="37" xfId="0" applyFont="1" applyBorder="1" applyAlignment="1">
      <alignment horizontal="left" vertical="top"/>
    </xf>
    <xf numFmtId="0" fontId="132" fillId="0" borderId="38" xfId="1" applyFont="1" applyBorder="1" applyAlignment="1" applyProtection="1">
      <alignment horizontal="left" vertical="top"/>
    </xf>
    <xf numFmtId="0" fontId="132" fillId="0" borderId="0" xfId="1" applyFont="1" applyAlignment="1" applyProtection="1">
      <alignment horizontal="left" vertical="top"/>
    </xf>
    <xf numFmtId="0" fontId="132" fillId="0" borderId="37" xfId="1" applyFont="1" applyBorder="1" applyAlignment="1" applyProtection="1">
      <alignment horizontal="left"/>
    </xf>
    <xf numFmtId="0" fontId="37" fillId="0" borderId="42" xfId="0" applyFont="1" applyBorder="1" applyAlignment="1">
      <alignment horizontal="left" vertical="top"/>
    </xf>
    <xf numFmtId="0" fontId="132" fillId="0" borderId="0" xfId="0" applyFont="1" applyAlignment="1">
      <alignment vertical="top"/>
    </xf>
    <xf numFmtId="0" fontId="72" fillId="0" borderId="0" xfId="0" applyFont="1" applyBorder="1" applyAlignment="1">
      <alignment horizontal="left" vertical="top" indent="1"/>
    </xf>
    <xf numFmtId="0" fontId="41" fillId="0" borderId="0" xfId="0" quotePrefix="1" applyFont="1" applyAlignment="1">
      <alignment horizontal="left" vertical="top" wrapText="1"/>
    </xf>
    <xf numFmtId="0" fontId="47" fillId="0" borderId="0" xfId="0" quotePrefix="1" applyFont="1" applyAlignment="1">
      <alignment horizontal="left" vertical="top" indent="1"/>
    </xf>
    <xf numFmtId="0" fontId="132" fillId="0" borderId="0" xfId="0" quotePrefix="1" applyFont="1" applyAlignment="1">
      <alignment horizontal="left" vertical="top" indent="1"/>
    </xf>
    <xf numFmtId="0" fontId="45" fillId="0" borderId="0" xfId="0" quotePrefix="1" applyFont="1" applyAlignment="1">
      <alignment horizontal="left" vertical="top"/>
    </xf>
    <xf numFmtId="0" fontId="37" fillId="0" borderId="33" xfId="6" quotePrefix="1" applyNumberFormat="1" applyFont="1" applyFill="1" applyBorder="1" applyAlignment="1">
      <alignment horizontal="left" vertical="top"/>
    </xf>
    <xf numFmtId="0" fontId="37" fillId="0" borderId="33" xfId="0" quotePrefix="1" applyNumberFormat="1" applyFont="1" applyFill="1" applyBorder="1" applyAlignment="1">
      <alignment horizontal="left" vertical="top"/>
    </xf>
    <xf numFmtId="0" fontId="37" fillId="0" borderId="33" xfId="6" applyNumberFormat="1" applyFont="1" applyFill="1" applyBorder="1" applyAlignment="1">
      <alignment horizontal="left" vertical="top"/>
    </xf>
    <xf numFmtId="0" fontId="41" fillId="0" borderId="0" xfId="0" applyFont="1" applyFill="1" applyBorder="1" applyAlignment="1">
      <alignment vertical="top"/>
    </xf>
    <xf numFmtId="0" fontId="41" fillId="0" borderId="0" xfId="0" quotePrefix="1" applyFont="1" applyFill="1" applyBorder="1" applyAlignment="1">
      <alignment vertical="top"/>
    </xf>
    <xf numFmtId="0" fontId="37" fillId="0" borderId="38" xfId="0" applyFont="1" applyFill="1" applyBorder="1" applyAlignment="1">
      <alignment horizontal="left" vertical="top"/>
    </xf>
    <xf numFmtId="0" fontId="37" fillId="0" borderId="35" xfId="0" applyFont="1" applyFill="1" applyBorder="1" applyAlignment="1">
      <alignment horizontal="left" vertical="top"/>
    </xf>
    <xf numFmtId="0" fontId="41" fillId="0" borderId="35" xfId="0" applyFont="1" applyFill="1" applyBorder="1" applyAlignment="1">
      <alignment vertical="top"/>
    </xf>
    <xf numFmtId="0" fontId="37" fillId="0" borderId="35" xfId="0" applyNumberFormat="1" applyFont="1" applyFill="1" applyBorder="1" applyAlignment="1">
      <alignment horizontal="left" vertical="top"/>
    </xf>
    <xf numFmtId="0" fontId="37" fillId="0" borderId="38" xfId="6" applyFont="1" applyFill="1" applyBorder="1" applyAlignment="1">
      <alignment horizontal="left" vertical="top"/>
    </xf>
    <xf numFmtId="0" fontId="41" fillId="0" borderId="38" xfId="0" applyFont="1" applyFill="1" applyBorder="1" applyAlignment="1">
      <alignment horizontal="left" vertical="top"/>
    </xf>
    <xf numFmtId="0" fontId="132" fillId="0" borderId="0" xfId="0" quotePrefix="1" applyFont="1" applyAlignment="1">
      <alignment vertical="top"/>
    </xf>
    <xf numFmtId="0" fontId="72" fillId="0" borderId="0" xfId="0" applyFont="1" applyAlignment="1">
      <alignment horizontal="center" vertical="top"/>
    </xf>
    <xf numFmtId="9" fontId="154" fillId="0" borderId="0" xfId="0" applyNumberFormat="1" applyFont="1" applyBorder="1" applyAlignment="1">
      <alignment horizontal="left" vertical="top"/>
    </xf>
    <xf numFmtId="0" fontId="48" fillId="0" borderId="0" xfId="0" applyFont="1" applyFill="1" applyBorder="1"/>
    <xf numFmtId="9" fontId="123" fillId="0" borderId="0" xfId="0" applyNumberFormat="1" applyFont="1" applyFill="1" applyBorder="1" applyAlignment="1">
      <alignment horizontal="left"/>
    </xf>
    <xf numFmtId="0" fontId="38" fillId="7" borderId="0" xfId="0" applyFont="1" applyFill="1" applyBorder="1" applyAlignment="1">
      <alignment horizontal="left" vertical="top"/>
    </xf>
    <xf numFmtId="0" fontId="38" fillId="14" borderId="6" xfId="0" applyNumberFormat="1" applyFont="1" applyFill="1" applyBorder="1" applyAlignment="1">
      <alignment horizontal="left" vertical="top"/>
    </xf>
    <xf numFmtId="0" fontId="110" fillId="14" borderId="0" xfId="6" applyFont="1" applyFill="1" applyAlignment="1">
      <alignment horizontal="left" vertical="top"/>
    </xf>
    <xf numFmtId="0" fontId="35" fillId="0" borderId="0" xfId="6" applyFont="1" applyFill="1" applyAlignment="1">
      <alignment horizontal="left" vertical="top" indent="2"/>
    </xf>
    <xf numFmtId="0" fontId="35" fillId="0" borderId="0" xfId="6" applyFont="1" applyFill="1" applyAlignment="1">
      <alignment vertical="top" wrapText="1"/>
    </xf>
    <xf numFmtId="0" fontId="35" fillId="0" borderId="0" xfId="6" applyFont="1" applyFill="1" applyAlignment="1">
      <alignment horizontal="left" vertical="top"/>
    </xf>
    <xf numFmtId="0" fontId="110" fillId="14" borderId="0" xfId="6" applyFont="1" applyFill="1" applyBorder="1" applyAlignment="1">
      <alignment horizontal="left" vertical="top"/>
    </xf>
    <xf numFmtId="0" fontId="37" fillId="14" borderId="0" xfId="0" applyFont="1" applyFill="1" applyAlignment="1">
      <alignment horizontal="left" vertical="top"/>
    </xf>
    <xf numFmtId="0" fontId="37" fillId="14" borderId="15" xfId="0" applyFont="1" applyFill="1" applyBorder="1" applyAlignment="1">
      <alignment horizontal="left" vertical="top"/>
    </xf>
    <xf numFmtId="0" fontId="167" fillId="14" borderId="0" xfId="0" quotePrefix="1" applyFont="1" applyFill="1" applyBorder="1" applyAlignment="1">
      <alignment horizontal="left" vertical="top" wrapText="1" indent="1"/>
    </xf>
    <xf numFmtId="0" fontId="111" fillId="0" borderId="0" xfId="6" applyFont="1" applyFill="1" applyBorder="1" applyAlignment="1">
      <alignment horizontal="left" vertical="top"/>
    </xf>
    <xf numFmtId="0" fontId="38" fillId="0" borderId="0" xfId="0" applyFont="1" applyAlignment="1">
      <alignment horizontal="left" vertical="top" wrapText="1" indent="1"/>
    </xf>
    <xf numFmtId="0" fontId="41" fillId="0" borderId="0" xfId="0" quotePrefix="1" applyFont="1" applyAlignment="1">
      <alignment vertical="top"/>
    </xf>
    <xf numFmtId="0" fontId="132" fillId="0" borderId="0" xfId="0" applyNumberFormat="1" applyFont="1" applyAlignment="1">
      <alignment vertical="top"/>
    </xf>
    <xf numFmtId="0" fontId="41" fillId="0" borderId="0" xfId="1" quotePrefix="1" applyFont="1" applyAlignment="1" applyProtection="1">
      <alignment horizontal="left" vertical="top"/>
    </xf>
    <xf numFmtId="0" fontId="41" fillId="0" borderId="0" xfId="1" applyFont="1" applyAlignment="1" applyProtection="1">
      <alignment horizontal="left" vertical="top" indent="1"/>
    </xf>
    <xf numFmtId="0" fontId="37" fillId="0" borderId="0" xfId="0" applyFont="1" applyAlignment="1">
      <alignment horizontal="left" vertical="top" wrapText="1"/>
    </xf>
    <xf numFmtId="0" fontId="37" fillId="0" borderId="33" xfId="0" applyFont="1" applyBorder="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0" fontId="47" fillId="0" borderId="0" xfId="0" applyFont="1" applyBorder="1" applyAlignment="1">
      <alignment horizontal="left" vertical="top" wrapText="1"/>
    </xf>
    <xf numFmtId="0" fontId="110" fillId="14" borderId="0" xfId="15" applyNumberFormat="1" applyFont="1" applyFill="1" applyAlignment="1">
      <alignment vertical="top"/>
    </xf>
    <xf numFmtId="0" fontId="110" fillId="14" borderId="0" xfId="16" applyNumberFormat="1" applyFont="1" applyFill="1" applyAlignment="1" applyProtection="1">
      <alignment vertical="top"/>
    </xf>
    <xf numFmtId="0" fontId="38" fillId="0" borderId="0" xfId="6" applyFont="1" applyFill="1" applyBorder="1" applyAlignment="1">
      <alignment horizontal="left" vertical="top"/>
    </xf>
    <xf numFmtId="0" fontId="37" fillId="0" borderId="12" xfId="6" applyFont="1" applyFill="1" applyBorder="1" applyAlignment="1">
      <alignment horizontal="left" vertical="top"/>
    </xf>
    <xf numFmtId="0" fontId="147" fillId="7" borderId="0" xfId="6" applyFont="1" applyFill="1" applyBorder="1" applyAlignment="1">
      <alignment horizontal="left" vertical="top"/>
    </xf>
    <xf numFmtId="0" fontId="35" fillId="7" borderId="0" xfId="6" applyFont="1" applyFill="1" applyAlignment="1">
      <alignment vertical="top"/>
    </xf>
    <xf numFmtId="0" fontId="110" fillId="14" borderId="0" xfId="6" applyFont="1" applyFill="1" applyBorder="1" applyAlignment="1">
      <alignment vertical="top"/>
    </xf>
    <xf numFmtId="0" fontId="110" fillId="11" borderId="0" xfId="0" applyNumberFormat="1" applyFont="1" applyFill="1" applyAlignment="1">
      <alignment vertical="top"/>
    </xf>
    <xf numFmtId="0" fontId="110" fillId="26" borderId="0" xfId="0" applyNumberFormat="1" applyFont="1" applyFill="1" applyAlignment="1">
      <alignment vertical="top"/>
    </xf>
    <xf numFmtId="0" fontId="111" fillId="14" borderId="0" xfId="0" applyNumberFormat="1" applyFont="1" applyFill="1" applyBorder="1" applyAlignment="1">
      <alignment horizontal="left"/>
    </xf>
    <xf numFmtId="0" fontId="111" fillId="14" borderId="0" xfId="0" applyNumberFormat="1" applyFont="1" applyFill="1" applyAlignment="1">
      <alignment horizontal="left"/>
    </xf>
    <xf numFmtId="0" fontId="110" fillId="0" borderId="0" xfId="0" applyNumberFormat="1" applyFont="1" applyFill="1" applyAlignment="1">
      <alignment vertical="top"/>
    </xf>
    <xf numFmtId="0" fontId="110" fillId="14" borderId="0" xfId="0" applyNumberFormat="1" applyFont="1" applyFill="1" applyAlignment="1">
      <alignment vertical="top"/>
    </xf>
    <xf numFmtId="0" fontId="24" fillId="0" borderId="11" xfId="6" applyNumberFormat="1" applyFont="1" applyBorder="1" applyAlignment="1">
      <alignment horizontal="left" vertical="top"/>
    </xf>
    <xf numFmtId="0" fontId="35" fillId="0" borderId="0" xfId="6" applyNumberFormat="1" applyFont="1" applyAlignment="1">
      <alignment horizontal="left" vertical="top"/>
    </xf>
    <xf numFmtId="0" fontId="35" fillId="0" borderId="0" xfId="6" applyNumberFormat="1" applyFont="1" applyFill="1" applyBorder="1" applyAlignment="1">
      <alignment horizontal="left" vertical="top"/>
    </xf>
    <xf numFmtId="0" fontId="35" fillId="0" borderId="0" xfId="6" applyNumberFormat="1" applyFont="1" applyAlignment="1">
      <alignment horizontal="left" vertical="top" wrapText="1"/>
    </xf>
    <xf numFmtId="0" fontId="35" fillId="0" borderId="0" xfId="6" applyNumberFormat="1" applyFont="1" applyAlignment="1">
      <alignment horizontal="center" vertical="top"/>
    </xf>
    <xf numFmtId="0" fontId="38" fillId="0" borderId="0" xfId="6" applyNumberFormat="1" applyFont="1" applyAlignment="1">
      <alignment horizontal="center" vertical="top"/>
    </xf>
    <xf numFmtId="0" fontId="37" fillId="0" borderId="0" xfId="6" applyNumberFormat="1" applyFont="1" applyAlignment="1">
      <alignment horizontal="left" vertical="top"/>
    </xf>
    <xf numFmtId="0" fontId="111" fillId="14" borderId="0" xfId="6" applyNumberFormat="1" applyFont="1" applyFill="1" applyBorder="1" applyAlignment="1">
      <alignment horizontal="left" vertical="top"/>
    </xf>
    <xf numFmtId="0" fontId="111" fillId="0" borderId="0" xfId="6" applyNumberFormat="1" applyFont="1" applyFill="1" applyBorder="1" applyAlignment="1">
      <alignment horizontal="center" vertical="top"/>
    </xf>
    <xf numFmtId="0" fontId="110" fillId="14" borderId="0" xfId="6" applyNumberFormat="1" applyFont="1" applyFill="1" applyAlignment="1">
      <alignment vertical="top"/>
    </xf>
    <xf numFmtId="0" fontId="35" fillId="0" borderId="0" xfId="6" applyNumberFormat="1" applyFont="1" applyBorder="1" applyAlignment="1">
      <alignment horizontal="left" vertical="top"/>
    </xf>
    <xf numFmtId="0" fontId="17" fillId="0" borderId="0" xfId="6" quotePrefix="1" applyNumberFormat="1" applyFont="1" applyAlignment="1">
      <alignment horizontal="left" vertical="top"/>
    </xf>
    <xf numFmtId="0" fontId="37" fillId="0" borderId="0" xfId="6" applyNumberFormat="1" applyFont="1" applyAlignment="1">
      <alignment horizontal="center" vertical="top"/>
    </xf>
    <xf numFmtId="0" fontId="37" fillId="0" borderId="0" xfId="6" applyNumberFormat="1" applyFont="1" applyBorder="1" applyAlignment="1">
      <alignment horizontal="left" vertical="top"/>
    </xf>
    <xf numFmtId="0" fontId="37" fillId="0" borderId="0" xfId="6" applyNumberFormat="1" applyFont="1" applyFill="1" applyAlignment="1">
      <alignment horizontal="center" vertical="top"/>
    </xf>
    <xf numFmtId="0" fontId="35" fillId="0" borderId="0" xfId="6" applyNumberFormat="1" applyFont="1" applyFill="1" applyAlignment="1">
      <alignment horizontal="left" vertical="top"/>
    </xf>
    <xf numFmtId="0" fontId="17" fillId="0" borderId="0" xfId="6" applyNumberFormat="1" applyFont="1" applyAlignment="1">
      <alignment horizontal="left" vertical="top"/>
    </xf>
    <xf numFmtId="0" fontId="17" fillId="14" borderId="0" xfId="6" applyFont="1" applyFill="1" applyAlignment="1">
      <alignment vertical="top"/>
    </xf>
    <xf numFmtId="0" fontId="77" fillId="0" borderId="0" xfId="0" applyNumberFormat="1" applyFont="1" applyFill="1" applyBorder="1" applyAlignment="1">
      <alignment horizontal="left" vertical="top"/>
    </xf>
    <xf numFmtId="0" fontId="37" fillId="0" borderId="0" xfId="6" applyNumberFormat="1" applyFont="1" applyFill="1" applyBorder="1" applyAlignment="1">
      <alignment horizontal="left" vertical="top"/>
    </xf>
    <xf numFmtId="0" fontId="37" fillId="0" borderId="0" xfId="0" applyNumberFormat="1" applyFont="1" applyFill="1" applyBorder="1" applyAlignment="1">
      <alignment horizontal="left" vertical="top"/>
    </xf>
    <xf numFmtId="0" fontId="38" fillId="0" borderId="15" xfId="0" applyNumberFormat="1" applyFont="1" applyFill="1" applyBorder="1" applyAlignment="1">
      <alignment horizontal="left" vertical="top"/>
    </xf>
    <xf numFmtId="0" fontId="38" fillId="0" borderId="0" xfId="6" applyNumberFormat="1" applyFont="1" applyFill="1" applyBorder="1" applyAlignment="1">
      <alignment horizontal="center" vertical="top"/>
    </xf>
    <xf numFmtId="0" fontId="38" fillId="0" borderId="0" xfId="6" applyNumberFormat="1" applyFont="1" applyFill="1" applyBorder="1" applyAlignment="1">
      <alignment horizontal="left" vertical="top"/>
    </xf>
    <xf numFmtId="0" fontId="38" fillId="0" borderId="15" xfId="6" applyNumberFormat="1" applyFont="1" applyFill="1" applyBorder="1" applyAlignment="1">
      <alignment horizontal="left" vertical="top"/>
    </xf>
    <xf numFmtId="0" fontId="41" fillId="0" borderId="0" xfId="6" applyNumberFormat="1" applyFont="1" applyFill="1" applyBorder="1" applyAlignment="1">
      <alignment horizontal="left" vertical="top"/>
    </xf>
    <xf numFmtId="0" fontId="50" fillId="0" borderId="0" xfId="6" applyNumberFormat="1" applyFont="1" applyFill="1" applyBorder="1" applyAlignment="1">
      <alignment horizontal="left" vertical="top"/>
    </xf>
    <xf numFmtId="0" fontId="37" fillId="0" borderId="15" xfId="6" applyNumberFormat="1" applyFont="1" applyFill="1" applyBorder="1" applyAlignment="1">
      <alignment horizontal="left" vertical="top"/>
    </xf>
    <xf numFmtId="0" fontId="41" fillId="0" borderId="15" xfId="6" applyNumberFormat="1" applyFont="1" applyFill="1" applyBorder="1" applyAlignment="1">
      <alignment horizontal="left" vertical="top"/>
    </xf>
    <xf numFmtId="0" fontId="48" fillId="0" borderId="0" xfId="6" applyNumberFormat="1" applyFont="1" applyFill="1" applyBorder="1" applyAlignment="1">
      <alignment horizontal="left" vertical="top"/>
    </xf>
    <xf numFmtId="0" fontId="49" fillId="0" borderId="0" xfId="6" applyNumberFormat="1" applyFont="1" applyFill="1" applyBorder="1" applyAlignment="1">
      <alignment horizontal="left" vertical="top"/>
    </xf>
    <xf numFmtId="0" fontId="138" fillId="0" borderId="0" xfId="6" applyNumberFormat="1" applyFont="1" applyFill="1" applyBorder="1" applyAlignment="1">
      <alignment horizontal="right" vertical="top"/>
    </xf>
    <xf numFmtId="0" fontId="0" fillId="0" borderId="0" xfId="0" applyNumberFormat="1" applyFill="1" applyBorder="1"/>
    <xf numFmtId="0" fontId="38" fillId="0" borderId="15" xfId="6" applyNumberFormat="1" applyFont="1" applyFill="1" applyBorder="1" applyAlignment="1">
      <alignment horizontal="left" vertical="top" wrapText="1"/>
    </xf>
    <xf numFmtId="0" fontId="35" fillId="0" borderId="15" xfId="6" applyNumberFormat="1" applyFont="1" applyFill="1" applyBorder="1" applyAlignment="1">
      <alignment horizontal="left" vertical="top"/>
    </xf>
    <xf numFmtId="0" fontId="48" fillId="0" borderId="0" xfId="0" applyNumberFormat="1" applyFont="1" applyFill="1" applyBorder="1"/>
    <xf numFmtId="0" fontId="123" fillId="0" borderId="15" xfId="6" applyNumberFormat="1" applyFont="1" applyFill="1" applyBorder="1" applyAlignment="1">
      <alignment horizontal="left" vertical="top" wrapText="1"/>
    </xf>
    <xf numFmtId="0" fontId="131" fillId="0" borderId="0" xfId="6" applyNumberFormat="1" applyFont="1" applyFill="1" applyBorder="1" applyAlignment="1">
      <alignment horizontal="left" vertical="top"/>
    </xf>
    <xf numFmtId="0" fontId="77" fillId="0" borderId="0" xfId="6" applyNumberFormat="1" applyFont="1" applyFill="1" applyBorder="1" applyAlignment="1">
      <alignment horizontal="left" vertical="top"/>
    </xf>
    <xf numFmtId="0" fontId="78" fillId="0" borderId="15" xfId="6" applyNumberFormat="1" applyFont="1" applyFill="1" applyBorder="1" applyAlignment="1">
      <alignment horizontal="left" vertical="top"/>
    </xf>
    <xf numFmtId="0" fontId="110" fillId="14" borderId="0" xfId="0" applyFont="1" applyFill="1" applyBorder="1" applyAlignment="1">
      <alignment vertical="top"/>
    </xf>
    <xf numFmtId="0" fontId="37" fillId="14" borderId="0" xfId="0" applyFont="1" applyFill="1" applyAlignment="1">
      <alignment vertical="top"/>
    </xf>
    <xf numFmtId="0" fontId="173" fillId="14" borderId="0" xfId="0" applyFont="1" applyFill="1" applyAlignment="1">
      <alignment horizontal="left" vertical="top"/>
    </xf>
    <xf numFmtId="0" fontId="167" fillId="14" borderId="0" xfId="0" quotePrefix="1" applyFont="1" applyFill="1" applyBorder="1" applyAlignment="1">
      <alignment vertical="top" wrapText="1"/>
    </xf>
    <xf numFmtId="0" fontId="110" fillId="14" borderId="0" xfId="0" quotePrefix="1" applyFont="1" applyFill="1" applyBorder="1" applyAlignment="1">
      <alignment vertical="top" wrapText="1"/>
    </xf>
    <xf numFmtId="0" fontId="37" fillId="7" borderId="0" xfId="0" applyFont="1" applyFill="1" applyBorder="1" applyAlignment="1">
      <alignment horizontal="left" vertical="top"/>
    </xf>
    <xf numFmtId="0" fontId="37" fillId="0" borderId="0" xfId="0" applyFont="1" applyAlignment="1">
      <alignment horizontal="left" vertical="top"/>
    </xf>
    <xf numFmtId="0" fontId="37" fillId="0" borderId="15" xfId="0" applyFont="1" applyBorder="1" applyAlignment="1">
      <alignment horizontal="left" vertical="top"/>
    </xf>
    <xf numFmtId="0" fontId="37" fillId="0" borderId="0" xfId="0" applyFont="1" applyBorder="1" applyAlignment="1">
      <alignment horizontal="left" vertical="top"/>
    </xf>
    <xf numFmtId="0" fontId="47" fillId="0" borderId="0" xfId="0" applyFont="1" applyAlignment="1">
      <alignment vertical="top" wrapText="1"/>
    </xf>
    <xf numFmtId="0" fontId="160" fillId="0" borderId="38" xfId="0" applyFont="1" applyBorder="1" applyAlignment="1">
      <alignment horizontal="left" vertical="top"/>
    </xf>
    <xf numFmtId="164" fontId="37" fillId="0" borderId="77" xfId="0" applyNumberFormat="1" applyFont="1" applyBorder="1" applyAlignment="1">
      <alignment horizontal="left" vertical="top"/>
    </xf>
    <xf numFmtId="0" fontId="37" fillId="0" borderId="0" xfId="0" applyNumberFormat="1" applyFont="1" applyBorder="1" applyAlignment="1">
      <alignment vertical="top"/>
    </xf>
    <xf numFmtId="0" fontId="37" fillId="0" borderId="0" xfId="0" quotePrefix="1" applyNumberFormat="1" applyFont="1" applyBorder="1" applyAlignment="1">
      <alignment horizontal="left" vertical="top" indent="1"/>
    </xf>
    <xf numFmtId="0" fontId="37" fillId="0" borderId="75" xfId="0" applyFont="1" applyBorder="1" applyAlignment="1">
      <alignment horizontal="left" vertical="top"/>
    </xf>
    <xf numFmtId="164" fontId="37" fillId="0" borderId="75" xfId="0" applyNumberFormat="1" applyFont="1" applyBorder="1" applyAlignment="1">
      <alignment horizontal="left" vertical="top"/>
    </xf>
    <xf numFmtId="0" fontId="132" fillId="0" borderId="0" xfId="0" applyNumberFormat="1" applyFont="1" applyBorder="1" applyAlignment="1">
      <alignment horizontal="left" vertical="top" indent="1"/>
    </xf>
    <xf numFmtId="0" fontId="72" fillId="0" borderId="15" xfId="0" applyFont="1" applyBorder="1" applyAlignment="1">
      <alignment horizontal="center" vertical="top"/>
    </xf>
    <xf numFmtId="0" fontId="162" fillId="0" borderId="38" xfId="0" applyFont="1" applyFill="1" applyBorder="1" applyAlignment="1">
      <alignment horizontal="left" vertical="top"/>
    </xf>
    <xf numFmtId="0" fontId="156" fillId="0" borderId="38" xfId="0" applyFont="1" applyFill="1" applyBorder="1" applyAlignment="1">
      <alignment horizontal="left" vertical="top"/>
    </xf>
    <xf numFmtId="0" fontId="132" fillId="0" borderId="38" xfId="0" applyFont="1" applyFill="1" applyBorder="1" applyAlignment="1">
      <alignment horizontal="left" vertical="top"/>
    </xf>
    <xf numFmtId="0" fontId="38" fillId="0" borderId="75" xfId="0" applyFont="1" applyBorder="1" applyAlignment="1">
      <alignment horizontal="left" vertical="top"/>
    </xf>
    <xf numFmtId="0" fontId="132" fillId="0" borderId="0" xfId="0" applyFont="1" applyBorder="1" applyAlignment="1">
      <alignment vertical="top"/>
    </xf>
    <xf numFmtId="0" fontId="72" fillId="0" borderId="0" xfId="0" applyFont="1" applyBorder="1" applyAlignment="1">
      <alignment horizontal="left" vertical="top" wrapText="1" indent="1"/>
    </xf>
    <xf numFmtId="0" fontId="37" fillId="0" borderId="33" xfId="0" quotePrefix="1" applyFont="1" applyBorder="1" applyAlignment="1">
      <alignment horizontal="left" vertical="top" indent="1"/>
    </xf>
    <xf numFmtId="0" fontId="37" fillId="0" borderId="33" xfId="0" quotePrefix="1" applyFont="1" applyBorder="1" applyAlignment="1">
      <alignment vertical="top"/>
    </xf>
    <xf numFmtId="0" fontId="72" fillId="0" borderId="33" xfId="0" applyFont="1" applyBorder="1" applyAlignment="1">
      <alignment horizontal="left" vertical="top" wrapText="1" indent="1"/>
    </xf>
    <xf numFmtId="0" fontId="37" fillId="0" borderId="33" xfId="0" quotePrefix="1" applyFont="1" applyBorder="1" applyAlignment="1">
      <alignment horizontal="left" vertical="top" wrapText="1" indent="1"/>
    </xf>
    <xf numFmtId="0" fontId="37" fillId="0" borderId="33" xfId="0" quotePrefix="1" applyFont="1" applyBorder="1" applyAlignment="1">
      <alignment horizontal="left" vertical="top" wrapText="1"/>
    </xf>
    <xf numFmtId="0" fontId="37" fillId="0" borderId="38" xfId="0" applyFont="1" applyBorder="1" applyAlignment="1">
      <alignment horizontal="left" vertical="top" indent="1"/>
    </xf>
    <xf numFmtId="0" fontId="37" fillId="0" borderId="38" xfId="0" applyFont="1" applyFill="1" applyBorder="1" applyAlignment="1">
      <alignment vertical="top"/>
    </xf>
    <xf numFmtId="0" fontId="37" fillId="0" borderId="33" xfId="0" applyFont="1" applyBorder="1" applyAlignment="1">
      <alignment horizontal="left" vertical="top" wrapText="1"/>
    </xf>
    <xf numFmtId="0" fontId="37" fillId="0" borderId="33" xfId="0" applyFont="1" applyBorder="1" applyAlignment="1">
      <alignment vertical="top"/>
    </xf>
    <xf numFmtId="0" fontId="37" fillId="0" borderId="35" xfId="0" applyFont="1" applyBorder="1" applyAlignment="1">
      <alignment vertical="top" wrapText="1"/>
    </xf>
    <xf numFmtId="0" fontId="72" fillId="0" borderId="35" xfId="0" applyFont="1" applyBorder="1" applyAlignment="1">
      <alignment horizontal="left" vertical="top" wrapText="1" indent="1"/>
    </xf>
    <xf numFmtId="0" fontId="37" fillId="0" borderId="35" xfId="0" applyFont="1" applyBorder="1" applyAlignment="1">
      <alignment vertical="top"/>
    </xf>
    <xf numFmtId="0" fontId="37" fillId="0" borderId="38" xfId="0" applyFont="1" applyBorder="1" applyAlignment="1">
      <alignment vertical="top" wrapText="1"/>
    </xf>
    <xf numFmtId="0" fontId="72" fillId="0" borderId="38" xfId="0" applyFont="1" applyBorder="1" applyAlignment="1">
      <alignment horizontal="left" vertical="top" wrapText="1" indent="1"/>
    </xf>
    <xf numFmtId="0" fontId="37" fillId="0" borderId="38" xfId="0" applyFont="1" applyBorder="1" applyAlignment="1">
      <alignment vertical="top"/>
    </xf>
    <xf numFmtId="0" fontId="37" fillId="0" borderId="35" xfId="0" quotePrefix="1" applyFont="1" applyBorder="1" applyAlignment="1">
      <alignment vertical="top"/>
    </xf>
    <xf numFmtId="0" fontId="72" fillId="0" borderId="35" xfId="0" applyFont="1" applyBorder="1" applyAlignment="1">
      <alignment horizontal="left" vertical="top"/>
    </xf>
    <xf numFmtId="0" fontId="37" fillId="0" borderId="38" xfId="0" quotePrefix="1" applyFont="1" applyBorder="1" applyAlignment="1">
      <alignment vertical="top"/>
    </xf>
    <xf numFmtId="0" fontId="72" fillId="0" borderId="35" xfId="0" applyFont="1" applyBorder="1" applyAlignment="1">
      <alignment vertical="top"/>
    </xf>
    <xf numFmtId="0" fontId="38" fillId="0" borderId="35" xfId="0" applyFont="1" applyBorder="1" applyAlignment="1">
      <alignment vertical="top"/>
    </xf>
    <xf numFmtId="0" fontId="38" fillId="0" borderId="38" xfId="0" applyFont="1" applyBorder="1" applyAlignment="1">
      <alignment vertical="top"/>
    </xf>
    <xf numFmtId="0" fontId="167" fillId="14" borderId="0" xfId="0" quotePrefix="1" applyFont="1" applyFill="1" applyBorder="1" applyAlignment="1">
      <alignment vertical="top"/>
    </xf>
    <xf numFmtId="0" fontId="110" fillId="14" borderId="0" xfId="0" quotePrefix="1" applyFont="1" applyFill="1" applyBorder="1" applyAlignment="1">
      <alignment vertical="top"/>
    </xf>
    <xf numFmtId="0" fontId="47" fillId="0" borderId="0" xfId="6" applyFont="1" applyBorder="1" applyAlignment="1">
      <alignment horizontal="left" vertical="top"/>
    </xf>
    <xf numFmtId="0" fontId="47" fillId="14" borderId="0" xfId="6" applyFont="1" applyFill="1" applyBorder="1" applyAlignment="1">
      <alignment horizontal="left" vertical="top"/>
    </xf>
    <xf numFmtId="0" fontId="37" fillId="27" borderId="3" xfId="0" applyFont="1" applyFill="1" applyBorder="1" applyAlignment="1">
      <alignment horizontal="left" vertical="top"/>
    </xf>
    <xf numFmtId="0" fontId="37" fillId="29" borderId="3" xfId="0" applyFont="1" applyFill="1" applyBorder="1" applyAlignment="1">
      <alignment horizontal="left" vertical="top"/>
    </xf>
    <xf numFmtId="0" fontId="37" fillId="14" borderId="12" xfId="0" applyNumberFormat="1" applyFont="1" applyFill="1" applyBorder="1" applyAlignment="1">
      <alignment horizontal="left" vertical="top"/>
    </xf>
    <xf numFmtId="0" fontId="37" fillId="14" borderId="5" xfId="6" applyFont="1" applyFill="1" applyBorder="1" applyAlignment="1">
      <alignment horizontal="left" vertical="top"/>
    </xf>
    <xf numFmtId="0" fontId="37" fillId="8" borderId="2" xfId="0" applyFont="1" applyFill="1" applyBorder="1" applyAlignment="1">
      <alignment horizontal="left" vertical="top"/>
    </xf>
    <xf numFmtId="164" fontId="37" fillId="14" borderId="92" xfId="3" applyNumberFormat="1" applyFont="1" applyFill="1" applyBorder="1" applyAlignment="1">
      <alignment horizontal="center" vertical="top"/>
    </xf>
    <xf numFmtId="164" fontId="37" fillId="0" borderId="93" xfId="3" applyNumberFormat="1" applyFont="1" applyBorder="1" applyAlignment="1">
      <alignment horizontal="center" vertical="top"/>
    </xf>
    <xf numFmtId="164" fontId="37" fillId="0" borderId="94" xfId="3" applyNumberFormat="1" applyFont="1" applyBorder="1" applyAlignment="1">
      <alignment horizontal="center" vertical="top"/>
    </xf>
    <xf numFmtId="0" fontId="72" fillId="14" borderId="92" xfId="0" applyFont="1" applyFill="1" applyBorder="1" applyAlignment="1">
      <alignment vertical="top"/>
    </xf>
    <xf numFmtId="0" fontId="72" fillId="0" borderId="93" xfId="0" applyFont="1" applyBorder="1" applyAlignment="1">
      <alignment vertical="top"/>
    </xf>
    <xf numFmtId="0" fontId="37" fillId="0" borderId="93" xfId="0" applyFont="1" applyBorder="1" applyAlignment="1">
      <alignment horizontal="left" vertical="top"/>
    </xf>
    <xf numFmtId="0" fontId="37" fillId="0" borderId="94" xfId="0" applyFont="1" applyBorder="1" applyAlignment="1">
      <alignment horizontal="left" vertical="top"/>
    </xf>
    <xf numFmtId="0" fontId="38" fillId="13" borderId="3" xfId="0" applyFont="1" applyFill="1" applyBorder="1" applyAlignment="1">
      <alignment vertical="top"/>
    </xf>
    <xf numFmtId="0" fontId="38" fillId="13" borderId="8" xfId="0" applyFont="1" applyFill="1" applyBorder="1" applyAlignment="1">
      <alignment vertical="top"/>
    </xf>
    <xf numFmtId="0" fontId="38" fillId="3" borderId="3" xfId="0" applyFont="1" applyFill="1" applyBorder="1" applyAlignment="1">
      <alignment horizontal="left" vertical="top"/>
    </xf>
    <xf numFmtId="0" fontId="37" fillId="0" borderId="101" xfId="0" applyFont="1" applyBorder="1" applyAlignment="1">
      <alignment horizontal="left" vertical="top"/>
    </xf>
    <xf numFmtId="0" fontId="37" fillId="0" borderId="5" xfId="0" quotePrefix="1" applyFont="1" applyBorder="1" applyAlignment="1">
      <alignment vertical="top"/>
    </xf>
    <xf numFmtId="0" fontId="72" fillId="14" borderId="15" xfId="0" quotePrefix="1" applyFont="1" applyFill="1" applyBorder="1" applyAlignment="1">
      <alignment vertical="top"/>
    </xf>
    <xf numFmtId="9" fontId="37" fillId="14" borderId="92" xfId="3" applyFont="1" applyFill="1" applyBorder="1" applyAlignment="1">
      <alignment horizontal="center" vertical="top"/>
    </xf>
    <xf numFmtId="9" fontId="37" fillId="0" borderId="93" xfId="3" applyFont="1" applyBorder="1" applyAlignment="1">
      <alignment horizontal="center" vertical="top"/>
    </xf>
    <xf numFmtId="9" fontId="37" fillId="0" borderId="94" xfId="3" applyFont="1" applyBorder="1" applyAlignment="1">
      <alignment horizontal="center" vertical="top"/>
    </xf>
    <xf numFmtId="0" fontId="37" fillId="27" borderId="2" xfId="0" applyFont="1" applyFill="1" applyBorder="1" applyAlignment="1">
      <alignment horizontal="left" vertical="top"/>
    </xf>
    <xf numFmtId="0" fontId="37" fillId="0" borderId="79" xfId="0" applyNumberFormat="1" applyFont="1" applyBorder="1" applyAlignment="1">
      <alignment horizontal="left" vertical="top"/>
    </xf>
    <xf numFmtId="0" fontId="37" fillId="0" borderId="35" xfId="6" applyFont="1" applyBorder="1" applyAlignment="1">
      <alignment horizontal="left" vertical="top"/>
    </xf>
    <xf numFmtId="0" fontId="37" fillId="27" borderId="102" xfId="0" applyFont="1" applyFill="1" applyBorder="1" applyAlignment="1">
      <alignment horizontal="left" vertical="top"/>
    </xf>
    <xf numFmtId="164" fontId="37" fillId="0" borderId="103" xfId="3" applyNumberFormat="1" applyFont="1" applyBorder="1" applyAlignment="1">
      <alignment horizontal="center" vertical="top"/>
    </xf>
    <xf numFmtId="0" fontId="37" fillId="0" borderId="79" xfId="0" applyFont="1" applyBorder="1" applyAlignment="1">
      <alignment horizontal="left" vertical="top"/>
    </xf>
    <xf numFmtId="0" fontId="72" fillId="0" borderId="103" xfId="0" applyFont="1" applyBorder="1" applyAlignment="1">
      <alignment vertical="top"/>
    </xf>
    <xf numFmtId="9" fontId="37" fillId="0" borderId="103" xfId="3" applyFont="1" applyBorder="1" applyAlignment="1">
      <alignment horizontal="center" vertical="top"/>
    </xf>
    <xf numFmtId="0" fontId="37" fillId="29" borderId="2" xfId="0" applyFont="1" applyFill="1" applyBorder="1" applyAlignment="1">
      <alignment horizontal="left" vertical="top"/>
    </xf>
    <xf numFmtId="0" fontId="37" fillId="8" borderId="102" xfId="0" applyFont="1" applyFill="1" applyBorder="1" applyAlignment="1">
      <alignment horizontal="left" vertical="top"/>
    </xf>
    <xf numFmtId="164" fontId="37" fillId="0" borderId="92" xfId="3" applyNumberFormat="1" applyFont="1" applyBorder="1" applyAlignment="1">
      <alignment horizontal="center" vertical="top"/>
    </xf>
    <xf numFmtId="0" fontId="37" fillId="0" borderId="100" xfId="0" applyFont="1" applyBorder="1" applyAlignment="1">
      <alignment horizontal="left" vertical="top"/>
    </xf>
    <xf numFmtId="0" fontId="72" fillId="0" borderId="92" xfId="0" applyFont="1" applyBorder="1" applyAlignment="1">
      <alignment vertical="top"/>
    </xf>
    <xf numFmtId="9" fontId="37" fillId="0" borderId="92" xfId="3" applyFont="1" applyBorder="1" applyAlignment="1">
      <alignment horizontal="center" vertical="top"/>
    </xf>
    <xf numFmtId="0" fontId="37" fillId="8" borderId="104" xfId="0" applyFont="1" applyFill="1" applyBorder="1" applyAlignment="1">
      <alignment horizontal="left" vertical="top"/>
    </xf>
    <xf numFmtId="0" fontId="37" fillId="28" borderId="2" xfId="0" applyFont="1" applyFill="1" applyBorder="1" applyAlignment="1">
      <alignment horizontal="left" vertical="top"/>
    </xf>
    <xf numFmtId="0" fontId="37" fillId="14" borderId="106" xfId="0" applyNumberFormat="1" applyFont="1" applyFill="1" applyBorder="1" applyAlignment="1">
      <alignment horizontal="left" vertical="top"/>
    </xf>
    <xf numFmtId="0" fontId="37" fillId="14" borderId="107" xfId="6" applyFont="1" applyFill="1" applyBorder="1" applyAlignment="1">
      <alignment horizontal="left" vertical="top"/>
    </xf>
    <xf numFmtId="0" fontId="37" fillId="7" borderId="108" xfId="0" applyFont="1" applyFill="1" applyBorder="1" applyAlignment="1">
      <alignment horizontal="left" vertical="top"/>
    </xf>
    <xf numFmtId="164" fontId="37" fillId="14" borderId="111" xfId="3" applyNumberFormat="1" applyFont="1" applyFill="1" applyBorder="1" applyAlignment="1">
      <alignment horizontal="center" vertical="top"/>
    </xf>
    <xf numFmtId="0" fontId="72" fillId="14" borderId="111" xfId="0" applyFont="1" applyFill="1" applyBorder="1" applyAlignment="1">
      <alignment vertical="top"/>
    </xf>
    <xf numFmtId="9" fontId="37" fillId="14" borderId="111" xfId="3" applyFont="1" applyFill="1" applyBorder="1" applyAlignment="1">
      <alignment horizontal="center" vertical="top"/>
    </xf>
    <xf numFmtId="0" fontId="37" fillId="0" borderId="106" xfId="0" applyNumberFormat="1" applyFont="1" applyBorder="1" applyAlignment="1">
      <alignment horizontal="left" vertical="top"/>
    </xf>
    <xf numFmtId="0" fontId="37" fillId="0" borderId="107" xfId="6" applyFont="1" applyBorder="1" applyAlignment="1">
      <alignment horizontal="left" vertical="top"/>
    </xf>
    <xf numFmtId="164" fontId="37" fillId="0" borderId="111" xfId="3" applyNumberFormat="1" applyFont="1" applyBorder="1" applyAlignment="1">
      <alignment horizontal="center" vertical="top"/>
    </xf>
    <xf numFmtId="0" fontId="37" fillId="0" borderId="111" xfId="0" applyFont="1" applyBorder="1" applyAlignment="1">
      <alignment horizontal="left" vertical="top"/>
    </xf>
    <xf numFmtId="9" fontId="37" fillId="0" borderId="111" xfId="3" applyFont="1" applyBorder="1" applyAlignment="1">
      <alignment horizontal="center" vertical="top"/>
    </xf>
    <xf numFmtId="164" fontId="37" fillId="0" borderId="34" xfId="3" applyNumberFormat="1" applyFont="1" applyBorder="1" applyAlignment="1">
      <alignment horizontal="center" vertical="top"/>
    </xf>
    <xf numFmtId="0" fontId="37" fillId="0" borderId="41" xfId="6" applyFont="1" applyBorder="1" applyAlignment="1">
      <alignment horizontal="left" vertical="top"/>
    </xf>
    <xf numFmtId="0" fontId="132" fillId="0" borderId="33" xfId="0" applyFont="1" applyFill="1" applyBorder="1" applyAlignment="1">
      <alignment horizontal="left" vertical="top"/>
    </xf>
    <xf numFmtId="0" fontId="132" fillId="0" borderId="33" xfId="0" applyFont="1" applyBorder="1" applyAlignment="1">
      <alignment horizontal="left" vertical="top"/>
    </xf>
    <xf numFmtId="0" fontId="132" fillId="0" borderId="33" xfId="0" applyFont="1" applyFill="1" applyBorder="1" applyAlignment="1">
      <alignment vertical="top"/>
    </xf>
    <xf numFmtId="0" fontId="132" fillId="0" borderId="33" xfId="0" quotePrefix="1" applyFont="1" applyFill="1" applyBorder="1" applyAlignment="1">
      <alignment vertical="top"/>
    </xf>
    <xf numFmtId="17" fontId="132" fillId="0" borderId="33" xfId="6" quotePrefix="1" applyNumberFormat="1" applyFont="1" applyFill="1" applyBorder="1" applyAlignment="1">
      <alignment horizontal="left" vertical="top"/>
    </xf>
    <xf numFmtId="0" fontId="132" fillId="0" borderId="33" xfId="6" applyFont="1" applyFill="1" applyBorder="1" applyAlignment="1">
      <alignment horizontal="left" vertical="top"/>
    </xf>
    <xf numFmtId="0" fontId="50" fillId="0" borderId="0" xfId="0" applyFont="1" applyFill="1" applyBorder="1" applyAlignment="1">
      <alignment vertical="top"/>
    </xf>
    <xf numFmtId="0" fontId="50" fillId="0" borderId="0" xfId="0" applyFont="1" applyAlignment="1">
      <alignment horizontal="left" vertical="top"/>
    </xf>
    <xf numFmtId="0" fontId="50" fillId="0" borderId="0" xfId="0" applyFont="1" applyAlignment="1">
      <alignment horizontal="left" vertical="top" wrapText="1"/>
    </xf>
    <xf numFmtId="0" fontId="50" fillId="0" borderId="0" xfId="0" applyFont="1" applyBorder="1" applyAlignment="1">
      <alignment horizontal="left" vertical="top" wrapText="1"/>
    </xf>
    <xf numFmtId="0" fontId="50" fillId="0" borderId="0" xfId="0" applyFont="1" applyBorder="1" applyAlignment="1">
      <alignment horizontal="left" vertical="top"/>
    </xf>
    <xf numFmtId="0" fontId="50" fillId="0" borderId="0" xfId="0" quotePrefix="1" applyFont="1" applyAlignment="1">
      <alignment horizontal="left" vertical="top"/>
    </xf>
    <xf numFmtId="14" fontId="0" fillId="0" borderId="0" xfId="3" applyNumberFormat="1" applyFont="1" applyFill="1" applyBorder="1" applyAlignment="1">
      <alignment horizontal="left"/>
    </xf>
    <xf numFmtId="0" fontId="79" fillId="0" borderId="12" xfId="0" applyFont="1" applyBorder="1" applyAlignment="1">
      <alignment horizontal="left" vertical="top"/>
    </xf>
    <xf numFmtId="0" fontId="79" fillId="0" borderId="5" xfId="0" applyFont="1" applyBorder="1" applyAlignment="1">
      <alignment horizontal="left" vertical="top"/>
    </xf>
    <xf numFmtId="0" fontId="79" fillId="0" borderId="11" xfId="0" applyFont="1" applyBorder="1" applyAlignment="1">
      <alignment horizontal="left" vertical="top"/>
    </xf>
    <xf numFmtId="0" fontId="79" fillId="0" borderId="0" xfId="0" applyFont="1" applyBorder="1" applyAlignment="1">
      <alignment horizontal="left" vertical="top"/>
    </xf>
    <xf numFmtId="0" fontId="79" fillId="0" borderId="13" xfId="0" applyFont="1" applyBorder="1" applyAlignment="1">
      <alignment horizontal="left" vertical="top"/>
    </xf>
    <xf numFmtId="0" fontId="79" fillId="0" borderId="14" xfId="0" applyFont="1" applyBorder="1" applyAlignment="1">
      <alignment horizontal="left" vertical="top"/>
    </xf>
    <xf numFmtId="9" fontId="0" fillId="0" borderId="50" xfId="7" applyFont="1" applyFill="1" applyBorder="1" applyAlignment="1">
      <alignment horizontal="left"/>
    </xf>
    <xf numFmtId="0" fontId="38" fillId="13" borderId="7" xfId="0" applyFont="1" applyFill="1" applyBorder="1" applyAlignment="1">
      <alignment horizontal="left"/>
    </xf>
    <xf numFmtId="1" fontId="79" fillId="0" borderId="5" xfId="0" applyNumberFormat="1" applyFont="1" applyFill="1" applyBorder="1" applyAlignment="1">
      <alignment horizontal="left"/>
    </xf>
    <xf numFmtId="1" fontId="79" fillId="0" borderId="0" xfId="3" applyNumberFormat="1" applyFont="1" applyFill="1" applyBorder="1" applyAlignment="1">
      <alignment horizontal="left"/>
    </xf>
    <xf numFmtId="0" fontId="0" fillId="0" borderId="45" xfId="0" applyBorder="1"/>
    <xf numFmtId="0" fontId="0" fillId="0" borderId="46" xfId="0" applyBorder="1"/>
    <xf numFmtId="0" fontId="37" fillId="14" borderId="0" xfId="0" applyFont="1" applyFill="1" applyBorder="1" applyAlignment="1">
      <alignment horizontal="left" vertical="top"/>
    </xf>
    <xf numFmtId="0" fontId="41" fillId="14" borderId="11" xfId="0" applyFont="1" applyFill="1" applyBorder="1" applyAlignment="1">
      <alignment horizontal="left" vertical="top"/>
    </xf>
    <xf numFmtId="0" fontId="41" fillId="14" borderId="0" xfId="0" applyFont="1" applyFill="1" applyBorder="1" applyAlignment="1">
      <alignment horizontal="left" vertical="top"/>
    </xf>
    <xf numFmtId="0" fontId="41" fillId="0" borderId="0" xfId="6" applyFont="1" applyFill="1" applyBorder="1" applyAlignment="1">
      <alignment horizontal="left" vertical="top"/>
    </xf>
    <xf numFmtId="0" fontId="41" fillId="0" borderId="11" xfId="0" applyNumberFormat="1" applyFont="1" applyBorder="1" applyAlignment="1">
      <alignment horizontal="left" vertical="top"/>
    </xf>
    <xf numFmtId="0" fontId="41" fillId="0" borderId="15" xfId="6" applyFont="1" applyBorder="1" applyAlignment="1">
      <alignment horizontal="left" vertical="top"/>
    </xf>
    <xf numFmtId="0" fontId="41" fillId="0" borderId="0" xfId="0" applyFont="1" applyFill="1" applyAlignment="1">
      <alignment horizontal="left" vertical="top"/>
    </xf>
    <xf numFmtId="0" fontId="41" fillId="0" borderId="11" xfId="0" applyFont="1" applyBorder="1" applyAlignment="1">
      <alignment horizontal="left" vertical="top"/>
    </xf>
    <xf numFmtId="0" fontId="41" fillId="14" borderId="11" xfId="0" applyNumberFormat="1" applyFont="1" applyFill="1" applyBorder="1" applyAlignment="1">
      <alignment horizontal="left" vertical="top"/>
    </xf>
    <xf numFmtId="0" fontId="41" fillId="14" borderId="15" xfId="6" applyFont="1" applyFill="1" applyBorder="1" applyAlignment="1">
      <alignment horizontal="left" vertical="top"/>
    </xf>
    <xf numFmtId="0" fontId="41" fillId="0" borderId="0" xfId="0" applyNumberFormat="1" applyFont="1" applyBorder="1" applyAlignment="1">
      <alignment horizontal="left" vertical="top"/>
    </xf>
    <xf numFmtId="9" fontId="41" fillId="0" borderId="0" xfId="0" applyNumberFormat="1" applyFont="1" applyFill="1" applyBorder="1" applyAlignment="1">
      <alignment horizontal="left"/>
    </xf>
    <xf numFmtId="9" fontId="41" fillId="0" borderId="0" xfId="7" applyFont="1" applyFill="1" applyBorder="1" applyAlignment="1">
      <alignment horizontal="left"/>
    </xf>
    <xf numFmtId="9" fontId="48" fillId="0" borderId="49" xfId="0" applyNumberFormat="1" applyFont="1" applyFill="1" applyBorder="1" applyAlignment="1">
      <alignment horizontal="left"/>
    </xf>
    <xf numFmtId="9" fontId="48" fillId="0" borderId="0" xfId="0" applyNumberFormat="1" applyFont="1" applyFill="1" applyBorder="1" applyAlignment="1">
      <alignment horizontal="left"/>
    </xf>
    <xf numFmtId="9" fontId="48" fillId="0" borderId="49" xfId="7" applyFont="1" applyFill="1" applyBorder="1" applyAlignment="1">
      <alignment horizontal="left"/>
    </xf>
    <xf numFmtId="9" fontId="48" fillId="0" borderId="0" xfId="7" applyFont="1" applyFill="1" applyBorder="1" applyAlignment="1">
      <alignment horizontal="left"/>
    </xf>
    <xf numFmtId="9" fontId="82" fillId="0" borderId="0" xfId="0" applyNumberFormat="1" applyFont="1" applyFill="1" applyBorder="1" applyAlignment="1">
      <alignment horizontal="left"/>
    </xf>
    <xf numFmtId="9" fontId="82" fillId="0" borderId="0" xfId="7" applyFont="1" applyFill="1" applyBorder="1" applyAlignment="1">
      <alignment horizontal="left"/>
    </xf>
    <xf numFmtId="9" fontId="48" fillId="0" borderId="50" xfId="7" applyFont="1" applyFill="1" applyBorder="1" applyAlignment="1">
      <alignment horizontal="left"/>
    </xf>
    <xf numFmtId="0" fontId="37" fillId="14" borderId="0" xfId="0" applyFont="1" applyFill="1" applyBorder="1"/>
    <xf numFmtId="9" fontId="37" fillId="0" borderId="0" xfId="0" applyNumberFormat="1" applyFont="1" applyBorder="1"/>
    <xf numFmtId="0" fontId="37" fillId="0" borderId="14" xfId="0" applyFont="1" applyBorder="1"/>
    <xf numFmtId="0" fontId="79" fillId="0" borderId="10" xfId="0" applyFont="1" applyBorder="1" applyAlignment="1">
      <alignment horizontal="left" vertical="top"/>
    </xf>
    <xf numFmtId="0" fontId="79" fillId="0" borderId="15" xfId="0" applyFont="1" applyBorder="1" applyAlignment="1">
      <alignment horizontal="left" vertical="top"/>
    </xf>
    <xf numFmtId="0" fontId="41" fillId="14" borderId="15" xfId="0" applyFont="1" applyFill="1" applyBorder="1" applyAlignment="1">
      <alignment horizontal="left" vertical="top"/>
    </xf>
    <xf numFmtId="0" fontId="41" fillId="0" borderId="15" xfId="0" applyFont="1" applyBorder="1" applyAlignment="1">
      <alignment horizontal="left" vertical="top"/>
    </xf>
    <xf numFmtId="0" fontId="79" fillId="0" borderId="9" xfId="0" applyFont="1" applyBorder="1" applyAlignment="1">
      <alignment horizontal="left" vertical="top"/>
    </xf>
    <xf numFmtId="0" fontId="69" fillId="0" borderId="0" xfId="0" applyFont="1" applyAlignment="1">
      <alignment horizontal="left" vertical="top"/>
    </xf>
    <xf numFmtId="171" fontId="37" fillId="0" borderId="65" xfId="0" applyNumberFormat="1" applyFont="1" applyBorder="1" applyAlignment="1">
      <alignment horizontal="left"/>
    </xf>
    <xf numFmtId="171" fontId="11" fillId="0" borderId="66" xfId="0" applyNumberFormat="1" applyFont="1" applyFill="1" applyBorder="1"/>
    <xf numFmtId="0" fontId="110" fillId="14" borderId="0" xfId="15" applyNumberFormat="1" applyFont="1" applyFill="1" applyAlignment="1">
      <alignment horizontal="left" vertical="top"/>
    </xf>
    <xf numFmtId="0" fontId="110" fillId="14" borderId="0" xfId="15" applyNumberFormat="1" applyFont="1" applyFill="1" applyAlignment="1">
      <alignment horizontal="left" vertical="top" wrapText="1"/>
    </xf>
    <xf numFmtId="0" fontId="38" fillId="0" borderId="0" xfId="15" applyNumberFormat="1" applyFont="1" applyFill="1" applyAlignment="1">
      <alignment vertical="top"/>
    </xf>
    <xf numFmtId="0" fontId="38" fillId="13" borderId="0" xfId="0" applyNumberFormat="1" applyFont="1" applyFill="1" applyBorder="1" applyAlignment="1">
      <alignment vertical="top"/>
    </xf>
    <xf numFmtId="0" fontId="38" fillId="0" borderId="0" xfId="0" applyNumberFormat="1" applyFont="1" applyFill="1" applyBorder="1" applyAlignment="1">
      <alignment vertical="top"/>
    </xf>
    <xf numFmtId="0" fontId="37" fillId="0" borderId="0" xfId="0" applyFont="1" applyFill="1" applyAlignment="1">
      <alignment vertical="top" wrapText="1"/>
    </xf>
    <xf numFmtId="0" fontId="37" fillId="0" borderId="0" xfId="0" applyFont="1" applyAlignment="1">
      <alignment horizontal="left" vertical="top"/>
    </xf>
    <xf numFmtId="0" fontId="37" fillId="0" borderId="0" xfId="0" applyFont="1" applyBorder="1" applyAlignment="1">
      <alignment horizontal="left" vertical="top"/>
    </xf>
    <xf numFmtId="14" fontId="38" fillId="6" borderId="8" xfId="0" applyNumberFormat="1" applyFont="1" applyFill="1" applyBorder="1" applyAlignment="1">
      <alignment horizontal="center" vertical="top"/>
    </xf>
    <xf numFmtId="14" fontId="38" fillId="6" borderId="7" xfId="0" applyNumberFormat="1" applyFont="1" applyFill="1" applyBorder="1" applyAlignment="1">
      <alignment horizontal="center" vertical="top"/>
    </xf>
    <xf numFmtId="0" fontId="37" fillId="0" borderId="35" xfId="0" applyFont="1" applyBorder="1" applyAlignment="1">
      <alignment horizontal="left" vertical="top"/>
    </xf>
    <xf numFmtId="0" fontId="37" fillId="0" borderId="15" xfId="0" applyFont="1" applyBorder="1" applyAlignment="1">
      <alignment horizontal="left" vertical="top"/>
    </xf>
    <xf numFmtId="0" fontId="37" fillId="0" borderId="115" xfId="0" applyFont="1" applyFill="1" applyBorder="1" applyAlignment="1">
      <alignment horizontal="left"/>
    </xf>
    <xf numFmtId="0" fontId="37" fillId="0" borderId="2" xfId="0" applyFont="1" applyFill="1" applyBorder="1" applyAlignment="1">
      <alignment horizontal="left"/>
    </xf>
    <xf numFmtId="0" fontId="37" fillId="3" borderId="2" xfId="0" applyFont="1" applyFill="1" applyBorder="1"/>
    <xf numFmtId="0" fontId="41" fillId="3" borderId="2" xfId="0" applyFont="1" applyFill="1" applyBorder="1"/>
    <xf numFmtId="0" fontId="41" fillId="0" borderId="2" xfId="0" applyFont="1" applyFill="1" applyBorder="1" applyAlignment="1">
      <alignment horizontal="left"/>
    </xf>
    <xf numFmtId="0" fontId="0" fillId="0" borderId="2" xfId="0" applyFill="1" applyBorder="1" applyAlignment="1">
      <alignment horizontal="left"/>
    </xf>
    <xf numFmtId="0" fontId="0" fillId="0" borderId="116" xfId="0" applyFill="1" applyBorder="1" applyAlignment="1">
      <alignment horizontal="left"/>
    </xf>
    <xf numFmtId="9" fontId="48" fillId="0" borderId="50" xfId="0" applyNumberFormat="1" applyFont="1" applyFill="1" applyBorder="1" applyAlignment="1">
      <alignment horizontal="left"/>
    </xf>
    <xf numFmtId="0" fontId="79" fillId="0" borderId="47" xfId="0" applyFont="1" applyBorder="1" applyAlignment="1">
      <alignment horizontal="left"/>
    </xf>
    <xf numFmtId="0" fontId="79" fillId="0" borderId="5" xfId="0" applyFont="1" applyBorder="1" applyAlignment="1">
      <alignment horizontal="left"/>
    </xf>
    <xf numFmtId="0" fontId="79" fillId="0" borderId="48" xfId="0" applyFont="1" applyBorder="1" applyAlignment="1">
      <alignment horizontal="left"/>
    </xf>
    <xf numFmtId="0" fontId="37" fillId="0" borderId="0" xfId="0" applyFont="1" applyAlignment="1">
      <alignment horizontal="left" vertical="top"/>
    </xf>
    <xf numFmtId="0" fontId="37" fillId="0" borderId="0" xfId="0" applyFont="1" applyBorder="1" applyAlignment="1">
      <alignment horizontal="left" vertical="top"/>
    </xf>
    <xf numFmtId="0" fontId="110" fillId="14" borderId="0" xfId="0" applyFont="1" applyFill="1"/>
    <xf numFmtId="0" fontId="37" fillId="0" borderId="0" xfId="0" quotePrefix="1" applyFont="1" applyAlignment="1">
      <alignment horizontal="left"/>
    </xf>
    <xf numFmtId="0" fontId="38" fillId="0" borderId="0" xfId="0" quotePrefix="1" applyFont="1" applyAlignment="1">
      <alignment horizontal="left" indent="1"/>
    </xf>
    <xf numFmtId="0" fontId="37" fillId="0" borderId="0" xfId="0" quotePrefix="1" applyFont="1" applyAlignment="1">
      <alignment horizontal="left" indent="1"/>
    </xf>
    <xf numFmtId="0" fontId="157" fillId="0" borderId="0" xfId="1" applyFont="1" applyFill="1" applyAlignment="1" applyProtection="1">
      <alignment horizontal="left"/>
    </xf>
    <xf numFmtId="0" fontId="47" fillId="0" borderId="0" xfId="0" quotePrefix="1" applyFont="1" applyFill="1" applyAlignment="1">
      <alignment horizontal="left"/>
    </xf>
    <xf numFmtId="0" fontId="76" fillId="0" borderId="0" xfId="0" applyFont="1" applyAlignment="1">
      <alignment horizontal="right" vertical="top"/>
    </xf>
    <xf numFmtId="0" fontId="37" fillId="13" borderId="17" xfId="0" applyFont="1" applyFill="1" applyBorder="1" applyAlignment="1">
      <alignment horizontal="left" vertical="top"/>
    </xf>
    <xf numFmtId="0" fontId="37" fillId="3" borderId="3" xfId="0" applyFont="1" applyFill="1" applyBorder="1" applyAlignment="1">
      <alignment horizontal="left" vertical="top"/>
    </xf>
    <xf numFmtId="0" fontId="37" fillId="13" borderId="6" xfId="0" applyFont="1" applyFill="1" applyBorder="1" applyAlignment="1">
      <alignment vertical="top"/>
    </xf>
    <xf numFmtId="0" fontId="37" fillId="13" borderId="119" xfId="0" applyFont="1" applyFill="1" applyBorder="1" applyAlignment="1">
      <alignment vertical="top"/>
    </xf>
    <xf numFmtId="164" fontId="37" fillId="14" borderId="0" xfId="0" applyNumberFormat="1" applyFont="1" applyFill="1" applyBorder="1" applyAlignment="1">
      <alignment horizontal="left" vertical="top"/>
    </xf>
    <xf numFmtId="164" fontId="38" fillId="0" borderId="15" xfId="0" applyNumberFormat="1" applyFont="1" applyBorder="1" applyAlignment="1">
      <alignment horizontal="left" vertical="top"/>
    </xf>
    <xf numFmtId="164" fontId="38" fillId="14" borderId="15" xfId="0" applyNumberFormat="1" applyFont="1" applyFill="1" applyBorder="1" applyAlignment="1">
      <alignment horizontal="left" vertical="top"/>
    </xf>
    <xf numFmtId="0" fontId="37" fillId="27" borderId="0" xfId="0" applyFont="1" applyFill="1" applyAlignment="1">
      <alignment horizontal="left" vertical="top"/>
    </xf>
    <xf numFmtId="0" fontId="37" fillId="29" borderId="0" xfId="0" applyFont="1" applyFill="1" applyAlignment="1">
      <alignment horizontal="left" vertical="top"/>
    </xf>
    <xf numFmtId="9" fontId="37" fillId="0" borderId="3" xfId="0" applyNumberFormat="1" applyFont="1" applyBorder="1" applyAlignment="1">
      <alignment horizontal="left" vertical="top"/>
    </xf>
    <xf numFmtId="164" fontId="37" fillId="14" borderId="12" xfId="0" applyNumberFormat="1" applyFont="1" applyFill="1" applyBorder="1" applyAlignment="1">
      <alignment horizontal="left" vertical="top"/>
    </xf>
    <xf numFmtId="164" fontId="37" fillId="14" borderId="5" xfId="0" applyNumberFormat="1" applyFont="1" applyFill="1" applyBorder="1" applyAlignment="1">
      <alignment horizontal="left" vertical="top"/>
    </xf>
    <xf numFmtId="164" fontId="38" fillId="14" borderId="10" xfId="0" applyNumberFormat="1" applyFont="1" applyFill="1" applyBorder="1" applyAlignment="1">
      <alignment horizontal="left" vertical="top"/>
    </xf>
    <xf numFmtId="0" fontId="37" fillId="8" borderId="11" xfId="0" applyFont="1" applyFill="1" applyBorder="1" applyAlignment="1">
      <alignment horizontal="left" vertical="top"/>
    </xf>
    <xf numFmtId="0" fontId="37" fillId="27" borderId="11" xfId="0" applyFont="1" applyFill="1" applyBorder="1" applyAlignment="1">
      <alignment horizontal="left" vertical="top"/>
    </xf>
    <xf numFmtId="0" fontId="35" fillId="0" borderId="5" xfId="6" applyFont="1" applyBorder="1" applyAlignment="1">
      <alignment horizontal="left" vertical="top"/>
    </xf>
    <xf numFmtId="0" fontId="37" fillId="14" borderId="13" xfId="0" applyNumberFormat="1" applyFont="1" applyFill="1" applyBorder="1" applyAlignment="1">
      <alignment horizontal="left" vertical="top"/>
    </xf>
    <xf numFmtId="0" fontId="37" fillId="14" borderId="14" xfId="6" applyFont="1" applyFill="1" applyBorder="1" applyAlignment="1">
      <alignment horizontal="left" vertical="top"/>
    </xf>
    <xf numFmtId="164" fontId="37" fillId="14" borderId="17" xfId="0" applyNumberFormat="1" applyFont="1" applyFill="1" applyBorder="1" applyAlignment="1">
      <alignment horizontal="left" vertical="top"/>
    </xf>
    <xf numFmtId="164" fontId="37" fillId="14" borderId="13" xfId="0" applyNumberFormat="1" applyFont="1" applyFill="1" applyBorder="1" applyAlignment="1">
      <alignment horizontal="left" vertical="top"/>
    </xf>
    <xf numFmtId="164" fontId="37" fillId="14" borderId="14" xfId="0" applyNumberFormat="1" applyFont="1" applyFill="1" applyBorder="1" applyAlignment="1">
      <alignment horizontal="left" vertical="top"/>
    </xf>
    <xf numFmtId="164" fontId="38" fillId="14" borderId="9" xfId="0" applyNumberFormat="1" applyFont="1" applyFill="1" applyBorder="1" applyAlignment="1">
      <alignment horizontal="left" vertical="top"/>
    </xf>
    <xf numFmtId="0" fontId="79" fillId="0" borderId="0" xfId="0" applyFont="1" applyBorder="1" applyAlignment="1">
      <alignment vertical="top"/>
    </xf>
    <xf numFmtId="14" fontId="38" fillId="0" borderId="0" xfId="0" applyNumberFormat="1" applyFont="1" applyFill="1" applyBorder="1" applyAlignment="1">
      <alignment horizontal="center" vertical="top"/>
    </xf>
    <xf numFmtId="14" fontId="38" fillId="0" borderId="0" xfId="0" applyNumberFormat="1" applyFont="1" applyFill="1" applyBorder="1" applyAlignment="1">
      <alignment vertical="top"/>
    </xf>
    <xf numFmtId="0" fontId="37" fillId="13" borderId="3" xfId="0" applyFont="1" applyFill="1" applyBorder="1" applyAlignment="1">
      <alignment vertical="top"/>
    </xf>
    <xf numFmtId="0" fontId="37" fillId="13" borderId="7" xfId="0" applyFont="1" applyFill="1" applyBorder="1" applyAlignment="1">
      <alignment vertical="top"/>
    </xf>
    <xf numFmtId="0" fontId="37" fillId="13" borderId="77" xfId="0" applyFont="1" applyFill="1" applyBorder="1" applyAlignment="1">
      <alignment horizontal="left" vertical="top"/>
    </xf>
    <xf numFmtId="164" fontId="37" fillId="14" borderId="93" xfId="0" applyNumberFormat="1" applyFont="1" applyFill="1" applyBorder="1" applyAlignment="1">
      <alignment horizontal="left" vertical="top"/>
    </xf>
    <xf numFmtId="164" fontId="37" fillId="14" borderId="94" xfId="0" applyNumberFormat="1" applyFont="1" applyFill="1" applyBorder="1" applyAlignment="1">
      <alignment horizontal="left" vertical="top"/>
    </xf>
    <xf numFmtId="164" fontId="37" fillId="0" borderId="0" xfId="0" applyNumberFormat="1" applyFont="1" applyFill="1" applyAlignment="1">
      <alignment horizontal="left" vertical="top"/>
    </xf>
    <xf numFmtId="0" fontId="37" fillId="0" borderId="15" xfId="0" applyFont="1" applyFill="1" applyBorder="1" applyAlignment="1">
      <alignment horizontal="left" vertical="top"/>
    </xf>
    <xf numFmtId="9" fontId="48" fillId="0" borderId="0" xfId="0" applyNumberFormat="1" applyFont="1" applyAlignment="1">
      <alignment horizontal="left" vertical="top"/>
    </xf>
    <xf numFmtId="164" fontId="48" fillId="0" borderId="0" xfId="0" applyNumberFormat="1" applyFont="1" applyAlignment="1">
      <alignment horizontal="left" vertical="top"/>
    </xf>
    <xf numFmtId="0" fontId="48" fillId="0" borderId="5" xfId="0" applyFont="1" applyBorder="1" applyAlignment="1">
      <alignment horizontal="left" vertical="top"/>
    </xf>
    <xf numFmtId="9" fontId="48" fillId="0" borderId="5" xfId="0" applyNumberFormat="1" applyFont="1" applyBorder="1" applyAlignment="1">
      <alignment horizontal="left" vertical="top"/>
    </xf>
    <xf numFmtId="164" fontId="123" fillId="0" borderId="5" xfId="0" applyNumberFormat="1" applyFont="1" applyBorder="1" applyAlignment="1">
      <alignment horizontal="left" vertical="top"/>
    </xf>
    <xf numFmtId="9" fontId="48" fillId="0" borderId="0" xfId="3" applyNumberFormat="1" applyFont="1" applyAlignment="1">
      <alignment horizontal="left" vertical="top"/>
    </xf>
    <xf numFmtId="0" fontId="48" fillId="0" borderId="38" xfId="0" applyFont="1" applyBorder="1" applyAlignment="1">
      <alignment horizontal="left" vertical="top"/>
    </xf>
    <xf numFmtId="9" fontId="48" fillId="0" borderId="38" xfId="3" applyFont="1" applyBorder="1" applyAlignment="1">
      <alignment horizontal="left" vertical="top"/>
    </xf>
    <xf numFmtId="9" fontId="48" fillId="0" borderId="38" xfId="0" applyNumberFormat="1" applyFont="1" applyBorder="1" applyAlignment="1">
      <alignment horizontal="left" vertical="top"/>
    </xf>
    <xf numFmtId="0" fontId="48" fillId="0" borderId="35" xfId="0" applyFont="1" applyBorder="1" applyAlignment="1">
      <alignment horizontal="left" vertical="top"/>
    </xf>
    <xf numFmtId="9" fontId="48" fillId="0" borderId="7" xfId="3" applyFont="1" applyBorder="1" applyAlignment="1">
      <alignment horizontal="left" vertical="top"/>
    </xf>
    <xf numFmtId="164" fontId="37" fillId="0" borderId="79" xfId="0" applyNumberFormat="1" applyFont="1" applyBorder="1" applyAlignment="1">
      <alignment horizontal="left" vertical="top"/>
    </xf>
    <xf numFmtId="0" fontId="37" fillId="0" borderId="2" xfId="0" applyFont="1" applyBorder="1" applyAlignment="1">
      <alignment horizontal="left" vertical="top"/>
    </xf>
    <xf numFmtId="0" fontId="37" fillId="0" borderId="57" xfId="0" applyFont="1" applyBorder="1" applyAlignment="1">
      <alignment horizontal="left" vertical="top"/>
    </xf>
    <xf numFmtId="14" fontId="37" fillId="0" borderId="15" xfId="0" applyNumberFormat="1" applyFont="1" applyFill="1" applyBorder="1" applyAlignment="1">
      <alignment vertical="top"/>
    </xf>
    <xf numFmtId="0" fontId="37" fillId="0" borderId="120" xfId="0" applyNumberFormat="1" applyFont="1" applyBorder="1" applyAlignment="1">
      <alignment horizontal="left"/>
    </xf>
    <xf numFmtId="2" fontId="37" fillId="0" borderId="67" xfId="0" applyNumberFormat="1" applyFont="1" applyBorder="1" applyAlignment="1">
      <alignment horizontal="left"/>
    </xf>
    <xf numFmtId="0" fontId="37" fillId="0" borderId="121" xfId="0" applyNumberFormat="1" applyFont="1" applyBorder="1" applyAlignment="1">
      <alignment horizontal="left"/>
    </xf>
    <xf numFmtId="2" fontId="37" fillId="0" borderId="68" xfId="0" applyNumberFormat="1" applyFont="1" applyBorder="1" applyAlignment="1">
      <alignment horizontal="left"/>
    </xf>
    <xf numFmtId="0" fontId="37" fillId="0" borderId="122" xfId="0" applyNumberFormat="1" applyFont="1" applyBorder="1" applyAlignment="1">
      <alignment horizontal="left"/>
    </xf>
    <xf numFmtId="2" fontId="37" fillId="0" borderId="123" xfId="0" applyNumberFormat="1" applyFont="1" applyBorder="1" applyAlignment="1">
      <alignment horizontal="left"/>
    </xf>
    <xf numFmtId="0" fontId="37" fillId="0" borderId="124" xfId="0" applyNumberFormat="1" applyFont="1" applyBorder="1"/>
    <xf numFmtId="2" fontId="37" fillId="0" borderId="125" xfId="0" applyNumberFormat="1" applyFont="1" applyBorder="1" applyAlignment="1">
      <alignment horizontal="left"/>
    </xf>
    <xf numFmtId="171" fontId="38" fillId="15" borderId="12" xfId="0" applyNumberFormat="1" applyFont="1" applyFill="1" applyBorder="1" applyAlignment="1"/>
    <xf numFmtId="171" fontId="38" fillId="15" borderId="10" xfId="0" applyNumberFormat="1" applyFont="1" applyFill="1" applyBorder="1" applyAlignment="1"/>
    <xf numFmtId="164" fontId="48" fillId="0" borderId="0" xfId="0" applyNumberFormat="1" applyFont="1" applyBorder="1" applyAlignment="1">
      <alignment horizontal="left" vertical="top"/>
    </xf>
    <xf numFmtId="164" fontId="48" fillId="0" borderId="0" xfId="0" applyNumberFormat="1" applyFont="1" applyBorder="1" applyAlignment="1">
      <alignment horizontal="left" vertical="top" indent="2"/>
    </xf>
    <xf numFmtId="9" fontId="37" fillId="0" borderId="3" xfId="3" applyFont="1" applyBorder="1" applyAlignment="1">
      <alignment horizontal="left" vertical="top"/>
    </xf>
    <xf numFmtId="2" fontId="38" fillId="13" borderId="3" xfId="0" applyNumberFormat="1" applyFont="1" applyFill="1" applyBorder="1" applyAlignment="1">
      <alignment horizontal="left" vertical="top"/>
    </xf>
    <xf numFmtId="2" fontId="37" fillId="0" borderId="77" xfId="0" applyNumberFormat="1" applyFont="1" applyBorder="1" applyAlignment="1">
      <alignment horizontal="left" vertical="top"/>
    </xf>
    <xf numFmtId="9" fontId="37" fillId="0" borderId="75" xfId="3" applyFont="1" applyBorder="1" applyAlignment="1">
      <alignment horizontal="left" vertical="top"/>
    </xf>
    <xf numFmtId="9" fontId="45" fillId="13" borderId="3" xfId="0" applyNumberFormat="1" applyFont="1" applyFill="1" applyBorder="1" applyAlignment="1">
      <alignment horizontal="left" vertical="top"/>
    </xf>
    <xf numFmtId="2" fontId="37" fillId="0" borderId="6" xfId="0" applyNumberFormat="1" applyFont="1" applyBorder="1" applyAlignment="1">
      <alignment horizontal="left" vertical="top"/>
    </xf>
    <xf numFmtId="2" fontId="37" fillId="0" borderId="7" xfId="0" applyNumberFormat="1" applyFont="1" applyBorder="1" applyAlignment="1">
      <alignment horizontal="left" vertical="top"/>
    </xf>
    <xf numFmtId="9" fontId="47" fillId="0" borderId="6" xfId="0" applyNumberFormat="1" applyFont="1" applyBorder="1" applyAlignment="1">
      <alignment horizontal="left" vertical="top"/>
    </xf>
    <xf numFmtId="9" fontId="48" fillId="0" borderId="77" xfId="3" applyFont="1" applyBorder="1" applyAlignment="1">
      <alignment horizontal="left" vertical="top"/>
    </xf>
    <xf numFmtId="9" fontId="47" fillId="0" borderId="93" xfId="0" applyNumberFormat="1" applyFont="1" applyBorder="1" applyAlignment="1">
      <alignment horizontal="left" vertical="top"/>
    </xf>
    <xf numFmtId="9" fontId="47" fillId="0" borderId="77" xfId="0" applyNumberFormat="1" applyFont="1" applyBorder="1" applyAlignment="1">
      <alignment horizontal="left" vertical="top"/>
    </xf>
    <xf numFmtId="9" fontId="37" fillId="0" borderId="1" xfId="0" applyNumberFormat="1" applyFont="1" applyBorder="1" applyAlignment="1">
      <alignment horizontal="left" vertical="top"/>
    </xf>
    <xf numFmtId="9" fontId="47" fillId="0" borderId="7" xfId="0" applyNumberFormat="1" applyFont="1" applyBorder="1" applyAlignment="1">
      <alignment horizontal="left" vertical="top"/>
    </xf>
    <xf numFmtId="2" fontId="77" fillId="18" borderId="3" xfId="0" applyNumberFormat="1" applyFont="1" applyFill="1" applyBorder="1" applyAlignment="1">
      <alignment horizontal="left" vertical="top"/>
    </xf>
    <xf numFmtId="0" fontId="35" fillId="0" borderId="5" xfId="6" applyNumberFormat="1" applyFont="1" applyFill="1" applyBorder="1" applyAlignment="1">
      <alignment horizontal="left" vertical="top"/>
    </xf>
    <xf numFmtId="0" fontId="35" fillId="0" borderId="5" xfId="6" applyFont="1" applyBorder="1" applyAlignment="1">
      <alignment horizontal="left" vertical="top" wrapText="1"/>
    </xf>
    <xf numFmtId="0" fontId="35" fillId="0" borderId="5" xfId="6" applyFont="1" applyBorder="1" applyAlignment="1">
      <alignment horizontal="center" vertical="top"/>
    </xf>
    <xf numFmtId="0" fontId="38" fillId="0" borderId="5" xfId="6" applyFont="1" applyBorder="1" applyAlignment="1">
      <alignment horizontal="center" vertical="top"/>
    </xf>
    <xf numFmtId="9" fontId="37" fillId="0" borderId="60" xfId="3" applyFont="1" applyFill="1" applyBorder="1" applyAlignment="1">
      <alignment horizontal="left" vertical="top"/>
    </xf>
    <xf numFmtId="9" fontId="37" fillId="0" borderId="61" xfId="3" applyFont="1" applyFill="1" applyBorder="1" applyAlignment="1">
      <alignment horizontal="left" vertical="top"/>
    </xf>
    <xf numFmtId="9" fontId="37" fillId="0" borderId="62" xfId="3" applyFont="1" applyFill="1" applyBorder="1" applyAlignment="1">
      <alignment horizontal="left" vertical="top"/>
    </xf>
    <xf numFmtId="9" fontId="37" fillId="0" borderId="63" xfId="3" applyFont="1" applyFill="1" applyBorder="1" applyAlignment="1">
      <alignment horizontal="left" vertical="top"/>
    </xf>
    <xf numFmtId="9" fontId="37" fillId="0" borderId="64" xfId="3" applyFont="1" applyFill="1" applyBorder="1" applyAlignment="1">
      <alignment horizontal="left" vertical="top"/>
    </xf>
    <xf numFmtId="9" fontId="37" fillId="9" borderId="63" xfId="3" applyFont="1" applyFill="1" applyBorder="1" applyAlignment="1">
      <alignment horizontal="left" vertical="top"/>
    </xf>
    <xf numFmtId="9" fontId="37" fillId="0" borderId="7" xfId="0" applyNumberFormat="1" applyFont="1" applyFill="1" applyBorder="1" applyAlignment="1">
      <alignment horizontal="left"/>
    </xf>
    <xf numFmtId="9" fontId="37" fillId="0" borderId="7" xfId="0" applyNumberFormat="1" applyFont="1" applyBorder="1" applyAlignment="1">
      <alignment horizontal="left"/>
    </xf>
    <xf numFmtId="2" fontId="38" fillId="0" borderId="7" xfId="0" applyNumberFormat="1" applyFont="1" applyFill="1" applyBorder="1" applyAlignment="1">
      <alignment horizontal="left"/>
    </xf>
    <xf numFmtId="2" fontId="37" fillId="0" borderId="7" xfId="0" applyNumberFormat="1" applyFont="1" applyFill="1" applyBorder="1" applyAlignment="1">
      <alignment horizontal="left"/>
    </xf>
    <xf numFmtId="0" fontId="38" fillId="0" borderId="7" xfId="0" applyFont="1" applyFill="1" applyBorder="1"/>
    <xf numFmtId="164" fontId="0" fillId="0" borderId="5" xfId="0" applyNumberFormat="1" applyBorder="1" applyAlignment="1">
      <alignment horizontal="left"/>
    </xf>
    <xf numFmtId="0" fontId="10" fillId="0" borderId="44" xfId="0" applyFont="1" applyBorder="1"/>
    <xf numFmtId="0" fontId="59" fillId="0" borderId="0" xfId="0" applyFont="1" applyAlignment="1">
      <alignment horizontal="left" vertical="top"/>
    </xf>
    <xf numFmtId="0" fontId="50" fillId="0" borderId="0" xfId="0" applyFont="1" applyFill="1" applyAlignment="1">
      <alignment horizontal="left" vertical="top"/>
    </xf>
    <xf numFmtId="0" fontId="50" fillId="0" borderId="11" xfId="0" applyFont="1" applyBorder="1" applyAlignment="1">
      <alignment horizontal="left" vertical="top"/>
    </xf>
    <xf numFmtId="0" fontId="50" fillId="0" borderId="0" xfId="0" applyFont="1" applyFill="1" applyBorder="1" applyAlignment="1">
      <alignment horizontal="left" vertical="top"/>
    </xf>
    <xf numFmtId="0" fontId="50" fillId="0" borderId="0" xfId="0" applyNumberFormat="1" applyFont="1" applyBorder="1" applyAlignment="1">
      <alignment horizontal="left" vertical="top"/>
    </xf>
    <xf numFmtId="0" fontId="35" fillId="0" borderId="0" xfId="6" applyFont="1" applyAlignment="1">
      <alignment horizontal="left" vertical="top"/>
    </xf>
    <xf numFmtId="0" fontId="122" fillId="0" borderId="0" xfId="6" applyFont="1" applyAlignment="1">
      <alignment horizontal="left" vertical="top" wrapText="1"/>
    </xf>
    <xf numFmtId="0" fontId="35" fillId="0" borderId="9" xfId="6" applyFont="1" applyBorder="1" applyAlignment="1">
      <alignment horizontal="left" vertical="top"/>
    </xf>
    <xf numFmtId="0" fontId="37" fillId="0" borderId="35" xfId="0" applyFont="1" applyBorder="1" applyAlignment="1">
      <alignment horizontal="left" vertical="top"/>
    </xf>
    <xf numFmtId="0" fontId="37" fillId="0" borderId="0" xfId="0" applyFont="1" applyBorder="1" applyAlignment="1">
      <alignment horizontal="left" vertical="top"/>
    </xf>
    <xf numFmtId="1" fontId="37" fillId="0" borderId="0" xfId="0" applyNumberFormat="1" applyFont="1" applyBorder="1" applyAlignment="1">
      <alignment horizontal="left" vertical="top"/>
    </xf>
    <xf numFmtId="0" fontId="37" fillId="0" borderId="0" xfId="0" applyNumberFormat="1" applyFont="1" applyBorder="1" applyAlignment="1">
      <alignment horizontal="left" vertical="top" wrapText="1"/>
    </xf>
    <xf numFmtId="1" fontId="37" fillId="0" borderId="0" xfId="0" applyNumberFormat="1" applyFont="1" applyBorder="1" applyAlignment="1">
      <alignment horizontal="left" vertical="top" wrapText="1" indent="1"/>
    </xf>
    <xf numFmtId="1" fontId="37" fillId="0" borderId="0" xfId="0" applyNumberFormat="1" applyFont="1" applyBorder="1" applyAlignment="1">
      <alignment horizontal="left" vertical="top" wrapText="1" indent="1"/>
    </xf>
    <xf numFmtId="1" fontId="37" fillId="0" borderId="0" xfId="0" applyNumberFormat="1" applyFont="1" applyBorder="1" applyAlignment="1">
      <alignment horizontal="left" vertical="top" indent="1"/>
    </xf>
    <xf numFmtId="0" fontId="37" fillId="0" borderId="0" xfId="0" applyFont="1" applyAlignment="1">
      <alignment horizontal="left" vertical="top"/>
    </xf>
    <xf numFmtId="0" fontId="37" fillId="0" borderId="0" xfId="0" applyFont="1" applyAlignment="1">
      <alignment horizontal="left" vertical="top" wrapText="1"/>
    </xf>
    <xf numFmtId="0" fontId="37" fillId="0" borderId="33" xfId="0" applyFont="1" applyBorder="1" applyAlignment="1">
      <alignment horizontal="left" vertical="top"/>
    </xf>
    <xf numFmtId="0" fontId="37" fillId="0" borderId="0" xfId="0" applyFont="1" applyBorder="1" applyAlignment="1">
      <alignment horizontal="left" vertical="top" wrapText="1"/>
    </xf>
    <xf numFmtId="0" fontId="37" fillId="0" borderId="0" xfId="0" applyFont="1" applyBorder="1" applyAlignment="1">
      <alignment horizontal="left" vertical="top"/>
    </xf>
    <xf numFmtId="0" fontId="37" fillId="0" borderId="0" xfId="0" applyNumberFormat="1" applyFont="1" applyBorder="1" applyAlignment="1">
      <alignment horizontal="left" vertical="top" wrapText="1"/>
    </xf>
    <xf numFmtId="0" fontId="37" fillId="0" borderId="35" xfId="0" applyFont="1" applyBorder="1" applyAlignment="1">
      <alignment horizontal="left" vertical="top"/>
    </xf>
    <xf numFmtId="0" fontId="37" fillId="0" borderId="0" xfId="0" applyFont="1" applyBorder="1" applyAlignment="1">
      <alignment vertical="top" wrapText="1"/>
    </xf>
    <xf numFmtId="0" fontId="132" fillId="0" borderId="0" xfId="0" applyFont="1" applyBorder="1" applyAlignment="1">
      <alignment horizontal="left" vertical="top" wrapText="1"/>
    </xf>
    <xf numFmtId="0" fontId="47" fillId="0" borderId="0" xfId="0" applyNumberFormat="1" applyFont="1" applyAlignment="1">
      <alignment horizontal="left" vertical="top" wrapText="1"/>
    </xf>
    <xf numFmtId="0" fontId="37" fillId="0" borderId="0" xfId="0" applyNumberFormat="1" applyFont="1" applyBorder="1" applyAlignment="1">
      <alignment horizontal="left" vertical="top" wrapText="1" indent="1"/>
    </xf>
    <xf numFmtId="0" fontId="132" fillId="0" borderId="0" xfId="1" quotePrefix="1" applyFont="1" applyAlignment="1" applyProtection="1">
      <alignment horizontal="left" vertical="top" wrapText="1"/>
    </xf>
    <xf numFmtId="1" fontId="37" fillId="0" borderId="27" xfId="0" applyNumberFormat="1" applyFont="1" applyFill="1" applyBorder="1" applyAlignment="1">
      <alignment horizontal="left"/>
    </xf>
    <xf numFmtId="1" fontId="37" fillId="0" borderId="22" xfId="0" applyNumberFormat="1" applyFont="1" applyFill="1" applyBorder="1" applyAlignment="1">
      <alignment horizontal="left"/>
    </xf>
    <xf numFmtId="1" fontId="37" fillId="0" borderId="8" xfId="0" applyNumberFormat="1" applyFont="1" applyFill="1" applyBorder="1" applyAlignment="1">
      <alignment horizontal="left"/>
    </xf>
    <xf numFmtId="2" fontId="37" fillId="0" borderId="10" xfId="0" applyNumberFormat="1" applyFont="1" applyFill="1" applyBorder="1" applyAlignment="1">
      <alignment horizontal="left" vertical="top"/>
    </xf>
    <xf numFmtId="2" fontId="41" fillId="0" borderId="15" xfId="0" applyNumberFormat="1" applyFont="1" applyFill="1" applyBorder="1" applyAlignment="1">
      <alignment horizontal="left" vertical="top"/>
    </xf>
    <xf numFmtId="2" fontId="37" fillId="0" borderId="15" xfId="0" applyNumberFormat="1" applyFont="1" applyFill="1" applyBorder="1" applyAlignment="1">
      <alignment horizontal="left" vertical="top"/>
    </xf>
    <xf numFmtId="2" fontId="50" fillId="0" borderId="15" xfId="0" applyNumberFormat="1" applyFont="1" applyFill="1" applyBorder="1" applyAlignment="1">
      <alignment horizontal="left" vertical="top"/>
    </xf>
    <xf numFmtId="2" fontId="50" fillId="0" borderId="9" xfId="0" applyNumberFormat="1" applyFont="1" applyFill="1" applyBorder="1" applyAlignment="1">
      <alignment horizontal="left" vertical="top"/>
    </xf>
    <xf numFmtId="1" fontId="37" fillId="0" borderId="15" xfId="0" applyNumberFormat="1" applyFont="1" applyFill="1" applyBorder="1" applyAlignment="1">
      <alignment horizontal="left"/>
    </xf>
    <xf numFmtId="1" fontId="37" fillId="0" borderId="6" xfId="0" applyNumberFormat="1" applyFont="1" applyFill="1" applyBorder="1" applyAlignment="1">
      <alignment horizontal="left"/>
    </xf>
    <xf numFmtId="2" fontId="37" fillId="0" borderId="12" xfId="0" applyNumberFormat="1" applyFont="1" applyFill="1" applyBorder="1" applyAlignment="1">
      <alignment horizontal="left" vertical="top"/>
    </xf>
    <xf numFmtId="2" fontId="41" fillId="0" borderId="11" xfId="0" applyNumberFormat="1" applyFont="1" applyFill="1" applyBorder="1" applyAlignment="1">
      <alignment horizontal="left" vertical="top"/>
    </xf>
    <xf numFmtId="2" fontId="37" fillId="0" borderId="11" xfId="0" applyNumberFormat="1" applyFont="1" applyFill="1" applyBorder="1" applyAlignment="1">
      <alignment horizontal="left" vertical="top"/>
    </xf>
    <xf numFmtId="2" fontId="50" fillId="0" borderId="11" xfId="0" applyNumberFormat="1" applyFont="1" applyFill="1" applyBorder="1" applyAlignment="1">
      <alignment horizontal="left" vertical="top"/>
    </xf>
    <xf numFmtId="2" fontId="50" fillId="0" borderId="13" xfId="0" applyNumberFormat="1" applyFont="1" applyFill="1" applyBorder="1" applyAlignment="1">
      <alignment horizontal="left" vertical="top"/>
    </xf>
    <xf numFmtId="1" fontId="37" fillId="0" borderId="11" xfId="0" applyNumberFormat="1" applyFont="1" applyFill="1" applyBorder="1" applyAlignment="1">
      <alignment horizontal="left"/>
    </xf>
    <xf numFmtId="0" fontId="0" fillId="0" borderId="5" xfId="0" applyFill="1" applyBorder="1"/>
    <xf numFmtId="0" fontId="37" fillId="0" borderId="0" xfId="0" applyFont="1" applyBorder="1" applyAlignment="1">
      <alignment horizontal="right"/>
    </xf>
    <xf numFmtId="0" fontId="0" fillId="0" borderId="20" xfId="0" applyFill="1" applyBorder="1"/>
    <xf numFmtId="0" fontId="37" fillId="0" borderId="11" xfId="0" quotePrefix="1" applyFont="1" applyBorder="1" applyAlignment="1">
      <alignment horizontal="left" indent="1"/>
    </xf>
    <xf numFmtId="1" fontId="37" fillId="0" borderId="20" xfId="0" applyNumberFormat="1" applyFont="1" applyBorder="1" applyAlignment="1">
      <alignment horizontal="left"/>
    </xf>
    <xf numFmtId="0" fontId="37" fillId="0" borderId="5" xfId="0" applyFont="1" applyBorder="1"/>
    <xf numFmtId="0" fontId="89" fillId="0" borderId="5" xfId="0" applyFont="1" applyBorder="1"/>
    <xf numFmtId="0" fontId="0" fillId="0" borderId="15" xfId="0" applyFill="1" applyBorder="1"/>
    <xf numFmtId="0" fontId="0" fillId="0" borderId="126" xfId="0" applyFill="1" applyBorder="1"/>
    <xf numFmtId="0" fontId="37" fillId="0" borderId="11" xfId="0" applyFont="1" applyBorder="1"/>
    <xf numFmtId="0" fontId="37" fillId="0" borderId="127" xfId="0" applyFont="1" applyBorder="1"/>
    <xf numFmtId="0" fontId="0" fillId="0" borderId="0" xfId="0" applyFill="1" applyBorder="1" applyAlignment="1">
      <alignment horizontal="left"/>
    </xf>
    <xf numFmtId="0" fontId="41" fillId="0" borderId="128" xfId="0" applyFont="1" applyBorder="1"/>
    <xf numFmtId="0" fontId="41" fillId="0" borderId="129" xfId="0" applyFont="1" applyBorder="1"/>
    <xf numFmtId="0" fontId="37" fillId="0" borderId="129" xfId="0" applyFont="1" applyBorder="1"/>
    <xf numFmtId="0" fontId="89" fillId="0" borderId="129" xfId="0" applyFont="1" applyBorder="1"/>
    <xf numFmtId="0" fontId="37" fillId="0" borderId="11" xfId="0" applyFont="1" applyBorder="1" applyAlignment="1">
      <alignment horizontal="right"/>
    </xf>
    <xf numFmtId="0" fontId="37" fillId="0" borderId="11" xfId="0" applyFont="1" applyFill="1" applyBorder="1"/>
    <xf numFmtId="0" fontId="37" fillId="0" borderId="11" xfId="0" quotePrefix="1" applyFont="1" applyFill="1" applyBorder="1" applyAlignment="1">
      <alignment horizontal="right"/>
    </xf>
    <xf numFmtId="0" fontId="0" fillId="0" borderId="130" xfId="0" applyFill="1" applyBorder="1"/>
    <xf numFmtId="0" fontId="0" fillId="0" borderId="126" xfId="0" applyBorder="1"/>
    <xf numFmtId="0" fontId="0" fillId="0" borderId="127" xfId="0" applyFill="1" applyBorder="1"/>
    <xf numFmtId="0" fontId="37" fillId="0" borderId="128" xfId="0" applyFont="1" applyBorder="1" applyAlignment="1">
      <alignment horizontal="right"/>
    </xf>
    <xf numFmtId="10" fontId="37" fillId="0" borderId="129" xfId="0" applyNumberFormat="1" applyFont="1" applyBorder="1" applyAlignment="1">
      <alignment horizontal="left"/>
    </xf>
    <xf numFmtId="0" fontId="0" fillId="0" borderId="129" xfId="0" applyFill="1" applyBorder="1"/>
    <xf numFmtId="0" fontId="0" fillId="0" borderId="130" xfId="0" applyBorder="1"/>
    <xf numFmtId="0" fontId="0" fillId="0" borderId="11" xfId="0" applyFill="1" applyBorder="1"/>
    <xf numFmtId="0" fontId="35" fillId="0" borderId="0" xfId="6" applyFont="1" applyFill="1" applyBorder="1" applyAlignment="1">
      <alignment horizontal="left"/>
    </xf>
    <xf numFmtId="0" fontId="35" fillId="0" borderId="42" xfId="6" applyFont="1" applyFill="1" applyBorder="1" applyAlignment="1">
      <alignment horizontal="left"/>
    </xf>
    <xf numFmtId="0" fontId="35" fillId="0" borderId="101" xfId="6" applyFont="1" applyBorder="1" applyAlignment="1">
      <alignment horizontal="left"/>
    </xf>
    <xf numFmtId="0" fontId="49" fillId="0" borderId="36" xfId="6" applyFont="1" applyBorder="1" applyAlignment="1">
      <alignment horizontal="left"/>
    </xf>
    <xf numFmtId="0" fontId="49" fillId="0" borderId="97" xfId="6" applyFont="1" applyBorder="1" applyAlignment="1">
      <alignment horizontal="left"/>
    </xf>
    <xf numFmtId="0" fontId="35" fillId="14" borderId="30" xfId="6" applyFont="1" applyFill="1" applyBorder="1" applyAlignment="1">
      <alignment horizontal="left"/>
    </xf>
    <xf numFmtId="0" fontId="49" fillId="14" borderId="36" xfId="6" applyFont="1" applyFill="1" applyBorder="1" applyAlignment="1">
      <alignment horizontal="left"/>
    </xf>
    <xf numFmtId="0" fontId="35" fillId="0" borderId="30" xfId="6" applyFont="1" applyBorder="1" applyAlignment="1">
      <alignment horizontal="left"/>
    </xf>
    <xf numFmtId="0" fontId="33" fillId="0" borderId="36" xfId="6" applyFont="1" applyBorder="1" applyAlignment="1">
      <alignment horizontal="left"/>
    </xf>
    <xf numFmtId="0" fontId="37" fillId="0" borderId="36" xfId="6" applyFont="1" applyBorder="1" applyAlignment="1">
      <alignment horizontal="left"/>
    </xf>
    <xf numFmtId="0" fontId="30" fillId="0" borderId="30" xfId="6" applyFont="1" applyBorder="1" applyAlignment="1">
      <alignment horizontal="left"/>
    </xf>
    <xf numFmtId="0" fontId="30" fillId="0" borderId="36" xfId="6" applyFont="1" applyBorder="1" applyAlignment="1">
      <alignment horizontal="left"/>
    </xf>
    <xf numFmtId="0" fontId="49" fillId="0" borderId="30" xfId="6" applyFont="1" applyBorder="1" applyAlignment="1">
      <alignment horizontal="left"/>
    </xf>
    <xf numFmtId="0" fontId="97" fillId="0" borderId="36" xfId="6" applyFont="1" applyBorder="1" applyAlignment="1">
      <alignment horizontal="left"/>
    </xf>
    <xf numFmtId="0" fontId="29" fillId="0" borderId="36" xfId="6" applyFont="1" applyBorder="1" applyAlignment="1">
      <alignment horizontal="left"/>
    </xf>
    <xf numFmtId="0" fontId="21" fillId="0" borderId="36" xfId="6" applyFont="1" applyBorder="1" applyAlignment="1">
      <alignment horizontal="left"/>
    </xf>
    <xf numFmtId="0" fontId="23" fillId="0" borderId="36" xfId="6" applyFont="1" applyBorder="1" applyAlignment="1">
      <alignment horizontal="left"/>
    </xf>
    <xf numFmtId="0" fontId="32" fillId="0" borderId="30" xfId="6" applyFont="1" applyBorder="1" applyAlignment="1">
      <alignment horizontal="left"/>
    </xf>
    <xf numFmtId="0" fontId="32" fillId="0" borderId="36" xfId="6" applyFont="1" applyBorder="1" applyAlignment="1">
      <alignment horizontal="left"/>
    </xf>
    <xf numFmtId="0" fontId="29" fillId="0" borderId="30" xfId="6" applyFont="1" applyBorder="1" applyAlignment="1">
      <alignment horizontal="left"/>
    </xf>
    <xf numFmtId="0" fontId="35" fillId="0" borderId="97" xfId="6" applyFont="1" applyBorder="1" applyAlignment="1">
      <alignment horizontal="left"/>
    </xf>
    <xf numFmtId="0" fontId="73" fillId="0" borderId="30" xfId="6" applyFont="1" applyBorder="1" applyAlignment="1">
      <alignment horizontal="left"/>
    </xf>
    <xf numFmtId="0" fontId="73" fillId="0" borderId="36" xfId="6" applyFont="1" applyBorder="1" applyAlignment="1">
      <alignment horizontal="left"/>
    </xf>
    <xf numFmtId="0" fontId="73" fillId="0" borderId="0" xfId="6" applyFont="1" applyBorder="1" applyAlignment="1">
      <alignment horizontal="left"/>
    </xf>
    <xf numFmtId="0" fontId="9" fillId="0" borderId="0" xfId="6" applyFont="1" applyAlignment="1">
      <alignment horizontal="left"/>
    </xf>
    <xf numFmtId="0" fontId="0" fillId="0" borderId="5" xfId="0" applyFill="1" applyBorder="1" applyAlignment="1">
      <alignment horizontal="left"/>
    </xf>
    <xf numFmtId="0" fontId="48" fillId="0" borderId="5" xfId="0" applyFont="1" applyBorder="1" applyAlignment="1">
      <alignment horizontal="left"/>
    </xf>
    <xf numFmtId="0" fontId="0" fillId="0" borderId="5" xfId="0" applyBorder="1" applyAlignment="1">
      <alignment horizontal="left"/>
    </xf>
    <xf numFmtId="0" fontId="47" fillId="0" borderId="5" xfId="0" applyFont="1" applyBorder="1" applyAlignment="1">
      <alignment horizontal="left"/>
    </xf>
    <xf numFmtId="0" fontId="49" fillId="6" borderId="3" xfId="6" applyFont="1" applyFill="1" applyBorder="1" applyAlignment="1">
      <alignment horizontal="left"/>
    </xf>
    <xf numFmtId="0" fontId="49" fillId="3" borderId="3" xfId="6" applyFont="1" applyFill="1" applyBorder="1" applyAlignment="1">
      <alignment horizontal="left"/>
    </xf>
    <xf numFmtId="0" fontId="49" fillId="3" borderId="6" xfId="6" applyFont="1" applyFill="1" applyBorder="1" applyAlignment="1">
      <alignment horizontal="left"/>
    </xf>
    <xf numFmtId="0" fontId="49" fillId="13" borderId="131" xfId="6" applyFont="1" applyFill="1" applyBorder="1" applyAlignment="1">
      <alignment horizontal="left"/>
    </xf>
    <xf numFmtId="0" fontId="49" fillId="13" borderId="27" xfId="6" applyFont="1" applyFill="1" applyBorder="1" applyAlignment="1">
      <alignment horizontal="left"/>
    </xf>
    <xf numFmtId="0" fontId="49" fillId="13" borderId="77" xfId="6" applyFont="1" applyFill="1" applyBorder="1" applyAlignment="1">
      <alignment horizontal="left"/>
    </xf>
    <xf numFmtId="0" fontId="94" fillId="3" borderId="6" xfId="6" applyFont="1" applyFill="1" applyBorder="1" applyAlignment="1">
      <alignment horizontal="left"/>
    </xf>
    <xf numFmtId="0" fontId="56" fillId="3" borderId="7" xfId="6" applyFont="1" applyFill="1" applyBorder="1" applyAlignment="1">
      <alignment horizontal="left"/>
    </xf>
    <xf numFmtId="0" fontId="35" fillId="3" borderId="7" xfId="6" applyFont="1" applyFill="1" applyBorder="1" applyAlignment="1">
      <alignment horizontal="left"/>
    </xf>
    <xf numFmtId="0" fontId="35" fillId="3" borderId="8" xfId="6" applyFont="1" applyFill="1" applyBorder="1" applyAlignment="1">
      <alignment horizontal="left"/>
    </xf>
    <xf numFmtId="0" fontId="59" fillId="3" borderId="6" xfId="6" applyFont="1" applyFill="1" applyBorder="1" applyAlignment="1">
      <alignment horizontal="left"/>
    </xf>
    <xf numFmtId="0" fontId="94" fillId="3" borderId="8" xfId="6" applyFont="1" applyFill="1" applyBorder="1" applyAlignment="1">
      <alignment horizontal="right"/>
    </xf>
    <xf numFmtId="0" fontId="59" fillId="13" borderId="7" xfId="6" applyFont="1" applyFill="1" applyBorder="1" applyAlignment="1">
      <alignment horizontal="right"/>
    </xf>
    <xf numFmtId="0" fontId="49" fillId="3" borderId="131" xfId="6" applyFont="1" applyFill="1" applyBorder="1" applyAlignment="1">
      <alignment horizontal="left"/>
    </xf>
    <xf numFmtId="0" fontId="49" fillId="3" borderId="27" xfId="6" applyFont="1" applyFill="1" applyBorder="1" applyAlignment="1">
      <alignment horizontal="left"/>
    </xf>
    <xf numFmtId="0" fontId="49" fillId="3" borderId="77" xfId="6" applyFont="1" applyFill="1" applyBorder="1" applyAlignment="1">
      <alignment horizontal="left"/>
    </xf>
    <xf numFmtId="0" fontId="35" fillId="0" borderId="5" xfId="6" applyFont="1" applyFill="1" applyBorder="1" applyAlignment="1">
      <alignment horizontal="left"/>
    </xf>
    <xf numFmtId="0" fontId="49" fillId="0" borderId="36" xfId="6" applyFont="1" applyFill="1" applyBorder="1" applyAlignment="1">
      <alignment horizontal="left"/>
    </xf>
    <xf numFmtId="165" fontId="37" fillId="0" borderId="5" xfId="3" applyNumberFormat="1" applyFont="1" applyBorder="1" applyAlignment="1">
      <alignment horizontal="left" vertical="top"/>
    </xf>
    <xf numFmtId="164" fontId="47" fillId="14" borderId="0" xfId="0" applyNumberFormat="1" applyFont="1" applyFill="1" applyAlignment="1">
      <alignment horizontal="left" vertical="top"/>
    </xf>
    <xf numFmtId="0" fontId="62" fillId="0" borderId="11" xfId="6" applyFont="1" applyBorder="1" applyAlignment="1">
      <alignment horizontal="left" vertical="top"/>
    </xf>
    <xf numFmtId="0" fontId="41" fillId="0" borderId="11" xfId="6" applyFont="1" applyBorder="1" applyAlignment="1">
      <alignment horizontal="left" vertical="top"/>
    </xf>
    <xf numFmtId="0" fontId="22" fillId="0" borderId="11" xfId="6" applyFont="1" applyFill="1" applyBorder="1" applyAlignment="1">
      <alignment horizontal="left" vertical="top"/>
    </xf>
    <xf numFmtId="0" fontId="35" fillId="0" borderId="11" xfId="6" applyNumberFormat="1" applyFont="1" applyBorder="1" applyAlignment="1">
      <alignment horizontal="left" vertical="top"/>
    </xf>
    <xf numFmtId="0" fontId="48" fillId="0" borderId="11" xfId="6" applyFont="1" applyFill="1" applyBorder="1" applyAlignment="1">
      <alignment horizontal="left" vertical="top"/>
    </xf>
    <xf numFmtId="0" fontId="0" fillId="14" borderId="11" xfId="0" applyFill="1" applyBorder="1"/>
    <xf numFmtId="0" fontId="41" fillId="0" borderId="11" xfId="0" applyFont="1" applyBorder="1"/>
    <xf numFmtId="0" fontId="41" fillId="14" borderId="11" xfId="0" applyFont="1" applyFill="1" applyBorder="1" applyAlignment="1">
      <alignment horizontal="left"/>
    </xf>
    <xf numFmtId="0" fontId="79" fillId="0" borderId="11" xfId="0" applyFont="1" applyBorder="1" applyAlignment="1">
      <alignment horizontal="left"/>
    </xf>
    <xf numFmtId="0" fontId="37" fillId="0" borderId="11" xfId="0" applyFont="1" applyFill="1" applyBorder="1" applyAlignment="1">
      <alignment horizontal="left"/>
    </xf>
    <xf numFmtId="0" fontId="0" fillId="0" borderId="11" xfId="0" applyBorder="1" applyAlignment="1">
      <alignment horizontal="left"/>
    </xf>
    <xf numFmtId="11" fontId="37" fillId="0" borderId="5" xfId="0" applyNumberFormat="1" applyFont="1" applyBorder="1" applyAlignment="1">
      <alignment horizontal="left"/>
    </xf>
    <xf numFmtId="0" fontId="0" fillId="0" borderId="12" xfId="0" applyBorder="1" applyAlignment="1">
      <alignment horizontal="left"/>
    </xf>
    <xf numFmtId="0" fontId="0" fillId="14" borderId="11" xfId="0" applyFill="1" applyBorder="1" applyAlignment="1">
      <alignment horizontal="left"/>
    </xf>
    <xf numFmtId="0" fontId="0" fillId="0" borderId="11" xfId="0" applyFill="1" applyBorder="1" applyAlignment="1">
      <alignment horizontal="left"/>
    </xf>
    <xf numFmtId="0" fontId="35" fillId="0" borderId="11" xfId="6" applyFont="1" applyFill="1" applyBorder="1" applyAlignment="1">
      <alignment horizontal="left"/>
    </xf>
    <xf numFmtId="0" fontId="35" fillId="0" borderId="11" xfId="6" applyFont="1" applyBorder="1" applyAlignment="1">
      <alignment horizontal="left"/>
    </xf>
    <xf numFmtId="0" fontId="9" fillId="0" borderId="11" xfId="6" applyFont="1" applyFill="1" applyBorder="1" applyAlignment="1">
      <alignment horizontal="left"/>
    </xf>
    <xf numFmtId="0" fontId="35" fillId="0" borderId="13" xfId="6" applyFont="1" applyBorder="1" applyAlignment="1">
      <alignment horizontal="left"/>
    </xf>
    <xf numFmtId="0" fontId="35" fillId="0" borderId="12" xfId="6" applyFont="1" applyFill="1" applyBorder="1" applyAlignment="1">
      <alignment horizontal="left"/>
    </xf>
    <xf numFmtId="0" fontId="35" fillId="0" borderId="12" xfId="6" applyFont="1" applyBorder="1" applyAlignment="1">
      <alignment horizontal="left"/>
    </xf>
    <xf numFmtId="0" fontId="73" fillId="0" borderId="12" xfId="6" applyFont="1" applyBorder="1" applyAlignment="1">
      <alignment horizontal="left"/>
    </xf>
    <xf numFmtId="0" fontId="73" fillId="0" borderId="11" xfId="6" applyFont="1" applyBorder="1" applyAlignment="1">
      <alignment horizontal="left"/>
    </xf>
    <xf numFmtId="0" fontId="12" fillId="0" borderId="6" xfId="6" applyFont="1" applyBorder="1" applyAlignment="1">
      <alignment horizontal="left" vertical="top"/>
    </xf>
    <xf numFmtId="0" fontId="29" fillId="14" borderId="6" xfId="6" applyFont="1" applyFill="1" applyBorder="1" applyAlignment="1">
      <alignment horizontal="left" vertical="top"/>
    </xf>
    <xf numFmtId="0" fontId="22" fillId="14" borderId="6" xfId="6" applyFont="1" applyFill="1" applyBorder="1" applyAlignment="1">
      <alignment horizontal="left" vertical="top"/>
    </xf>
    <xf numFmtId="0" fontId="29" fillId="0" borderId="6" xfId="6" applyFont="1" applyBorder="1" applyAlignment="1">
      <alignment horizontal="left" vertical="top"/>
    </xf>
    <xf numFmtId="0" fontId="25" fillId="0" borderId="0" xfId="6" applyFont="1" applyBorder="1" applyAlignment="1">
      <alignment horizontal="left" vertical="top"/>
    </xf>
    <xf numFmtId="0" fontId="35" fillId="0" borderId="0" xfId="6" applyFont="1" applyFill="1" applyAlignment="1">
      <alignment horizontal="left" vertical="top" indent="1"/>
    </xf>
    <xf numFmtId="0" fontId="35" fillId="0" borderId="0" xfId="6" applyFont="1" applyFill="1" applyBorder="1" applyAlignment="1">
      <alignment horizontal="left" vertical="top" indent="1"/>
    </xf>
    <xf numFmtId="0" fontId="147" fillId="0" borderId="0" xfId="6" applyFont="1" applyFill="1" applyBorder="1" applyAlignment="1">
      <alignment vertical="top" wrapText="1"/>
    </xf>
    <xf numFmtId="0" fontId="147" fillId="0" borderId="0" xfId="6" applyFont="1" applyFill="1" applyBorder="1" applyAlignment="1">
      <alignment vertical="top"/>
    </xf>
    <xf numFmtId="0" fontId="19" fillId="0" borderId="0" xfId="6" applyFont="1" applyBorder="1" applyAlignment="1">
      <alignment vertical="top" wrapText="1"/>
    </xf>
    <xf numFmtId="0" fontId="19" fillId="0" borderId="0" xfId="6" applyFont="1" applyBorder="1" applyAlignment="1">
      <alignment vertical="top"/>
    </xf>
    <xf numFmtId="0" fontId="48" fillId="0" borderId="3" xfId="6" applyFont="1" applyBorder="1" applyAlignment="1">
      <alignment horizontal="left" vertical="top"/>
    </xf>
    <xf numFmtId="0" fontId="73" fillId="0" borderId="3" xfId="6" applyFont="1" applyBorder="1" applyAlignment="1">
      <alignment horizontal="left" vertical="top"/>
    </xf>
    <xf numFmtId="0" fontId="122" fillId="0" borderId="3" xfId="6" applyFont="1" applyBorder="1" applyAlignment="1">
      <alignment horizontal="left" vertical="top" wrapText="1"/>
    </xf>
    <xf numFmtId="0" fontId="73" fillId="0" borderId="3" xfId="6" applyFont="1" applyBorder="1" applyAlignment="1">
      <alignment horizontal="left" vertical="top" wrapText="1"/>
    </xf>
    <xf numFmtId="0" fontId="37" fillId="7" borderId="0" xfId="6" applyNumberFormat="1" applyFont="1" applyFill="1" applyBorder="1" applyAlignment="1">
      <alignment horizontal="left" vertical="top"/>
    </xf>
    <xf numFmtId="0" fontId="35" fillId="7" borderId="0" xfId="6" applyNumberFormat="1" applyFont="1" applyFill="1" applyBorder="1" applyAlignment="1">
      <alignment horizontal="left" vertical="top"/>
    </xf>
    <xf numFmtId="0" fontId="35" fillId="7" borderId="0" xfId="6" applyNumberFormat="1" applyFont="1" applyFill="1" applyAlignment="1">
      <alignment horizontal="left" vertical="top"/>
    </xf>
    <xf numFmtId="0" fontId="35" fillId="7" borderId="0" xfId="6" applyNumberFormat="1" applyFont="1" applyFill="1" applyAlignment="1">
      <alignment horizontal="left" vertical="top" wrapText="1"/>
    </xf>
    <xf numFmtId="0" fontId="0" fillId="0" borderId="0" xfId="0" applyBorder="1" applyAlignment="1"/>
    <xf numFmtId="0" fontId="35" fillId="0" borderId="0" xfId="6" applyFont="1" applyFill="1" applyBorder="1" applyAlignment="1">
      <alignment vertical="top" wrapText="1"/>
    </xf>
    <xf numFmtId="0" fontId="35" fillId="0" borderId="0" xfId="6" quotePrefix="1" applyFont="1" applyBorder="1" applyAlignment="1">
      <alignment horizontal="left" vertical="top" indent="1"/>
    </xf>
    <xf numFmtId="0" fontId="37" fillId="0" borderId="38" xfId="6" quotePrefix="1" applyFont="1" applyBorder="1" applyAlignment="1">
      <alignment horizontal="left" vertical="top" indent="1"/>
    </xf>
    <xf numFmtId="0" fontId="47" fillId="0" borderId="0" xfId="6" applyFont="1" applyAlignment="1">
      <alignment vertical="top" wrapText="1"/>
    </xf>
    <xf numFmtId="0" fontId="37" fillId="0" borderId="3" xfId="6" applyFont="1" applyBorder="1" applyAlignment="1">
      <alignment horizontal="left" vertical="top" wrapText="1"/>
    </xf>
    <xf numFmtId="0" fontId="48" fillId="0" borderId="3" xfId="6" applyFont="1" applyBorder="1" applyAlignment="1">
      <alignment horizontal="left" vertical="top" wrapText="1"/>
    </xf>
    <xf numFmtId="0" fontId="73" fillId="0" borderId="0" xfId="6" applyFont="1" applyAlignment="1">
      <alignment horizontal="left" vertical="top"/>
    </xf>
    <xf numFmtId="0" fontId="123" fillId="13" borderId="3" xfId="6" applyFont="1" applyFill="1" applyBorder="1" applyAlignment="1">
      <alignment horizontal="center" vertical="top"/>
    </xf>
    <xf numFmtId="0" fontId="150" fillId="13" borderId="3" xfId="6" applyFont="1" applyFill="1" applyBorder="1" applyAlignment="1">
      <alignment horizontal="center" vertical="top"/>
    </xf>
    <xf numFmtId="0" fontId="37" fillId="0" borderId="11" xfId="0" applyFont="1" applyFill="1" applyBorder="1" applyAlignment="1">
      <alignment horizontal="left" vertical="top"/>
    </xf>
    <xf numFmtId="1" fontId="37" fillId="0" borderId="11" xfId="0" applyNumberFormat="1" applyFont="1" applyFill="1" applyBorder="1" applyAlignment="1">
      <alignment horizontal="left" vertical="top"/>
    </xf>
    <xf numFmtId="0" fontId="37" fillId="0" borderId="36" xfId="0" applyFont="1" applyBorder="1" applyAlignment="1">
      <alignment horizontal="left" vertical="top"/>
    </xf>
    <xf numFmtId="1" fontId="37" fillId="0" borderId="0" xfId="0" applyNumberFormat="1" applyFont="1" applyFill="1" applyBorder="1" applyAlignment="1">
      <alignment horizontal="left" vertical="top"/>
    </xf>
    <xf numFmtId="1" fontId="37" fillId="0" borderId="36" xfId="0" applyNumberFormat="1" applyFont="1" applyBorder="1" applyAlignment="1">
      <alignment horizontal="left" vertical="top"/>
    </xf>
    <xf numFmtId="9" fontId="136" fillId="0" borderId="0" xfId="6" applyNumberFormat="1" applyFont="1" applyBorder="1" applyAlignment="1">
      <alignment horizontal="left" vertical="top" wrapText="1"/>
    </xf>
    <xf numFmtId="0" fontId="147" fillId="0" borderId="0" xfId="0" applyFont="1" applyBorder="1" applyAlignment="1">
      <alignment horizontal="left" vertical="top"/>
    </xf>
    <xf numFmtId="10" fontId="69" fillId="0" borderId="0" xfId="0" applyNumberFormat="1" applyFont="1" applyBorder="1" applyAlignment="1">
      <alignment horizontal="left" vertical="top"/>
    </xf>
    <xf numFmtId="2" fontId="47" fillId="0" borderId="0" xfId="0" applyNumberFormat="1" applyFont="1" applyBorder="1" applyAlignment="1">
      <alignment horizontal="left" vertical="top"/>
    </xf>
    <xf numFmtId="0" fontId="37" fillId="0" borderId="42" xfId="0" applyFont="1" applyBorder="1" applyAlignment="1">
      <alignment horizontal="center" vertical="top"/>
    </xf>
    <xf numFmtId="0" fontId="37" fillId="0" borderId="42" xfId="0" applyFont="1" applyBorder="1" applyAlignment="1">
      <alignment horizontal="left" vertical="top" indent="1"/>
    </xf>
    <xf numFmtId="1" fontId="37" fillId="0" borderId="42" xfId="0" applyNumberFormat="1" applyFont="1" applyBorder="1" applyAlignment="1">
      <alignment horizontal="left" vertical="top"/>
    </xf>
    <xf numFmtId="1" fontId="37" fillId="7" borderId="42" xfId="0" applyNumberFormat="1" applyFont="1" applyFill="1" applyBorder="1" applyAlignment="1">
      <alignment horizontal="left" vertical="top"/>
    </xf>
    <xf numFmtId="0" fontId="38" fillId="0" borderId="132" xfId="0" applyFont="1" applyBorder="1" applyAlignment="1">
      <alignment horizontal="left" vertical="top"/>
    </xf>
    <xf numFmtId="9" fontId="37" fillId="0" borderId="41" xfId="0" applyNumberFormat="1" applyFont="1" applyBorder="1" applyAlignment="1">
      <alignment horizontal="left" vertical="top"/>
    </xf>
    <xf numFmtId="9" fontId="37" fillId="0" borderId="42" xfId="0" applyNumberFormat="1" applyFont="1" applyBorder="1" applyAlignment="1">
      <alignment horizontal="left" vertical="top"/>
    </xf>
    <xf numFmtId="9" fontId="37" fillId="14" borderId="42" xfId="0" applyNumberFormat="1" applyFont="1" applyFill="1" applyBorder="1" applyAlignment="1">
      <alignment horizontal="left" vertical="top"/>
    </xf>
    <xf numFmtId="9" fontId="37" fillId="0" borderId="43" xfId="0" applyNumberFormat="1" applyFont="1" applyBorder="1" applyAlignment="1">
      <alignment horizontal="left" vertical="top"/>
    </xf>
    <xf numFmtId="0" fontId="37" fillId="0" borderId="42" xfId="0" applyNumberFormat="1" applyFont="1" applyBorder="1" applyAlignment="1">
      <alignment horizontal="left" vertical="top" wrapText="1"/>
    </xf>
    <xf numFmtId="1" fontId="37" fillId="0" borderId="42" xfId="0" applyNumberFormat="1" applyFont="1" applyFill="1" applyBorder="1" applyAlignment="1">
      <alignment horizontal="left" vertical="top"/>
    </xf>
    <xf numFmtId="0" fontId="37" fillId="14" borderId="42" xfId="0" applyFont="1" applyFill="1" applyBorder="1" applyAlignment="1">
      <alignment vertical="top"/>
    </xf>
    <xf numFmtId="0" fontId="37" fillId="14" borderId="42" xfId="0" applyFont="1" applyFill="1" applyBorder="1" applyAlignment="1">
      <alignment horizontal="left" vertical="top"/>
    </xf>
    <xf numFmtId="0" fontId="37" fillId="7" borderId="42" xfId="0" applyFont="1" applyFill="1" applyBorder="1" applyAlignment="1">
      <alignment horizontal="left" vertical="top"/>
    </xf>
    <xf numFmtId="0" fontId="37" fillId="0" borderId="42" xfId="0" quotePrefix="1" applyFont="1" applyBorder="1" applyAlignment="1">
      <alignment horizontal="left" vertical="top" indent="1"/>
    </xf>
    <xf numFmtId="0" fontId="47" fillId="0" borderId="42" xfId="0" applyFont="1" applyBorder="1" applyAlignment="1">
      <alignment horizontal="left" vertical="top"/>
    </xf>
    <xf numFmtId="0" fontId="37" fillId="0" borderId="42" xfId="0" applyFont="1" applyBorder="1" applyAlignment="1">
      <alignment vertical="top"/>
    </xf>
    <xf numFmtId="0" fontId="37" fillId="0" borderId="42" xfId="0" applyFont="1" applyFill="1" applyBorder="1" applyAlignment="1">
      <alignment horizontal="left" vertical="top"/>
    </xf>
    <xf numFmtId="164" fontId="48" fillId="0" borderId="42" xfId="0" applyNumberFormat="1" applyFont="1" applyBorder="1" applyAlignment="1">
      <alignment horizontal="left" vertical="top"/>
    </xf>
    <xf numFmtId="0" fontId="37" fillId="0" borderId="38" xfId="0" applyNumberFormat="1" applyFont="1" applyBorder="1" applyAlignment="1">
      <alignment horizontal="left" vertical="top" wrapText="1"/>
    </xf>
    <xf numFmtId="0" fontId="37" fillId="0" borderId="0" xfId="0" quotePrefix="1" applyFont="1" applyBorder="1" applyAlignment="1">
      <alignment horizontal="left"/>
    </xf>
    <xf numFmtId="0" fontId="47" fillId="0" borderId="0" xfId="0" applyFont="1" applyBorder="1" applyAlignment="1">
      <alignment horizontal="left" indent="2"/>
    </xf>
    <xf numFmtId="0" fontId="37" fillId="0" borderId="0" xfId="0" quotePrefix="1" applyFont="1" applyBorder="1" applyAlignment="1">
      <alignment horizontal="left" indent="1"/>
    </xf>
    <xf numFmtId="0" fontId="38" fillId="0" borderId="0" xfId="0" quotePrefix="1" applyFont="1" applyBorder="1" applyAlignment="1">
      <alignment horizontal="left" indent="1"/>
    </xf>
    <xf numFmtId="0" fontId="47" fillId="0" borderId="0" xfId="0" applyFont="1" applyBorder="1" applyAlignment="1">
      <alignment vertical="top"/>
    </xf>
    <xf numFmtId="0" fontId="47" fillId="0" borderId="0" xfId="0" applyFont="1" applyBorder="1" applyAlignment="1">
      <alignment horizontal="left"/>
    </xf>
    <xf numFmtId="0" fontId="47" fillId="0" borderId="0" xfId="0" applyFont="1" applyBorder="1" applyAlignment="1">
      <alignment horizontal="right"/>
    </xf>
    <xf numFmtId="0" fontId="47" fillId="0" borderId="0" xfId="0" quotePrefix="1" applyFont="1" applyBorder="1" applyAlignment="1">
      <alignment horizontal="left" vertical="top" indent="1"/>
    </xf>
    <xf numFmtId="0" fontId="139" fillId="0" borderId="11" xfId="0" applyFont="1" applyBorder="1" applyAlignment="1">
      <alignment horizontal="left" vertical="top"/>
    </xf>
    <xf numFmtId="0" fontId="37" fillId="0" borderId="0" xfId="0" applyFont="1" applyBorder="1" applyAlignment="1">
      <alignment horizontal="left" vertical="top" wrapText="1"/>
    </xf>
    <xf numFmtId="0" fontId="37" fillId="0" borderId="0" xfId="0" applyFont="1" applyAlignment="1">
      <alignment horizontal="left" vertical="top"/>
    </xf>
    <xf numFmtId="0" fontId="37" fillId="0" borderId="0" xfId="0" applyFont="1" applyBorder="1" applyAlignment="1">
      <alignment horizontal="left" vertical="top"/>
    </xf>
    <xf numFmtId="0" fontId="47" fillId="0" borderId="0" xfId="0" applyNumberFormat="1" applyFont="1" applyAlignment="1">
      <alignment horizontal="left" vertical="top"/>
    </xf>
    <xf numFmtId="0" fontId="37" fillId="0" borderId="36" xfId="0" applyFont="1" applyFill="1" applyBorder="1" applyAlignment="1">
      <alignment horizontal="left" vertical="top"/>
    </xf>
    <xf numFmtId="0" fontId="37" fillId="0" borderId="0" xfId="0" applyNumberFormat="1" applyFont="1" applyBorder="1" applyAlignment="1">
      <alignment vertical="top" wrapText="1"/>
    </xf>
    <xf numFmtId="0" fontId="132" fillId="0" borderId="0" xfId="1" applyFont="1" applyBorder="1" applyAlignment="1" applyProtection="1">
      <alignment horizontal="left"/>
    </xf>
    <xf numFmtId="0" fontId="110" fillId="0" borderId="0" xfId="0" applyFont="1" applyAlignment="1">
      <alignment horizontal="right" vertical="top"/>
    </xf>
    <xf numFmtId="0" fontId="37" fillId="0" borderId="87" xfId="0" applyFont="1" applyBorder="1" applyAlignment="1">
      <alignment horizontal="left" vertical="top"/>
    </xf>
    <xf numFmtId="0" fontId="37" fillId="14" borderId="65" xfId="0" applyFont="1" applyFill="1" applyBorder="1"/>
    <xf numFmtId="0" fontId="0" fillId="14" borderId="133" xfId="0" applyFill="1" applyBorder="1"/>
    <xf numFmtId="0" fontId="0" fillId="14" borderId="66" xfId="0" applyFill="1" applyBorder="1"/>
    <xf numFmtId="0" fontId="82" fillId="0" borderId="0" xfId="0" applyFont="1" applyFill="1" applyAlignment="1">
      <alignment vertical="top"/>
    </xf>
    <xf numFmtId="0" fontId="82" fillId="0" borderId="0" xfId="15" applyNumberFormat="1" applyFont="1" applyFill="1" applyAlignment="1">
      <alignment vertical="top"/>
    </xf>
    <xf numFmtId="0" fontId="79" fillId="0" borderId="0" xfId="0" applyFont="1" applyAlignment="1">
      <alignment vertical="top" wrapText="1"/>
    </xf>
    <xf numFmtId="0" fontId="0" fillId="0" borderId="0" xfId="0" applyFont="1" applyBorder="1" applyAlignment="1">
      <alignment horizontal="left" vertical="top" indent="1"/>
    </xf>
    <xf numFmtId="0" fontId="48" fillId="0" borderId="0" xfId="0" applyFont="1" applyAlignment="1">
      <alignment horizontal="left" vertical="top" indent="2"/>
    </xf>
    <xf numFmtId="0" fontId="37" fillId="0" borderId="5" xfId="1" applyFont="1" applyBorder="1" applyAlignment="1" applyProtection="1">
      <alignment horizontal="left" vertical="top"/>
    </xf>
    <xf numFmtId="0" fontId="132" fillId="0" borderId="5" xfId="1" quotePrefix="1" applyFont="1" applyBorder="1" applyAlignment="1" applyProtection="1">
      <alignment horizontal="left" vertical="top" wrapText="1"/>
    </xf>
    <xf numFmtId="0" fontId="37" fillId="0" borderId="14" xfId="0" applyFont="1" applyBorder="1" applyAlignment="1">
      <alignment vertical="top"/>
    </xf>
    <xf numFmtId="0" fontId="37" fillId="0" borderId="14" xfId="0" applyNumberFormat="1" applyFont="1" applyBorder="1" applyAlignment="1">
      <alignment horizontal="left" vertical="top" wrapText="1"/>
    </xf>
    <xf numFmtId="0" fontId="0" fillId="0" borderId="5" xfId="0" applyFont="1" applyFill="1" applyBorder="1" applyAlignment="1">
      <alignment vertical="top"/>
    </xf>
    <xf numFmtId="0" fontId="0" fillId="0" borderId="14" xfId="0" applyFont="1" applyFill="1" applyBorder="1" applyAlignment="1">
      <alignment vertical="top"/>
    </xf>
    <xf numFmtId="0" fontId="47" fillId="0" borderId="10" xfId="0" applyFont="1" applyBorder="1" applyAlignment="1">
      <alignment horizontal="left" vertical="top"/>
    </xf>
    <xf numFmtId="0" fontId="47" fillId="0" borderId="15" xfId="0" applyFont="1" applyBorder="1" applyAlignment="1">
      <alignment horizontal="left" vertical="top"/>
    </xf>
    <xf numFmtId="0" fontId="8" fillId="0" borderId="14" xfId="1" applyFont="1" applyBorder="1" applyAlignment="1" applyProtection="1">
      <alignment vertical="top"/>
    </xf>
    <xf numFmtId="0" fontId="37" fillId="0" borderId="14" xfId="1" applyFont="1" applyBorder="1" applyAlignment="1" applyProtection="1">
      <alignment horizontal="left" vertical="top"/>
    </xf>
    <xf numFmtId="0" fontId="132" fillId="0" borderId="14" xfId="0" applyFont="1" applyBorder="1" applyAlignment="1">
      <alignment horizontal="left" vertical="top" wrapText="1"/>
    </xf>
    <xf numFmtId="0" fontId="47" fillId="0" borderId="9" xfId="0" applyFont="1" applyBorder="1" applyAlignment="1">
      <alignment horizontal="left" vertical="top"/>
    </xf>
    <xf numFmtId="0" fontId="37" fillId="0" borderId="10" xfId="0" applyFont="1" applyBorder="1" applyAlignment="1">
      <alignment horizontal="left" vertical="top" wrapText="1"/>
    </xf>
    <xf numFmtId="0" fontId="132" fillId="0" borderId="14" xfId="1" quotePrefix="1" applyFont="1" applyBorder="1" applyAlignment="1" applyProtection="1">
      <alignment horizontal="left" vertical="top" wrapText="1"/>
    </xf>
    <xf numFmtId="0" fontId="37" fillId="0" borderId="9" xfId="0" applyFont="1" applyBorder="1" applyAlignment="1">
      <alignment horizontal="left" vertical="top" wrapText="1"/>
    </xf>
    <xf numFmtId="0" fontId="37" fillId="0" borderId="0" xfId="0" applyNumberFormat="1" applyFont="1" applyBorder="1" applyAlignment="1">
      <alignment horizontal="left" vertical="top" indent="1"/>
    </xf>
    <xf numFmtId="0" fontId="48" fillId="0" borderId="0" xfId="0" applyFont="1" applyAlignment="1">
      <alignment vertical="top"/>
    </xf>
    <xf numFmtId="0" fontId="37" fillId="0" borderId="14" xfId="0" applyFont="1" applyBorder="1" applyAlignment="1">
      <alignment horizontal="left" vertical="top" wrapText="1"/>
    </xf>
    <xf numFmtId="0" fontId="38" fillId="0" borderId="5" xfId="0" applyFont="1" applyBorder="1" applyAlignment="1">
      <alignment horizontal="left" vertical="top"/>
    </xf>
    <xf numFmtId="0" fontId="37" fillId="0" borderId="14" xfId="0" quotePrefix="1" applyFont="1" applyBorder="1" applyAlignment="1">
      <alignment horizontal="left" vertical="top" indent="1"/>
    </xf>
    <xf numFmtId="0" fontId="37" fillId="0" borderId="14" xfId="0" quotePrefix="1" applyFont="1" applyBorder="1" applyAlignment="1">
      <alignment horizontal="left" vertical="top" wrapText="1" indent="1"/>
    </xf>
    <xf numFmtId="164" fontId="37" fillId="0" borderId="14" xfId="0" applyNumberFormat="1" applyFont="1" applyBorder="1" applyAlignment="1">
      <alignment horizontal="left" vertical="top"/>
    </xf>
    <xf numFmtId="164" fontId="37" fillId="0" borderId="14" xfId="0" applyNumberFormat="1" applyFont="1" applyFill="1" applyBorder="1" applyAlignment="1">
      <alignment horizontal="left" vertical="top"/>
    </xf>
    <xf numFmtId="0" fontId="37" fillId="0" borderId="5" xfId="0" applyFont="1" applyFill="1" applyBorder="1" applyAlignment="1">
      <alignment vertical="top"/>
    </xf>
    <xf numFmtId="0" fontId="37" fillId="0" borderId="5" xfId="6" applyFont="1" applyFill="1" applyBorder="1" applyAlignment="1">
      <alignment horizontal="left" vertical="top"/>
    </xf>
    <xf numFmtId="0" fontId="59" fillId="0" borderId="14" xfId="0" applyFont="1" applyBorder="1" applyAlignment="1">
      <alignment horizontal="left" vertical="top"/>
    </xf>
    <xf numFmtId="0" fontId="50" fillId="0" borderId="14" xfId="0" applyFont="1" applyBorder="1" applyAlignment="1">
      <alignment horizontal="left" vertical="top" wrapText="1"/>
    </xf>
    <xf numFmtId="0" fontId="37" fillId="7" borderId="105" xfId="0" applyFont="1" applyFill="1" applyBorder="1" applyAlignment="1">
      <alignment horizontal="left" vertical="top"/>
    </xf>
    <xf numFmtId="164" fontId="37" fillId="14" borderId="93" xfId="3" applyNumberFormat="1" applyFont="1" applyFill="1" applyBorder="1" applyAlignment="1">
      <alignment horizontal="center" vertical="top"/>
    </xf>
    <xf numFmtId="0" fontId="72" fillId="14" borderId="93" xfId="0" applyFont="1" applyFill="1" applyBorder="1" applyAlignment="1">
      <alignment vertical="top"/>
    </xf>
    <xf numFmtId="9" fontId="37" fillId="14" borderId="93" xfId="3" applyFont="1" applyFill="1" applyBorder="1" applyAlignment="1">
      <alignment horizontal="center" vertical="top"/>
    </xf>
    <xf numFmtId="164" fontId="47" fillId="14" borderId="1" xfId="0" applyNumberFormat="1" applyFont="1" applyFill="1" applyBorder="1" applyAlignment="1">
      <alignment horizontal="center" vertical="top"/>
    </xf>
    <xf numFmtId="164" fontId="47" fillId="0" borderId="1" xfId="0" applyNumberFormat="1" applyFont="1" applyBorder="1" applyAlignment="1">
      <alignment horizontal="center" vertical="top"/>
    </xf>
    <xf numFmtId="164" fontId="47" fillId="0" borderId="57" xfId="0" applyNumberFormat="1" applyFont="1" applyBorder="1" applyAlignment="1">
      <alignment horizontal="center" vertical="top"/>
    </xf>
    <xf numFmtId="164" fontId="47" fillId="0" borderId="2" xfId="0" applyNumberFormat="1" applyFont="1" applyBorder="1" applyAlignment="1">
      <alignment horizontal="center" vertical="top"/>
    </xf>
    <xf numFmtId="164" fontId="47" fillId="14" borderId="105" xfId="0" applyNumberFormat="1" applyFont="1" applyFill="1" applyBorder="1" applyAlignment="1">
      <alignment horizontal="center" vertical="top"/>
    </xf>
    <xf numFmtId="164" fontId="47" fillId="0" borderId="105" xfId="0" applyNumberFormat="1" applyFont="1" applyBorder="1" applyAlignment="1">
      <alignment horizontal="center" vertical="top"/>
    </xf>
    <xf numFmtId="164" fontId="47" fillId="0" borderId="4" xfId="0" applyNumberFormat="1" applyFont="1" applyBorder="1" applyAlignment="1">
      <alignment horizontal="center" vertical="top"/>
    </xf>
    <xf numFmtId="0" fontId="37" fillId="14" borderId="12" xfId="0" applyFont="1" applyFill="1" applyBorder="1" applyAlignment="1">
      <alignment horizontal="left" vertical="top" indent="3"/>
    </xf>
    <xf numFmtId="0" fontId="37" fillId="14" borderId="100" xfId="0" applyFont="1" applyFill="1" applyBorder="1" applyAlignment="1">
      <alignment horizontal="left" vertical="top" indent="3"/>
    </xf>
    <xf numFmtId="0" fontId="37" fillId="0" borderId="11" xfId="0" applyFont="1" applyBorder="1" applyAlignment="1">
      <alignment horizontal="left" vertical="top" indent="3"/>
    </xf>
    <xf numFmtId="0" fontId="37" fillId="0" borderId="42" xfId="0" applyFont="1" applyBorder="1" applyAlignment="1">
      <alignment horizontal="left" vertical="top" indent="3"/>
    </xf>
    <xf numFmtId="0" fontId="37" fillId="0" borderId="79" xfId="0" applyFont="1" applyBorder="1" applyAlignment="1">
      <alignment horizontal="left" vertical="top" indent="3"/>
    </xf>
    <xf numFmtId="0" fontId="37" fillId="0" borderId="41" xfId="0" applyFont="1" applyBorder="1" applyAlignment="1">
      <alignment horizontal="left" vertical="top" indent="3"/>
    </xf>
    <xf numFmtId="0" fontId="37" fillId="0" borderId="12" xfId="0" applyFont="1" applyBorder="1" applyAlignment="1">
      <alignment horizontal="left" vertical="top" indent="3"/>
    </xf>
    <xf numFmtId="0" fontId="37" fillId="0" borderId="100" xfId="0" applyFont="1" applyBorder="1" applyAlignment="1">
      <alignment horizontal="left" vertical="top" indent="3"/>
    </xf>
    <xf numFmtId="0" fontId="37" fillId="14" borderId="106" xfId="0" applyFont="1" applyFill="1" applyBorder="1" applyAlignment="1">
      <alignment horizontal="left" vertical="top" indent="3"/>
    </xf>
    <xf numFmtId="0" fontId="37" fillId="14" borderId="110" xfId="0" applyFont="1" applyFill="1" applyBorder="1" applyAlignment="1">
      <alignment horizontal="left" vertical="top" indent="3"/>
    </xf>
    <xf numFmtId="0" fontId="37" fillId="0" borderId="106" xfId="0" applyFont="1" applyBorder="1" applyAlignment="1">
      <alignment horizontal="left" vertical="top" indent="3"/>
    </xf>
    <xf numFmtId="0" fontId="37" fillId="0" borderId="110" xfId="0" applyFont="1" applyBorder="1" applyAlignment="1">
      <alignment horizontal="left" vertical="top" indent="3"/>
    </xf>
    <xf numFmtId="0" fontId="37" fillId="14" borderId="11" xfId="0" applyFont="1" applyFill="1" applyBorder="1" applyAlignment="1">
      <alignment horizontal="left" vertical="top" indent="3"/>
    </xf>
    <xf numFmtId="0" fontId="41" fillId="14" borderId="0" xfId="0" applyFont="1" applyFill="1" applyBorder="1" applyAlignment="1">
      <alignment horizontal="left" vertical="top" indent="3"/>
    </xf>
    <xf numFmtId="0" fontId="37" fillId="0" borderId="13" xfId="0" applyFont="1" applyBorder="1" applyAlignment="1">
      <alignment horizontal="left" vertical="top" indent="3"/>
    </xf>
    <xf numFmtId="0" fontId="37" fillId="0" borderId="101" xfId="0" applyFont="1" applyBorder="1" applyAlignment="1">
      <alignment horizontal="left" vertical="top" indent="3"/>
    </xf>
    <xf numFmtId="0" fontId="38" fillId="3" borderId="77" xfId="0" applyFont="1" applyFill="1" applyBorder="1" applyAlignment="1">
      <alignment horizontal="left" vertical="top"/>
    </xf>
    <xf numFmtId="0" fontId="47" fillId="3" borderId="3" xfId="0" applyFont="1" applyFill="1" applyBorder="1" applyAlignment="1">
      <alignment horizontal="left" vertical="top"/>
    </xf>
    <xf numFmtId="0" fontId="154" fillId="13" borderId="3" xfId="0" applyFont="1" applyFill="1" applyBorder="1" applyAlignment="1">
      <alignment horizontal="center" vertical="top"/>
    </xf>
    <xf numFmtId="9" fontId="47" fillId="14" borderId="92" xfId="3" applyFont="1" applyFill="1" applyBorder="1" applyAlignment="1">
      <alignment horizontal="center" vertical="top"/>
    </xf>
    <xf numFmtId="9" fontId="47" fillId="0" borderId="93" xfId="3" applyFont="1" applyBorder="1" applyAlignment="1">
      <alignment horizontal="center" vertical="top"/>
    </xf>
    <xf numFmtId="9" fontId="47" fillId="0" borderId="103" xfId="3" applyFont="1" applyBorder="1" applyAlignment="1">
      <alignment horizontal="center" vertical="top"/>
    </xf>
    <xf numFmtId="9" fontId="47" fillId="0" borderId="92" xfId="3" applyFont="1" applyBorder="1" applyAlignment="1">
      <alignment horizontal="center" vertical="top"/>
    </xf>
    <xf numFmtId="9" fontId="47" fillId="14" borderId="111" xfId="3" applyFont="1" applyFill="1" applyBorder="1" applyAlignment="1">
      <alignment horizontal="center" vertical="top"/>
    </xf>
    <xf numFmtId="9" fontId="47" fillId="0" borderId="111" xfId="3" applyFont="1" applyBorder="1" applyAlignment="1">
      <alignment horizontal="center" vertical="top"/>
    </xf>
    <xf numFmtId="9" fontId="47" fillId="14" borderId="93" xfId="3" applyFont="1" applyFill="1" applyBorder="1" applyAlignment="1">
      <alignment horizontal="center" vertical="top"/>
    </xf>
    <xf numFmtId="9" fontId="47" fillId="0" borderId="94" xfId="3" applyFont="1" applyBorder="1" applyAlignment="1">
      <alignment horizontal="center" vertical="top"/>
    </xf>
    <xf numFmtId="0" fontId="37" fillId="0" borderId="0" xfId="0" applyFont="1" applyAlignment="1">
      <alignment horizontal="left" vertical="top"/>
    </xf>
    <xf numFmtId="0" fontId="37" fillId="0" borderId="0" xfId="0" applyFont="1" applyAlignment="1">
      <alignment horizontal="left" vertical="top" wrapText="1"/>
    </xf>
    <xf numFmtId="0" fontId="37" fillId="0" borderId="0" xfId="0" applyFont="1" applyBorder="1" applyAlignment="1">
      <alignment horizontal="left" vertical="top"/>
    </xf>
    <xf numFmtId="0" fontId="37" fillId="0" borderId="42" xfId="0" applyFont="1" applyBorder="1" applyAlignment="1">
      <alignment horizontal="left" vertical="top"/>
    </xf>
    <xf numFmtId="0" fontId="37" fillId="0" borderId="38" xfId="0" applyFont="1" applyBorder="1" applyAlignment="1">
      <alignment horizontal="left" vertical="top" wrapText="1"/>
    </xf>
    <xf numFmtId="0" fontId="37" fillId="0" borderId="43" xfId="0" applyFont="1" applyBorder="1" applyAlignment="1">
      <alignment horizontal="left" vertical="top" wrapText="1"/>
    </xf>
    <xf numFmtId="0" fontId="37" fillId="0" borderId="41" xfId="0" applyFont="1" applyBorder="1" applyAlignment="1">
      <alignment horizontal="left" vertical="top" wrapText="1"/>
    </xf>
    <xf numFmtId="0" fontId="37" fillId="0" borderId="0" xfId="0" applyFont="1" applyBorder="1" applyAlignment="1">
      <alignment horizontal="left" vertical="top" wrapText="1"/>
    </xf>
    <xf numFmtId="0" fontId="37" fillId="0" borderId="0" xfId="0" quotePrefix="1" applyFont="1" applyAlignment="1">
      <alignment horizontal="left" vertical="top" wrapText="1"/>
    </xf>
    <xf numFmtId="0" fontId="37" fillId="0" borderId="15" xfId="0" applyFont="1" applyBorder="1" applyAlignment="1">
      <alignment horizontal="left" vertical="top" wrapText="1"/>
    </xf>
    <xf numFmtId="0" fontId="37" fillId="0" borderId="0" xfId="0" applyNumberFormat="1" applyFont="1" applyBorder="1" applyAlignment="1">
      <alignment horizontal="left" vertical="top" wrapText="1"/>
    </xf>
    <xf numFmtId="0" fontId="37" fillId="0" borderId="0" xfId="0" applyFont="1" applyAlignment="1">
      <alignment horizontal="left" vertical="top" wrapText="1" indent="1"/>
    </xf>
    <xf numFmtId="0" fontId="47" fillId="0" borderId="0" xfId="0" applyFont="1" applyBorder="1" applyAlignment="1">
      <alignment horizontal="left" vertical="top" wrapText="1"/>
    </xf>
    <xf numFmtId="0" fontId="47" fillId="0" borderId="0" xfId="0" applyFont="1" applyAlignment="1">
      <alignment horizontal="left" vertical="top" wrapText="1"/>
    </xf>
    <xf numFmtId="0" fontId="48" fillId="0" borderId="0" xfId="0" applyFont="1" applyAlignment="1">
      <alignment vertical="top" wrapText="1"/>
    </xf>
    <xf numFmtId="0" fontId="79" fillId="0" borderId="0" xfId="0" applyFont="1" applyAlignment="1">
      <alignment vertical="top" wrapText="1"/>
    </xf>
    <xf numFmtId="0" fontId="47" fillId="0" borderId="0" xfId="1" applyFont="1" applyAlignment="1" applyProtection="1">
      <alignment wrapText="1"/>
    </xf>
    <xf numFmtId="0" fontId="132" fillId="0" borderId="0" xfId="0" applyFont="1" applyBorder="1" applyAlignment="1">
      <alignment horizontal="left" vertical="top" wrapText="1"/>
    </xf>
    <xf numFmtId="0" fontId="47" fillId="0" borderId="0" xfId="0" applyFont="1" applyAlignment="1">
      <alignment vertical="top" wrapText="1"/>
    </xf>
    <xf numFmtId="0" fontId="37" fillId="0" borderId="0" xfId="0" quotePrefix="1" applyFont="1" applyBorder="1" applyAlignment="1">
      <alignment horizontal="left" vertical="top" wrapText="1"/>
    </xf>
    <xf numFmtId="0" fontId="8" fillId="0" borderId="0" xfId="1" applyFont="1" applyBorder="1" applyAlignment="1" applyProtection="1">
      <alignment vertical="top" wrapText="1"/>
    </xf>
    <xf numFmtId="0" fontId="37" fillId="0" borderId="0" xfId="0" applyFont="1" applyBorder="1" applyAlignment="1">
      <alignment horizontal="left" vertical="top" wrapText="1"/>
    </xf>
    <xf numFmtId="0" fontId="37" fillId="0" borderId="35" xfId="0" applyFont="1" applyBorder="1" applyAlignment="1">
      <alignment horizontal="left" vertical="top"/>
    </xf>
    <xf numFmtId="0" fontId="37" fillId="0" borderId="0" xfId="0" applyFont="1" applyAlignment="1">
      <alignment horizontal="left" vertical="top" wrapText="1"/>
    </xf>
    <xf numFmtId="0" fontId="37" fillId="0" borderId="0" xfId="0" applyFont="1" applyAlignment="1">
      <alignment horizontal="left" vertical="top"/>
    </xf>
    <xf numFmtId="0" fontId="37" fillId="0" borderId="0" xfId="0" applyFont="1" applyBorder="1" applyAlignment="1">
      <alignment horizontal="left" vertical="top"/>
    </xf>
    <xf numFmtId="0" fontId="53" fillId="0" borderId="0" xfId="0" applyFont="1" applyAlignment="1">
      <alignment horizontal="left" vertical="top"/>
    </xf>
    <xf numFmtId="0" fontId="140" fillId="0" borderId="0" xfId="0" applyFont="1" applyAlignment="1">
      <alignment horizontal="center" vertical="top"/>
    </xf>
    <xf numFmtId="0" fontId="47" fillId="0" borderId="0" xfId="0" applyFont="1" applyAlignment="1">
      <alignment vertical="top"/>
    </xf>
    <xf numFmtId="0" fontId="73" fillId="0" borderId="0" xfId="0" applyFont="1" applyAlignment="1">
      <alignment horizontal="left" vertical="top"/>
    </xf>
    <xf numFmtId="0" fontId="72" fillId="0" borderId="36" xfId="0" applyFont="1" applyBorder="1" applyAlignment="1">
      <alignment horizontal="center" vertical="top"/>
    </xf>
    <xf numFmtId="0" fontId="140" fillId="0" borderId="36" xfId="0" applyFont="1" applyBorder="1" applyAlignment="1">
      <alignment horizontal="center" vertical="top"/>
    </xf>
    <xf numFmtId="0" fontId="38" fillId="7" borderId="6" xfId="0" applyFont="1" applyFill="1" applyBorder="1" applyAlignment="1">
      <alignment vertical="top"/>
    </xf>
    <xf numFmtId="0" fontId="38" fillId="7" borderId="7" xfId="0" applyFont="1" applyFill="1" applyBorder="1" applyAlignment="1">
      <alignment vertical="top"/>
    </xf>
    <xf numFmtId="0" fontId="38" fillId="7" borderId="8" xfId="0" applyFont="1" applyFill="1" applyBorder="1" applyAlignment="1">
      <alignment vertical="top"/>
    </xf>
    <xf numFmtId="0" fontId="47" fillId="0" borderId="0" xfId="0" applyFont="1" applyAlignment="1">
      <alignment horizontal="left" vertical="top" indent="1"/>
    </xf>
    <xf numFmtId="0" fontId="139" fillId="0" borderId="0" xfId="1" applyFont="1" applyAlignment="1" applyProtection="1">
      <alignment horizontal="left"/>
    </xf>
    <xf numFmtId="0" fontId="41" fillId="0" borderId="0" xfId="0" applyNumberFormat="1" applyFont="1" applyAlignment="1">
      <alignment horizontal="left" vertical="top" wrapText="1" indent="2"/>
    </xf>
    <xf numFmtId="0" fontId="37" fillId="0" borderId="0" xfId="0" applyNumberFormat="1" applyFont="1" applyAlignment="1">
      <alignment horizontal="left" vertical="top" indent="1"/>
    </xf>
    <xf numFmtId="0" fontId="38" fillId="0" borderId="0" xfId="0" applyNumberFormat="1" applyFont="1" applyBorder="1" applyAlignment="1">
      <alignment horizontal="left" vertical="top" wrapText="1"/>
    </xf>
    <xf numFmtId="0" fontId="38" fillId="3" borderId="77" xfId="0" applyFont="1" applyFill="1" applyBorder="1" applyAlignment="1">
      <alignment horizontal="center" vertical="top"/>
    </xf>
    <xf numFmtId="0" fontId="37" fillId="7" borderId="0" xfId="0" applyFont="1" applyFill="1" applyAlignment="1">
      <alignment vertical="top"/>
    </xf>
    <xf numFmtId="0" fontId="37" fillId="7" borderId="0" xfId="0" applyNumberFormat="1" applyFont="1" applyFill="1" applyBorder="1" applyAlignment="1">
      <alignment horizontal="left" vertical="top" wrapText="1"/>
    </xf>
    <xf numFmtId="0" fontId="47" fillId="0" borderId="0" xfId="0" applyFont="1" applyFill="1" applyAlignment="1">
      <alignment horizontal="left" vertical="top" wrapText="1" indent="1"/>
    </xf>
    <xf numFmtId="0" fontId="47" fillId="0" borderId="0" xfId="0" quotePrefix="1" applyFont="1" applyFill="1" applyAlignment="1">
      <alignment horizontal="left" vertical="top" indent="1"/>
    </xf>
    <xf numFmtId="0" fontId="47" fillId="3" borderId="3" xfId="0" applyFont="1" applyFill="1" applyBorder="1" applyAlignment="1">
      <alignment horizontal="center" vertical="top"/>
    </xf>
    <xf numFmtId="0" fontId="8" fillId="0" borderId="0" xfId="1" applyFont="1" applyBorder="1" applyAlignment="1" applyProtection="1">
      <alignment vertical="top"/>
    </xf>
    <xf numFmtId="0" fontId="8" fillId="0" borderId="0" xfId="1" quotePrefix="1" applyFont="1" applyBorder="1" applyAlignment="1" applyProtection="1">
      <alignment horizontal="left" vertical="top" indent="1"/>
    </xf>
    <xf numFmtId="0" fontId="8" fillId="0" borderId="15" xfId="1" quotePrefix="1" applyFont="1" applyBorder="1" applyAlignment="1" applyProtection="1">
      <alignment horizontal="left" vertical="top" indent="1"/>
    </xf>
    <xf numFmtId="0" fontId="49" fillId="0" borderId="0" xfId="1" applyFont="1" applyBorder="1" applyAlignment="1" applyProtection="1">
      <alignment horizontal="left" vertical="top" indent="2"/>
    </xf>
    <xf numFmtId="0" fontId="8" fillId="0" borderId="15" xfId="1" applyFont="1" applyBorder="1" applyAlignment="1" applyProtection="1">
      <alignment vertical="top" wrapText="1"/>
    </xf>
    <xf numFmtId="0" fontId="37" fillId="0" borderId="0" xfId="1" quotePrefix="1" applyFont="1" applyBorder="1" applyAlignment="1" applyProtection="1">
      <alignment horizontal="left" vertical="top" wrapText="1" indent="1"/>
    </xf>
    <xf numFmtId="0" fontId="37" fillId="0" borderId="0" xfId="1" quotePrefix="1" applyFont="1" applyBorder="1" applyAlignment="1" applyProtection="1">
      <alignment horizontal="left" vertical="top" indent="1"/>
    </xf>
    <xf numFmtId="0" fontId="132" fillId="0" borderId="14" xfId="1" quotePrefix="1" applyFont="1" applyBorder="1" applyAlignment="1" applyProtection="1">
      <alignment horizontal="left" vertical="top"/>
    </xf>
    <xf numFmtId="0" fontId="37" fillId="0" borderId="0" xfId="1" quotePrefix="1" applyFont="1" applyBorder="1" applyAlignment="1" applyProtection="1">
      <alignment horizontal="left" vertical="top" wrapText="1" indent="1"/>
    </xf>
    <xf numFmtId="0" fontId="37" fillId="0" borderId="15" xfId="1" quotePrefix="1" applyFont="1" applyBorder="1" applyAlignment="1" applyProtection="1">
      <alignment horizontal="left" vertical="top" wrapText="1" indent="1"/>
    </xf>
    <xf numFmtId="0" fontId="37" fillId="0" borderId="0" xfId="1" applyFont="1" applyBorder="1" applyAlignment="1" applyProtection="1">
      <alignment horizontal="left" vertical="top"/>
    </xf>
    <xf numFmtId="0" fontId="37" fillId="0" borderId="0" xfId="1" quotePrefix="1" applyFont="1" applyBorder="1" applyAlignment="1" applyProtection="1">
      <alignment vertical="top"/>
    </xf>
    <xf numFmtId="0" fontId="37" fillId="0" borderId="15" xfId="1" quotePrefix="1" applyFont="1" applyBorder="1" applyAlignment="1" applyProtection="1">
      <alignment vertical="top"/>
    </xf>
    <xf numFmtId="0" fontId="49" fillId="0" borderId="0" xfId="1" applyFont="1" applyBorder="1" applyAlignment="1" applyProtection="1">
      <alignment vertical="top"/>
    </xf>
    <xf numFmtId="0" fontId="37" fillId="0" borderId="37" xfId="0" applyFont="1" applyBorder="1" applyAlignment="1">
      <alignment horizontal="left" vertical="top"/>
    </xf>
    <xf numFmtId="0" fontId="41" fillId="0" borderId="36" xfId="0" quotePrefix="1" applyFont="1" applyBorder="1" applyAlignment="1">
      <alignment horizontal="left" vertical="top" indent="1"/>
    </xf>
    <xf numFmtId="0" fontId="41" fillId="0" borderId="0" xfId="0" quotePrefix="1" applyFont="1" applyBorder="1" applyAlignment="1">
      <alignment horizontal="left" vertical="top"/>
    </xf>
    <xf numFmtId="0" fontId="132" fillId="0" borderId="36" xfId="0" quotePrefix="1" applyFont="1" applyBorder="1" applyAlignment="1">
      <alignment horizontal="left" vertical="top" indent="1"/>
    </xf>
    <xf numFmtId="0" fontId="132" fillId="0" borderId="37" xfId="0" quotePrefix="1" applyFont="1" applyBorder="1" applyAlignment="1">
      <alignment horizontal="left" vertical="top" indent="1"/>
    </xf>
    <xf numFmtId="0" fontId="140" fillId="0" borderId="0" xfId="0" applyFont="1" applyAlignment="1">
      <alignment horizontal="left" vertical="top"/>
    </xf>
    <xf numFmtId="0" fontId="72" fillId="0" borderId="0" xfId="0" applyFont="1" applyAlignment="1">
      <alignment horizontal="right" vertical="top"/>
    </xf>
    <xf numFmtId="0" fontId="37" fillId="0" borderId="11" xfId="0" quotePrefix="1" applyFont="1" applyBorder="1" applyAlignment="1">
      <alignment horizontal="left" vertical="top" indent="1"/>
    </xf>
    <xf numFmtId="0" fontId="37" fillId="0" borderId="0" xfId="1" quotePrefix="1" applyFont="1" applyAlignment="1" applyProtection="1">
      <alignment horizontal="left" vertical="top" indent="1"/>
    </xf>
    <xf numFmtId="0" fontId="38" fillId="0" borderId="0" xfId="0" applyNumberFormat="1" applyFont="1" applyFill="1" applyBorder="1" applyAlignment="1">
      <alignment vertical="top" wrapText="1"/>
    </xf>
    <xf numFmtId="0" fontId="47" fillId="0" borderId="0" xfId="0" applyFont="1" applyAlignment="1">
      <alignment horizontal="left" vertical="top" indent="3"/>
    </xf>
    <xf numFmtId="0" fontId="41" fillId="0" borderId="0" xfId="1" quotePrefix="1" applyFont="1" applyAlignment="1" applyProtection="1">
      <alignment horizontal="left" indent="1"/>
    </xf>
    <xf numFmtId="0" fontId="45" fillId="0" borderId="0" xfId="1" quotePrefix="1" applyFont="1" applyAlignment="1" applyProtection="1">
      <alignment horizontal="left" indent="1"/>
    </xf>
    <xf numFmtId="0" fontId="41" fillId="0" borderId="36" xfId="0" applyFont="1" applyBorder="1" applyAlignment="1">
      <alignment horizontal="left" vertical="top"/>
    </xf>
    <xf numFmtId="0" fontId="41" fillId="0" borderId="0" xfId="0" applyFont="1" applyBorder="1" applyAlignment="1">
      <alignment vertical="top"/>
    </xf>
    <xf numFmtId="0" fontId="37" fillId="0" borderId="0" xfId="0" applyNumberFormat="1" applyFont="1" applyAlignment="1">
      <alignment horizontal="left" vertical="top" wrapText="1" indent="1"/>
    </xf>
    <xf numFmtId="0" fontId="37" fillId="0" borderId="0" xfId="0" quotePrefix="1" applyNumberFormat="1" applyFont="1" applyAlignment="1">
      <alignment horizontal="left" vertical="top" indent="2"/>
    </xf>
    <xf numFmtId="0" fontId="8" fillId="0" borderId="15" xfId="1" applyFont="1" applyBorder="1" applyAlignment="1" applyProtection="1">
      <alignment vertical="top"/>
    </xf>
    <xf numFmtId="0" fontId="53" fillId="0" borderId="34" xfId="0" applyFont="1" applyBorder="1" applyAlignment="1">
      <alignment horizontal="left" vertical="top"/>
    </xf>
    <xf numFmtId="0" fontId="38" fillId="14" borderId="0" xfId="0" applyFont="1" applyFill="1" applyAlignment="1">
      <alignment horizontal="left" vertical="top"/>
    </xf>
    <xf numFmtId="0" fontId="53" fillId="14" borderId="12" xfId="0" applyFont="1" applyFill="1" applyBorder="1" applyAlignment="1">
      <alignment horizontal="left" vertical="top"/>
    </xf>
    <xf numFmtId="0" fontId="0" fillId="14" borderId="11" xfId="0" applyFont="1" applyFill="1" applyBorder="1" applyAlignment="1">
      <alignment vertical="top"/>
    </xf>
    <xf numFmtId="0" fontId="0" fillId="14" borderId="13" xfId="0" applyFont="1" applyFill="1" applyBorder="1" applyAlignment="1">
      <alignment vertical="top"/>
    </xf>
    <xf numFmtId="0" fontId="53" fillId="14" borderId="11" xfId="0" applyFont="1" applyFill="1" applyBorder="1" applyAlignment="1">
      <alignment horizontal="right" vertical="top"/>
    </xf>
    <xf numFmtId="0" fontId="37" fillId="14" borderId="13" xfId="0" applyFont="1" applyFill="1" applyBorder="1" applyAlignment="1">
      <alignment horizontal="left" vertical="top"/>
    </xf>
    <xf numFmtId="0" fontId="77" fillId="18" borderId="0" xfId="0" applyFont="1" applyFill="1" applyAlignment="1">
      <alignment horizontal="left" vertical="top"/>
    </xf>
    <xf numFmtId="0" fontId="110" fillId="0" borderId="0" xfId="0" quotePrefix="1" applyFont="1" applyFill="1" applyBorder="1" applyAlignment="1">
      <alignment vertical="top"/>
    </xf>
    <xf numFmtId="0" fontId="7" fillId="0" borderId="0" xfId="1" applyFont="1" applyBorder="1" applyAlignment="1" applyProtection="1">
      <alignment vertical="top"/>
    </xf>
    <xf numFmtId="0" fontId="147" fillId="0" borderId="5" xfId="0" applyFont="1" applyBorder="1" applyAlignment="1">
      <alignment horizontal="left" vertical="top"/>
    </xf>
    <xf numFmtId="0" fontId="38" fillId="14" borderId="12" xfId="0" applyNumberFormat="1" applyFont="1" applyFill="1" applyBorder="1" applyAlignment="1">
      <alignment horizontal="left" vertical="top"/>
    </xf>
    <xf numFmtId="0" fontId="7" fillId="0" borderId="0" xfId="1" applyFont="1" applyBorder="1" applyAlignment="1" applyProtection="1">
      <alignment vertical="top" wrapText="1"/>
    </xf>
    <xf numFmtId="0" fontId="0" fillId="0" borderId="15" xfId="0" applyBorder="1" applyAlignment="1"/>
    <xf numFmtId="0" fontId="37" fillId="0" borderId="0" xfId="0" applyFont="1" applyAlignment="1">
      <alignment horizontal="left" vertical="top"/>
    </xf>
    <xf numFmtId="0" fontId="37" fillId="0" borderId="0" xfId="0" applyFont="1" applyBorder="1" applyAlignment="1">
      <alignment horizontal="left" vertical="top"/>
    </xf>
    <xf numFmtId="0" fontId="49" fillId="0" borderId="0" xfId="1" quotePrefix="1" applyFont="1" applyBorder="1" applyAlignment="1" applyProtection="1">
      <alignment horizontal="left" vertical="top" indent="1"/>
    </xf>
    <xf numFmtId="0" fontId="73" fillId="0" borderId="11" xfId="0" applyFont="1" applyBorder="1" applyAlignment="1">
      <alignment vertical="top"/>
    </xf>
    <xf numFmtId="0" fontId="73" fillId="0" borderId="0" xfId="0" applyFont="1" applyBorder="1" applyAlignment="1">
      <alignment vertical="top"/>
    </xf>
    <xf numFmtId="0" fontId="37" fillId="0" borderId="0" xfId="1" applyFont="1" applyBorder="1" applyAlignment="1" applyProtection="1">
      <alignment horizontal="left" vertical="top" indent="1"/>
    </xf>
    <xf numFmtId="0" fontId="155" fillId="0" borderId="0" xfId="1" applyFont="1" applyAlignment="1" applyProtection="1">
      <alignment horizontal="left" vertical="top"/>
    </xf>
    <xf numFmtId="0" fontId="8" fillId="0" borderId="0" xfId="1" quotePrefix="1" applyFont="1" applyBorder="1" applyAlignment="1" applyProtection="1">
      <alignment horizontal="left" vertical="top" wrapText="1" indent="1"/>
    </xf>
    <xf numFmtId="0" fontId="8" fillId="0" borderId="0" xfId="1" quotePrefix="1" applyFont="1" applyBorder="1" applyAlignment="1" applyProtection="1">
      <alignment horizontal="left" vertical="top"/>
    </xf>
    <xf numFmtId="0" fontId="6" fillId="0" borderId="0" xfId="1" applyFont="1" applyBorder="1" applyAlignment="1" applyProtection="1">
      <alignment vertical="top"/>
    </xf>
    <xf numFmtId="0" fontId="8" fillId="0" borderId="36" xfId="1" applyFont="1" applyBorder="1" applyAlignment="1" applyProtection="1">
      <alignment vertical="top"/>
    </xf>
    <xf numFmtId="0" fontId="37" fillId="0" borderId="37" xfId="0" quotePrefix="1" applyFont="1" applyBorder="1" applyAlignment="1">
      <alignment horizontal="left" vertical="top" indent="1"/>
    </xf>
    <xf numFmtId="0" fontId="37" fillId="0" borderId="38" xfId="0" quotePrefix="1" applyFont="1" applyBorder="1" applyAlignment="1">
      <alignment horizontal="left" vertical="top" indent="1"/>
    </xf>
    <xf numFmtId="0" fontId="37" fillId="0" borderId="43" xfId="0" quotePrefix="1" applyFont="1" applyBorder="1" applyAlignment="1">
      <alignment horizontal="left" vertical="top" indent="1"/>
    </xf>
    <xf numFmtId="0" fontId="8" fillId="0" borderId="0" xfId="1" applyFont="1" applyBorder="1" applyAlignment="1" applyProtection="1">
      <alignment horizontal="left" vertical="top" indent="1"/>
    </xf>
    <xf numFmtId="0" fontId="6" fillId="0" borderId="36" xfId="1" applyFont="1" applyBorder="1" applyAlignment="1" applyProtection="1">
      <alignment vertical="top"/>
    </xf>
    <xf numFmtId="0" fontId="6" fillId="0" borderId="0" xfId="1" applyFont="1" applyBorder="1" applyAlignment="1" applyProtection="1">
      <alignment vertical="top" wrapText="1"/>
    </xf>
    <xf numFmtId="0" fontId="49" fillId="0" borderId="34" xfId="1" applyFont="1" applyBorder="1" applyAlignment="1" applyProtection="1">
      <alignment horizontal="left" vertical="top" indent="2"/>
    </xf>
    <xf numFmtId="0" fontId="8" fillId="0" borderId="35" xfId="1" applyFont="1" applyBorder="1" applyAlignment="1" applyProtection="1">
      <alignment vertical="top" wrapText="1"/>
    </xf>
    <xf numFmtId="0" fontId="49" fillId="0" borderId="37" xfId="1" applyFont="1" applyBorder="1" applyAlignment="1" applyProtection="1">
      <alignment horizontal="left" vertical="top" indent="2"/>
    </xf>
    <xf numFmtId="0" fontId="8" fillId="0" borderId="38" xfId="1" applyFont="1" applyBorder="1" applyAlignment="1" applyProtection="1">
      <alignment vertical="top"/>
    </xf>
    <xf numFmtId="0" fontId="37" fillId="0" borderId="0" xfId="0" applyFont="1" applyBorder="1" applyAlignment="1">
      <alignment horizontal="left" vertical="top" wrapText="1"/>
    </xf>
    <xf numFmtId="0" fontId="37" fillId="0" borderId="0" xfId="0" applyFont="1" applyBorder="1" applyAlignment="1">
      <alignment vertical="top" wrapText="1"/>
    </xf>
    <xf numFmtId="0" fontId="37" fillId="0" borderId="35" xfId="0" applyFont="1" applyBorder="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0" fontId="37" fillId="0" borderId="0" xfId="0" quotePrefix="1" applyFont="1" applyBorder="1" applyAlignment="1">
      <alignment horizontal="left" vertical="top" wrapText="1"/>
    </xf>
    <xf numFmtId="0" fontId="37" fillId="14" borderId="11" xfId="0" applyFont="1" applyFill="1" applyBorder="1" applyAlignment="1">
      <alignment horizontal="left" vertical="top" wrapText="1"/>
    </xf>
    <xf numFmtId="0" fontId="8" fillId="0" borderId="36" xfId="1" applyFont="1" applyBorder="1" applyAlignment="1" applyProtection="1">
      <alignment vertical="top" wrapText="1"/>
    </xf>
    <xf numFmtId="0" fontId="38" fillId="0" borderId="6" xfId="0" applyFont="1" applyBorder="1" applyAlignment="1">
      <alignment horizontal="left" vertical="top" wrapText="1"/>
    </xf>
    <xf numFmtId="0" fontId="37" fillId="3" borderId="8" xfId="0" applyFont="1" applyFill="1" applyBorder="1" applyAlignment="1">
      <alignment horizontal="left" vertical="top"/>
    </xf>
    <xf numFmtId="0" fontId="37" fillId="3" borderId="6" xfId="0" applyFont="1" applyFill="1" applyBorder="1" applyAlignment="1">
      <alignment horizontal="left" vertical="top" wrapText="1"/>
    </xf>
    <xf numFmtId="0" fontId="5" fillId="0" borderId="0" xfId="1" applyFont="1" applyBorder="1" applyAlignment="1" applyProtection="1">
      <alignment horizontal="left" vertical="top" indent="1"/>
    </xf>
    <xf numFmtId="0" fontId="5" fillId="0" borderId="0" xfId="1" applyFont="1" applyBorder="1" applyAlignment="1" applyProtection="1">
      <alignment horizontal="left" vertical="top" wrapText="1"/>
    </xf>
    <xf numFmtId="0" fontId="5" fillId="0" borderId="0" xfId="1" applyFont="1" applyBorder="1" applyAlignment="1" applyProtection="1">
      <alignment horizontal="left" vertical="top"/>
    </xf>
    <xf numFmtId="0" fontId="5" fillId="0" borderId="0" xfId="1" quotePrefix="1" applyFont="1" applyBorder="1" applyAlignment="1" applyProtection="1">
      <alignment horizontal="left" vertical="top" indent="1"/>
    </xf>
    <xf numFmtId="0" fontId="37" fillId="0" borderId="5" xfId="0" quotePrefix="1" applyFont="1" applyBorder="1" applyAlignment="1">
      <alignment horizontal="left" vertical="top" wrapText="1"/>
    </xf>
    <xf numFmtId="0" fontId="37" fillId="0" borderId="14" xfId="0" quotePrefix="1" applyFont="1" applyBorder="1" applyAlignment="1">
      <alignment horizontal="left" vertical="top"/>
    </xf>
    <xf numFmtId="0" fontId="37" fillId="0" borderId="14" xfId="0" quotePrefix="1" applyFont="1" applyBorder="1" applyAlignment="1">
      <alignment horizontal="left" vertical="top" wrapText="1"/>
    </xf>
    <xf numFmtId="0" fontId="37" fillId="0" borderId="13" xfId="6" applyFont="1" applyFill="1" applyBorder="1" applyAlignment="1">
      <alignment horizontal="left" vertical="top"/>
    </xf>
    <xf numFmtId="0" fontId="0" fillId="0" borderId="14" xfId="0" applyFill="1" applyBorder="1"/>
    <xf numFmtId="0" fontId="37" fillId="13" borderId="6" xfId="0" applyFont="1" applyFill="1" applyBorder="1"/>
    <xf numFmtId="0" fontId="0" fillId="13" borderId="7" xfId="0" applyFill="1" applyBorder="1"/>
    <xf numFmtId="0" fontId="37" fillId="0" borderId="0" xfId="0" quotePrefix="1" applyFont="1" applyFill="1" applyBorder="1" applyAlignment="1">
      <alignment horizontal="left" vertical="top"/>
    </xf>
    <xf numFmtId="0" fontId="38" fillId="0" borderId="134" xfId="0" applyFont="1" applyBorder="1" applyAlignment="1">
      <alignment horizontal="left"/>
    </xf>
    <xf numFmtId="0" fontId="38" fillId="0" borderId="135" xfId="0" applyFont="1" applyBorder="1" applyAlignment="1">
      <alignment horizontal="left"/>
    </xf>
    <xf numFmtId="164" fontId="0" fillId="0" borderId="47" xfId="3" applyNumberFormat="1" applyFont="1" applyFill="1" applyBorder="1" applyAlignment="1">
      <alignment horizontal="left"/>
    </xf>
    <xf numFmtId="164" fontId="0" fillId="0" borderId="116" xfId="3" applyNumberFormat="1" applyFont="1" applyFill="1" applyBorder="1" applyAlignment="1">
      <alignment horizontal="left"/>
    </xf>
    <xf numFmtId="164" fontId="0" fillId="0" borderId="49" xfId="3" applyNumberFormat="1" applyFont="1" applyFill="1" applyBorder="1" applyAlignment="1">
      <alignment horizontal="left"/>
    </xf>
    <xf numFmtId="164" fontId="0" fillId="0" borderId="68" xfId="3" applyNumberFormat="1" applyFont="1" applyFill="1" applyBorder="1" applyAlignment="1">
      <alignment horizontal="left"/>
    </xf>
    <xf numFmtId="164" fontId="0" fillId="0" borderId="53" xfId="3" applyNumberFormat="1" applyFont="1" applyFill="1" applyBorder="1" applyAlignment="1">
      <alignment horizontal="left"/>
    </xf>
    <xf numFmtId="164" fontId="0" fillId="0" borderId="69" xfId="3" applyNumberFormat="1" applyFont="1" applyFill="1" applyBorder="1" applyAlignment="1">
      <alignment horizontal="left"/>
    </xf>
    <xf numFmtId="0" fontId="4" fillId="0" borderId="76" xfId="6" applyFont="1" applyBorder="1" applyAlignment="1">
      <alignment horizontal="left" vertical="top"/>
    </xf>
    <xf numFmtId="0" fontId="4" fillId="0" borderId="6" xfId="6" applyFont="1" applyBorder="1" applyAlignment="1">
      <alignment horizontal="left" vertical="top"/>
    </xf>
    <xf numFmtId="0" fontId="4" fillId="14" borderId="6" xfId="6" applyFont="1" applyFill="1" applyBorder="1" applyAlignment="1">
      <alignment horizontal="left" vertical="top"/>
    </xf>
    <xf numFmtId="0" fontId="73" fillId="0" borderId="76" xfId="6" applyFont="1" applyBorder="1" applyAlignment="1">
      <alignment horizontal="left" vertical="top"/>
    </xf>
    <xf numFmtId="0" fontId="35" fillId="0" borderId="0" xfId="6" applyFont="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0" fontId="0" fillId="0" borderId="0" xfId="0"/>
    <xf numFmtId="165" fontId="0" fillId="0" borderId="0" xfId="0" applyNumberFormat="1" applyAlignment="1">
      <alignment horizontal="left"/>
    </xf>
    <xf numFmtId="9" fontId="0" fillId="0" borderId="0" xfId="3" applyFont="1"/>
    <xf numFmtId="10" fontId="0" fillId="0" borderId="0" xfId="0" applyNumberFormat="1"/>
    <xf numFmtId="10" fontId="0" fillId="0" borderId="0" xfId="3" applyNumberFormat="1" applyFont="1"/>
    <xf numFmtId="10" fontId="37" fillId="0" borderId="7" xfId="6" applyNumberFormat="1" applyFont="1" applyBorder="1" applyAlignment="1">
      <alignment horizontal="left" vertical="top"/>
    </xf>
    <xf numFmtId="9" fontId="0" fillId="0" borderId="7" xfId="0" applyNumberFormat="1" applyBorder="1"/>
    <xf numFmtId="10" fontId="37" fillId="14" borderId="7" xfId="6" applyNumberFormat="1" applyFont="1" applyFill="1" applyBorder="1" applyAlignment="1">
      <alignment horizontal="left" vertical="top"/>
    </xf>
    <xf numFmtId="10" fontId="35" fillId="0" borderId="7" xfId="6" applyNumberFormat="1" applyFont="1" applyBorder="1" applyAlignment="1">
      <alignment horizontal="left" vertical="top"/>
    </xf>
    <xf numFmtId="9" fontId="0" fillId="14" borderId="7" xfId="0" applyNumberFormat="1" applyFill="1" applyBorder="1"/>
    <xf numFmtId="165" fontId="37" fillId="14" borderId="93" xfId="3" applyNumberFormat="1" applyFont="1" applyFill="1" applyBorder="1" applyAlignment="1">
      <alignment horizontal="left" vertical="top"/>
    </xf>
    <xf numFmtId="165" fontId="37" fillId="14" borderId="11" xfId="3" applyNumberFormat="1" applyFont="1" applyFill="1" applyBorder="1" applyAlignment="1">
      <alignment horizontal="left" vertical="top"/>
    </xf>
    <xf numFmtId="9" fontId="0" fillId="0" borderId="5" xfId="0" applyNumberFormat="1" applyBorder="1" applyAlignment="1">
      <alignment horizontal="left"/>
    </xf>
    <xf numFmtId="165" fontId="37" fillId="0" borderId="0" xfId="0" applyNumberFormat="1" applyFont="1" applyAlignment="1">
      <alignment horizontal="left" vertical="top"/>
    </xf>
    <xf numFmtId="0" fontId="181" fillId="0" borderId="0" xfId="6" applyFont="1" applyAlignment="1">
      <alignment horizontal="left" vertical="top"/>
    </xf>
    <xf numFmtId="164" fontId="181" fillId="0" borderId="0" xfId="6" applyNumberFormat="1" applyFont="1" applyAlignment="1">
      <alignment horizontal="left" vertical="top"/>
    </xf>
    <xf numFmtId="0" fontId="181" fillId="0" borderId="0" xfId="6" applyFont="1" applyAlignment="1">
      <alignment horizontal="center" vertical="top"/>
    </xf>
    <xf numFmtId="164" fontId="181" fillId="0" borderId="0" xfId="6" applyNumberFormat="1" applyFont="1" applyAlignment="1">
      <alignment horizontal="center" vertical="top"/>
    </xf>
    <xf numFmtId="9" fontId="181" fillId="0" borderId="1" xfId="0" applyNumberFormat="1" applyFont="1" applyBorder="1" applyAlignment="1">
      <alignment horizontal="left" vertical="top"/>
    </xf>
    <xf numFmtId="164" fontId="41" fillId="0" borderId="5" xfId="0" applyNumberFormat="1" applyFont="1" applyBorder="1" applyAlignment="1">
      <alignment horizontal="left"/>
    </xf>
    <xf numFmtId="0" fontId="37" fillId="0" borderId="35" xfId="0" applyFont="1" applyBorder="1" applyAlignment="1">
      <alignment horizontal="left" vertical="top"/>
    </xf>
    <xf numFmtId="0" fontId="51" fillId="0" borderId="0" xfId="0" applyFont="1"/>
    <xf numFmtId="0" fontId="38" fillId="0" borderId="136" xfId="0" applyFont="1" applyFill="1" applyBorder="1"/>
    <xf numFmtId="9" fontId="38" fillId="0" borderId="136" xfId="0" applyNumberFormat="1" applyFont="1" applyFill="1" applyBorder="1" applyAlignment="1">
      <alignment horizontal="left"/>
    </xf>
    <xf numFmtId="9" fontId="37" fillId="0" borderId="136" xfId="0" applyNumberFormat="1" applyFont="1" applyBorder="1" applyAlignment="1">
      <alignment horizontal="left"/>
    </xf>
    <xf numFmtId="9" fontId="37" fillId="0" borderId="136" xfId="0" applyNumberFormat="1" applyFont="1" applyFill="1" applyBorder="1" applyAlignment="1">
      <alignment horizontal="left"/>
    </xf>
    <xf numFmtId="10" fontId="0" fillId="0" borderId="0" xfId="3" applyNumberFormat="1" applyFont="1" applyAlignment="1">
      <alignment horizontal="left"/>
    </xf>
    <xf numFmtId="10" fontId="37" fillId="0" borderId="7" xfId="3" applyNumberFormat="1" applyFont="1" applyFill="1" applyBorder="1" applyAlignment="1">
      <alignment horizontal="left"/>
    </xf>
    <xf numFmtId="164" fontId="0" fillId="0" borderId="35" xfId="0" applyNumberFormat="1" applyBorder="1" applyAlignment="1">
      <alignment horizontal="left"/>
    </xf>
    <xf numFmtId="0" fontId="37" fillId="0" borderId="137" xfId="0" applyFont="1" applyFill="1" applyBorder="1" applyAlignment="1">
      <alignment horizontal="left"/>
    </xf>
    <xf numFmtId="164" fontId="41" fillId="0" borderId="137" xfId="0" applyNumberFormat="1" applyFont="1" applyFill="1" applyBorder="1" applyAlignment="1">
      <alignment horizontal="left"/>
    </xf>
    <xf numFmtId="164" fontId="37" fillId="0" borderId="137" xfId="0" applyNumberFormat="1" applyFont="1" applyFill="1" applyBorder="1" applyAlignment="1">
      <alignment horizontal="left"/>
    </xf>
    <xf numFmtId="0" fontId="37" fillId="9" borderId="12" xfId="0" applyFont="1" applyFill="1" applyBorder="1" applyAlignment="1">
      <alignment horizontal="left" vertical="top"/>
    </xf>
    <xf numFmtId="0" fontId="37" fillId="0" borderId="81" xfId="0" applyFont="1" applyFill="1" applyBorder="1" applyAlignment="1">
      <alignment horizontal="left" vertical="top"/>
    </xf>
    <xf numFmtId="0" fontId="37" fillId="0" borderId="138" xfId="0" applyFont="1" applyFill="1" applyBorder="1" applyAlignment="1">
      <alignment horizontal="left" vertical="top"/>
    </xf>
    <xf numFmtId="0" fontId="182" fillId="0" borderId="6" xfId="0" applyFont="1" applyFill="1" applyBorder="1" applyAlignment="1">
      <alignment horizontal="left" vertical="top"/>
    </xf>
    <xf numFmtId="9" fontId="48" fillId="0" borderId="51" xfId="3" applyFont="1" applyFill="1" applyBorder="1" applyAlignment="1">
      <alignment horizontal="left" vertical="top"/>
    </xf>
    <xf numFmtId="9" fontId="48" fillId="0" borderId="14" xfId="3" applyFont="1" applyFill="1" applyBorder="1" applyAlignment="1">
      <alignment horizontal="left" vertical="top"/>
    </xf>
    <xf numFmtId="9" fontId="48" fillId="0" borderId="9" xfId="3" applyFont="1" applyFill="1" applyBorder="1" applyAlignment="1">
      <alignment horizontal="left" vertical="top"/>
    </xf>
    <xf numFmtId="9" fontId="48" fillId="0" borderId="13" xfId="3" applyFont="1" applyFill="1" applyBorder="1" applyAlignment="1">
      <alignment horizontal="left" vertical="top"/>
    </xf>
    <xf numFmtId="9" fontId="48" fillId="0" borderId="52" xfId="3" applyFont="1" applyFill="1" applyBorder="1" applyAlignment="1">
      <alignment horizontal="left" vertical="top"/>
    </xf>
    <xf numFmtId="0" fontId="48" fillId="0" borderId="138" xfId="0" applyFont="1" applyFill="1" applyBorder="1" applyAlignment="1">
      <alignment horizontal="left" vertical="top"/>
    </xf>
    <xf numFmtId="0" fontId="48" fillId="0" borderId="7" xfId="0" applyFont="1" applyFill="1" applyBorder="1" applyAlignment="1">
      <alignment horizontal="left" vertical="top"/>
    </xf>
    <xf numFmtId="0" fontId="48" fillId="0" borderId="8" xfId="0" applyFont="1" applyFill="1" applyBorder="1" applyAlignment="1">
      <alignment horizontal="left" vertical="top"/>
    </xf>
    <xf numFmtId="0" fontId="48" fillId="0" borderId="6" xfId="0" applyFont="1" applyFill="1" applyBorder="1" applyAlignment="1">
      <alignment horizontal="left" vertical="top"/>
    </xf>
    <xf numFmtId="0" fontId="48" fillId="0" borderId="81" xfId="0" applyFont="1" applyFill="1" applyBorder="1" applyAlignment="1">
      <alignment horizontal="left" vertical="top"/>
    </xf>
    <xf numFmtId="0" fontId="38" fillId="0" borderId="2" xfId="0" applyFont="1" applyFill="1" applyBorder="1" applyAlignment="1">
      <alignment horizontal="left" vertical="top"/>
    </xf>
    <xf numFmtId="0" fontId="37" fillId="0" borderId="4" xfId="0" applyFont="1" applyFill="1" applyBorder="1" applyAlignment="1">
      <alignment horizontal="left" vertical="top"/>
    </xf>
    <xf numFmtId="0" fontId="38" fillId="0" borderId="6" xfId="0" applyFont="1" applyFill="1" applyBorder="1" applyAlignment="1">
      <alignment horizontal="left" vertical="top"/>
    </xf>
    <xf numFmtId="164" fontId="48" fillId="0" borderId="0" xfId="0" applyNumberFormat="1" applyFont="1" applyAlignment="1">
      <alignment horizontal="left"/>
    </xf>
    <xf numFmtId="0" fontId="35" fillId="0" borderId="0" xfId="6" applyFont="1" applyAlignment="1">
      <alignment horizontal="left" vertical="top"/>
    </xf>
    <xf numFmtId="0" fontId="35" fillId="0" borderId="0" xfId="6" applyFont="1" applyAlignment="1">
      <alignment horizontal="left" vertical="top" wrapText="1"/>
    </xf>
    <xf numFmtId="0" fontId="15" fillId="0" borderId="0" xfId="6" applyFont="1" applyFill="1" applyBorder="1" applyAlignment="1">
      <alignment horizontal="left" vertical="top" indent="2"/>
    </xf>
    <xf numFmtId="0" fontId="35" fillId="0" borderId="0" xfId="6" applyFont="1" applyAlignment="1">
      <alignment vertical="top" wrapText="1"/>
    </xf>
    <xf numFmtId="0" fontId="35" fillId="0" borderId="9" xfId="6" applyFont="1" applyBorder="1" applyAlignment="1">
      <alignment horizontal="left" vertical="top"/>
    </xf>
    <xf numFmtId="0" fontId="35" fillId="0" borderId="0" xfId="6" applyFont="1" applyFill="1" applyAlignment="1">
      <alignment vertical="top" wrapText="1"/>
    </xf>
    <xf numFmtId="0" fontId="35" fillId="0" borderId="0" xfId="6" applyFont="1" applyAlignment="1">
      <alignment horizontal="left" vertical="top"/>
    </xf>
    <xf numFmtId="0" fontId="37" fillId="0" borderId="0" xfId="0" applyFont="1" applyAlignment="1">
      <alignment horizontal="left" vertical="top"/>
    </xf>
    <xf numFmtId="0" fontId="37" fillId="0" borderId="0" xfId="0" applyFont="1" applyBorder="1" applyAlignment="1">
      <alignment horizontal="left" vertical="top"/>
    </xf>
    <xf numFmtId="0" fontId="147" fillId="0" borderId="0" xfId="0" applyFont="1" applyBorder="1" applyAlignment="1">
      <alignment vertical="top" wrapText="1"/>
    </xf>
    <xf numFmtId="0" fontId="37" fillId="0" borderId="0" xfId="0" applyNumberFormat="1" applyFont="1" applyBorder="1" applyAlignment="1">
      <alignment vertical="top" wrapText="1"/>
    </xf>
    <xf numFmtId="0" fontId="37" fillId="0" borderId="0" xfId="0" applyFont="1" applyAlignment="1">
      <alignment vertical="top" wrapText="1"/>
    </xf>
    <xf numFmtId="0" fontId="37" fillId="0" borderId="139" xfId="0" applyFont="1" applyBorder="1" applyAlignment="1">
      <alignment horizontal="left" vertical="top"/>
    </xf>
    <xf numFmtId="1" fontId="16" fillId="0" borderId="140" xfId="6" applyNumberFormat="1" applyFont="1" applyFill="1" applyBorder="1" applyAlignment="1">
      <alignment horizontal="left" vertical="top"/>
    </xf>
    <xf numFmtId="165" fontId="16" fillId="0" borderId="139" xfId="3" applyNumberFormat="1" applyFont="1" applyFill="1" applyBorder="1" applyAlignment="1">
      <alignment horizontal="left" vertical="top"/>
    </xf>
    <xf numFmtId="0" fontId="15" fillId="0" borderId="0" xfId="6" applyFont="1" applyFill="1" applyBorder="1" applyAlignment="1">
      <alignment vertical="top" wrapText="1"/>
    </xf>
    <xf numFmtId="0" fontId="15" fillId="0" borderId="0" xfId="6" applyFont="1" applyFill="1" applyBorder="1" applyAlignment="1">
      <alignment vertical="top"/>
    </xf>
    <xf numFmtId="0" fontId="35" fillId="0" borderId="141" xfId="6" applyFont="1" applyFill="1" applyBorder="1" applyAlignment="1">
      <alignment horizontal="left" vertical="top"/>
    </xf>
    <xf numFmtId="0" fontId="37" fillId="0" borderId="0" xfId="6" quotePrefix="1" applyFont="1" applyFill="1" applyBorder="1" applyAlignment="1">
      <alignment horizontal="left" vertical="top" indent="1"/>
    </xf>
    <xf numFmtId="0" fontId="50" fillId="0" borderId="1" xfId="6" quotePrefix="1" applyFont="1" applyBorder="1" applyAlignment="1">
      <alignment horizontal="left" vertical="top" wrapText="1"/>
    </xf>
    <xf numFmtId="0" fontId="50" fillId="0" borderId="0" xfId="6" quotePrefix="1" applyFont="1" applyAlignment="1">
      <alignment horizontal="left" vertical="top" wrapText="1"/>
    </xf>
    <xf numFmtId="0" fontId="21" fillId="0" borderId="0" xfId="6" quotePrefix="1" applyFont="1" applyAlignment="1">
      <alignment horizontal="left" vertical="top" wrapText="1"/>
    </xf>
    <xf numFmtId="0" fontId="48" fillId="0" borderId="0" xfId="6" quotePrefix="1" applyFont="1" applyAlignment="1">
      <alignment horizontal="left" vertical="top"/>
    </xf>
    <xf numFmtId="0" fontId="48" fillId="0" borderId="1" xfId="0" quotePrefix="1" applyFont="1" applyBorder="1" applyAlignment="1">
      <alignment horizontal="left" vertical="top"/>
    </xf>
    <xf numFmtId="0" fontId="48" fillId="0" borderId="4" xfId="6" quotePrefix="1" applyFont="1" applyBorder="1" applyAlignment="1">
      <alignment horizontal="left" vertical="top" wrapText="1"/>
    </xf>
    <xf numFmtId="0" fontId="21" fillId="0" borderId="0" xfId="6" quotePrefix="1" applyFont="1" applyAlignment="1">
      <alignment horizontal="left" vertical="top"/>
    </xf>
    <xf numFmtId="0" fontId="183" fillId="0" borderId="0" xfId="6" applyFont="1" applyAlignment="1">
      <alignment horizontal="left" vertical="top"/>
    </xf>
    <xf numFmtId="0" fontId="38" fillId="3" borderId="11" xfId="6" applyFont="1" applyFill="1" applyBorder="1" applyAlignment="1">
      <alignment horizontal="left" vertical="top"/>
    </xf>
    <xf numFmtId="0" fontId="51" fillId="0" borderId="0" xfId="6" applyFont="1" applyFill="1" applyBorder="1" applyAlignment="1">
      <alignment horizontal="left" vertical="top" wrapText="1" indent="4"/>
    </xf>
    <xf numFmtId="0" fontId="51" fillId="0" borderId="15" xfId="6" applyFont="1" applyFill="1" applyBorder="1" applyAlignment="1">
      <alignment horizontal="left" vertical="top" wrapText="1" indent="4"/>
    </xf>
    <xf numFmtId="0" fontId="35" fillId="0" borderId="15" xfId="6" applyFont="1" applyFill="1" applyBorder="1" applyAlignment="1">
      <alignment vertical="top"/>
    </xf>
    <xf numFmtId="0" fontId="37" fillId="0" borderId="11" xfId="6" applyFont="1" applyFill="1" applyBorder="1" applyAlignment="1">
      <alignment horizontal="right" vertical="top" wrapText="1"/>
    </xf>
    <xf numFmtId="0" fontId="77" fillId="8" borderId="15" xfId="0" applyFont="1" applyFill="1" applyBorder="1" applyAlignment="1">
      <alignment horizontal="left" vertical="top"/>
    </xf>
    <xf numFmtId="0" fontId="37" fillId="7" borderId="15" xfId="6" applyFont="1" applyFill="1" applyBorder="1" applyAlignment="1">
      <alignment horizontal="left" vertical="top"/>
    </xf>
    <xf numFmtId="0" fontId="37" fillId="0" borderId="9" xfId="6" applyFont="1" applyBorder="1" applyAlignment="1">
      <alignment horizontal="left" vertical="top"/>
    </xf>
    <xf numFmtId="0" fontId="38" fillId="0" borderId="15" xfId="6" applyFont="1" applyFill="1" applyBorder="1" applyAlignment="1">
      <alignment horizontal="center" vertical="top"/>
    </xf>
    <xf numFmtId="0" fontId="35" fillId="0" borderId="15" xfId="6" applyFont="1" applyFill="1" applyBorder="1" applyAlignment="1">
      <alignment horizontal="left" vertical="top"/>
    </xf>
    <xf numFmtId="0" fontId="111" fillId="14" borderId="15" xfId="6" applyFont="1" applyFill="1" applyBorder="1" applyAlignment="1">
      <alignment horizontal="center" vertical="top"/>
    </xf>
    <xf numFmtId="0" fontId="38" fillId="0" borderId="15" xfId="6" applyFont="1" applyFill="1" applyBorder="1" applyAlignment="1">
      <alignment horizontal="left" vertical="top"/>
    </xf>
    <xf numFmtId="0" fontId="35" fillId="0" borderId="15" xfId="6" applyNumberFormat="1" applyFont="1" applyBorder="1" applyAlignment="1">
      <alignment horizontal="left" vertical="top"/>
    </xf>
    <xf numFmtId="0" fontId="111" fillId="14" borderId="15" xfId="6" applyNumberFormat="1" applyFont="1" applyFill="1" applyBorder="1" applyAlignment="1">
      <alignment horizontal="center" vertical="top"/>
    </xf>
    <xf numFmtId="0" fontId="49" fillId="7" borderId="15" xfId="6" applyFont="1" applyFill="1" applyBorder="1" applyAlignment="1">
      <alignment horizontal="left" vertical="top"/>
    </xf>
    <xf numFmtId="0" fontId="35" fillId="6" borderId="15" xfId="6" applyFont="1" applyFill="1" applyBorder="1" applyAlignment="1">
      <alignment horizontal="left" vertical="top"/>
    </xf>
    <xf numFmtId="0" fontId="111" fillId="0" borderId="15" xfId="6" applyFont="1" applyBorder="1" applyAlignment="1">
      <alignment horizontal="right" vertical="top"/>
    </xf>
    <xf numFmtId="0" fontId="49" fillId="3" borderId="15" xfId="6" applyFont="1" applyFill="1" applyBorder="1" applyAlignment="1">
      <alignment horizontal="left" vertical="top"/>
    </xf>
    <xf numFmtId="0" fontId="138" fillId="0" borderId="15" xfId="6" applyFont="1" applyBorder="1" applyAlignment="1">
      <alignment horizontal="right" vertical="top"/>
    </xf>
    <xf numFmtId="0" fontId="35" fillId="0" borderId="87" xfId="6" applyFont="1" applyBorder="1" applyAlignment="1">
      <alignment horizontal="left" vertical="top"/>
    </xf>
    <xf numFmtId="9" fontId="35" fillId="0" borderId="87" xfId="6" applyNumberFormat="1" applyFont="1" applyBorder="1" applyAlignment="1">
      <alignment horizontal="left" vertical="top"/>
    </xf>
    <xf numFmtId="0" fontId="35" fillId="0" borderId="88" xfId="6" applyFont="1" applyBorder="1" applyAlignment="1">
      <alignment horizontal="left" vertical="top"/>
    </xf>
    <xf numFmtId="9" fontId="35" fillId="0" borderId="15" xfId="6" applyNumberFormat="1" applyFont="1" applyBorder="1" applyAlignment="1">
      <alignment horizontal="left" vertical="top"/>
    </xf>
    <xf numFmtId="9" fontId="35" fillId="0" borderId="88" xfId="6" applyNumberFormat="1" applyFont="1" applyBorder="1" applyAlignment="1">
      <alignment horizontal="left" vertical="top"/>
    </xf>
    <xf numFmtId="165" fontId="35" fillId="0" borderId="87" xfId="6" applyNumberFormat="1" applyFont="1" applyBorder="1" applyAlignment="1">
      <alignment horizontal="left" vertical="top"/>
    </xf>
    <xf numFmtId="165" fontId="35" fillId="0" borderId="88" xfId="6" applyNumberFormat="1" applyFont="1" applyBorder="1" applyAlignment="1">
      <alignment horizontal="left" vertical="top"/>
    </xf>
    <xf numFmtId="0" fontId="49" fillId="0" borderId="15" xfId="6" applyFont="1" applyFill="1" applyBorder="1" applyAlignment="1">
      <alignment horizontal="left" vertical="top"/>
    </xf>
    <xf numFmtId="0" fontId="131" fillId="0" borderId="8" xfId="6" applyFont="1" applyBorder="1" applyAlignment="1">
      <alignment horizontal="left" vertical="top"/>
    </xf>
    <xf numFmtId="0" fontId="48" fillId="14" borderId="8" xfId="6" applyFont="1" applyFill="1" applyBorder="1" applyAlignment="1">
      <alignment horizontal="left" vertical="top"/>
    </xf>
    <xf numFmtId="0" fontId="35" fillId="7" borderId="15" xfId="6" applyFont="1" applyFill="1" applyBorder="1" applyAlignment="1">
      <alignment horizontal="left" vertical="top"/>
    </xf>
    <xf numFmtId="0" fontId="110" fillId="0" borderId="15" xfId="6" applyFont="1" applyBorder="1" applyAlignment="1">
      <alignment horizontal="right" vertical="top"/>
    </xf>
    <xf numFmtId="0" fontId="35" fillId="0" borderId="10" xfId="6" applyFont="1" applyBorder="1" applyAlignment="1">
      <alignment horizontal="left" vertical="top"/>
    </xf>
    <xf numFmtId="0" fontId="181" fillId="14" borderId="0" xfId="6" applyFont="1" applyFill="1" applyAlignment="1">
      <alignment horizontal="left" vertical="top"/>
    </xf>
    <xf numFmtId="164" fontId="47" fillId="0" borderId="0" xfId="6" applyNumberFormat="1" applyFont="1" applyAlignment="1">
      <alignment horizontal="right" vertical="top"/>
    </xf>
    <xf numFmtId="164" fontId="47" fillId="0" borderId="38" xfId="6" applyNumberFormat="1" applyFont="1" applyBorder="1" applyAlignment="1">
      <alignment horizontal="right" vertical="top"/>
    </xf>
    <xf numFmtId="0" fontId="47" fillId="0" borderId="0" xfId="6" applyFont="1" applyAlignment="1">
      <alignment horizontal="right" vertical="top"/>
    </xf>
    <xf numFmtId="0" fontId="49" fillId="0" borderId="79" xfId="6" quotePrefix="1" applyFont="1" applyBorder="1" applyAlignment="1">
      <alignment horizontal="left" vertical="top"/>
    </xf>
    <xf numFmtId="0" fontId="47" fillId="0" borderId="0" xfId="1" applyFont="1" applyAlignment="1" applyProtection="1">
      <alignment horizontal="left" vertical="top"/>
    </xf>
    <xf numFmtId="0" fontId="3" fillId="0" borderId="0" xfId="6" applyFont="1" applyBorder="1" applyAlignment="1">
      <alignment horizontal="left" vertical="top"/>
    </xf>
    <xf numFmtId="0" fontId="35" fillId="0" borderId="0" xfId="6" applyFont="1" applyAlignment="1">
      <alignment horizontal="left" vertical="top"/>
    </xf>
    <xf numFmtId="0" fontId="0" fillId="0" borderId="0" xfId="0" applyAlignment="1"/>
    <xf numFmtId="0" fontId="38" fillId="7" borderId="0" xfId="6" applyFont="1" applyFill="1" applyBorder="1" applyAlignment="1">
      <alignment horizontal="left" vertical="top"/>
    </xf>
    <xf numFmtId="0" fontId="37" fillId="0" borderId="0" xfId="0" applyFont="1" applyBorder="1" applyAlignment="1">
      <alignment horizontal="left" vertical="top" wrapText="1"/>
    </xf>
    <xf numFmtId="0" fontId="37" fillId="0" borderId="42" xfId="0" applyFont="1" applyBorder="1" applyAlignment="1">
      <alignment horizontal="left" vertical="top" wrapText="1"/>
    </xf>
    <xf numFmtId="0" fontId="37" fillId="0" borderId="0" xfId="0" applyFont="1" applyAlignment="1">
      <alignment horizontal="left" vertical="top"/>
    </xf>
    <xf numFmtId="0" fontId="37" fillId="0" borderId="0" xfId="0" applyFont="1" applyBorder="1" applyAlignment="1">
      <alignment horizontal="left" vertical="top"/>
    </xf>
    <xf numFmtId="0" fontId="37" fillId="0" borderId="42" xfId="0" applyFont="1" applyBorder="1" applyAlignment="1">
      <alignment horizontal="left" vertical="top"/>
    </xf>
    <xf numFmtId="0" fontId="37" fillId="0" borderId="0" xfId="0" quotePrefix="1" applyFont="1" applyBorder="1" applyAlignment="1">
      <alignment vertical="top" wrapText="1"/>
    </xf>
    <xf numFmtId="0" fontId="37" fillId="0" borderId="0" xfId="0" applyNumberFormat="1" applyFont="1" applyBorder="1" applyAlignment="1">
      <alignment vertical="top" wrapText="1"/>
    </xf>
    <xf numFmtId="0" fontId="47" fillId="13" borderId="2" xfId="6" applyFont="1" applyFill="1" applyBorder="1" applyAlignment="1">
      <alignment horizontal="center" vertical="top"/>
    </xf>
    <xf numFmtId="0" fontId="47" fillId="13" borderId="4" xfId="6" applyFont="1" applyFill="1" applyBorder="1" applyAlignment="1">
      <alignment horizontal="center" vertical="top"/>
    </xf>
    <xf numFmtId="9" fontId="132" fillId="0" borderId="3" xfId="6" applyNumberFormat="1" applyFont="1" applyBorder="1" applyAlignment="1">
      <alignment horizontal="center" vertical="top"/>
    </xf>
    <xf numFmtId="9" fontId="47" fillId="14" borderId="3" xfId="6" applyNumberFormat="1" applyFont="1" applyFill="1" applyBorder="1" applyAlignment="1">
      <alignment horizontal="center" vertical="top"/>
    </xf>
    <xf numFmtId="9" fontId="47" fillId="0" borderId="3" xfId="6" applyNumberFormat="1" applyFont="1" applyBorder="1" applyAlignment="1">
      <alignment horizontal="center" vertical="top"/>
    </xf>
    <xf numFmtId="9" fontId="140" fillId="0" borderId="3" xfId="6" applyNumberFormat="1" applyFont="1" applyBorder="1" applyAlignment="1">
      <alignment horizontal="center" vertical="top"/>
    </xf>
    <xf numFmtId="0" fontId="23" fillId="0" borderId="1" xfId="6" applyFont="1" applyBorder="1" applyAlignment="1">
      <alignment vertical="top"/>
    </xf>
    <xf numFmtId="0" fontId="24" fillId="0" borderId="0" xfId="6" quotePrefix="1" applyFont="1" applyAlignment="1">
      <alignment horizontal="left" vertical="top" wrapText="1"/>
    </xf>
    <xf numFmtId="0" fontId="47" fillId="0" borderId="5" xfId="6" applyFont="1" applyBorder="1" applyAlignment="1">
      <alignment horizontal="left" vertical="top" wrapText="1"/>
    </xf>
    <xf numFmtId="0" fontId="156" fillId="0" borderId="0" xfId="1" applyFont="1" applyFill="1" applyBorder="1" applyAlignment="1" applyProtection="1">
      <alignment horizontal="left" vertical="top" indent="1"/>
    </xf>
    <xf numFmtId="0" fontId="147" fillId="0" borderId="7" xfId="6" applyFont="1" applyBorder="1" applyAlignment="1">
      <alignment horizontal="left" vertical="top" wrapText="1"/>
    </xf>
    <xf numFmtId="0" fontId="110" fillId="0" borderId="1" xfId="6" applyFont="1" applyBorder="1" applyAlignment="1">
      <alignment horizontal="left" vertical="top"/>
    </xf>
    <xf numFmtId="0" fontId="19" fillId="0" borderId="11" xfId="6" applyFont="1" applyBorder="1" applyAlignment="1">
      <alignment vertical="top"/>
    </xf>
    <xf numFmtId="0" fontId="19" fillId="0" borderId="15" xfId="6" applyFont="1" applyBorder="1" applyAlignment="1">
      <alignment vertical="top"/>
    </xf>
    <xf numFmtId="9" fontId="48" fillId="0" borderId="0" xfId="6" applyNumberFormat="1" applyFont="1" applyBorder="1" applyAlignment="1">
      <alignment horizontal="left" vertical="top"/>
    </xf>
    <xf numFmtId="9" fontId="131" fillId="0" borderId="0" xfId="6" applyNumberFormat="1" applyFont="1" applyFill="1" applyBorder="1" applyAlignment="1">
      <alignment horizontal="center" vertical="top"/>
    </xf>
    <xf numFmtId="164" fontId="47" fillId="0" borderId="38" xfId="6" applyNumberFormat="1" applyFont="1" applyBorder="1" applyAlignment="1">
      <alignment horizontal="left" vertical="top" indent="1"/>
    </xf>
    <xf numFmtId="164" fontId="49" fillId="9" borderId="38" xfId="6" applyNumberFormat="1" applyFont="1" applyFill="1" applyBorder="1" applyAlignment="1">
      <alignment horizontal="left" vertical="top"/>
    </xf>
    <xf numFmtId="164" fontId="49" fillId="17" borderId="38" xfId="6" applyNumberFormat="1" applyFont="1" applyFill="1" applyBorder="1" applyAlignment="1">
      <alignment horizontal="left" vertical="top"/>
    </xf>
    <xf numFmtId="164" fontId="49" fillId="24" borderId="38" xfId="6" applyNumberFormat="1" applyFont="1" applyFill="1" applyBorder="1" applyAlignment="1">
      <alignment horizontal="left" vertical="top"/>
    </xf>
    <xf numFmtId="1" fontId="37" fillId="0" borderId="0" xfId="0" quotePrefix="1" applyNumberFormat="1" applyFont="1" applyBorder="1" applyAlignment="1">
      <alignment horizontal="left" vertical="top" indent="2"/>
    </xf>
    <xf numFmtId="0" fontId="37" fillId="0" borderId="42" xfId="0" applyNumberFormat="1" applyFont="1" applyBorder="1" applyAlignment="1">
      <alignment vertical="top" wrapText="1"/>
    </xf>
    <xf numFmtId="0" fontId="185" fillId="14" borderId="35" xfId="0" applyNumberFormat="1" applyFont="1" applyFill="1" applyBorder="1" applyAlignment="1">
      <alignment horizontal="left" vertical="top"/>
    </xf>
    <xf numFmtId="0" fontId="185" fillId="14" borderId="38" xfId="0" applyNumberFormat="1" applyFont="1" applyFill="1" applyBorder="1" applyAlignment="1">
      <alignment horizontal="left" vertical="top"/>
    </xf>
    <xf numFmtId="0" fontId="158" fillId="0" borderId="0" xfId="0" applyFont="1" applyFill="1" applyAlignment="1">
      <alignment horizontal="left" vertical="top" wrapText="1"/>
    </xf>
    <xf numFmtId="0" fontId="158" fillId="0" borderId="0" xfId="0" applyFont="1" applyFill="1" applyAlignment="1">
      <alignment horizontal="left" vertical="top"/>
    </xf>
    <xf numFmtId="0" fontId="185" fillId="0" borderId="35" xfId="0" applyNumberFormat="1" applyFont="1" applyBorder="1" applyAlignment="1">
      <alignment horizontal="left" vertical="top"/>
    </xf>
    <xf numFmtId="0" fontId="185" fillId="0" borderId="38" xfId="0" applyNumberFormat="1" applyFont="1" applyBorder="1" applyAlignment="1">
      <alignment horizontal="left" vertical="top"/>
    </xf>
    <xf numFmtId="0" fontId="185" fillId="0" borderId="33" xfId="0" applyFont="1" applyBorder="1" applyAlignment="1">
      <alignment horizontal="left" vertical="top"/>
    </xf>
    <xf numFmtId="0" fontId="185" fillId="0" borderId="35" xfId="0" applyFont="1" applyBorder="1" applyAlignment="1">
      <alignment horizontal="left" vertical="top"/>
    </xf>
    <xf numFmtId="0" fontId="185" fillId="0" borderId="0" xfId="0" applyFont="1" applyBorder="1" applyAlignment="1">
      <alignment horizontal="left" vertical="top"/>
    </xf>
    <xf numFmtId="0" fontId="185" fillId="0" borderId="38" xfId="0" applyFont="1" applyBorder="1" applyAlignment="1">
      <alignment horizontal="left" vertical="top"/>
    </xf>
    <xf numFmtId="0" fontId="158" fillId="0" borderId="35" xfId="0" applyFont="1" applyBorder="1" applyAlignment="1">
      <alignment horizontal="left" vertical="top"/>
    </xf>
    <xf numFmtId="0" fontId="158" fillId="0" borderId="0" xfId="0" applyFont="1" applyBorder="1" applyAlignment="1">
      <alignment horizontal="left" vertical="top"/>
    </xf>
    <xf numFmtId="0" fontId="158" fillId="0" borderId="38" xfId="0" applyFont="1" applyBorder="1" applyAlignment="1">
      <alignment horizontal="left" vertical="top"/>
    </xf>
    <xf numFmtId="0" fontId="158" fillId="0" borderId="0" xfId="0" applyFont="1" applyAlignment="1">
      <alignment horizontal="right" vertical="top"/>
    </xf>
    <xf numFmtId="9" fontId="183" fillId="0" borderId="0" xfId="0" applyNumberFormat="1" applyFont="1" applyAlignment="1">
      <alignment horizontal="left" vertical="top"/>
    </xf>
    <xf numFmtId="9" fontId="47" fillId="0" borderId="0" xfId="0" applyNumberFormat="1" applyFont="1" applyAlignment="1">
      <alignment horizontal="left"/>
    </xf>
    <xf numFmtId="9" fontId="47" fillId="0" borderId="0" xfId="3" applyFont="1" applyAlignment="1">
      <alignment horizontal="left"/>
    </xf>
    <xf numFmtId="9" fontId="158" fillId="14" borderId="0" xfId="3" applyFont="1" applyFill="1" applyAlignment="1">
      <alignment horizontal="left"/>
    </xf>
    <xf numFmtId="9" fontId="38" fillId="24" borderId="3" xfId="0" applyNumberFormat="1" applyFont="1" applyFill="1" applyBorder="1" applyAlignment="1">
      <alignment horizontal="left" vertical="top"/>
    </xf>
    <xf numFmtId="9" fontId="38" fillId="12" borderId="3" xfId="0" applyNumberFormat="1" applyFont="1" applyFill="1" applyBorder="1" applyAlignment="1">
      <alignment horizontal="left" vertical="top"/>
    </xf>
    <xf numFmtId="0" fontId="154" fillId="0" borderId="0" xfId="0" applyFont="1" applyAlignment="1">
      <alignment horizontal="left"/>
    </xf>
    <xf numFmtId="0" fontId="154" fillId="0" borderId="0" xfId="0" applyFont="1" applyAlignment="1">
      <alignment horizontal="left" vertical="top"/>
    </xf>
    <xf numFmtId="0" fontId="47" fillId="0" borderId="6" xfId="0" applyFont="1" applyBorder="1" applyAlignment="1">
      <alignment horizontal="left" vertical="top"/>
    </xf>
    <xf numFmtId="0" fontId="47" fillId="0" borderId="6" xfId="0" applyFont="1" applyFill="1" applyBorder="1" applyAlignment="1">
      <alignment horizontal="left" vertical="top"/>
    </xf>
    <xf numFmtId="0" fontId="47" fillId="0" borderId="3" xfId="0" applyFont="1" applyFill="1" applyBorder="1" applyAlignment="1">
      <alignment horizontal="left" vertical="top"/>
    </xf>
    <xf numFmtId="9" fontId="154" fillId="3" borderId="6" xfId="0" applyNumberFormat="1" applyFont="1" applyFill="1" applyBorder="1" applyAlignment="1">
      <alignment horizontal="left" vertical="top"/>
    </xf>
    <xf numFmtId="9" fontId="132" fillId="14" borderId="6" xfId="0" applyNumberFormat="1" applyFont="1" applyFill="1" applyBorder="1" applyAlignment="1">
      <alignment horizontal="left" vertical="top"/>
    </xf>
    <xf numFmtId="9" fontId="47" fillId="14" borderId="3" xfId="0" applyNumberFormat="1" applyFont="1" applyFill="1" applyBorder="1" applyAlignment="1">
      <alignment horizontal="left" vertical="top"/>
    </xf>
    <xf numFmtId="165" fontId="77" fillId="18" borderId="3" xfId="0" applyNumberFormat="1" applyFont="1" applyFill="1" applyBorder="1" applyAlignment="1">
      <alignment horizontal="left" vertical="top"/>
    </xf>
    <xf numFmtId="0" fontId="48" fillId="0" borderId="92" xfId="0" applyFont="1" applyBorder="1" applyAlignment="1">
      <alignment horizontal="left" vertical="top"/>
    </xf>
    <xf numFmtId="0" fontId="158" fillId="0" borderId="100" xfId="0" applyFont="1" applyBorder="1" applyAlignment="1">
      <alignment horizontal="left" vertical="top"/>
    </xf>
    <xf numFmtId="0" fontId="158" fillId="0" borderId="92" xfId="0" applyFont="1" applyBorder="1" applyAlignment="1">
      <alignment horizontal="left" vertical="top"/>
    </xf>
    <xf numFmtId="9" fontId="158" fillId="0" borderId="75" xfId="0" applyNumberFormat="1" applyFont="1" applyBorder="1" applyAlignment="1">
      <alignment horizontal="left" vertical="top"/>
    </xf>
    <xf numFmtId="9" fontId="158" fillId="0" borderId="77" xfId="0" applyNumberFormat="1" applyFont="1" applyBorder="1" applyAlignment="1">
      <alignment horizontal="left" vertical="top"/>
    </xf>
    <xf numFmtId="0" fontId="158" fillId="0" borderId="29" xfId="0" applyFont="1" applyBorder="1" applyAlignment="1">
      <alignment horizontal="left" vertical="top"/>
    </xf>
    <xf numFmtId="9" fontId="158" fillId="0" borderId="27" xfId="0" applyNumberFormat="1" applyFont="1" applyBorder="1" applyAlignment="1">
      <alignment horizontal="left" vertical="top"/>
    </xf>
    <xf numFmtId="0" fontId="147" fillId="0" borderId="0" xfId="0" quotePrefix="1" applyFont="1" applyBorder="1" applyAlignment="1">
      <alignment horizontal="left" vertical="top" indent="1"/>
    </xf>
    <xf numFmtId="0" fontId="147" fillId="0" borderId="0" xfId="1" quotePrefix="1" applyNumberFormat="1" applyFont="1" applyBorder="1" applyAlignment="1" applyProtection="1">
      <alignment horizontal="left" vertical="top"/>
    </xf>
    <xf numFmtId="0" fontId="48" fillId="0" borderId="29" xfId="0" applyFont="1" applyBorder="1" applyAlignment="1">
      <alignment horizontal="left" vertical="top"/>
    </xf>
    <xf numFmtId="9" fontId="48" fillId="0" borderId="27" xfId="3" applyFont="1" applyBorder="1" applyAlignment="1">
      <alignment horizontal="left" vertical="top"/>
    </xf>
    <xf numFmtId="0" fontId="73" fillId="0" borderId="29" xfId="0" applyFont="1" applyFill="1" applyBorder="1" applyAlignment="1">
      <alignment horizontal="left" vertical="top"/>
    </xf>
    <xf numFmtId="0" fontId="73" fillId="0" borderId="92" xfId="0" applyFont="1" applyFill="1" applyBorder="1" applyAlignment="1">
      <alignment horizontal="left" vertical="top"/>
    </xf>
    <xf numFmtId="9" fontId="73" fillId="0" borderId="27" xfId="0" applyNumberFormat="1" applyFont="1" applyFill="1" applyBorder="1" applyAlignment="1">
      <alignment horizontal="left" vertical="top"/>
    </xf>
    <xf numFmtId="9" fontId="73" fillId="0" borderId="77" xfId="0" applyNumberFormat="1" applyFont="1" applyFill="1" applyBorder="1" applyAlignment="1">
      <alignment horizontal="left" vertical="top"/>
    </xf>
    <xf numFmtId="0" fontId="37" fillId="0" borderId="0" xfId="0" quotePrefix="1" applyFont="1" applyBorder="1" applyAlignment="1">
      <alignment vertical="top"/>
    </xf>
    <xf numFmtId="0" fontId="37" fillId="0" borderId="42" xfId="0" quotePrefix="1" applyFont="1" applyBorder="1" applyAlignment="1">
      <alignment vertical="top"/>
    </xf>
    <xf numFmtId="0" fontId="158" fillId="0" borderId="0" xfId="0" applyFont="1" applyAlignment="1">
      <alignment horizontal="left" vertical="top"/>
    </xf>
    <xf numFmtId="0" fontId="37" fillId="0" borderId="0" xfId="0" applyFont="1" applyBorder="1" applyAlignment="1">
      <alignment horizontal="left" vertical="top"/>
    </xf>
    <xf numFmtId="0" fontId="37" fillId="0" borderId="42" xfId="0" applyFont="1" applyBorder="1" applyAlignment="1">
      <alignment horizontal="left" vertical="top"/>
    </xf>
    <xf numFmtId="0" fontId="37" fillId="0" borderId="0" xfId="0" applyFont="1" applyBorder="1" applyAlignment="1">
      <alignment horizontal="left" vertical="top" wrapText="1"/>
    </xf>
    <xf numFmtId="0" fontId="37" fillId="0" borderId="33" xfId="0" applyFont="1" applyBorder="1" applyAlignment="1">
      <alignment horizontal="left" vertical="top"/>
    </xf>
    <xf numFmtId="0" fontId="37" fillId="0" borderId="0" xfId="0" applyNumberFormat="1" applyFont="1" applyBorder="1" applyAlignment="1">
      <alignment vertical="top" wrapText="1"/>
    </xf>
    <xf numFmtId="0" fontId="37" fillId="0" borderId="0" xfId="0" applyFont="1" applyAlignment="1">
      <alignment horizontal="left" vertical="top"/>
    </xf>
    <xf numFmtId="0" fontId="132" fillId="0" borderId="0" xfId="0" applyFont="1" applyBorder="1" applyAlignment="1">
      <alignment horizontal="left" vertical="top" wrapText="1"/>
    </xf>
    <xf numFmtId="0" fontId="41" fillId="0" borderId="0" xfId="0" applyNumberFormat="1" applyFont="1" applyAlignment="1">
      <alignment horizontal="left" vertical="top" wrapText="1" indent="2"/>
    </xf>
    <xf numFmtId="0" fontId="0" fillId="0" borderId="0" xfId="0"/>
    <xf numFmtId="0" fontId="47" fillId="0" borderId="0" xfId="0" applyNumberFormat="1" applyFont="1" applyBorder="1" applyAlignment="1">
      <alignment horizontal="left" vertical="top"/>
    </xf>
    <xf numFmtId="0" fontId="37" fillId="0" borderId="38" xfId="0" applyNumberFormat="1" applyFont="1" applyBorder="1" applyAlignment="1">
      <alignment vertical="top" wrapText="1"/>
    </xf>
    <xf numFmtId="0" fontId="158" fillId="0" borderId="0" xfId="0" applyFont="1" applyBorder="1" applyAlignment="1">
      <alignment horizontal="left" vertical="top"/>
    </xf>
    <xf numFmtId="11" fontId="38" fillId="0" borderId="0" xfId="0" applyNumberFormat="1" applyFont="1" applyBorder="1" applyAlignment="1">
      <alignment horizontal="left" vertical="top" indent="1"/>
    </xf>
    <xf numFmtId="0" fontId="37" fillId="0" borderId="0" xfId="1" quotePrefix="1" applyFont="1" applyFill="1" applyBorder="1" applyAlignment="1" applyProtection="1">
      <alignment horizontal="left" indent="1"/>
    </xf>
    <xf numFmtId="0" fontId="37" fillId="0" borderId="42" xfId="0" quotePrefix="1" applyFont="1" applyBorder="1" applyAlignment="1">
      <alignment vertical="top" wrapText="1"/>
    </xf>
    <xf numFmtId="0" fontId="147" fillId="0" borderId="36" xfId="0" applyFont="1" applyBorder="1" applyAlignment="1">
      <alignment horizontal="left" vertical="top"/>
    </xf>
    <xf numFmtId="0" fontId="47" fillId="0" borderId="36" xfId="0" applyFont="1" applyBorder="1" applyAlignment="1">
      <alignment horizontal="left" vertical="top"/>
    </xf>
    <xf numFmtId="1" fontId="38" fillId="14" borderId="0" xfId="0" applyNumberFormat="1" applyFont="1" applyFill="1" applyBorder="1" applyAlignment="1">
      <alignment horizontal="left" vertical="top" indent="1"/>
    </xf>
    <xf numFmtId="1" fontId="37" fillId="14" borderId="0" xfId="0" applyNumberFormat="1" applyFont="1" applyFill="1" applyBorder="1" applyAlignment="1">
      <alignment horizontal="left" vertical="top" indent="2"/>
    </xf>
    <xf numFmtId="0" fontId="37" fillId="14" borderId="0" xfId="0" applyFont="1" applyFill="1" applyBorder="1" applyAlignment="1">
      <alignment horizontal="left" vertical="top" indent="1"/>
    </xf>
    <xf numFmtId="164" fontId="37" fillId="0" borderId="92" xfId="0" applyNumberFormat="1" applyFont="1" applyFill="1" applyBorder="1" applyAlignment="1">
      <alignment horizontal="left" vertical="top"/>
    </xf>
    <xf numFmtId="164" fontId="37" fillId="0" borderId="93" xfId="0" applyNumberFormat="1" applyFont="1" applyFill="1" applyBorder="1" applyAlignment="1">
      <alignment horizontal="left" vertical="top"/>
    </xf>
    <xf numFmtId="0" fontId="47" fillId="0" borderId="36" xfId="0" applyFont="1" applyBorder="1" applyAlignment="1">
      <alignment vertical="top"/>
    </xf>
    <xf numFmtId="0" fontId="48" fillId="0" borderId="36" xfId="0" applyFont="1" applyBorder="1" applyAlignment="1">
      <alignment vertical="top"/>
    </xf>
    <xf numFmtId="0" fontId="47" fillId="0" borderId="35" xfId="0" applyFont="1" applyBorder="1" applyAlignment="1">
      <alignment horizontal="left" vertical="top"/>
    </xf>
    <xf numFmtId="0" fontId="47" fillId="0" borderId="0" xfId="1" quotePrefix="1" applyFont="1" applyBorder="1" applyAlignment="1" applyProtection="1">
      <alignment horizontal="left" vertical="top"/>
    </xf>
    <xf numFmtId="0" fontId="158" fillId="0" borderId="0" xfId="0" applyFont="1" applyBorder="1" applyAlignment="1">
      <alignment horizontal="left"/>
    </xf>
    <xf numFmtId="0" fontId="158" fillId="0" borderId="42" xfId="0" applyFont="1" applyBorder="1" applyAlignment="1">
      <alignment horizontal="left" vertical="top"/>
    </xf>
    <xf numFmtId="0" fontId="158" fillId="0" borderId="0" xfId="0" quotePrefix="1" applyFont="1" applyBorder="1" applyAlignment="1">
      <alignment horizontal="left" vertical="top" indent="1"/>
    </xf>
    <xf numFmtId="0" fontId="158" fillId="0" borderId="0" xfId="0" applyFont="1" applyBorder="1" applyAlignment="1">
      <alignment horizontal="left" vertical="top" indent="2"/>
    </xf>
    <xf numFmtId="0" fontId="158" fillId="0" borderId="0" xfId="0" applyFont="1" applyBorder="1" applyAlignment="1">
      <alignment horizontal="left" indent="1"/>
    </xf>
    <xf numFmtId="0" fontId="158" fillId="0" borderId="0" xfId="0" applyFont="1" applyBorder="1" applyAlignment="1">
      <alignment horizontal="left" vertical="top" indent="1"/>
    </xf>
    <xf numFmtId="164" fontId="47" fillId="0" borderId="5" xfId="0" applyNumberFormat="1" applyFont="1" applyBorder="1" applyAlignment="1">
      <alignment horizontal="left" vertical="top"/>
    </xf>
    <xf numFmtId="164" fontId="37" fillId="12" borderId="2" xfId="0" applyNumberFormat="1" applyFont="1" applyFill="1" applyBorder="1" applyAlignment="1">
      <alignment horizontal="left" vertical="top"/>
    </xf>
    <xf numFmtId="164" fontId="37" fillId="17" borderId="2" xfId="0" applyNumberFormat="1" applyFont="1" applyFill="1" applyBorder="1" applyAlignment="1">
      <alignment horizontal="left" vertical="top"/>
    </xf>
    <xf numFmtId="0" fontId="38" fillId="0" borderId="1" xfId="0" applyFont="1" applyBorder="1" applyAlignment="1">
      <alignment horizontal="left" vertical="top"/>
    </xf>
    <xf numFmtId="2" fontId="47" fillId="0" borderId="15" xfId="0" applyNumberFormat="1" applyFont="1" applyBorder="1" applyAlignment="1">
      <alignment horizontal="left" vertical="top"/>
    </xf>
    <xf numFmtId="2" fontId="38" fillId="13" borderId="11" xfId="0" applyNumberFormat="1" applyFont="1" applyFill="1" applyBorder="1" applyAlignment="1">
      <alignment horizontal="left" vertical="top"/>
    </xf>
    <xf numFmtId="2" fontId="77" fillId="18" borderId="11" xfId="0" applyNumberFormat="1" applyFont="1" applyFill="1" applyBorder="1" applyAlignment="1">
      <alignment horizontal="left" vertical="top"/>
    </xf>
    <xf numFmtId="0" fontId="181" fillId="0" borderId="0" xfId="0" quotePrefix="1" applyFont="1" applyBorder="1" applyAlignment="1">
      <alignment horizontal="left" vertical="top" indent="1"/>
    </xf>
    <xf numFmtId="0" fontId="181" fillId="0" borderId="42" xfId="0" quotePrefix="1" applyFont="1" applyBorder="1" applyAlignment="1">
      <alignment horizontal="left" vertical="top" indent="1"/>
    </xf>
    <xf numFmtId="0" fontId="47" fillId="0" borderId="8" xfId="0" applyFont="1" applyBorder="1" applyAlignment="1">
      <alignment horizontal="left" vertical="top"/>
    </xf>
    <xf numFmtId="0" fontId="47" fillId="0" borderId="75" xfId="0" applyFont="1" applyBorder="1" applyAlignment="1">
      <alignment horizontal="left" vertical="top"/>
    </xf>
    <xf numFmtId="0" fontId="47" fillId="0" borderId="41" xfId="0" applyFont="1" applyBorder="1" applyAlignment="1">
      <alignment horizontal="left" vertical="top"/>
    </xf>
    <xf numFmtId="2" fontId="47" fillId="0" borderId="42" xfId="0" applyNumberFormat="1" applyFont="1" applyBorder="1" applyAlignment="1">
      <alignment horizontal="left" vertical="top"/>
    </xf>
    <xf numFmtId="0" fontId="47" fillId="0" borderId="0" xfId="0" quotePrefix="1" applyFont="1" applyFill="1" applyBorder="1" applyAlignment="1">
      <alignment horizontal="left" vertical="top" indent="1"/>
    </xf>
    <xf numFmtId="0" fontId="37" fillId="0" borderId="0" xfId="0" quotePrefix="1" applyFont="1" applyFill="1" applyBorder="1" applyAlignment="1">
      <alignment horizontal="left" vertical="top" indent="1"/>
    </xf>
    <xf numFmtId="0" fontId="37" fillId="0" borderId="0" xfId="0" applyFont="1" applyFill="1" applyAlignment="1">
      <alignment vertical="top" wrapText="1"/>
    </xf>
    <xf numFmtId="0" fontId="37" fillId="0" borderId="0" xfId="0" applyFont="1" applyAlignment="1">
      <alignment horizontal="left" vertical="top"/>
    </xf>
    <xf numFmtId="0" fontId="73" fillId="0" borderId="36" xfId="0" applyFont="1" applyBorder="1" applyAlignment="1">
      <alignment horizontal="left" vertical="top"/>
    </xf>
    <xf numFmtId="0" fontId="190" fillId="0" borderId="0" xfId="1" applyFont="1" applyBorder="1" applyAlignment="1" applyProtection="1">
      <alignment horizontal="left" vertical="top"/>
    </xf>
    <xf numFmtId="0" fontId="73" fillId="0" borderId="7" xfId="0" applyFont="1" applyBorder="1" applyAlignment="1">
      <alignment horizontal="left" vertical="top"/>
    </xf>
    <xf numFmtId="0" fontId="73" fillId="0" borderId="0" xfId="0" applyFont="1" applyBorder="1" applyAlignment="1">
      <alignment horizontal="left" vertical="top" indent="2"/>
    </xf>
    <xf numFmtId="0" fontId="73" fillId="0" borderId="35" xfId="0" applyFont="1" applyBorder="1" applyAlignment="1">
      <alignment horizontal="left" vertical="top" indent="2"/>
    </xf>
    <xf numFmtId="0" fontId="73" fillId="0" borderId="35" xfId="0" applyFont="1" applyBorder="1" applyAlignment="1">
      <alignment horizontal="left" vertical="top"/>
    </xf>
    <xf numFmtId="164" fontId="73" fillId="0" borderId="35" xfId="0" applyNumberFormat="1" applyFont="1" applyBorder="1" applyAlignment="1">
      <alignment horizontal="left" vertical="top" indent="2"/>
    </xf>
    <xf numFmtId="164" fontId="73" fillId="0" borderId="35" xfId="0" applyNumberFormat="1" applyFont="1" applyBorder="1" applyAlignment="1">
      <alignment horizontal="left" vertical="top"/>
    </xf>
    <xf numFmtId="0" fontId="73" fillId="0" borderId="5" xfId="0" applyFont="1" applyBorder="1" applyAlignment="1">
      <alignment horizontal="left" vertical="top" indent="2"/>
    </xf>
    <xf numFmtId="0" fontId="73" fillId="0" borderId="5" xfId="0" applyFont="1" applyBorder="1" applyAlignment="1">
      <alignment horizontal="left" vertical="top"/>
    </xf>
    <xf numFmtId="2" fontId="73" fillId="0" borderId="0" xfId="0" applyNumberFormat="1" applyFont="1" applyBorder="1" applyAlignment="1">
      <alignment horizontal="left" vertical="top" indent="2"/>
    </xf>
    <xf numFmtId="2" fontId="73" fillId="0" borderId="15" xfId="0" applyNumberFormat="1" applyFont="1" applyBorder="1" applyAlignment="1">
      <alignment horizontal="left" vertical="top"/>
    </xf>
    <xf numFmtId="164" fontId="41" fillId="0" borderId="6" xfId="0" applyNumberFormat="1" applyFont="1" applyFill="1" applyBorder="1" applyAlignment="1">
      <alignment horizontal="left" vertical="top"/>
    </xf>
    <xf numFmtId="2" fontId="47" fillId="0" borderId="0" xfId="0" applyNumberFormat="1" applyFont="1" applyAlignment="1">
      <alignment horizontal="left" vertical="top"/>
    </xf>
    <xf numFmtId="164" fontId="132" fillId="0" borderId="5" xfId="0" applyNumberFormat="1" applyFont="1" applyBorder="1" applyAlignment="1">
      <alignment horizontal="left" vertical="top"/>
    </xf>
    <xf numFmtId="0" fontId="191" fillId="0" borderId="0" xfId="0" applyFont="1" applyAlignment="1">
      <alignment horizontal="left" vertical="top"/>
    </xf>
    <xf numFmtId="164" fontId="132" fillId="0" borderId="100" xfId="0" applyNumberFormat="1" applyFont="1" applyBorder="1" applyAlignment="1">
      <alignment horizontal="left" vertical="top"/>
    </xf>
    <xf numFmtId="0" fontId="183" fillId="0" borderId="36" xfId="0" applyFont="1" applyBorder="1" applyAlignment="1">
      <alignment horizontal="left" vertical="top"/>
    </xf>
    <xf numFmtId="165" fontId="37" fillId="9" borderId="59" xfId="3" applyNumberFormat="1" applyFont="1" applyFill="1" applyBorder="1" applyAlignment="1">
      <alignment horizontal="left" vertical="top"/>
    </xf>
    <xf numFmtId="165" fontId="48" fillId="0" borderId="13" xfId="3" applyNumberFormat="1" applyFont="1" applyFill="1" applyBorder="1" applyAlignment="1">
      <alignment horizontal="left" vertical="top"/>
    </xf>
    <xf numFmtId="9" fontId="0" fillId="0" borderId="14" xfId="0" applyNumberFormat="1" applyBorder="1" applyAlignment="1">
      <alignment horizontal="left"/>
    </xf>
    <xf numFmtId="0" fontId="37" fillId="0" borderId="142" xfId="0" applyFont="1" applyBorder="1"/>
    <xf numFmtId="0" fontId="38" fillId="0" borderId="7" xfId="6" applyFont="1" applyBorder="1" applyAlignment="1">
      <alignment horizontal="left" vertical="top"/>
    </xf>
    <xf numFmtId="0" fontId="13" fillId="0" borderId="7" xfId="6" applyFont="1" applyFill="1" applyBorder="1" applyAlignment="1">
      <alignment horizontal="left" vertical="top"/>
    </xf>
    <xf numFmtId="0" fontId="13" fillId="0" borderId="7" xfId="6" applyFont="1" applyBorder="1" applyAlignment="1">
      <alignment horizontal="left" vertical="top"/>
    </xf>
    <xf numFmtId="0" fontId="48" fillId="0" borderId="7" xfId="0" applyNumberFormat="1" applyFont="1" applyBorder="1" applyAlignment="1">
      <alignment horizontal="left" vertical="top"/>
    </xf>
    <xf numFmtId="0" fontId="38" fillId="0" borderId="14" xfId="0" applyFont="1" applyBorder="1" applyAlignment="1">
      <alignment horizontal="left"/>
    </xf>
    <xf numFmtId="0" fontId="37" fillId="0" borderId="7" xfId="0" applyFont="1" applyBorder="1" applyAlignment="1">
      <alignment horizontal="left"/>
    </xf>
    <xf numFmtId="0" fontId="48" fillId="14" borderId="7" xfId="6" applyFont="1" applyFill="1" applyBorder="1" applyAlignment="1">
      <alignment horizontal="left" vertical="top"/>
    </xf>
    <xf numFmtId="164" fontId="48" fillId="14" borderId="7" xfId="0" applyNumberFormat="1" applyFont="1" applyFill="1" applyBorder="1" applyAlignment="1">
      <alignment horizontal="left"/>
    </xf>
    <xf numFmtId="164" fontId="48" fillId="0" borderId="0" xfId="0" applyNumberFormat="1" applyFont="1" applyAlignment="1">
      <alignment horizontal="left" indent="1"/>
    </xf>
    <xf numFmtId="0" fontId="48" fillId="0" borderId="7" xfId="0" applyFont="1" applyBorder="1" applyAlignment="1">
      <alignment horizontal="left"/>
    </xf>
    <xf numFmtId="164" fontId="48" fillId="0" borderId="7" xfId="0" applyNumberFormat="1" applyFont="1" applyBorder="1" applyAlignment="1">
      <alignment horizontal="left" indent="1"/>
    </xf>
    <xf numFmtId="0" fontId="37" fillId="0" borderId="142" xfId="0" applyFont="1" applyBorder="1" applyAlignment="1">
      <alignment horizontal="left" vertical="top"/>
    </xf>
    <xf numFmtId="9" fontId="37" fillId="0" borderId="142" xfId="0" applyNumberFormat="1" applyFont="1" applyBorder="1" applyAlignment="1">
      <alignment horizontal="left" vertical="top"/>
    </xf>
    <xf numFmtId="9" fontId="37" fillId="0" borderId="142" xfId="3" applyFont="1" applyBorder="1" applyAlignment="1">
      <alignment horizontal="left" vertical="top"/>
    </xf>
    <xf numFmtId="9" fontId="37" fillId="0" borderId="33" xfId="0" applyNumberFormat="1" applyFont="1" applyBorder="1" applyAlignment="1">
      <alignment horizontal="left" vertical="top"/>
    </xf>
    <xf numFmtId="9" fontId="37" fillId="0" borderId="33" xfId="3" applyFont="1" applyBorder="1" applyAlignment="1">
      <alignment horizontal="left" vertical="top"/>
    </xf>
    <xf numFmtId="0" fontId="37" fillId="0" borderId="96" xfId="0" applyFont="1" applyBorder="1" applyAlignment="1">
      <alignment horizontal="left" vertical="top"/>
    </xf>
    <xf numFmtId="9" fontId="37" fillId="0" borderId="96" xfId="0" applyNumberFormat="1" applyFont="1" applyBorder="1" applyAlignment="1">
      <alignment horizontal="left" vertical="top"/>
    </xf>
    <xf numFmtId="9" fontId="37" fillId="14" borderId="5" xfId="0" applyNumberFormat="1" applyFont="1" applyFill="1" applyBorder="1" applyAlignment="1">
      <alignment horizontal="left" vertical="top"/>
    </xf>
    <xf numFmtId="0" fontId="125" fillId="0" borderId="0" xfId="0" applyFont="1" applyAlignment="1">
      <alignment horizontal="left" vertical="top"/>
    </xf>
    <xf numFmtId="165" fontId="38" fillId="14" borderId="7" xfId="0" applyNumberFormat="1" applyFont="1" applyFill="1" applyBorder="1" applyAlignment="1">
      <alignment horizontal="left"/>
    </xf>
    <xf numFmtId="165" fontId="38" fillId="0" borderId="5" xfId="0" applyNumberFormat="1" applyFont="1" applyBorder="1" applyAlignment="1">
      <alignment horizontal="left" vertical="top"/>
    </xf>
    <xf numFmtId="165" fontId="38" fillId="0" borderId="0" xfId="0" applyNumberFormat="1" applyFont="1" applyAlignment="1">
      <alignment horizontal="left" vertical="top"/>
    </xf>
    <xf numFmtId="165" fontId="47" fillId="0" borderId="0" xfId="0" applyNumberFormat="1" applyFont="1" applyAlignment="1">
      <alignment horizontal="left" vertical="top"/>
    </xf>
    <xf numFmtId="0" fontId="147" fillId="0" borderId="0" xfId="0" applyFont="1" applyBorder="1" applyAlignment="1">
      <alignment vertical="top"/>
    </xf>
    <xf numFmtId="0" fontId="37" fillId="0" borderId="2" xfId="0" applyFont="1" applyBorder="1" applyAlignment="1">
      <alignment horizontal="left" vertical="top" indent="1"/>
    </xf>
    <xf numFmtId="164" fontId="37" fillId="0" borderId="12" xfId="0" applyNumberFormat="1" applyFont="1" applyBorder="1" applyAlignment="1">
      <alignment horizontal="left" vertical="top" indent="1"/>
    </xf>
    <xf numFmtId="164" fontId="47" fillId="0" borderId="5" xfId="0" applyNumberFormat="1" applyFont="1" applyBorder="1" applyAlignment="1">
      <alignment horizontal="left" vertical="top" indent="1"/>
    </xf>
    <xf numFmtId="164" fontId="73" fillId="0" borderId="5" xfId="0" applyNumberFormat="1" applyFont="1" applyBorder="1" applyAlignment="1">
      <alignment horizontal="left" vertical="top" indent="3"/>
    </xf>
    <xf numFmtId="164" fontId="73" fillId="0" borderId="5" xfId="0" applyNumberFormat="1" applyFont="1" applyBorder="1" applyAlignment="1">
      <alignment horizontal="left" vertical="top" indent="1"/>
    </xf>
    <xf numFmtId="164" fontId="132" fillId="0" borderId="5" xfId="0" applyNumberFormat="1" applyFont="1" applyBorder="1" applyAlignment="1">
      <alignment horizontal="left" vertical="top" indent="1"/>
    </xf>
    <xf numFmtId="164" fontId="41" fillId="0" borderId="12" xfId="0" applyNumberFormat="1" applyFont="1" applyBorder="1" applyAlignment="1">
      <alignment horizontal="left" vertical="top" indent="1"/>
    </xf>
    <xf numFmtId="164" fontId="132" fillId="0" borderId="100" xfId="0" applyNumberFormat="1" applyFont="1" applyBorder="1" applyAlignment="1">
      <alignment horizontal="left" vertical="top" indent="1"/>
    </xf>
    <xf numFmtId="0" fontId="47" fillId="0" borderId="1" xfId="0" applyFont="1" applyBorder="1" applyAlignment="1">
      <alignment horizontal="left" vertical="top"/>
    </xf>
    <xf numFmtId="2" fontId="47" fillId="0" borderId="0" xfId="3" applyNumberFormat="1" applyFont="1" applyBorder="1" applyAlignment="1">
      <alignment horizontal="left" vertical="top"/>
    </xf>
    <xf numFmtId="2" fontId="47" fillId="0" borderId="11" xfId="3" applyNumberFormat="1" applyFont="1" applyBorder="1" applyAlignment="1">
      <alignment horizontal="left" vertical="top"/>
    </xf>
    <xf numFmtId="9" fontId="73" fillId="0" borderId="0" xfId="3" applyFont="1" applyBorder="1" applyAlignment="1">
      <alignment horizontal="left" vertical="top" indent="2"/>
    </xf>
    <xf numFmtId="9" fontId="73" fillId="0" borderId="0" xfId="3" applyFont="1" applyBorder="1" applyAlignment="1">
      <alignment horizontal="left" vertical="top"/>
    </xf>
    <xf numFmtId="9" fontId="47" fillId="0" borderId="42" xfId="3" applyFont="1" applyBorder="1" applyAlignment="1">
      <alignment horizontal="left" vertical="top"/>
    </xf>
    <xf numFmtId="0" fontId="37" fillId="0" borderId="102" xfId="0" applyFont="1" applyBorder="1" applyAlignment="1">
      <alignment horizontal="left" vertical="top"/>
    </xf>
    <xf numFmtId="2" fontId="38" fillId="0" borderId="96" xfId="3" applyNumberFormat="1" applyFont="1" applyBorder="1" applyAlignment="1">
      <alignment horizontal="left" vertical="top"/>
    </xf>
    <xf numFmtId="2" fontId="37" fillId="0" borderId="96" xfId="3" applyNumberFormat="1" applyFont="1" applyBorder="1" applyAlignment="1">
      <alignment horizontal="left" vertical="top"/>
    </xf>
    <xf numFmtId="2" fontId="38" fillId="0" borderId="143" xfId="3" applyNumberFormat="1" applyFont="1" applyBorder="1" applyAlignment="1">
      <alignment horizontal="left" vertical="top"/>
    </xf>
    <xf numFmtId="9" fontId="37" fillId="0" borderId="96" xfId="3" applyFont="1" applyBorder="1" applyAlignment="1">
      <alignment horizontal="left" vertical="top" indent="2"/>
    </xf>
    <xf numFmtId="2" fontId="37" fillId="0" borderId="143" xfId="3" applyNumberFormat="1" applyFont="1" applyBorder="1" applyAlignment="1">
      <alignment horizontal="left" vertical="top"/>
    </xf>
    <xf numFmtId="9" fontId="37" fillId="0" borderId="144" xfId="3" applyFont="1" applyBorder="1" applyAlignment="1">
      <alignment horizontal="left" vertical="top"/>
    </xf>
    <xf numFmtId="164" fontId="37" fillId="0" borderId="5" xfId="0" applyNumberFormat="1" applyFont="1" applyBorder="1" applyAlignment="1">
      <alignment horizontal="left"/>
    </xf>
    <xf numFmtId="10" fontId="0" fillId="0" borderId="14" xfId="0" applyNumberFormat="1" applyBorder="1" applyAlignment="1">
      <alignment horizontal="left"/>
    </xf>
    <xf numFmtId="0" fontId="37" fillId="0" borderId="14" xfId="0" applyFont="1" applyBorder="1" applyAlignment="1">
      <alignment horizontal="left"/>
    </xf>
    <xf numFmtId="0" fontId="0" fillId="0" borderId="7" xfId="0" applyBorder="1" applyAlignment="1">
      <alignment horizontal="left"/>
    </xf>
    <xf numFmtId="10" fontId="38" fillId="14" borderId="7" xfId="3" applyNumberFormat="1" applyFont="1" applyFill="1" applyBorder="1" applyAlignment="1">
      <alignment horizontal="left"/>
    </xf>
    <xf numFmtId="2" fontId="38" fillId="0" borderId="0" xfId="0" applyNumberFormat="1" applyFont="1" applyFill="1" applyBorder="1" applyAlignment="1">
      <alignment horizontal="left" vertical="top"/>
    </xf>
    <xf numFmtId="0" fontId="37" fillId="0" borderId="0" xfId="0" applyFont="1" applyFill="1" applyBorder="1" applyAlignment="1">
      <alignment horizontal="left" vertical="top" indent="2"/>
    </xf>
    <xf numFmtId="2" fontId="47" fillId="0" borderId="0" xfId="0" applyNumberFormat="1" applyFont="1" applyFill="1" applyBorder="1" applyAlignment="1">
      <alignment horizontal="left" vertical="top"/>
    </xf>
    <xf numFmtId="0" fontId="37" fillId="0" borderId="0" xfId="0" applyFont="1" applyFill="1" applyBorder="1" applyAlignment="1">
      <alignment vertical="top" wrapText="1"/>
    </xf>
    <xf numFmtId="0" fontId="37" fillId="14" borderId="5" xfId="0" applyNumberFormat="1" applyFont="1" applyFill="1" applyBorder="1" applyAlignment="1">
      <alignment horizontal="left" vertical="top"/>
    </xf>
    <xf numFmtId="0" fontId="37" fillId="0" borderId="35" xfId="0" applyNumberFormat="1" applyFont="1" applyBorder="1" applyAlignment="1">
      <alignment horizontal="left" vertical="top"/>
    </xf>
    <xf numFmtId="0" fontId="37" fillId="14" borderId="107" xfId="0" applyNumberFormat="1" applyFont="1" applyFill="1" applyBorder="1" applyAlignment="1">
      <alignment horizontal="left" vertical="top"/>
    </xf>
    <xf numFmtId="0" fontId="37" fillId="0" borderId="107" xfId="0" applyNumberFormat="1" applyFont="1" applyBorder="1" applyAlignment="1">
      <alignment horizontal="left" vertical="top"/>
    </xf>
    <xf numFmtId="0" fontId="37" fillId="14" borderId="5" xfId="0" applyFont="1" applyFill="1" applyBorder="1" applyAlignment="1">
      <alignment horizontal="left" vertical="top"/>
    </xf>
    <xf numFmtId="0" fontId="72" fillId="14" borderId="5" xfId="0" applyFont="1" applyFill="1" applyBorder="1" applyAlignment="1">
      <alignment vertical="top"/>
    </xf>
    <xf numFmtId="0" fontId="72" fillId="0" borderId="0" xfId="0" applyFont="1" applyBorder="1" applyAlignment="1">
      <alignment vertical="top"/>
    </xf>
    <xf numFmtId="0" fontId="72" fillId="0" borderId="5" xfId="0" applyFont="1" applyBorder="1" applyAlignment="1">
      <alignment vertical="top"/>
    </xf>
    <xf numFmtId="0" fontId="37" fillId="14" borderId="107" xfId="0" applyFont="1" applyFill="1" applyBorder="1" applyAlignment="1">
      <alignment horizontal="left" vertical="top"/>
    </xf>
    <xf numFmtId="0" fontId="72" fillId="14" borderId="107" xfId="0" applyFont="1" applyFill="1" applyBorder="1" applyAlignment="1">
      <alignment vertical="top"/>
    </xf>
    <xf numFmtId="0" fontId="37" fillId="0" borderId="107" xfId="0" applyFont="1" applyBorder="1" applyAlignment="1">
      <alignment horizontal="left" vertical="top"/>
    </xf>
    <xf numFmtId="0" fontId="72" fillId="14" borderId="0" xfId="0" applyFont="1" applyFill="1" applyBorder="1" applyAlignment="1">
      <alignment vertical="top"/>
    </xf>
    <xf numFmtId="164" fontId="37" fillId="14" borderId="5" xfId="3" applyNumberFormat="1" applyFont="1" applyFill="1" applyBorder="1" applyAlignment="1">
      <alignment horizontal="left" vertical="top"/>
    </xf>
    <xf numFmtId="164" fontId="37" fillId="0" borderId="35" xfId="3" applyNumberFormat="1" applyFont="1" applyBorder="1" applyAlignment="1">
      <alignment horizontal="left" vertical="top"/>
    </xf>
    <xf numFmtId="164" fontId="37" fillId="0" borderId="5" xfId="3" applyNumberFormat="1" applyFont="1" applyBorder="1" applyAlignment="1">
      <alignment horizontal="left" vertical="top"/>
    </xf>
    <xf numFmtId="164" fontId="37" fillId="14" borderId="107" xfId="3" applyNumberFormat="1" applyFont="1" applyFill="1" applyBorder="1" applyAlignment="1">
      <alignment horizontal="left" vertical="top"/>
    </xf>
    <xf numFmtId="164" fontId="37" fillId="0" borderId="107" xfId="3" applyNumberFormat="1" applyFont="1" applyBorder="1" applyAlignment="1">
      <alignment horizontal="left" vertical="top"/>
    </xf>
    <xf numFmtId="9" fontId="48" fillId="14" borderId="5" xfId="3" applyFont="1" applyFill="1" applyBorder="1" applyAlignment="1">
      <alignment horizontal="left" vertical="top"/>
    </xf>
    <xf numFmtId="9" fontId="48" fillId="0" borderId="0" xfId="3" applyFont="1" applyBorder="1" applyAlignment="1">
      <alignment horizontal="left" vertical="top"/>
    </xf>
    <xf numFmtId="9" fontId="48" fillId="0" borderId="35" xfId="3" applyFont="1" applyBorder="1" applyAlignment="1">
      <alignment horizontal="left" vertical="top"/>
    </xf>
    <xf numFmtId="9" fontId="48" fillId="0" borderId="5" xfId="3" applyFont="1" applyBorder="1" applyAlignment="1">
      <alignment horizontal="left" vertical="top"/>
    </xf>
    <xf numFmtId="9" fontId="48" fillId="14" borderId="107" xfId="3" applyFont="1" applyFill="1" applyBorder="1" applyAlignment="1">
      <alignment horizontal="left" vertical="top"/>
    </xf>
    <xf numFmtId="9" fontId="48" fillId="0" borderId="107" xfId="3" applyFont="1" applyBorder="1" applyAlignment="1">
      <alignment horizontal="left" vertical="top"/>
    </xf>
    <xf numFmtId="9" fontId="48" fillId="14" borderId="0" xfId="3" applyFont="1" applyFill="1" applyBorder="1" applyAlignment="1">
      <alignment horizontal="left" vertical="top"/>
    </xf>
    <xf numFmtId="9" fontId="48" fillId="0" borderId="14" xfId="3" applyFont="1" applyBorder="1" applyAlignment="1">
      <alignment horizontal="left" vertical="top"/>
    </xf>
    <xf numFmtId="0" fontId="0" fillId="0" borderId="142" xfId="0" applyBorder="1" applyAlignment="1">
      <alignment horizontal="left"/>
    </xf>
    <xf numFmtId="0" fontId="37" fillId="0" borderId="33" xfId="0" applyFont="1" applyBorder="1" applyAlignment="1">
      <alignment horizontal="left"/>
    </xf>
    <xf numFmtId="0" fontId="0" fillId="0" borderId="33" xfId="0" applyBorder="1" applyAlignment="1">
      <alignment horizontal="left"/>
    </xf>
    <xf numFmtId="0" fontId="37" fillId="0" borderId="96" xfId="0" applyFont="1" applyBorder="1" applyAlignment="1">
      <alignment horizontal="left"/>
    </xf>
    <xf numFmtId="0" fontId="0" fillId="0" borderId="96" xfId="0" applyBorder="1" applyAlignment="1">
      <alignment horizontal="left"/>
    </xf>
    <xf numFmtId="0" fontId="38" fillId="14" borderId="142" xfId="0" applyFont="1" applyFill="1" applyBorder="1" applyAlignment="1">
      <alignment horizontal="left"/>
    </xf>
    <xf numFmtId="0" fontId="81" fillId="0" borderId="0" xfId="0" applyFont="1" applyAlignment="1"/>
    <xf numFmtId="0" fontId="37" fillId="0" borderId="14" xfId="0" applyFont="1" applyBorder="1" applyAlignment="1">
      <alignment horizontal="right" vertical="top"/>
    </xf>
    <xf numFmtId="9" fontId="37" fillId="0" borderId="142" xfId="0" applyNumberFormat="1" applyFont="1" applyBorder="1" applyAlignment="1">
      <alignment horizontal="left" vertical="top" wrapText="1"/>
    </xf>
    <xf numFmtId="9" fontId="37" fillId="0" borderId="33" xfId="0" applyNumberFormat="1" applyFont="1" applyBorder="1" applyAlignment="1">
      <alignment horizontal="left" vertical="top" wrapText="1"/>
    </xf>
    <xf numFmtId="9" fontId="37" fillId="30" borderId="33" xfId="0" applyNumberFormat="1" applyFont="1" applyFill="1" applyBorder="1" applyAlignment="1">
      <alignment horizontal="left" vertical="top" wrapText="1"/>
    </xf>
    <xf numFmtId="9" fontId="37" fillId="30" borderId="33" xfId="0" applyNumberFormat="1" applyFont="1" applyFill="1" applyBorder="1" applyAlignment="1">
      <alignment horizontal="left" vertical="top"/>
    </xf>
    <xf numFmtId="171" fontId="26" fillId="0" borderId="11" xfId="0" applyNumberFormat="1" applyFont="1" applyBorder="1"/>
    <xf numFmtId="0" fontId="26" fillId="0" borderId="11" xfId="0" applyFont="1" applyBorder="1"/>
    <xf numFmtId="171" fontId="48" fillId="7" borderId="0" xfId="0" applyNumberFormat="1" applyFont="1" applyFill="1"/>
    <xf numFmtId="0" fontId="50" fillId="0" borderId="0" xfId="0" applyFont="1"/>
    <xf numFmtId="171" fontId="26" fillId="0" borderId="0" xfId="0" applyNumberFormat="1" applyFont="1" applyFill="1"/>
    <xf numFmtId="0" fontId="147" fillId="0" borderId="0" xfId="0" applyFont="1" applyFill="1" applyBorder="1" applyAlignment="1">
      <alignment vertical="top"/>
    </xf>
    <xf numFmtId="0" fontId="147" fillId="0" borderId="11" xfId="0" applyFont="1" applyBorder="1" applyAlignment="1">
      <alignment horizontal="left" vertical="top"/>
    </xf>
    <xf numFmtId="0" fontId="45" fillId="0" borderId="0" xfId="1" applyFont="1" applyAlignment="1" applyProtection="1"/>
    <xf numFmtId="0" fontId="41" fillId="0" borderId="34" xfId="0" applyFont="1" applyBorder="1" applyAlignment="1">
      <alignment horizontal="left" vertical="top"/>
    </xf>
    <xf numFmtId="0" fontId="41" fillId="0" borderId="35" xfId="0" applyFont="1" applyBorder="1" applyAlignment="1">
      <alignment horizontal="left" vertical="top"/>
    </xf>
    <xf numFmtId="0" fontId="41" fillId="0" borderId="41" xfId="0" applyFont="1" applyBorder="1" applyAlignment="1">
      <alignment horizontal="left" vertical="top"/>
    </xf>
    <xf numFmtId="0" fontId="41" fillId="0" borderId="35" xfId="1" applyFont="1" applyBorder="1" applyAlignment="1" applyProtection="1">
      <alignment horizontal="left" vertical="top"/>
    </xf>
    <xf numFmtId="0" fontId="158" fillId="0" borderId="11" xfId="0" applyFont="1" applyBorder="1" applyAlignment="1">
      <alignment vertical="top"/>
    </xf>
    <xf numFmtId="0" fontId="158" fillId="0" borderId="0" xfId="0" applyFont="1" applyBorder="1" applyAlignment="1">
      <alignment vertical="top"/>
    </xf>
    <xf numFmtId="164" fontId="37" fillId="13" borderId="75" xfId="0" applyNumberFormat="1" applyFont="1" applyFill="1" applyBorder="1" applyAlignment="1">
      <alignment horizontal="left" vertical="top"/>
    </xf>
    <xf numFmtId="0" fontId="37" fillId="3" borderId="11" xfId="0" applyFont="1" applyFill="1" applyBorder="1" applyAlignment="1">
      <alignment horizontal="left" vertical="top"/>
    </xf>
    <xf numFmtId="0" fontId="37" fillId="3" borderId="13" xfId="0" applyFont="1" applyFill="1" applyBorder="1" applyAlignment="1">
      <alignment horizontal="left" vertical="top"/>
    </xf>
    <xf numFmtId="164" fontId="38" fillId="13" borderId="6" xfId="0" applyNumberFormat="1" applyFont="1" applyFill="1" applyBorder="1" applyAlignment="1">
      <alignment horizontal="left" vertical="top"/>
    </xf>
    <xf numFmtId="0" fontId="38" fillId="13" borderId="8" xfId="0" applyFont="1" applyFill="1" applyBorder="1" applyAlignment="1">
      <alignment horizontal="left" vertical="top"/>
    </xf>
    <xf numFmtId="164" fontId="77" fillId="18" borderId="6" xfId="0" applyNumberFormat="1" applyFont="1" applyFill="1" applyBorder="1" applyAlignment="1">
      <alignment horizontal="left" vertical="top"/>
    </xf>
    <xf numFmtId="0" fontId="77" fillId="18" borderId="8" xfId="0" applyFont="1" applyFill="1" applyBorder="1" applyAlignment="1">
      <alignment horizontal="left" vertical="top"/>
    </xf>
    <xf numFmtId="14" fontId="75" fillId="0" borderId="0" xfId="0" applyNumberFormat="1" applyFont="1" applyAlignment="1">
      <alignment horizontal="left"/>
    </xf>
    <xf numFmtId="14" fontId="48" fillId="0" borderId="0" xfId="0" applyNumberFormat="1" applyFont="1" applyAlignment="1">
      <alignment horizontal="left"/>
    </xf>
    <xf numFmtId="0" fontId="194" fillId="8" borderId="0" xfId="0" applyFont="1" applyFill="1" applyAlignment="1">
      <alignment horizontal="left"/>
    </xf>
    <xf numFmtId="0" fontId="136" fillId="8" borderId="0" xfId="0" applyFont="1" applyFill="1" applyAlignment="1">
      <alignment horizontal="left"/>
    </xf>
    <xf numFmtId="0" fontId="195" fillId="8" borderId="0" xfId="0" applyFont="1" applyFill="1" applyAlignment="1">
      <alignment horizontal="left"/>
    </xf>
    <xf numFmtId="0" fontId="69" fillId="8" borderId="0" xfId="0" applyFont="1" applyFill="1" applyAlignment="1">
      <alignment horizontal="left"/>
    </xf>
    <xf numFmtId="0" fontId="48" fillId="0" borderId="0" xfId="0" applyFont="1" applyFill="1" applyAlignment="1">
      <alignment vertical="top"/>
    </xf>
    <xf numFmtId="14" fontId="196" fillId="0" borderId="0" xfId="13" applyNumberFormat="1" applyFont="1" applyFill="1" applyBorder="1" applyAlignment="1">
      <alignment horizontal="right"/>
    </xf>
    <xf numFmtId="0" fontId="43" fillId="0" borderId="0" xfId="0" applyFont="1" applyFill="1" applyAlignment="1">
      <alignment vertical="top"/>
    </xf>
    <xf numFmtId="0" fontId="197" fillId="0" borderId="0" xfId="1" quotePrefix="1" applyFont="1" applyFill="1" applyAlignment="1" applyProtection="1">
      <alignment vertical="top"/>
    </xf>
    <xf numFmtId="0" fontId="198" fillId="0" borderId="0" xfId="0" applyFont="1" applyFill="1" applyAlignment="1">
      <alignment vertical="top"/>
    </xf>
    <xf numFmtId="0" fontId="43" fillId="11" borderId="0" xfId="0" applyFont="1" applyFill="1" applyAlignment="1">
      <alignment vertical="top"/>
    </xf>
    <xf numFmtId="0" fontId="199" fillId="11" borderId="0" xfId="0" applyNumberFormat="1" applyFont="1" applyFill="1" applyAlignment="1">
      <alignment vertical="top"/>
    </xf>
    <xf numFmtId="0" fontId="155" fillId="0" borderId="0" xfId="1" applyFont="1" applyFill="1" applyAlignment="1" applyProtection="1">
      <alignment vertical="top"/>
    </xf>
    <xf numFmtId="0" fontId="200" fillId="0" borderId="0" xfId="1" applyFont="1" applyAlignment="1" applyProtection="1">
      <alignment horizontal="left"/>
    </xf>
    <xf numFmtId="9" fontId="48" fillId="14" borderId="0" xfId="3" applyFont="1" applyFill="1" applyAlignment="1">
      <alignment horizontal="left"/>
    </xf>
    <xf numFmtId="0" fontId="131" fillId="14" borderId="0" xfId="0" applyFont="1" applyFill="1" applyAlignment="1">
      <alignment horizontal="left"/>
    </xf>
    <xf numFmtId="11" fontId="48" fillId="0" borderId="0" xfId="0" applyNumberFormat="1" applyFont="1" applyAlignment="1">
      <alignment horizontal="left"/>
    </xf>
    <xf numFmtId="0" fontId="131" fillId="0" borderId="0" xfId="0" applyFont="1" applyAlignment="1">
      <alignment horizontal="left"/>
    </xf>
    <xf numFmtId="14" fontId="0" fillId="0" borderId="11" xfId="0" applyNumberFormat="1" applyBorder="1" applyAlignment="1">
      <alignment horizontal="left"/>
    </xf>
    <xf numFmtId="0" fontId="37" fillId="0" borderId="0" xfId="1" applyFont="1" applyAlignment="1" applyProtection="1">
      <alignment horizontal="left"/>
    </xf>
    <xf numFmtId="171" fontId="48" fillId="0" borderId="0" xfId="0" applyNumberFormat="1" applyFont="1" applyFill="1" applyBorder="1" applyAlignment="1">
      <alignment horizontal="right"/>
    </xf>
    <xf numFmtId="171" fontId="48" fillId="12" borderId="0" xfId="0" applyNumberFormat="1" applyFont="1" applyFill="1" applyBorder="1"/>
    <xf numFmtId="0" fontId="44" fillId="0" borderId="5" xfId="1" applyFont="1" applyFill="1" applyBorder="1" applyAlignment="1" applyProtection="1">
      <alignment wrapText="1"/>
    </xf>
    <xf numFmtId="0" fontId="37" fillId="0" borderId="0" xfId="0" quotePrefix="1" applyFont="1" applyFill="1"/>
    <xf numFmtId="0" fontId="38" fillId="6" borderId="10" xfId="0" applyFont="1" applyFill="1" applyBorder="1" applyAlignment="1">
      <alignment horizontal="center"/>
    </xf>
    <xf numFmtId="0" fontId="38" fillId="6" borderId="15" xfId="0" applyFont="1" applyFill="1" applyBorder="1" applyAlignment="1">
      <alignment horizontal="center"/>
    </xf>
    <xf numFmtId="0" fontId="37" fillId="0" borderId="5" xfId="0" applyFont="1" applyFill="1" applyBorder="1" applyAlignment="1">
      <alignment horizontal="left"/>
    </xf>
    <xf numFmtId="9" fontId="37" fillId="0" borderId="0" xfId="6" applyNumberFormat="1" applyFont="1" applyFill="1" applyBorder="1" applyAlignment="1">
      <alignment horizontal="center" vertical="top"/>
    </xf>
    <xf numFmtId="9" fontId="37" fillId="14" borderId="0" xfId="6" applyNumberFormat="1" applyFont="1" applyFill="1" applyBorder="1" applyAlignment="1">
      <alignment horizontal="center" vertical="top"/>
    </xf>
    <xf numFmtId="9" fontId="37" fillId="0" borderId="14" xfId="6" applyNumberFormat="1" applyFont="1" applyFill="1" applyBorder="1" applyAlignment="1">
      <alignment horizontal="center" vertical="top"/>
    </xf>
    <xf numFmtId="0" fontId="0" fillId="3" borderId="15" xfId="0" applyFill="1" applyBorder="1"/>
    <xf numFmtId="0" fontId="37" fillId="0" borderId="10" xfId="0" applyFont="1" applyBorder="1" applyAlignment="1">
      <alignment horizontal="left"/>
    </xf>
    <xf numFmtId="0" fontId="36" fillId="0" borderId="15" xfId="6" applyBorder="1" applyAlignment="1">
      <alignment horizontal="left" vertical="top"/>
    </xf>
    <xf numFmtId="0" fontId="0" fillId="0" borderId="15" xfId="0" applyBorder="1" applyAlignment="1">
      <alignment horizontal="left"/>
    </xf>
    <xf numFmtId="0" fontId="0" fillId="0" borderId="9" xfId="0" applyBorder="1" applyAlignment="1">
      <alignment horizontal="left"/>
    </xf>
    <xf numFmtId="0" fontId="37" fillId="13" borderId="15" xfId="0" applyFont="1" applyFill="1" applyBorder="1"/>
    <xf numFmtId="1" fontId="47" fillId="0" borderId="0" xfId="0" applyNumberFormat="1" applyFont="1" applyAlignment="1">
      <alignment horizontal="left"/>
    </xf>
    <xf numFmtId="1" fontId="47" fillId="14" borderId="0" xfId="0" applyNumberFormat="1" applyFont="1" applyFill="1" applyAlignment="1">
      <alignment horizontal="left"/>
    </xf>
    <xf numFmtId="9" fontId="47" fillId="14" borderId="0" xfId="3" applyFont="1" applyFill="1" applyAlignment="1">
      <alignment horizontal="left"/>
    </xf>
    <xf numFmtId="9" fontId="79" fillId="0" borderId="0" xfId="3" applyFont="1" applyFill="1" applyAlignment="1">
      <alignment horizontal="left"/>
    </xf>
    <xf numFmtId="9" fontId="37" fillId="0" borderId="0" xfId="3" applyFont="1" applyFill="1" applyAlignment="1">
      <alignment horizontal="left"/>
    </xf>
    <xf numFmtId="164" fontId="37" fillId="0" borderId="0" xfId="3" applyNumberFormat="1" applyFont="1" applyFill="1" applyBorder="1" applyAlignment="1">
      <alignment horizontal="left" vertical="top"/>
    </xf>
    <xf numFmtId="164" fontId="47" fillId="0" borderId="0" xfId="3" applyNumberFormat="1" applyFont="1" applyFill="1" applyBorder="1" applyAlignment="1">
      <alignment horizontal="left" vertical="top"/>
    </xf>
    <xf numFmtId="0" fontId="147" fillId="0" borderId="0" xfId="0" applyFont="1" applyAlignment="1">
      <alignment vertical="top"/>
    </xf>
    <xf numFmtId="0" fontId="147" fillId="0" borderId="0" xfId="0" applyFont="1" applyAlignment="1">
      <alignment horizontal="left"/>
    </xf>
    <xf numFmtId="0" fontId="79" fillId="0" borderId="15" xfId="0" applyFont="1" applyBorder="1" applyAlignment="1">
      <alignment horizontal="left"/>
    </xf>
    <xf numFmtId="0" fontId="37" fillId="0" borderId="15" xfId="0" applyFont="1" applyBorder="1" applyAlignment="1">
      <alignment horizontal="left"/>
    </xf>
    <xf numFmtId="0" fontId="51" fillId="0" borderId="15" xfId="0" applyFont="1" applyBorder="1" applyAlignment="1">
      <alignment horizontal="left"/>
    </xf>
    <xf numFmtId="0" fontId="37" fillId="14" borderId="15" xfId="0" applyFont="1" applyFill="1" applyBorder="1" applyAlignment="1">
      <alignment horizontal="left"/>
    </xf>
    <xf numFmtId="0" fontId="79" fillId="0" borderId="15" xfId="6" applyFont="1" applyBorder="1" applyAlignment="1">
      <alignment horizontal="left" vertical="top"/>
    </xf>
    <xf numFmtId="0" fontId="73" fillId="14" borderId="15" xfId="6" applyFont="1" applyFill="1" applyBorder="1" applyAlignment="1">
      <alignment horizontal="left" vertical="top"/>
    </xf>
    <xf numFmtId="0" fontId="0" fillId="0" borderId="10" xfId="0" applyBorder="1" applyAlignment="1">
      <alignment horizontal="left"/>
    </xf>
    <xf numFmtId="0" fontId="0" fillId="0" borderId="14" xfId="0" applyFill="1" applyBorder="1" applyAlignment="1">
      <alignment horizontal="left"/>
    </xf>
    <xf numFmtId="0" fontId="48" fillId="0" borderId="14" xfId="0" applyFont="1" applyBorder="1" applyAlignment="1">
      <alignment horizontal="left"/>
    </xf>
    <xf numFmtId="0" fontId="154" fillId="0" borderId="14" xfId="0" applyFont="1" applyBorder="1" applyAlignment="1">
      <alignment horizontal="left"/>
    </xf>
    <xf numFmtId="0" fontId="47" fillId="0" borderId="14" xfId="0" applyFont="1" applyBorder="1" applyAlignment="1">
      <alignment horizontal="left"/>
    </xf>
    <xf numFmtId="0" fontId="38" fillId="0" borderId="14" xfId="0" applyFont="1" applyFill="1" applyBorder="1" applyAlignment="1">
      <alignment horizontal="left"/>
    </xf>
    <xf numFmtId="0" fontId="37" fillId="0" borderId="14" xfId="0" applyFont="1" applyFill="1" applyBorder="1" applyAlignment="1">
      <alignment horizontal="left"/>
    </xf>
    <xf numFmtId="0" fontId="0" fillId="0" borderId="13" xfId="0" applyBorder="1" applyAlignment="1">
      <alignment horizontal="left"/>
    </xf>
    <xf numFmtId="0" fontId="110" fillId="0" borderId="0" xfId="6" applyFont="1" applyAlignment="1">
      <alignment horizontal="left" vertical="top"/>
    </xf>
    <xf numFmtId="0" fontId="2" fillId="0" borderId="97" xfId="6" applyFont="1" applyBorder="1" applyAlignment="1">
      <alignment horizontal="left"/>
    </xf>
    <xf numFmtId="1" fontId="50" fillId="0" borderId="0" xfId="0" applyNumberFormat="1" applyFont="1" applyAlignment="1">
      <alignment horizontal="left" vertical="top"/>
    </xf>
    <xf numFmtId="0" fontId="48" fillId="0" borderId="0" xfId="0" applyNumberFormat="1" applyFont="1" applyBorder="1" applyAlignment="1">
      <alignment horizontal="left" vertical="top"/>
    </xf>
    <xf numFmtId="0" fontId="37" fillId="0" borderId="15" xfId="0" applyFont="1" applyBorder="1" applyAlignment="1">
      <alignment horizontal="center" vertical="top"/>
    </xf>
    <xf numFmtId="0" fontId="93" fillId="0" borderId="15" xfId="0" applyFont="1" applyBorder="1" applyAlignment="1">
      <alignment horizontal="left" vertical="top"/>
    </xf>
    <xf numFmtId="164" fontId="79" fillId="0" borderId="15" xfId="3" applyNumberFormat="1" applyFont="1" applyBorder="1" applyAlignment="1">
      <alignment horizontal="left" vertical="top"/>
    </xf>
    <xf numFmtId="164" fontId="37" fillId="14" borderId="0" xfId="0" applyNumberFormat="1" applyFont="1" applyFill="1" applyAlignment="1">
      <alignment horizontal="left" vertical="top"/>
    </xf>
    <xf numFmtId="0" fontId="37" fillId="0" borderId="0" xfId="0" applyFont="1" applyFill="1" applyAlignment="1">
      <alignment vertical="top" wrapText="1"/>
    </xf>
    <xf numFmtId="0" fontId="17" fillId="0" borderId="11" xfId="6" quotePrefix="1" applyFont="1" applyBorder="1" applyAlignment="1">
      <alignment horizontal="left" vertical="top" wrapText="1"/>
    </xf>
    <xf numFmtId="0" fontId="19" fillId="0" borderId="15" xfId="6" applyFont="1" applyBorder="1" applyAlignment="1">
      <alignment horizontal="left" vertical="top" wrapText="1"/>
    </xf>
    <xf numFmtId="0" fontId="19" fillId="0" borderId="11" xfId="6" applyFont="1" applyBorder="1" applyAlignment="1">
      <alignment horizontal="left" vertical="top" wrapText="1"/>
    </xf>
    <xf numFmtId="0" fontId="17" fillId="0" borderId="12" xfId="6" applyFont="1" applyBorder="1" applyAlignment="1">
      <alignment horizontal="left" vertical="top" wrapText="1"/>
    </xf>
    <xf numFmtId="0" fontId="17" fillId="0" borderId="10" xfId="6" applyFont="1" applyBorder="1" applyAlignment="1">
      <alignment horizontal="left" vertical="top" wrapText="1"/>
    </xf>
    <xf numFmtId="0" fontId="17" fillId="0" borderId="11" xfId="6" applyFont="1" applyBorder="1" applyAlignment="1">
      <alignment horizontal="left" vertical="top" wrapText="1"/>
    </xf>
    <xf numFmtId="0" fontId="17" fillId="0" borderId="15" xfId="6" applyFont="1" applyBorder="1" applyAlignment="1">
      <alignment horizontal="left" vertical="top" wrapText="1"/>
    </xf>
    <xf numFmtId="0" fontId="147" fillId="0" borderId="0" xfId="6" applyFont="1" applyAlignment="1">
      <alignment horizontal="left" vertical="top" wrapText="1"/>
    </xf>
    <xf numFmtId="0" fontId="49" fillId="0" borderId="11" xfId="6" applyFont="1" applyBorder="1" applyAlignment="1">
      <alignment horizontal="left" vertical="top"/>
    </xf>
    <xf numFmtId="0" fontId="49" fillId="0" borderId="0" xfId="6" applyFont="1" applyAlignment="1">
      <alignment horizontal="left" vertical="top"/>
    </xf>
    <xf numFmtId="0" fontId="14" fillId="0" borderId="6" xfId="6" applyFont="1" applyBorder="1" applyAlignment="1">
      <alignment horizontal="left" vertical="top"/>
    </xf>
    <xf numFmtId="0" fontId="14" fillId="0" borderId="8" xfId="6" applyFont="1" applyBorder="1" applyAlignment="1">
      <alignment horizontal="left" vertical="top"/>
    </xf>
    <xf numFmtId="0" fontId="19" fillId="0" borderId="13" xfId="6" applyFont="1" applyBorder="1" applyAlignment="1">
      <alignment horizontal="left" vertical="top" wrapText="1"/>
    </xf>
    <xf numFmtId="0" fontId="19" fillId="0" borderId="9" xfId="6" applyFont="1" applyBorder="1" applyAlignment="1">
      <alignment horizontal="left" vertical="top" wrapText="1"/>
    </xf>
    <xf numFmtId="0" fontId="19" fillId="0" borderId="13" xfId="6" applyFont="1" applyBorder="1" applyAlignment="1">
      <alignment horizontal="left" vertical="top"/>
    </xf>
    <xf numFmtId="0" fontId="35" fillId="0" borderId="9" xfId="6" applyFont="1" applyBorder="1" applyAlignment="1">
      <alignment horizontal="left" vertical="top"/>
    </xf>
    <xf numFmtId="0" fontId="19" fillId="0" borderId="12" xfId="6" applyFont="1" applyBorder="1" applyAlignment="1">
      <alignment horizontal="left" vertical="top" wrapText="1"/>
    </xf>
    <xf numFmtId="0" fontId="19" fillId="0" borderId="10" xfId="6" applyFont="1" applyBorder="1" applyAlignment="1">
      <alignment horizontal="left" vertical="top" wrapText="1"/>
    </xf>
    <xf numFmtId="0" fontId="14" fillId="0" borderId="11" xfId="6" applyFont="1" applyBorder="1" applyAlignment="1">
      <alignment horizontal="left" vertical="top" wrapText="1"/>
    </xf>
    <xf numFmtId="0" fontId="14" fillId="0" borderId="15" xfId="6" applyFont="1" applyBorder="1" applyAlignment="1">
      <alignment horizontal="left" vertical="top" wrapText="1"/>
    </xf>
    <xf numFmtId="0" fontId="14" fillId="0" borderId="13" xfId="6" applyFont="1" applyBorder="1" applyAlignment="1">
      <alignment horizontal="left" vertical="top" wrapText="1"/>
    </xf>
    <xf numFmtId="0" fontId="14" fillId="0" borderId="9" xfId="6" applyFont="1" applyBorder="1" applyAlignment="1">
      <alignment horizontal="left" vertical="top" wrapText="1"/>
    </xf>
    <xf numFmtId="0" fontId="110" fillId="14" borderId="0" xfId="6" applyFont="1" applyFill="1" applyAlignment="1">
      <alignment horizontal="left" vertical="top"/>
    </xf>
    <xf numFmtId="0" fontId="14" fillId="0" borderId="12" xfId="6" quotePrefix="1" applyFont="1" applyBorder="1" applyAlignment="1">
      <alignment horizontal="left" vertical="top" wrapText="1"/>
    </xf>
    <xf numFmtId="0" fontId="14" fillId="0" borderId="10" xfId="6" applyFont="1" applyBorder="1" applyAlignment="1">
      <alignment horizontal="left" vertical="top" wrapText="1"/>
    </xf>
    <xf numFmtId="0" fontId="14" fillId="0" borderId="11" xfId="6" quotePrefix="1" applyFont="1" applyBorder="1" applyAlignment="1">
      <alignment horizontal="left" vertical="top" wrapText="1"/>
    </xf>
    <xf numFmtId="0" fontId="14" fillId="0" borderId="11" xfId="6" applyFont="1" applyBorder="1" applyAlignment="1">
      <alignment horizontal="left" vertical="top"/>
    </xf>
    <xf numFmtId="0" fontId="14" fillId="0" borderId="15" xfId="6" applyFont="1" applyBorder="1" applyAlignment="1">
      <alignment horizontal="left" vertical="top"/>
    </xf>
    <xf numFmtId="0" fontId="77" fillId="18" borderId="11" xfId="6" applyFont="1" applyFill="1" applyBorder="1" applyAlignment="1">
      <alignment horizontal="left" vertical="top"/>
    </xf>
    <xf numFmtId="0" fontId="77" fillId="18" borderId="0" xfId="6" applyFont="1" applyFill="1" applyAlignment="1">
      <alignment horizontal="left" vertical="top"/>
    </xf>
    <xf numFmtId="0" fontId="14" fillId="0" borderId="12" xfId="6" applyFont="1" applyBorder="1" applyAlignment="1">
      <alignment horizontal="left" vertical="top"/>
    </xf>
    <xf numFmtId="0" fontId="14" fillId="0" borderId="10" xfId="6" applyFont="1" applyBorder="1" applyAlignment="1">
      <alignment horizontal="left" vertical="top"/>
    </xf>
    <xf numFmtId="0" fontId="35" fillId="0" borderId="0" xfId="6" applyFont="1" applyAlignment="1">
      <alignment vertical="top" wrapText="1"/>
    </xf>
    <xf numFmtId="0" fontId="35" fillId="0" borderId="0" xfId="6" quotePrefix="1" applyFont="1" applyAlignment="1">
      <alignment horizontal="left" vertical="top" wrapText="1" indent="1"/>
    </xf>
    <xf numFmtId="0" fontId="35" fillId="0" borderId="0" xfId="6" applyFont="1" applyAlignment="1">
      <alignment horizontal="left" vertical="top" wrapText="1" indent="1"/>
    </xf>
    <xf numFmtId="0" fontId="37" fillId="0" borderId="0" xfId="6" quotePrefix="1" applyFont="1" applyFill="1" applyBorder="1" applyAlignment="1">
      <alignment horizontal="left" vertical="top" wrapText="1" indent="1"/>
    </xf>
    <xf numFmtId="0" fontId="37" fillId="0" borderId="0" xfId="6" applyFont="1" applyFill="1" applyBorder="1" applyAlignment="1">
      <alignment horizontal="left" vertical="top" wrapText="1" indent="1"/>
    </xf>
    <xf numFmtId="0" fontId="41" fillId="0" borderId="0" xfId="6" applyFont="1" applyFill="1" applyBorder="1" applyAlignment="1">
      <alignment horizontal="left" vertical="top" wrapText="1" indent="3"/>
    </xf>
    <xf numFmtId="0" fontId="37" fillId="0" borderId="0" xfId="6" applyFont="1" applyFill="1" applyBorder="1" applyAlignment="1">
      <alignment horizontal="left" vertical="top" wrapText="1" indent="3"/>
    </xf>
    <xf numFmtId="0" fontId="20" fillId="0" borderId="35" xfId="6" applyFont="1" applyBorder="1" applyAlignment="1">
      <alignment vertical="top" wrapText="1"/>
    </xf>
    <xf numFmtId="0" fontId="20" fillId="0" borderId="38" xfId="6" applyFont="1" applyBorder="1" applyAlignment="1">
      <alignment vertical="top" wrapText="1"/>
    </xf>
    <xf numFmtId="0" fontId="49" fillId="13" borderId="6" xfId="6" applyFont="1" applyFill="1" applyBorder="1" applyAlignment="1">
      <alignment horizontal="center" vertical="top"/>
    </xf>
    <xf numFmtId="0" fontId="49" fillId="13" borderId="8" xfId="6" applyFont="1" applyFill="1" applyBorder="1" applyAlignment="1">
      <alignment horizontal="center" vertical="top"/>
    </xf>
    <xf numFmtId="0" fontId="15" fillId="0" borderId="0" xfId="6" quotePrefix="1" applyFont="1" applyFill="1" applyBorder="1" applyAlignment="1">
      <alignment horizontal="left" vertical="top" wrapText="1" indent="1"/>
    </xf>
    <xf numFmtId="0" fontId="35" fillId="0" borderId="0" xfId="6" applyFont="1" applyFill="1" applyAlignment="1">
      <alignment horizontal="left" vertical="top" wrapText="1" indent="2"/>
    </xf>
    <xf numFmtId="0" fontId="35" fillId="0" borderId="0" xfId="6" applyFont="1" applyFill="1" applyAlignment="1">
      <alignment horizontal="left" vertical="top" wrapText="1" indent="1"/>
    </xf>
    <xf numFmtId="0" fontId="19" fillId="0" borderId="12" xfId="6" applyFont="1" applyBorder="1" applyAlignment="1">
      <alignment vertical="top" wrapText="1"/>
    </xf>
    <xf numFmtId="0" fontId="19" fillId="0" borderId="10" xfId="6" applyFont="1" applyBorder="1" applyAlignment="1">
      <alignment vertical="top" wrapText="1"/>
    </xf>
    <xf numFmtId="0" fontId="19" fillId="0" borderId="11" xfId="6" applyFont="1" applyBorder="1" applyAlignment="1">
      <alignment vertical="top" wrapText="1"/>
    </xf>
    <xf numFmtId="0" fontId="19" fillId="0" borderId="15" xfId="6" applyFont="1" applyBorder="1" applyAlignment="1">
      <alignment vertical="top" wrapText="1"/>
    </xf>
    <xf numFmtId="0" fontId="35" fillId="0" borderId="0" xfId="6" applyFont="1" applyAlignment="1">
      <alignment horizontal="left" vertical="top"/>
    </xf>
    <xf numFmtId="0" fontId="24" fillId="0" borderId="1" xfId="6" applyFont="1" applyBorder="1" applyAlignment="1">
      <alignment horizontal="left" vertical="top" wrapText="1"/>
    </xf>
    <xf numFmtId="0" fontId="24" fillId="0" borderId="78" xfId="6" applyFont="1" applyBorder="1" applyAlignment="1">
      <alignment horizontal="left" vertical="top" wrapText="1"/>
    </xf>
    <xf numFmtId="0" fontId="24" fillId="0" borderId="2" xfId="6" applyFont="1" applyBorder="1" applyAlignment="1">
      <alignment horizontal="left" vertical="top" wrapText="1"/>
    </xf>
    <xf numFmtId="0" fontId="19" fillId="0" borderId="0" xfId="6" applyFont="1" applyFill="1" applyAlignment="1">
      <alignment horizontal="left" vertical="top" wrapText="1"/>
    </xf>
    <xf numFmtId="0" fontId="29" fillId="0" borderId="6" xfId="6" applyFont="1" applyBorder="1" applyAlignment="1">
      <alignment vertical="top" wrapText="1"/>
    </xf>
    <xf numFmtId="0" fontId="29" fillId="0" borderId="8" xfId="6" applyFont="1" applyBorder="1" applyAlignment="1">
      <alignment vertical="top" wrapText="1"/>
    </xf>
    <xf numFmtId="0" fontId="28" fillId="6" borderId="12" xfId="6" applyFont="1" applyFill="1" applyBorder="1" applyAlignment="1">
      <alignment vertical="top"/>
    </xf>
    <xf numFmtId="0" fontId="28" fillId="6" borderId="10" xfId="6" applyFont="1" applyFill="1" applyBorder="1" applyAlignment="1">
      <alignment vertical="top"/>
    </xf>
    <xf numFmtId="0" fontId="28" fillId="6" borderId="13" xfId="6" applyFont="1" applyFill="1" applyBorder="1" applyAlignment="1">
      <alignment vertical="top"/>
    </xf>
    <xf numFmtId="0" fontId="28" fillId="6" borderId="9" xfId="6" applyFont="1" applyFill="1" applyBorder="1" applyAlignment="1">
      <alignment vertical="top"/>
    </xf>
    <xf numFmtId="0" fontId="23" fillId="0" borderId="2" xfId="6" applyFont="1" applyBorder="1" applyAlignment="1">
      <alignment horizontal="left" vertical="top" wrapText="1"/>
    </xf>
    <xf numFmtId="0" fontId="23" fillId="0" borderId="1" xfId="6" applyFont="1" applyBorder="1" applyAlignment="1">
      <alignment horizontal="left" vertical="top" wrapText="1"/>
    </xf>
    <xf numFmtId="0" fontId="23" fillId="0" borderId="1" xfId="6" applyFont="1" applyBorder="1" applyAlignment="1">
      <alignment vertical="top" wrapText="1"/>
    </xf>
    <xf numFmtId="0" fontId="37" fillId="0" borderId="35" xfId="6" applyFont="1" applyBorder="1" applyAlignment="1">
      <alignment horizontal="left" vertical="top" wrapText="1"/>
    </xf>
    <xf numFmtId="0" fontId="37" fillId="0" borderId="33" xfId="6" applyFont="1" applyBorder="1" applyAlignment="1">
      <alignment horizontal="left" vertical="top" wrapText="1"/>
    </xf>
    <xf numFmtId="0" fontId="37" fillId="0" borderId="38" xfId="6" applyFont="1" applyBorder="1" applyAlignment="1">
      <alignment horizontal="left" vertical="top" wrapText="1"/>
    </xf>
    <xf numFmtId="0" fontId="37" fillId="0" borderId="0" xfId="6" applyFont="1" applyAlignment="1">
      <alignment horizontal="left" vertical="top" wrapText="1"/>
    </xf>
    <xf numFmtId="0" fontId="35" fillId="0" borderId="0" xfId="6" applyFont="1" applyAlignment="1">
      <alignment horizontal="left" vertical="top" wrapText="1"/>
    </xf>
    <xf numFmtId="0" fontId="19" fillId="0" borderId="11" xfId="6" quotePrefix="1" applyFont="1" applyBorder="1" applyAlignment="1">
      <alignment horizontal="left" vertical="top" wrapText="1"/>
    </xf>
    <xf numFmtId="0" fontId="73" fillId="0" borderId="0" xfId="6" applyFont="1" applyAlignment="1">
      <alignment horizontal="left" vertical="top" wrapText="1"/>
    </xf>
    <xf numFmtId="0" fontId="20" fillId="0" borderId="0" xfId="6" applyFont="1" applyAlignment="1">
      <alignment horizontal="left" vertical="top" wrapText="1"/>
    </xf>
    <xf numFmtId="0" fontId="123" fillId="13" borderId="6" xfId="6" applyFont="1" applyFill="1" applyBorder="1" applyAlignment="1">
      <alignment horizontal="center" vertical="top"/>
    </xf>
    <xf numFmtId="0" fontId="123" fillId="13" borderId="8" xfId="6" applyFont="1" applyFill="1" applyBorder="1" applyAlignment="1">
      <alignment horizontal="center" vertical="top"/>
    </xf>
    <xf numFmtId="0" fontId="13" fillId="0" borderId="35" xfId="6" applyFont="1" applyBorder="1" applyAlignment="1">
      <alignment horizontal="left" vertical="top" wrapText="1"/>
    </xf>
    <xf numFmtId="0" fontId="13" fillId="0" borderId="0" xfId="6" applyFont="1" applyBorder="1" applyAlignment="1">
      <alignment horizontal="left" vertical="top" wrapText="1"/>
    </xf>
    <xf numFmtId="0" fontId="13" fillId="0" borderId="38" xfId="6" applyFont="1" applyBorder="1" applyAlignment="1">
      <alignment horizontal="left" vertical="top" wrapText="1"/>
    </xf>
    <xf numFmtId="0" fontId="35" fillId="0" borderId="0" xfId="6" applyFont="1" applyBorder="1" applyAlignment="1">
      <alignment horizontal="left" vertical="top" wrapText="1"/>
    </xf>
    <xf numFmtId="0" fontId="35" fillId="0" borderId="38" xfId="6" applyFont="1" applyBorder="1" applyAlignment="1">
      <alignment horizontal="left" vertical="top" wrapText="1"/>
    </xf>
    <xf numFmtId="0" fontId="49" fillId="13" borderId="7" xfId="6" applyFont="1" applyFill="1" applyBorder="1" applyAlignment="1">
      <alignment horizontal="center" vertical="top"/>
    </xf>
    <xf numFmtId="0" fontId="37" fillId="0" borderId="0" xfId="6" applyFont="1" applyAlignment="1">
      <alignment vertical="top" wrapText="1"/>
    </xf>
    <xf numFmtId="0" fontId="183" fillId="0" borderId="0" xfId="6" applyFont="1" applyAlignment="1">
      <alignment horizontal="left" vertical="top" wrapText="1"/>
    </xf>
    <xf numFmtId="0" fontId="13" fillId="0" borderId="0" xfId="6" applyFont="1" applyAlignment="1">
      <alignment horizontal="left" vertical="top" wrapText="1"/>
    </xf>
    <xf numFmtId="0" fontId="38" fillId="13" borderId="6" xfId="0" applyFont="1" applyFill="1" applyBorder="1" applyAlignment="1">
      <alignment horizontal="right" vertical="top"/>
    </xf>
    <xf numFmtId="0" fontId="38" fillId="13" borderId="8" xfId="0" applyFont="1" applyFill="1" applyBorder="1" applyAlignment="1">
      <alignment horizontal="right" vertical="top"/>
    </xf>
    <xf numFmtId="0" fontId="38" fillId="13" borderId="6" xfId="0" applyFont="1" applyFill="1" applyBorder="1" applyAlignment="1">
      <alignment horizontal="center" vertical="top"/>
    </xf>
    <xf numFmtId="0" fontId="38" fillId="13" borderId="8" xfId="0" applyFont="1" applyFill="1" applyBorder="1" applyAlignment="1">
      <alignment horizontal="center" vertical="top"/>
    </xf>
    <xf numFmtId="0" fontId="35" fillId="0" borderId="0" xfId="6" applyFont="1" applyFill="1" applyAlignment="1">
      <alignment vertical="top" wrapText="1"/>
    </xf>
    <xf numFmtId="0" fontId="20" fillId="0" borderId="35" xfId="6" applyFont="1" applyBorder="1" applyAlignment="1">
      <alignment horizontal="left" vertical="top" wrapText="1"/>
    </xf>
    <xf numFmtId="0" fontId="20" fillId="0" borderId="38" xfId="6" applyFont="1" applyBorder="1" applyAlignment="1">
      <alignment horizontal="left" vertical="top" wrapText="1"/>
    </xf>
    <xf numFmtId="0" fontId="47" fillId="0" borderId="0" xfId="6" applyFont="1" applyAlignment="1">
      <alignment horizontal="left" vertical="top" wrapText="1"/>
    </xf>
    <xf numFmtId="0" fontId="35" fillId="0" borderId="35" xfId="6" applyFont="1" applyBorder="1" applyAlignment="1">
      <alignment horizontal="left" vertical="top" wrapText="1"/>
    </xf>
    <xf numFmtId="0" fontId="48" fillId="0" borderId="0" xfId="6" applyFont="1" applyAlignment="1">
      <alignment horizontal="left" vertical="top" wrapText="1"/>
    </xf>
    <xf numFmtId="0" fontId="37" fillId="0" borderId="0" xfId="6" applyFont="1" applyBorder="1" applyAlignment="1">
      <alignment horizontal="left" vertical="top" wrapText="1"/>
    </xf>
    <xf numFmtId="0" fontId="12" fillId="0" borderId="0" xfId="6" quotePrefix="1" applyFont="1" applyFill="1" applyBorder="1" applyAlignment="1">
      <alignment horizontal="left" vertical="top" indent="1"/>
    </xf>
    <xf numFmtId="0" fontId="15" fillId="0" borderId="0" xfId="6" applyFont="1" applyFill="1" applyBorder="1" applyAlignment="1">
      <alignment horizontal="left" vertical="top" indent="2"/>
    </xf>
    <xf numFmtId="0" fontId="15" fillId="0" borderId="15" xfId="6" applyFont="1" applyFill="1" applyBorder="1" applyAlignment="1">
      <alignment horizontal="left" vertical="top" indent="2"/>
    </xf>
    <xf numFmtId="0" fontId="37" fillId="14" borderId="1" xfId="0" quotePrefix="1" applyFont="1" applyFill="1" applyBorder="1" applyAlignment="1">
      <alignment horizontal="left" vertical="top" wrapText="1"/>
    </xf>
    <xf numFmtId="0" fontId="37" fillId="14" borderId="1" xfId="0" applyFont="1" applyFill="1" applyBorder="1" applyAlignment="1">
      <alignment horizontal="left" vertical="top" wrapText="1"/>
    </xf>
    <xf numFmtId="0" fontId="37" fillId="14" borderId="4" xfId="0" applyFont="1" applyFill="1" applyBorder="1" applyAlignment="1">
      <alignment horizontal="left" vertical="top" wrapText="1"/>
    </xf>
    <xf numFmtId="0" fontId="78" fillId="18" borderId="13" xfId="6" applyFont="1" applyFill="1" applyBorder="1" applyAlignment="1">
      <alignment horizontal="left" vertical="top"/>
    </xf>
    <xf numFmtId="0" fontId="78" fillId="18" borderId="9" xfId="6" applyFont="1" applyFill="1" applyBorder="1" applyAlignment="1">
      <alignment horizontal="left" vertical="top"/>
    </xf>
    <xf numFmtId="0" fontId="123" fillId="6" borderId="13" xfId="6" applyFont="1" applyFill="1" applyBorder="1" applyAlignment="1">
      <alignment horizontal="left" vertical="top" wrapText="1"/>
    </xf>
    <xf numFmtId="0" fontId="123" fillId="6" borderId="9" xfId="6" applyFont="1" applyFill="1" applyBorder="1" applyAlignment="1">
      <alignment horizontal="left" vertical="top" wrapText="1"/>
    </xf>
    <xf numFmtId="0" fontId="38" fillId="7" borderId="0" xfId="6" applyFont="1" applyFill="1" applyBorder="1" applyAlignment="1">
      <alignment horizontal="left" vertical="top"/>
    </xf>
    <xf numFmtId="0" fontId="38" fillId="6" borderId="12" xfId="6" applyFont="1" applyFill="1" applyBorder="1" applyAlignment="1">
      <alignment horizontal="left" vertical="top"/>
    </xf>
    <xf numFmtId="0" fontId="38" fillId="6" borderId="10" xfId="6" applyFont="1" applyFill="1" applyBorder="1" applyAlignment="1">
      <alignment horizontal="left" vertical="top"/>
    </xf>
    <xf numFmtId="0" fontId="38" fillId="6" borderId="13" xfId="6" applyFont="1" applyFill="1" applyBorder="1" applyAlignment="1">
      <alignment horizontal="left" vertical="top" wrapText="1"/>
    </xf>
    <xf numFmtId="0" fontId="38" fillId="6" borderId="9" xfId="6" applyFont="1" applyFill="1" applyBorder="1" applyAlignment="1">
      <alignment horizontal="left" vertical="top" wrapText="1"/>
    </xf>
    <xf numFmtId="0" fontId="38" fillId="6" borderId="12" xfId="6" applyFont="1" applyFill="1" applyBorder="1" applyAlignment="1">
      <alignment horizontal="left" vertical="top" wrapText="1"/>
    </xf>
    <xf numFmtId="0" fontId="0" fillId="6" borderId="10" xfId="0" applyFill="1" applyBorder="1"/>
    <xf numFmtId="0" fontId="49" fillId="6" borderId="6" xfId="6" applyFont="1" applyFill="1" applyBorder="1" applyAlignment="1">
      <alignment horizontal="center" vertical="top"/>
    </xf>
    <xf numFmtId="0" fontId="49" fillId="6" borderId="8" xfId="6" applyFont="1" applyFill="1" applyBorder="1" applyAlignment="1">
      <alignment horizontal="center" vertical="top"/>
    </xf>
    <xf numFmtId="0" fontId="35" fillId="0" borderId="10" xfId="6" applyFont="1" applyBorder="1" applyAlignment="1">
      <alignment horizontal="left" vertical="top" wrapText="1"/>
    </xf>
    <xf numFmtId="0" fontId="35" fillId="0" borderId="13" xfId="6" applyFont="1" applyBorder="1" applyAlignment="1">
      <alignment horizontal="left" vertical="top" wrapText="1"/>
    </xf>
    <xf numFmtId="0" fontId="35" fillId="0" borderId="9" xfId="6" applyFont="1" applyBorder="1" applyAlignment="1">
      <alignment horizontal="left" vertical="top" wrapText="1"/>
    </xf>
    <xf numFmtId="0" fontId="34" fillId="0" borderId="0" xfId="6" applyFont="1" applyAlignment="1">
      <alignment horizontal="left" vertical="top" wrapText="1"/>
    </xf>
    <xf numFmtId="0" fontId="22" fillId="0" borderId="2" xfId="6" applyFont="1" applyFill="1" applyBorder="1" applyAlignment="1">
      <alignment horizontal="left" vertical="top" wrapText="1"/>
    </xf>
    <xf numFmtId="0" fontId="28" fillId="0" borderId="4" xfId="6" applyFont="1" applyFill="1" applyBorder="1" applyAlignment="1">
      <alignment horizontal="left" vertical="top" wrapText="1"/>
    </xf>
    <xf numFmtId="0" fontId="22" fillId="0" borderId="2" xfId="6" applyFont="1" applyBorder="1" applyAlignment="1">
      <alignment horizontal="left" vertical="top" wrapText="1"/>
    </xf>
    <xf numFmtId="0" fontId="27" fillId="0" borderId="4" xfId="6" applyFont="1" applyBorder="1" applyAlignment="1">
      <alignment horizontal="left" vertical="top" wrapText="1"/>
    </xf>
    <xf numFmtId="0" fontId="20" fillId="0" borderId="0" xfId="6" applyFont="1" applyAlignment="1">
      <alignment vertical="top"/>
    </xf>
    <xf numFmtId="0" fontId="20" fillId="0" borderId="0" xfId="6" applyFont="1" applyBorder="1" applyAlignment="1">
      <alignment vertical="top" wrapText="1"/>
    </xf>
    <xf numFmtId="0" fontId="123" fillId="6" borderId="12" xfId="6" applyFont="1" applyFill="1" applyBorder="1" applyAlignment="1">
      <alignment horizontal="left" vertical="top" wrapText="1"/>
    </xf>
    <xf numFmtId="0" fontId="48" fillId="6" borderId="10" xfId="0" applyFont="1" applyFill="1" applyBorder="1"/>
    <xf numFmtId="0" fontId="77" fillId="18" borderId="12" xfId="6" applyFont="1" applyFill="1" applyBorder="1" applyAlignment="1">
      <alignment horizontal="left" vertical="top"/>
    </xf>
    <xf numFmtId="0" fontId="77" fillId="18" borderId="10" xfId="6" applyFont="1" applyFill="1" applyBorder="1" applyAlignment="1">
      <alignment horizontal="left" vertical="top"/>
    </xf>
    <xf numFmtId="0" fontId="19" fillId="0" borderId="0" xfId="6" applyFont="1" applyAlignment="1">
      <alignment horizontal="left" vertical="top" wrapText="1"/>
    </xf>
    <xf numFmtId="0" fontId="147" fillId="0" borderId="0" xfId="6" applyFont="1" applyFill="1" applyBorder="1" applyAlignment="1">
      <alignment vertical="top" wrapText="1"/>
    </xf>
    <xf numFmtId="0" fontId="35" fillId="0" borderId="35" xfId="6" applyFont="1" applyBorder="1" applyAlignment="1">
      <alignment vertical="top" wrapText="1"/>
    </xf>
    <xf numFmtId="0" fontId="35" fillId="0" borderId="38" xfId="6" applyFont="1" applyBorder="1" applyAlignment="1">
      <alignment vertical="top" wrapText="1"/>
    </xf>
    <xf numFmtId="0" fontId="35" fillId="0" borderId="35" xfId="6" applyFont="1" applyFill="1" applyBorder="1" applyAlignment="1">
      <alignment vertical="top" wrapText="1"/>
    </xf>
    <xf numFmtId="0" fontId="35" fillId="0" borderId="38" xfId="6" applyFont="1" applyFill="1" applyBorder="1" applyAlignment="1">
      <alignment vertical="top" wrapText="1"/>
    </xf>
    <xf numFmtId="0" fontId="47" fillId="0" borderId="0" xfId="6" applyFont="1" applyAlignment="1">
      <alignment vertical="top" wrapText="1"/>
    </xf>
    <xf numFmtId="0" fontId="37" fillId="13" borderId="6" xfId="6" applyFont="1" applyFill="1" applyBorder="1" applyAlignment="1">
      <alignment vertical="top"/>
    </xf>
    <xf numFmtId="0" fontId="37" fillId="13" borderId="7" xfId="6" applyFont="1" applyFill="1" applyBorder="1" applyAlignment="1">
      <alignment vertical="top"/>
    </xf>
    <xf numFmtId="0" fontId="73" fillId="0" borderId="5" xfId="6" applyFont="1" applyBorder="1" applyAlignment="1">
      <alignment horizontal="left" vertical="top" wrapText="1"/>
    </xf>
    <xf numFmtId="0" fontId="17" fillId="0" borderId="0" xfId="6" applyFont="1" applyFill="1" applyAlignment="1">
      <alignment horizontal="left" vertical="top" wrapText="1"/>
    </xf>
    <xf numFmtId="0" fontId="48" fillId="0" borderId="0" xfId="6" applyFont="1" applyAlignment="1">
      <alignment vertical="top" wrapText="1"/>
    </xf>
    <xf numFmtId="0" fontId="19" fillId="0" borderId="0" xfId="6" applyFont="1" applyBorder="1" applyAlignment="1">
      <alignment horizontal="left" vertical="top"/>
    </xf>
    <xf numFmtId="0" fontId="0" fillId="0" borderId="0" xfId="0" applyAlignment="1"/>
    <xf numFmtId="0" fontId="35" fillId="0" borderId="0" xfId="6" applyNumberFormat="1" applyFont="1" applyFill="1" applyAlignment="1">
      <alignment horizontal="left" vertical="top"/>
    </xf>
    <xf numFmtId="0" fontId="23" fillId="0" borderId="1" xfId="6" quotePrefix="1" applyFont="1" applyBorder="1" applyAlignment="1">
      <alignment horizontal="left" vertical="top" wrapText="1"/>
    </xf>
    <xf numFmtId="0" fontId="24" fillId="0" borderId="4" xfId="6" applyFont="1" applyBorder="1" applyAlignment="1">
      <alignment horizontal="left" vertical="top" wrapText="1"/>
    </xf>
    <xf numFmtId="0" fontId="19" fillId="0" borderId="13" xfId="6" applyFont="1" applyBorder="1" applyAlignment="1">
      <alignment vertical="top" wrapText="1"/>
    </xf>
    <xf numFmtId="0" fontId="19" fillId="0" borderId="9" xfId="6" applyFont="1" applyBorder="1" applyAlignment="1">
      <alignment vertical="top" wrapText="1"/>
    </xf>
    <xf numFmtId="0" fontId="37" fillId="0" borderId="3" xfId="6" applyFont="1" applyBorder="1" applyAlignment="1">
      <alignment vertical="top" wrapText="1"/>
    </xf>
    <xf numFmtId="0" fontId="27" fillId="14" borderId="1" xfId="6" quotePrefix="1" applyFont="1" applyFill="1" applyBorder="1" applyAlignment="1">
      <alignment horizontal="left" vertical="top" wrapText="1"/>
    </xf>
    <xf numFmtId="0" fontId="27" fillId="14" borderId="4" xfId="6" applyFont="1" applyFill="1" applyBorder="1" applyAlignment="1">
      <alignment horizontal="left" vertical="top" wrapText="1"/>
    </xf>
    <xf numFmtId="0" fontId="24" fillId="0" borderId="2" xfId="6" quotePrefix="1" applyFont="1" applyBorder="1" applyAlignment="1">
      <alignment vertical="top" wrapText="1"/>
    </xf>
    <xf numFmtId="0" fontId="24" fillId="0" borderId="1" xfId="6" applyFont="1" applyBorder="1" applyAlignment="1">
      <alignment vertical="top" wrapText="1"/>
    </xf>
    <xf numFmtId="0" fontId="27" fillId="14" borderId="1" xfId="6" applyFont="1" applyFill="1" applyBorder="1" applyAlignment="1">
      <alignment horizontal="left" vertical="top" wrapText="1"/>
    </xf>
    <xf numFmtId="0" fontId="147" fillId="0" borderId="36" xfId="0" applyFont="1" applyBorder="1" applyAlignment="1">
      <alignment horizontal="left" vertical="top" wrapText="1"/>
    </xf>
    <xf numFmtId="0" fontId="147" fillId="0" borderId="0" xfId="0" applyFont="1" applyBorder="1" applyAlignment="1">
      <alignment horizontal="left" vertical="top" wrapText="1"/>
    </xf>
    <xf numFmtId="0" fontId="158" fillId="0" borderId="0" xfId="0" applyFont="1" applyBorder="1" applyAlignment="1">
      <alignment vertical="top" wrapText="1"/>
    </xf>
    <xf numFmtId="0" fontId="158" fillId="0" borderId="42" xfId="0" applyFont="1" applyBorder="1" applyAlignment="1">
      <alignment vertical="top" wrapText="1"/>
    </xf>
    <xf numFmtId="0" fontId="147" fillId="0" borderId="0" xfId="0" applyFont="1" applyBorder="1" applyAlignment="1">
      <alignment horizontal="left" vertical="top" wrapText="1" indent="2"/>
    </xf>
    <xf numFmtId="0" fontId="147" fillId="0" borderId="0" xfId="0" applyFont="1" applyBorder="1" applyAlignment="1">
      <alignment horizontal="left" vertical="top" wrapText="1" indent="1"/>
    </xf>
    <xf numFmtId="0" fontId="147" fillId="0" borderId="0" xfId="0" quotePrefix="1" applyFont="1" applyBorder="1" applyAlignment="1">
      <alignment horizontal="left" vertical="top" wrapText="1" indent="1"/>
    </xf>
    <xf numFmtId="0" fontId="147" fillId="0" borderId="0" xfId="0" applyFont="1" applyAlignment="1">
      <alignment horizontal="left" vertical="top" wrapText="1"/>
    </xf>
    <xf numFmtId="0" fontId="37" fillId="0" borderId="0" xfId="0" quotePrefix="1" applyFont="1" applyAlignment="1">
      <alignment horizontal="left" vertical="top" wrapText="1" indent="1"/>
    </xf>
    <xf numFmtId="0" fontId="47" fillId="0" borderId="0" xfId="0" quotePrefix="1" applyFont="1" applyAlignment="1">
      <alignment horizontal="left" vertical="top" wrapText="1" indent="1"/>
    </xf>
    <xf numFmtId="0" fontId="47" fillId="0" borderId="0" xfId="0" applyFont="1" applyBorder="1" applyAlignment="1">
      <alignment horizontal="left" vertical="top" wrapText="1"/>
    </xf>
    <xf numFmtId="0" fontId="37" fillId="0" borderId="0" xfId="0" applyFont="1" applyBorder="1" applyAlignment="1">
      <alignment horizontal="left" vertical="top" wrapText="1"/>
    </xf>
    <xf numFmtId="0" fontId="37" fillId="0" borderId="42" xfId="0" applyFont="1" applyBorder="1" applyAlignment="1">
      <alignment horizontal="left" vertical="top" wrapText="1"/>
    </xf>
    <xf numFmtId="0" fontId="158" fillId="0" borderId="35" xfId="0" applyFont="1" applyBorder="1" applyAlignment="1">
      <alignment horizontal="left" vertical="top" wrapText="1"/>
    </xf>
    <xf numFmtId="0" fontId="158" fillId="0" borderId="38" xfId="0" applyFont="1" applyBorder="1" applyAlignment="1">
      <alignment horizontal="left" vertical="top" wrapText="1"/>
    </xf>
    <xf numFmtId="0" fontId="37" fillId="0" borderId="0" xfId="0" applyFont="1" applyAlignment="1">
      <alignment horizontal="left" vertical="top" wrapText="1" indent="1"/>
    </xf>
    <xf numFmtId="0" fontId="37" fillId="0" borderId="0" xfId="0" applyFont="1" applyBorder="1" applyAlignment="1">
      <alignment horizontal="left" vertical="top" wrapText="1" indent="1"/>
    </xf>
    <xf numFmtId="0" fontId="37" fillId="0" borderId="33" xfId="0" applyFont="1" applyBorder="1" applyAlignment="1">
      <alignment horizontal="left" vertical="top"/>
    </xf>
    <xf numFmtId="0" fontId="37" fillId="0" borderId="132" xfId="0" applyFont="1" applyBorder="1" applyAlignment="1">
      <alignment horizontal="left" vertical="top"/>
    </xf>
    <xf numFmtId="0" fontId="37" fillId="0" borderId="0" xfId="0" applyFont="1" applyBorder="1" applyAlignment="1">
      <alignment horizontal="left" vertical="top"/>
    </xf>
    <xf numFmtId="0" fontId="37" fillId="0" borderId="42" xfId="0" applyFont="1" applyBorder="1" applyAlignment="1">
      <alignment horizontal="left" vertical="top"/>
    </xf>
    <xf numFmtId="0" fontId="37" fillId="0" borderId="35" xfId="0" applyFont="1" applyBorder="1" applyAlignment="1">
      <alignment horizontal="left" vertical="top" wrapText="1"/>
    </xf>
    <xf numFmtId="0" fontId="37" fillId="0" borderId="41" xfId="0" applyFont="1" applyBorder="1" applyAlignment="1">
      <alignment horizontal="left" vertical="top" wrapText="1"/>
    </xf>
    <xf numFmtId="0" fontId="37" fillId="0" borderId="38" xfId="0" applyFont="1" applyBorder="1" applyAlignment="1">
      <alignment horizontal="left" vertical="top" wrapText="1"/>
    </xf>
    <xf numFmtId="0" fontId="37" fillId="0" borderId="43" xfId="0" applyFont="1" applyBorder="1" applyAlignment="1">
      <alignment horizontal="left" vertical="top" wrapText="1"/>
    </xf>
    <xf numFmtId="0" fontId="47" fillId="0" borderId="0" xfId="0" applyFont="1" applyAlignment="1">
      <alignment horizontal="left" vertical="top" wrapText="1"/>
    </xf>
    <xf numFmtId="0" fontId="47" fillId="0" borderId="42" xfId="0" applyFont="1" applyBorder="1" applyAlignment="1">
      <alignment horizontal="left" vertical="top" wrapText="1"/>
    </xf>
    <xf numFmtId="1" fontId="37" fillId="0" borderId="3" xfId="0" applyNumberFormat="1" applyFont="1" applyBorder="1" applyAlignment="1">
      <alignment horizontal="left" vertical="top"/>
    </xf>
    <xf numFmtId="1" fontId="37" fillId="0" borderId="2" xfId="0" applyNumberFormat="1" applyFont="1" applyBorder="1" applyAlignment="1">
      <alignment horizontal="left" vertical="top"/>
    </xf>
    <xf numFmtId="14" fontId="38" fillId="6" borderId="6" xfId="0" applyNumberFormat="1" applyFont="1" applyFill="1" applyBorder="1" applyAlignment="1">
      <alignment horizontal="center" vertical="top"/>
    </xf>
    <xf numFmtId="14" fontId="38" fillId="6" borderId="8" xfId="0" applyNumberFormat="1" applyFont="1" applyFill="1" applyBorder="1" applyAlignment="1">
      <alignment horizontal="center" vertical="top"/>
    </xf>
    <xf numFmtId="0" fontId="38" fillId="7" borderId="13" xfId="0" applyFont="1" applyFill="1" applyBorder="1" applyAlignment="1">
      <alignment horizontal="center" vertical="top"/>
    </xf>
    <xf numFmtId="0" fontId="38" fillId="7" borderId="9" xfId="0" applyFont="1" applyFill="1" applyBorder="1" applyAlignment="1">
      <alignment horizontal="center" vertical="top"/>
    </xf>
    <xf numFmtId="14" fontId="38" fillId="6" borderId="7" xfId="0" applyNumberFormat="1" applyFont="1" applyFill="1" applyBorder="1" applyAlignment="1">
      <alignment horizontal="center" vertical="top"/>
    </xf>
    <xf numFmtId="14" fontId="38" fillId="6" borderId="10" xfId="0" applyNumberFormat="1" applyFont="1" applyFill="1" applyBorder="1" applyAlignment="1">
      <alignment horizontal="center" vertical="top"/>
    </xf>
    <xf numFmtId="0" fontId="37" fillId="13" borderId="6" xfId="0" applyFont="1" applyFill="1" applyBorder="1" applyAlignment="1">
      <alignment horizontal="center" vertical="top"/>
    </xf>
    <xf numFmtId="0" fontId="37" fillId="13" borderId="7" xfId="0" applyFont="1" applyFill="1" applyBorder="1" applyAlignment="1">
      <alignment horizontal="center" vertical="top"/>
    </xf>
    <xf numFmtId="0" fontId="37" fillId="13" borderId="8" xfId="0" applyFont="1" applyFill="1" applyBorder="1" applyAlignment="1">
      <alignment horizontal="center" vertical="top"/>
    </xf>
    <xf numFmtId="14" fontId="38" fillId="7" borderId="6" xfId="0" applyNumberFormat="1" applyFont="1" applyFill="1" applyBorder="1" applyAlignment="1">
      <alignment horizontal="center" vertical="top"/>
    </xf>
    <xf numFmtId="14" fontId="38" fillId="7" borderId="7" xfId="0" applyNumberFormat="1" applyFont="1" applyFill="1" applyBorder="1" applyAlignment="1">
      <alignment horizontal="center" vertical="top"/>
    </xf>
    <xf numFmtId="14" fontId="38" fillId="7" borderId="8" xfId="0" applyNumberFormat="1" applyFont="1" applyFill="1" applyBorder="1" applyAlignment="1">
      <alignment horizontal="center" vertical="top"/>
    </xf>
    <xf numFmtId="14" fontId="37" fillId="6" borderId="6" xfId="0" applyNumberFormat="1" applyFont="1" applyFill="1" applyBorder="1" applyAlignment="1">
      <alignment horizontal="center" vertical="top"/>
    </xf>
    <xf numFmtId="14" fontId="37" fillId="6" borderId="7" xfId="0" applyNumberFormat="1" applyFont="1" applyFill="1" applyBorder="1" applyAlignment="1">
      <alignment horizontal="center" vertical="top"/>
    </xf>
    <xf numFmtId="14" fontId="37" fillId="6" borderId="10" xfId="0" applyNumberFormat="1" applyFont="1" applyFill="1" applyBorder="1" applyAlignment="1">
      <alignment horizontal="center" vertical="top"/>
    </xf>
    <xf numFmtId="14" fontId="38" fillId="7" borderId="10" xfId="0" applyNumberFormat="1" applyFont="1" applyFill="1" applyBorder="1" applyAlignment="1">
      <alignment horizontal="center" vertical="top"/>
    </xf>
    <xf numFmtId="164" fontId="37" fillId="0" borderId="11" xfId="0" applyNumberFormat="1" applyFont="1" applyBorder="1" applyAlignment="1">
      <alignment horizontal="center" vertical="top"/>
    </xf>
    <xf numFmtId="164" fontId="37" fillId="0" borderId="86" xfId="0" applyNumberFormat="1" applyFont="1" applyBorder="1" applyAlignment="1">
      <alignment horizontal="center" vertical="top"/>
    </xf>
    <xf numFmtId="0" fontId="37" fillId="0" borderId="12" xfId="0" applyFont="1" applyBorder="1" applyAlignment="1">
      <alignment horizontal="center" vertical="top"/>
    </xf>
    <xf numFmtId="0" fontId="37" fillId="0" borderId="10" xfId="0" applyFont="1" applyBorder="1" applyAlignment="1">
      <alignment horizontal="center" vertical="top"/>
    </xf>
    <xf numFmtId="0" fontId="37" fillId="0" borderId="6" xfId="0" applyFont="1" applyBorder="1" applyAlignment="1">
      <alignment horizontal="center" vertical="top"/>
    </xf>
    <xf numFmtId="0" fontId="37" fillId="0" borderId="8" xfId="0" applyFont="1" applyBorder="1" applyAlignment="1">
      <alignment horizontal="center" vertical="top"/>
    </xf>
    <xf numFmtId="0" fontId="158" fillId="0" borderId="41" xfId="0" applyFont="1" applyBorder="1" applyAlignment="1">
      <alignment horizontal="left" vertical="top" wrapText="1"/>
    </xf>
    <xf numFmtId="0" fontId="158" fillId="0" borderId="33" xfId="0" applyFont="1" applyBorder="1" applyAlignment="1">
      <alignment horizontal="left" vertical="top"/>
    </xf>
    <xf numFmtId="0" fontId="158" fillId="0" borderId="132" xfId="0" applyFont="1" applyBorder="1" applyAlignment="1">
      <alignment horizontal="left" vertical="top"/>
    </xf>
    <xf numFmtId="0" fontId="110" fillId="0" borderId="0" xfId="0" applyFont="1" applyAlignment="1">
      <alignment horizontal="left" vertical="top"/>
    </xf>
    <xf numFmtId="0" fontId="110" fillId="0" borderId="0" xfId="0" applyFont="1" applyBorder="1" applyAlignment="1">
      <alignment horizontal="left" vertical="top"/>
    </xf>
    <xf numFmtId="0" fontId="37" fillId="0" borderId="0" xfId="0" applyFont="1" applyAlignment="1">
      <alignment horizontal="left" vertical="top"/>
    </xf>
    <xf numFmtId="0" fontId="158" fillId="0" borderId="0" xfId="0" applyFont="1" applyAlignment="1">
      <alignment horizontal="left" vertical="top"/>
    </xf>
    <xf numFmtId="0" fontId="158" fillId="0" borderId="0" xfId="0" applyFont="1" applyBorder="1" applyAlignment="1">
      <alignment horizontal="left" vertical="top"/>
    </xf>
    <xf numFmtId="1" fontId="37" fillId="0" borderId="0" xfId="0" applyNumberFormat="1" applyFont="1" applyBorder="1" applyAlignment="1">
      <alignment horizontal="left" vertical="top"/>
    </xf>
    <xf numFmtId="1" fontId="37" fillId="0" borderId="0" xfId="0" quotePrefix="1" applyNumberFormat="1" applyFont="1" applyBorder="1" applyAlignment="1">
      <alignment horizontal="left" vertical="top" wrapText="1" indent="2"/>
    </xf>
    <xf numFmtId="1" fontId="37" fillId="0" borderId="15" xfId="0" quotePrefix="1" applyNumberFormat="1" applyFont="1" applyBorder="1" applyAlignment="1">
      <alignment horizontal="left" vertical="top" wrapText="1" indent="2"/>
    </xf>
    <xf numFmtId="0" fontId="47" fillId="0" borderId="0" xfId="0" quotePrefix="1" applyFont="1" applyBorder="1" applyAlignment="1">
      <alignment horizontal="left" vertical="top" wrapText="1" indent="2"/>
    </xf>
    <xf numFmtId="0" fontId="47" fillId="0" borderId="0" xfId="0" applyFont="1" applyBorder="1" applyAlignment="1">
      <alignment horizontal="left" vertical="top" wrapText="1" indent="2"/>
    </xf>
    <xf numFmtId="0" fontId="47" fillId="0" borderId="15" xfId="0" applyFont="1" applyBorder="1" applyAlignment="1">
      <alignment horizontal="left" vertical="top" wrapText="1" indent="2"/>
    </xf>
    <xf numFmtId="0" fontId="37" fillId="0" borderId="0" xfId="0" quotePrefix="1" applyFont="1" applyBorder="1" applyAlignment="1">
      <alignment horizontal="left" vertical="top" wrapText="1" indent="2"/>
    </xf>
    <xf numFmtId="0" fontId="37" fillId="0" borderId="15" xfId="0" quotePrefix="1" applyFont="1" applyBorder="1" applyAlignment="1">
      <alignment horizontal="left" vertical="top" wrapText="1" indent="2"/>
    </xf>
    <xf numFmtId="0" fontId="37" fillId="0" borderId="15" xfId="0" applyFont="1" applyBorder="1" applyAlignment="1">
      <alignment horizontal="left" vertical="top" wrapText="1" indent="1"/>
    </xf>
    <xf numFmtId="0" fontId="158" fillId="0" borderId="0" xfId="0" applyFont="1" applyAlignment="1">
      <alignment horizontal="left" vertical="top" wrapText="1"/>
    </xf>
    <xf numFmtId="1" fontId="37" fillId="0" borderId="11" xfId="0" applyNumberFormat="1" applyFont="1" applyBorder="1" applyAlignment="1">
      <alignment horizontal="center" vertical="top"/>
    </xf>
    <xf numFmtId="1" fontId="37" fillId="0" borderId="15" xfId="0" applyNumberFormat="1" applyFont="1" applyBorder="1" applyAlignment="1">
      <alignment horizontal="center" vertical="top"/>
    </xf>
    <xf numFmtId="0" fontId="158" fillId="0" borderId="0" xfId="0" quotePrefix="1" applyFont="1" applyBorder="1" applyAlignment="1">
      <alignment horizontal="left" vertical="top" wrapText="1" indent="1"/>
    </xf>
    <xf numFmtId="0" fontId="158" fillId="0" borderId="42" xfId="0" quotePrefix="1" applyFont="1" applyBorder="1" applyAlignment="1">
      <alignment horizontal="left" vertical="top" wrapText="1" indent="1"/>
    </xf>
    <xf numFmtId="0" fontId="47" fillId="0" borderId="0" xfId="0" quotePrefix="1" applyFont="1" applyBorder="1" applyAlignment="1">
      <alignment horizontal="left" wrapText="1" indent="1"/>
    </xf>
    <xf numFmtId="0" fontId="37" fillId="0" borderId="42" xfId="0" applyFont="1" applyBorder="1" applyAlignment="1">
      <alignment horizontal="left" vertical="top" wrapText="1" indent="1"/>
    </xf>
    <xf numFmtId="164" fontId="37" fillId="14" borderId="12" xfId="0" applyNumberFormat="1" applyFont="1" applyFill="1" applyBorder="1" applyAlignment="1">
      <alignment horizontal="center" vertical="top"/>
    </xf>
    <xf numFmtId="164" fontId="37" fillId="14" borderId="117" xfId="0" applyNumberFormat="1" applyFont="1" applyFill="1" applyBorder="1" applyAlignment="1">
      <alignment horizontal="center" vertical="top"/>
    </xf>
    <xf numFmtId="164" fontId="37" fillId="14" borderId="11" xfId="0" applyNumberFormat="1" applyFont="1" applyFill="1" applyBorder="1" applyAlignment="1">
      <alignment horizontal="center" vertical="top"/>
    </xf>
    <xf numFmtId="164" fontId="37" fillId="14" borderId="86" xfId="0" applyNumberFormat="1" applyFont="1" applyFill="1" applyBorder="1" applyAlignment="1">
      <alignment horizontal="center" vertical="top"/>
    </xf>
    <xf numFmtId="164" fontId="37" fillId="0" borderId="0" xfId="0" applyNumberFormat="1" applyFont="1" applyBorder="1" applyAlignment="1">
      <alignment horizontal="center" vertical="top"/>
    </xf>
    <xf numFmtId="164" fontId="37" fillId="0" borderId="15" xfId="0" applyNumberFormat="1" applyFont="1" applyBorder="1" applyAlignment="1">
      <alignment horizontal="center" vertical="top"/>
    </xf>
    <xf numFmtId="164" fontId="37" fillId="14" borderId="13" xfId="0" applyNumberFormat="1" applyFont="1" applyFill="1" applyBorder="1" applyAlignment="1">
      <alignment horizontal="center" vertical="top"/>
    </xf>
    <xf numFmtId="164" fontId="37" fillId="14" borderId="14" xfId="0" applyNumberFormat="1" applyFont="1" applyFill="1" applyBorder="1" applyAlignment="1">
      <alignment horizontal="center" vertical="top"/>
    </xf>
    <xf numFmtId="164" fontId="37" fillId="14" borderId="9" xfId="0" applyNumberFormat="1" applyFont="1" applyFill="1" applyBorder="1" applyAlignment="1">
      <alignment horizontal="center" vertical="top"/>
    </xf>
    <xf numFmtId="164" fontId="37" fillId="14" borderId="0" xfId="0" applyNumberFormat="1" applyFont="1" applyFill="1" applyBorder="1" applyAlignment="1">
      <alignment horizontal="center" vertical="top"/>
    </xf>
    <xf numFmtId="164" fontId="37" fillId="14" borderId="15" xfId="0" applyNumberFormat="1" applyFont="1" applyFill="1" applyBorder="1" applyAlignment="1">
      <alignment horizontal="center" vertical="top"/>
    </xf>
    <xf numFmtId="164" fontId="37" fillId="14" borderId="118" xfId="0" applyNumberFormat="1" applyFont="1" applyFill="1" applyBorder="1" applyAlignment="1">
      <alignment horizontal="center" vertical="top"/>
    </xf>
    <xf numFmtId="0" fontId="79" fillId="0" borderId="36" xfId="0" applyFont="1" applyBorder="1" applyAlignment="1">
      <alignment vertical="top" wrapText="1"/>
    </xf>
    <xf numFmtId="0" fontId="79" fillId="0" borderId="0" xfId="0" applyFont="1" applyBorder="1" applyAlignment="1">
      <alignment vertical="top" wrapText="1"/>
    </xf>
    <xf numFmtId="14" fontId="38" fillId="6" borderId="6" xfId="0" applyNumberFormat="1" applyFont="1" applyFill="1" applyBorder="1" applyAlignment="1">
      <alignment horizontal="right" vertical="top"/>
    </xf>
    <xf numFmtId="14" fontId="38" fillId="6" borderId="7" xfId="0" applyNumberFormat="1" applyFont="1" applyFill="1" applyBorder="1" applyAlignment="1">
      <alignment horizontal="right" vertical="top"/>
    </xf>
    <xf numFmtId="164" fontId="37" fillId="14" borderId="5" xfId="0" applyNumberFormat="1" applyFont="1" applyFill="1" applyBorder="1" applyAlignment="1">
      <alignment horizontal="center" vertical="top"/>
    </xf>
    <xf numFmtId="164" fontId="37" fillId="14" borderId="10" xfId="0" applyNumberFormat="1" applyFont="1" applyFill="1" applyBorder="1" applyAlignment="1">
      <alignment horizontal="center" vertical="top"/>
    </xf>
    <xf numFmtId="0" fontId="37" fillId="3" borderId="6" xfId="0" applyFont="1" applyFill="1" applyBorder="1" applyAlignment="1">
      <alignment horizontal="center" vertical="top"/>
    </xf>
    <xf numFmtId="0" fontId="37" fillId="3" borderId="7" xfId="0" applyFont="1" applyFill="1" applyBorder="1" applyAlignment="1">
      <alignment horizontal="center" vertical="top"/>
    </xf>
    <xf numFmtId="0" fontId="37" fillId="3" borderId="8" xfId="0" applyFont="1" applyFill="1" applyBorder="1" applyAlignment="1">
      <alignment horizontal="center" vertical="top"/>
    </xf>
    <xf numFmtId="0" fontId="158" fillId="0" borderId="0" xfId="0" applyFont="1" applyBorder="1" applyAlignment="1">
      <alignment horizontal="left" vertical="top" wrapText="1" indent="2"/>
    </xf>
    <xf numFmtId="1" fontId="37" fillId="0" borderId="11" xfId="0" applyNumberFormat="1" applyFont="1" applyFill="1" applyBorder="1" applyAlignment="1">
      <alignment vertical="top"/>
    </xf>
    <xf numFmtId="1" fontId="37" fillId="0" borderId="15" xfId="0" applyNumberFormat="1" applyFont="1" applyFill="1" applyBorder="1" applyAlignment="1">
      <alignment vertical="top"/>
    </xf>
    <xf numFmtId="1" fontId="37" fillId="14" borderId="11" xfId="0" applyNumberFormat="1" applyFont="1" applyFill="1" applyBorder="1" applyAlignment="1">
      <alignment vertical="top"/>
    </xf>
    <xf numFmtId="1" fontId="37" fillId="14" borderId="15" xfId="0" applyNumberFormat="1" applyFont="1" applyFill="1" applyBorder="1" applyAlignment="1">
      <alignment vertical="top"/>
    </xf>
    <xf numFmtId="164" fontId="37" fillId="14" borderId="42" xfId="0" applyNumberFormat="1" applyFont="1" applyFill="1" applyBorder="1" applyAlignment="1">
      <alignment horizontal="center" vertical="top"/>
    </xf>
    <xf numFmtId="164" fontId="37" fillId="0" borderId="11" xfId="0" applyNumberFormat="1" applyFont="1" applyFill="1" applyBorder="1" applyAlignment="1">
      <alignment horizontal="center" vertical="top"/>
    </xf>
    <xf numFmtId="164" fontId="37" fillId="0" borderId="42" xfId="0" applyNumberFormat="1" applyFont="1" applyFill="1" applyBorder="1" applyAlignment="1">
      <alignment horizontal="center" vertical="top"/>
    </xf>
    <xf numFmtId="1" fontId="37" fillId="0" borderId="12" xfId="0" applyNumberFormat="1" applyFont="1" applyFill="1" applyBorder="1" applyAlignment="1">
      <alignment vertical="top"/>
    </xf>
    <xf numFmtId="1" fontId="37" fillId="0" borderId="10" xfId="0" applyNumberFormat="1" applyFont="1" applyFill="1" applyBorder="1" applyAlignment="1">
      <alignment vertical="top"/>
    </xf>
    <xf numFmtId="1" fontId="37" fillId="14" borderId="13" xfId="0" applyNumberFormat="1" applyFont="1" applyFill="1" applyBorder="1" applyAlignment="1">
      <alignment horizontal="center" vertical="top"/>
    </xf>
    <xf numFmtId="1" fontId="37" fillId="14" borderId="9" xfId="0" applyNumberFormat="1" applyFont="1" applyFill="1" applyBorder="1" applyAlignment="1">
      <alignment horizontal="center" vertical="top"/>
    </xf>
    <xf numFmtId="1" fontId="37" fillId="14" borderId="12" xfId="0" applyNumberFormat="1" applyFont="1" applyFill="1" applyBorder="1" applyAlignment="1">
      <alignment horizontal="center" vertical="top"/>
    </xf>
    <xf numFmtId="1" fontId="37" fillId="14" borderId="10" xfId="0" applyNumberFormat="1" applyFont="1" applyFill="1" applyBorder="1" applyAlignment="1">
      <alignment horizontal="center" vertical="top"/>
    </xf>
    <xf numFmtId="1" fontId="37" fillId="14" borderId="11" xfId="0" applyNumberFormat="1" applyFont="1" applyFill="1" applyBorder="1" applyAlignment="1">
      <alignment horizontal="center" vertical="top"/>
    </xf>
    <xf numFmtId="1" fontId="37" fillId="14" borderId="15" xfId="0" applyNumberFormat="1" applyFont="1" applyFill="1" applyBorder="1" applyAlignment="1">
      <alignment horizontal="center" vertical="top"/>
    </xf>
    <xf numFmtId="0" fontId="37" fillId="0" borderId="0" xfId="0" applyFont="1" applyBorder="1" applyAlignment="1">
      <alignment vertical="top" wrapText="1"/>
    </xf>
    <xf numFmtId="1" fontId="37" fillId="14" borderId="13" xfId="0" applyNumberFormat="1" applyFont="1" applyFill="1" applyBorder="1" applyAlignment="1">
      <alignment vertical="top"/>
    </xf>
    <xf numFmtId="1" fontId="37" fillId="14" borderId="9" xfId="0" applyNumberFormat="1" applyFont="1" applyFill="1" applyBorder="1" applyAlignment="1">
      <alignment vertical="top"/>
    </xf>
    <xf numFmtId="164" fontId="37" fillId="14" borderId="101" xfId="0" applyNumberFormat="1" applyFont="1" applyFill="1" applyBorder="1" applyAlignment="1">
      <alignment horizontal="center" vertical="top"/>
    </xf>
    <xf numFmtId="164" fontId="37" fillId="0" borderId="15" xfId="0" applyNumberFormat="1" applyFont="1" applyFill="1" applyBorder="1" applyAlignment="1">
      <alignment horizontal="center" vertical="top"/>
    </xf>
    <xf numFmtId="0" fontId="41" fillId="0" borderId="0" xfId="0" applyFont="1" applyBorder="1" applyAlignment="1">
      <alignment horizontal="left" vertical="top" wrapText="1" indent="1"/>
    </xf>
    <xf numFmtId="0" fontId="41" fillId="0" borderId="42" xfId="0" applyFont="1" applyBorder="1" applyAlignment="1">
      <alignment horizontal="left" vertical="top" wrapText="1" indent="1"/>
    </xf>
    <xf numFmtId="0" fontId="37" fillId="0" borderId="0" xfId="0" quotePrefix="1" applyFont="1" applyBorder="1" applyAlignment="1">
      <alignment horizontal="left" vertical="top" wrapText="1" indent="1"/>
    </xf>
    <xf numFmtId="0" fontId="37" fillId="0" borderId="42" xfId="0" quotePrefix="1" applyFont="1" applyBorder="1" applyAlignment="1">
      <alignment horizontal="left" vertical="top" wrapText="1" indent="1"/>
    </xf>
    <xf numFmtId="0" fontId="37" fillId="0" borderId="0" xfId="0" applyFont="1" applyBorder="1" applyAlignment="1">
      <alignment horizontal="left" vertical="top" wrapText="1" indent="2"/>
    </xf>
    <xf numFmtId="0" fontId="37" fillId="0" borderId="42" xfId="0" applyFont="1" applyBorder="1" applyAlignment="1">
      <alignment horizontal="left" vertical="top" wrapText="1" indent="2"/>
    </xf>
    <xf numFmtId="0" fontId="37" fillId="0" borderId="0" xfId="0" applyFont="1" applyAlignment="1">
      <alignment vertical="top" wrapText="1"/>
    </xf>
    <xf numFmtId="0" fontId="37" fillId="0" borderId="15" xfId="0" applyFont="1" applyBorder="1" applyAlignment="1">
      <alignment vertical="top" wrapText="1"/>
    </xf>
    <xf numFmtId="0" fontId="37" fillId="0" borderId="42" xfId="0" applyFont="1" applyBorder="1" applyAlignment="1">
      <alignment vertical="top" wrapText="1"/>
    </xf>
    <xf numFmtId="0" fontId="158" fillId="0" borderId="43" xfId="0" applyFont="1" applyBorder="1" applyAlignment="1">
      <alignment horizontal="left" vertical="top" wrapText="1"/>
    </xf>
    <xf numFmtId="0" fontId="37" fillId="0" borderId="0" xfId="0" applyNumberFormat="1" applyFont="1" applyBorder="1" applyAlignment="1">
      <alignment vertical="top" wrapText="1"/>
    </xf>
    <xf numFmtId="0" fontId="37" fillId="0" borderId="42" xfId="0" applyNumberFormat="1" applyFont="1" applyBorder="1" applyAlignment="1">
      <alignment vertical="top" wrapText="1"/>
    </xf>
    <xf numFmtId="0" fontId="158" fillId="0" borderId="35" xfId="0" applyFont="1" applyBorder="1" applyAlignment="1">
      <alignment horizontal="left" vertical="top"/>
    </xf>
    <xf numFmtId="164" fontId="37" fillId="0" borderId="12" xfId="0" applyNumberFormat="1" applyFont="1" applyFill="1" applyBorder="1" applyAlignment="1">
      <alignment horizontal="center" vertical="top"/>
    </xf>
    <xf numFmtId="164" fontId="37" fillId="0" borderId="100" xfId="0" applyNumberFormat="1" applyFont="1" applyFill="1" applyBorder="1" applyAlignment="1">
      <alignment horizontal="center" vertical="top"/>
    </xf>
    <xf numFmtId="164" fontId="37" fillId="0" borderId="10" xfId="0" applyNumberFormat="1" applyFont="1" applyFill="1" applyBorder="1" applyAlignment="1">
      <alignment horizontal="center" vertical="top"/>
    </xf>
    <xf numFmtId="0" fontId="73" fillId="0" borderId="0" xfId="0" applyNumberFormat="1" applyFont="1" applyBorder="1" applyAlignment="1">
      <alignment horizontal="left" vertical="top" wrapText="1"/>
    </xf>
    <xf numFmtId="0" fontId="37" fillId="0" borderId="0" xfId="0" applyFont="1" applyAlignment="1">
      <alignment horizontal="left" vertical="top" wrapText="1"/>
    </xf>
    <xf numFmtId="0" fontId="75" fillId="0" borderId="0" xfId="0" applyFont="1" applyAlignment="1">
      <alignment horizontal="left" vertical="top" wrapText="1"/>
    </xf>
    <xf numFmtId="0" fontId="37" fillId="14" borderId="11" xfId="0" applyFont="1" applyFill="1" applyBorder="1" applyAlignment="1">
      <alignment vertical="top" wrapText="1"/>
    </xf>
    <xf numFmtId="0" fontId="0" fillId="14" borderId="11" xfId="0" applyFont="1" applyFill="1" applyBorder="1" applyAlignment="1">
      <alignment vertical="top" wrapText="1"/>
    </xf>
    <xf numFmtId="0" fontId="47" fillId="0" borderId="0" xfId="1" quotePrefix="1" applyFont="1" applyBorder="1" applyAlignment="1" applyProtection="1">
      <alignment horizontal="left" vertical="top" wrapText="1" indent="1"/>
    </xf>
    <xf numFmtId="0" fontId="38" fillId="3" borderId="12" xfId="0" applyFont="1" applyFill="1" applyBorder="1" applyAlignment="1">
      <alignment vertical="top" wrapText="1"/>
    </xf>
    <xf numFmtId="0" fontId="38" fillId="3" borderId="11" xfId="0" applyFont="1" applyFill="1" applyBorder="1" applyAlignment="1">
      <alignment vertical="top" wrapText="1"/>
    </xf>
    <xf numFmtId="0" fontId="37" fillId="14" borderId="11" xfId="0" applyFont="1" applyFill="1" applyBorder="1" applyAlignment="1">
      <alignment horizontal="left" vertical="top" wrapText="1"/>
    </xf>
    <xf numFmtId="0" fontId="47" fillId="0" borderId="35" xfId="0" applyFont="1" applyBorder="1" applyAlignment="1">
      <alignment vertical="top" wrapText="1"/>
    </xf>
    <xf numFmtId="0" fontId="47" fillId="0" borderId="38" xfId="0" applyFont="1" applyBorder="1" applyAlignment="1">
      <alignment vertical="top" wrapText="1"/>
    </xf>
    <xf numFmtId="0" fontId="37" fillId="0" borderId="0" xfId="0" quotePrefix="1" applyFont="1" applyBorder="1" applyAlignment="1">
      <alignment horizontal="left" vertical="top" wrapText="1"/>
    </xf>
    <xf numFmtId="0" fontId="132" fillId="0" borderId="35" xfId="0" applyFont="1" applyBorder="1" applyAlignment="1">
      <alignment horizontal="left" vertical="top" wrapText="1"/>
    </xf>
    <xf numFmtId="0" fontId="132" fillId="0" borderId="0" xfId="0" applyFont="1" applyBorder="1" applyAlignment="1">
      <alignment horizontal="left" vertical="top" wrapText="1"/>
    </xf>
    <xf numFmtId="0" fontId="132" fillId="0" borderId="38" xfId="0" applyFont="1" applyBorder="1" applyAlignment="1">
      <alignment horizontal="left" vertical="top" wrapText="1"/>
    </xf>
    <xf numFmtId="0" fontId="132" fillId="0" borderId="35" xfId="0" applyFont="1" applyFill="1" applyBorder="1" applyAlignment="1">
      <alignment horizontal="left" vertical="top" wrapText="1"/>
    </xf>
    <xf numFmtId="0" fontId="132" fillId="0" borderId="0" xfId="0" applyFont="1" applyFill="1" applyBorder="1" applyAlignment="1">
      <alignment horizontal="left" vertical="top" wrapText="1"/>
    </xf>
    <xf numFmtId="0" fontId="132" fillId="0" borderId="0" xfId="0" applyFont="1" applyAlignment="1">
      <alignment horizontal="left" vertical="top" wrapText="1"/>
    </xf>
    <xf numFmtId="0" fontId="47" fillId="0" borderId="35" xfId="0" applyFont="1" applyBorder="1" applyAlignment="1">
      <alignment horizontal="left" vertical="top" wrapText="1"/>
    </xf>
    <xf numFmtId="0" fontId="83" fillId="0" borderId="0" xfId="0" applyFont="1" applyBorder="1" applyAlignment="1">
      <alignment horizontal="left" vertical="top" wrapText="1"/>
    </xf>
    <xf numFmtId="0" fontId="83" fillId="0" borderId="38" xfId="0" applyFont="1" applyBorder="1" applyAlignment="1">
      <alignment horizontal="left" vertical="top" wrapText="1"/>
    </xf>
    <xf numFmtId="0" fontId="37" fillId="0" borderId="0" xfId="0" quotePrefix="1" applyNumberFormat="1" applyFont="1" applyAlignment="1">
      <alignment horizontal="left" vertical="top" wrapText="1" indent="2"/>
    </xf>
    <xf numFmtId="0" fontId="147" fillId="0" borderId="11" xfId="0" applyFont="1" applyBorder="1" applyAlignment="1">
      <alignment vertical="top" wrapText="1"/>
    </xf>
    <xf numFmtId="0" fontId="147" fillId="0" borderId="0" xfId="0" applyFont="1" applyBorder="1" applyAlignment="1">
      <alignment vertical="top" wrapText="1"/>
    </xf>
    <xf numFmtId="0" fontId="37" fillId="0" borderId="0" xfId="0" applyNumberFormat="1" applyFont="1" applyAlignment="1">
      <alignment horizontal="left" vertical="top" wrapText="1" indent="1"/>
    </xf>
    <xf numFmtId="0" fontId="37" fillId="0" borderId="0" xfId="1" quotePrefix="1" applyFont="1" applyBorder="1" applyAlignment="1" applyProtection="1">
      <alignment horizontal="left" vertical="top" wrapText="1" indent="1"/>
    </xf>
    <xf numFmtId="0" fontId="37" fillId="0" borderId="0" xfId="1" quotePrefix="1" applyFont="1" applyAlignment="1" applyProtection="1">
      <alignment horizontal="left" vertical="top" wrapText="1" indent="1"/>
    </xf>
    <xf numFmtId="0" fontId="37" fillId="0" borderId="0" xfId="1" applyFont="1" applyAlignment="1" applyProtection="1">
      <alignment horizontal="left" vertical="top" wrapText="1" indent="1"/>
    </xf>
    <xf numFmtId="0" fontId="37" fillId="0" borderId="34" xfId="0" applyFont="1" applyBorder="1" applyAlignment="1">
      <alignment horizontal="left" vertical="top" wrapText="1"/>
    </xf>
    <xf numFmtId="0" fontId="37" fillId="0" borderId="36" xfId="0" applyFont="1" applyBorder="1" applyAlignment="1">
      <alignment horizontal="left" vertical="top" wrapText="1"/>
    </xf>
    <xf numFmtId="0" fontId="41" fillId="0" borderId="0" xfId="1" applyFont="1" applyAlignment="1" applyProtection="1">
      <alignment horizontal="left" vertical="top" wrapText="1"/>
    </xf>
    <xf numFmtId="0" fontId="132" fillId="0" borderId="0" xfId="1" applyFont="1" applyBorder="1" applyAlignment="1" applyProtection="1">
      <alignment horizontal="left" vertical="top" wrapText="1"/>
    </xf>
    <xf numFmtId="9" fontId="47" fillId="0" borderId="11" xfId="3" applyFont="1" applyBorder="1" applyAlignment="1">
      <alignment horizontal="center" vertical="top"/>
    </xf>
    <xf numFmtId="9" fontId="47" fillId="0" borderId="15" xfId="3" applyFont="1" applyBorder="1" applyAlignment="1">
      <alignment horizontal="center" vertical="top"/>
    </xf>
    <xf numFmtId="9" fontId="47" fillId="0" borderId="13" xfId="3" applyFont="1" applyBorder="1" applyAlignment="1">
      <alignment horizontal="center" vertical="top"/>
    </xf>
    <xf numFmtId="9" fontId="47" fillId="0" borderId="9" xfId="3" applyFont="1" applyBorder="1" applyAlignment="1">
      <alignment horizontal="center" vertical="top"/>
    </xf>
    <xf numFmtId="9" fontId="37" fillId="14" borderId="12" xfId="3" applyFont="1" applyFill="1" applyBorder="1" applyAlignment="1">
      <alignment horizontal="center" vertical="top"/>
    </xf>
    <xf numFmtId="9" fontId="37" fillId="14" borderId="100" xfId="3" applyFont="1" applyFill="1" applyBorder="1" applyAlignment="1">
      <alignment horizontal="center" vertical="top"/>
    </xf>
    <xf numFmtId="9" fontId="37" fillId="0" borderId="80" xfId="3" applyFont="1" applyBorder="1" applyAlignment="1">
      <alignment horizontal="center" vertical="top"/>
    </xf>
    <xf numFmtId="9" fontId="37" fillId="0" borderId="43" xfId="3" applyFont="1" applyBorder="1" applyAlignment="1">
      <alignment horizontal="center" vertical="top"/>
    </xf>
    <xf numFmtId="9" fontId="37" fillId="0" borderId="79" xfId="3" applyFont="1" applyBorder="1" applyAlignment="1">
      <alignment horizontal="center" vertical="top"/>
    </xf>
    <xf numFmtId="9" fontId="37" fillId="0" borderId="41" xfId="3" applyFont="1" applyBorder="1" applyAlignment="1">
      <alignment horizontal="center" vertical="top"/>
    </xf>
    <xf numFmtId="9" fontId="37" fillId="0" borderId="11" xfId="3" applyFont="1" applyBorder="1" applyAlignment="1">
      <alignment horizontal="center" vertical="top"/>
    </xf>
    <xf numFmtId="9" fontId="37" fillId="0" borderId="42" xfId="3" applyFont="1" applyBorder="1" applyAlignment="1">
      <alignment horizontal="center" vertical="top"/>
    </xf>
    <xf numFmtId="0" fontId="37" fillId="0" borderId="36" xfId="0" applyFont="1" applyBorder="1" applyAlignment="1">
      <alignment vertical="top" wrapText="1"/>
    </xf>
    <xf numFmtId="0" fontId="38" fillId="14" borderId="12" xfId="0" applyFont="1" applyFill="1" applyBorder="1" applyAlignment="1">
      <alignment vertical="top" wrapText="1"/>
    </xf>
    <xf numFmtId="0" fontId="38" fillId="14" borderId="11" xfId="0" applyFont="1" applyFill="1" applyBorder="1" applyAlignment="1">
      <alignment vertical="top" wrapText="1"/>
    </xf>
    <xf numFmtId="9" fontId="37" fillId="0" borderId="13" xfId="3" applyFont="1" applyBorder="1" applyAlignment="1">
      <alignment horizontal="center" vertical="top"/>
    </xf>
    <xf numFmtId="9" fontId="37" fillId="0" borderId="101" xfId="3" applyFont="1" applyBorder="1" applyAlignment="1">
      <alignment horizontal="center" vertical="top"/>
    </xf>
    <xf numFmtId="9" fontId="37" fillId="0" borderId="12" xfId="3" applyFont="1" applyBorder="1" applyAlignment="1">
      <alignment horizontal="center" vertical="top"/>
    </xf>
    <xf numFmtId="9" fontId="37" fillId="0" borderId="100" xfId="3" applyFont="1" applyBorder="1" applyAlignment="1">
      <alignment horizontal="center" vertical="top"/>
    </xf>
    <xf numFmtId="9" fontId="47" fillId="0" borderId="112" xfId="3" applyFont="1" applyBorder="1" applyAlignment="1">
      <alignment horizontal="center" vertical="top"/>
    </xf>
    <xf numFmtId="9" fontId="47" fillId="0" borderId="113" xfId="3" applyFont="1" applyBorder="1" applyAlignment="1">
      <alignment horizontal="center" vertical="top"/>
    </xf>
    <xf numFmtId="9" fontId="47" fillId="14" borderId="106" xfId="3" applyFont="1" applyFill="1" applyBorder="1" applyAlignment="1">
      <alignment horizontal="center" vertical="top"/>
    </xf>
    <xf numFmtId="9" fontId="47" fillId="14" borderId="109" xfId="3" applyFont="1" applyFill="1" applyBorder="1" applyAlignment="1">
      <alignment horizontal="center" vertical="top"/>
    </xf>
    <xf numFmtId="9" fontId="47" fillId="0" borderId="106" xfId="3" applyFont="1" applyBorder="1" applyAlignment="1">
      <alignment horizontal="center" vertical="top"/>
    </xf>
    <xf numFmtId="9" fontId="47" fillId="0" borderId="109" xfId="3" applyFont="1" applyBorder="1" applyAlignment="1">
      <alignment horizontal="center" vertical="top"/>
    </xf>
    <xf numFmtId="9" fontId="47" fillId="14" borderId="11" xfId="3" applyFont="1" applyFill="1" applyBorder="1" applyAlignment="1">
      <alignment horizontal="center" vertical="top"/>
    </xf>
    <xf numFmtId="9" fontId="47" fillId="14" borderId="15" xfId="3" applyFont="1" applyFill="1" applyBorder="1" applyAlignment="1">
      <alignment horizontal="center" vertical="top"/>
    </xf>
    <xf numFmtId="9" fontId="37" fillId="0" borderId="112" xfId="3" applyFont="1" applyBorder="1" applyAlignment="1">
      <alignment horizontal="center" vertical="top"/>
    </xf>
    <xf numFmtId="9" fontId="37" fillId="0" borderId="114" xfId="3" applyFont="1" applyBorder="1" applyAlignment="1">
      <alignment horizontal="center" vertical="top"/>
    </xf>
    <xf numFmtId="9" fontId="37" fillId="14" borderId="106" xfId="3" applyFont="1" applyFill="1" applyBorder="1" applyAlignment="1">
      <alignment horizontal="center" vertical="top"/>
    </xf>
    <xf numFmtId="9" fontId="37" fillId="14" borderId="110" xfId="3" applyFont="1" applyFill="1" applyBorder="1" applyAlignment="1">
      <alignment horizontal="center" vertical="top"/>
    </xf>
    <xf numFmtId="9" fontId="37" fillId="0" borderId="106" xfId="3" applyFont="1" applyBorder="1" applyAlignment="1">
      <alignment horizontal="center" vertical="top"/>
    </xf>
    <xf numFmtId="9" fontId="37" fillId="0" borderId="110" xfId="3" applyFont="1" applyBorder="1" applyAlignment="1">
      <alignment horizontal="center" vertical="top"/>
    </xf>
    <xf numFmtId="9" fontId="37" fillId="14" borderId="11" xfId="3" applyFont="1" applyFill="1" applyBorder="1" applyAlignment="1">
      <alignment horizontal="center" vertical="top"/>
    </xf>
    <xf numFmtId="9" fontId="37" fillId="14" borderId="42" xfId="3" applyFont="1" applyFill="1" applyBorder="1" applyAlignment="1">
      <alignment horizontal="center" vertical="top"/>
    </xf>
    <xf numFmtId="9" fontId="47" fillId="0" borderId="80" xfId="3" applyFont="1" applyBorder="1" applyAlignment="1">
      <alignment horizontal="center" vertical="top"/>
    </xf>
    <xf numFmtId="9" fontId="47" fillId="0" borderId="88" xfId="3" applyFont="1" applyBorder="1" applyAlignment="1">
      <alignment horizontal="center" vertical="top"/>
    </xf>
    <xf numFmtId="9" fontId="47" fillId="0" borderId="79" xfId="3" applyFont="1" applyBorder="1" applyAlignment="1">
      <alignment horizontal="center" vertical="top"/>
    </xf>
    <xf numFmtId="9" fontId="47" fillId="0" borderId="87" xfId="3" applyFont="1" applyBorder="1" applyAlignment="1">
      <alignment horizontal="center" vertical="top"/>
    </xf>
    <xf numFmtId="0" fontId="38" fillId="13" borderId="7" xfId="0" applyFont="1" applyFill="1" applyBorder="1" applyAlignment="1">
      <alignment horizontal="center" vertical="top"/>
    </xf>
    <xf numFmtId="0" fontId="154" fillId="3" borderId="6" xfId="0" applyFont="1" applyFill="1" applyBorder="1" applyAlignment="1">
      <alignment horizontal="center" vertical="top"/>
    </xf>
    <xf numFmtId="0" fontId="154" fillId="3" borderId="8" xfId="0" applyFont="1" applyFill="1" applyBorder="1" applyAlignment="1">
      <alignment horizontal="center" vertical="top"/>
    </xf>
    <xf numFmtId="0" fontId="38" fillId="3" borderId="6" xfId="0" applyFont="1" applyFill="1" applyBorder="1" applyAlignment="1">
      <alignment horizontal="center" vertical="top"/>
    </xf>
    <xf numFmtId="0" fontId="38" fillId="3" borderId="75" xfId="0" applyFont="1" applyFill="1" applyBorder="1" applyAlignment="1">
      <alignment horizontal="center" vertical="top"/>
    </xf>
    <xf numFmtId="9" fontId="47" fillId="14" borderId="12" xfId="3" applyFont="1" applyFill="1" applyBorder="1" applyAlignment="1">
      <alignment horizontal="center" vertical="top"/>
    </xf>
    <xf numFmtId="9" fontId="47" fillId="14" borderId="10" xfId="3" applyFont="1" applyFill="1" applyBorder="1" applyAlignment="1">
      <alignment horizontal="center" vertical="top"/>
    </xf>
    <xf numFmtId="9" fontId="47" fillId="0" borderId="12" xfId="3" applyFont="1" applyBorder="1" applyAlignment="1">
      <alignment horizontal="center" vertical="top"/>
    </xf>
    <xf numFmtId="9" fontId="47" fillId="0" borderId="10" xfId="3" applyFont="1" applyBorder="1" applyAlignment="1">
      <alignment horizontal="center" vertical="top"/>
    </xf>
    <xf numFmtId="164" fontId="37" fillId="0" borderId="79" xfId="3" applyNumberFormat="1" applyFont="1" applyBorder="1" applyAlignment="1">
      <alignment horizontal="center" vertical="top"/>
    </xf>
    <xf numFmtId="164" fontId="37" fillId="0" borderId="41" xfId="3" applyNumberFormat="1" applyFont="1" applyBorder="1" applyAlignment="1">
      <alignment horizontal="center" vertical="top"/>
    </xf>
    <xf numFmtId="164" fontId="37" fillId="0" borderId="11" xfId="3" applyNumberFormat="1" applyFont="1" applyBorder="1" applyAlignment="1">
      <alignment horizontal="center" vertical="top"/>
    </xf>
    <xf numFmtId="164" fontId="37" fillId="0" borderId="42" xfId="3" applyNumberFormat="1" applyFont="1" applyBorder="1" applyAlignment="1">
      <alignment horizontal="center" vertical="top"/>
    </xf>
    <xf numFmtId="164" fontId="37" fillId="0" borderId="112" xfId="3" applyNumberFormat="1" applyFont="1" applyBorder="1" applyAlignment="1">
      <alignment horizontal="center" vertical="top"/>
    </xf>
    <xf numFmtId="164" fontId="37" fillId="0" borderId="114" xfId="3" applyNumberFormat="1" applyFont="1" applyBorder="1" applyAlignment="1">
      <alignment horizontal="center" vertical="top"/>
    </xf>
    <xf numFmtId="164" fontId="37" fillId="14" borderId="106" xfId="3" applyNumberFormat="1" applyFont="1" applyFill="1" applyBorder="1" applyAlignment="1">
      <alignment horizontal="center" vertical="top"/>
    </xf>
    <xf numFmtId="164" fontId="37" fillId="14" borderId="110" xfId="3" applyNumberFormat="1" applyFont="1" applyFill="1" applyBorder="1" applyAlignment="1">
      <alignment horizontal="center" vertical="top"/>
    </xf>
    <xf numFmtId="164" fontId="37" fillId="0" borderId="106" xfId="3" applyNumberFormat="1" applyFont="1" applyBorder="1" applyAlignment="1">
      <alignment horizontal="center" vertical="top"/>
    </xf>
    <xf numFmtId="164" fontId="37" fillId="0" borderId="110" xfId="3" applyNumberFormat="1" applyFont="1" applyBorder="1" applyAlignment="1">
      <alignment horizontal="center" vertical="top"/>
    </xf>
    <xf numFmtId="164" fontId="37" fillId="14" borderId="11" xfId="3" applyNumberFormat="1" applyFont="1" applyFill="1" applyBorder="1" applyAlignment="1">
      <alignment horizontal="center" vertical="top"/>
    </xf>
    <xf numFmtId="164" fontId="37" fillId="14" borderId="42" xfId="3" applyNumberFormat="1" applyFont="1" applyFill="1" applyBorder="1" applyAlignment="1">
      <alignment horizontal="center" vertical="top"/>
    </xf>
    <xf numFmtId="164" fontId="37" fillId="0" borderId="13" xfId="3" applyNumberFormat="1" applyFont="1" applyBorder="1" applyAlignment="1">
      <alignment horizontal="center" vertical="top"/>
    </xf>
    <xf numFmtId="164" fontId="37" fillId="0" borderId="101" xfId="3" applyNumberFormat="1" applyFont="1" applyBorder="1" applyAlignment="1">
      <alignment horizontal="center" vertical="top"/>
    </xf>
    <xf numFmtId="0" fontId="47" fillId="0" borderId="0" xfId="0" quotePrefix="1" applyFont="1" applyFill="1" applyAlignment="1">
      <alignment horizontal="left" vertical="top" wrapText="1" indent="1"/>
    </xf>
    <xf numFmtId="0" fontId="47" fillId="0" borderId="0" xfId="0" applyFont="1" applyFill="1" applyAlignment="1">
      <alignment horizontal="left" vertical="top" wrapText="1" indent="1"/>
    </xf>
    <xf numFmtId="164" fontId="47" fillId="14" borderId="12" xfId="3" applyNumberFormat="1" applyFont="1" applyFill="1" applyBorder="1" applyAlignment="1">
      <alignment horizontal="center" vertical="top"/>
    </xf>
    <xf numFmtId="164" fontId="47" fillId="14" borderId="10" xfId="3" applyNumberFormat="1" applyFont="1" applyFill="1" applyBorder="1" applyAlignment="1">
      <alignment horizontal="center" vertical="top"/>
    </xf>
    <xf numFmtId="164" fontId="47" fillId="0" borderId="80" xfId="3" applyNumberFormat="1" applyFont="1" applyBorder="1" applyAlignment="1">
      <alignment horizontal="center" vertical="top"/>
    </xf>
    <xf numFmtId="164" fontId="47" fillId="0" borderId="88" xfId="3" applyNumberFormat="1" applyFont="1" applyBorder="1" applyAlignment="1">
      <alignment horizontal="center" vertical="top"/>
    </xf>
    <xf numFmtId="164" fontId="47" fillId="0" borderId="79" xfId="3" applyNumberFormat="1" applyFont="1" applyBorder="1" applyAlignment="1">
      <alignment horizontal="center" vertical="top"/>
    </xf>
    <xf numFmtId="164" fontId="47" fillId="0" borderId="87" xfId="3" applyNumberFormat="1" applyFont="1" applyBorder="1" applyAlignment="1">
      <alignment horizontal="center" vertical="top"/>
    </xf>
    <xf numFmtId="164" fontId="47" fillId="0" borderId="11" xfId="3" applyNumberFormat="1" applyFont="1" applyBorder="1" applyAlignment="1">
      <alignment horizontal="center" vertical="top"/>
    </xf>
    <xf numFmtId="164" fontId="47" fillId="0" borderId="15" xfId="3" applyNumberFormat="1" applyFont="1" applyBorder="1" applyAlignment="1">
      <alignment horizontal="center" vertical="top"/>
    </xf>
    <xf numFmtId="164" fontId="47" fillId="0" borderId="13" xfId="3" applyNumberFormat="1" applyFont="1" applyBorder="1" applyAlignment="1">
      <alignment horizontal="center" vertical="top"/>
    </xf>
    <xf numFmtId="164" fontId="47" fillId="0" borderId="9" xfId="3" applyNumberFormat="1" applyFont="1" applyBorder="1" applyAlignment="1">
      <alignment horizontal="center" vertical="top"/>
    </xf>
    <xf numFmtId="164" fontId="47" fillId="0" borderId="12" xfId="3" applyNumberFormat="1" applyFont="1" applyBorder="1" applyAlignment="1">
      <alignment horizontal="center" vertical="top"/>
    </xf>
    <xf numFmtId="164" fontId="47" fillId="0" borderId="10" xfId="3" applyNumberFormat="1" applyFont="1" applyBorder="1" applyAlignment="1">
      <alignment horizontal="center" vertical="top"/>
    </xf>
    <xf numFmtId="164" fontId="47" fillId="0" borderId="112" xfId="3" applyNumberFormat="1" applyFont="1" applyBorder="1" applyAlignment="1">
      <alignment horizontal="center" vertical="top"/>
    </xf>
    <xf numFmtId="164" fontId="47" fillId="0" borderId="113" xfId="3" applyNumberFormat="1" applyFont="1" applyBorder="1" applyAlignment="1">
      <alignment horizontal="center" vertical="top"/>
    </xf>
    <xf numFmtId="164" fontId="47" fillId="14" borderId="106" xfId="3" applyNumberFormat="1" applyFont="1" applyFill="1" applyBorder="1" applyAlignment="1">
      <alignment horizontal="center" vertical="top"/>
    </xf>
    <xf numFmtId="164" fontId="47" fillId="14" borderId="109" xfId="3" applyNumberFormat="1" applyFont="1" applyFill="1" applyBorder="1" applyAlignment="1">
      <alignment horizontal="center" vertical="top"/>
    </xf>
    <xf numFmtId="164" fontId="47" fillId="0" borderId="106" xfId="3" applyNumberFormat="1" applyFont="1" applyBorder="1" applyAlignment="1">
      <alignment horizontal="center" vertical="top"/>
    </xf>
    <xf numFmtId="164" fontId="47" fillId="0" borderId="109" xfId="3" applyNumberFormat="1" applyFont="1" applyBorder="1" applyAlignment="1">
      <alignment horizontal="center" vertical="top"/>
    </xf>
    <xf numFmtId="0" fontId="37" fillId="0" borderId="0" xfId="0" quotePrefix="1" applyNumberFormat="1" applyFont="1" applyBorder="1" applyAlignment="1">
      <alignment horizontal="left" vertical="top" wrapText="1" indent="1"/>
    </xf>
    <xf numFmtId="164" fontId="47" fillId="14" borderId="11" xfId="3" applyNumberFormat="1" applyFont="1" applyFill="1" applyBorder="1" applyAlignment="1">
      <alignment horizontal="center" vertical="top"/>
    </xf>
    <xf numFmtId="164" fontId="47" fillId="14" borderId="15" xfId="3" applyNumberFormat="1" applyFont="1" applyFill="1" applyBorder="1" applyAlignment="1">
      <alignment horizontal="center" vertical="top"/>
    </xf>
    <xf numFmtId="164" fontId="37" fillId="14" borderId="12" xfId="3" applyNumberFormat="1" applyFont="1" applyFill="1" applyBorder="1" applyAlignment="1">
      <alignment horizontal="center" vertical="top"/>
    </xf>
    <xf numFmtId="164" fontId="37" fillId="14" borderId="100" xfId="3" applyNumberFormat="1" applyFont="1" applyFill="1" applyBorder="1" applyAlignment="1">
      <alignment horizontal="center" vertical="top"/>
    </xf>
    <xf numFmtId="164" fontId="37" fillId="0" borderId="80" xfId="3" applyNumberFormat="1" applyFont="1" applyBorder="1" applyAlignment="1">
      <alignment horizontal="center" vertical="top"/>
    </xf>
    <xf numFmtId="164" fontId="37" fillId="0" borderId="43" xfId="3" applyNumberFormat="1" applyFont="1" applyBorder="1" applyAlignment="1">
      <alignment horizontal="center" vertical="top"/>
    </xf>
    <xf numFmtId="164" fontId="37" fillId="0" borderId="12" xfId="3" applyNumberFormat="1" applyFont="1" applyBorder="1" applyAlignment="1">
      <alignment horizontal="center" vertical="top"/>
    </xf>
    <xf numFmtId="164" fontId="37" fillId="0" borderId="100" xfId="3" applyNumberFormat="1" applyFont="1" applyBorder="1" applyAlignment="1">
      <alignment horizontal="center" vertical="top"/>
    </xf>
    <xf numFmtId="0" fontId="48" fillId="0" borderId="0" xfId="0" applyFont="1" applyAlignment="1">
      <alignment vertical="top" wrapText="1"/>
    </xf>
    <xf numFmtId="0" fontId="132" fillId="0" borderId="35" xfId="0" applyNumberFormat="1" applyFont="1" applyBorder="1" applyAlignment="1">
      <alignment horizontal="left" vertical="top" wrapText="1"/>
    </xf>
    <xf numFmtId="0" fontId="132" fillId="0" borderId="0" xfId="0" applyNumberFormat="1" applyFont="1" applyBorder="1" applyAlignment="1">
      <alignment horizontal="left" vertical="top" wrapText="1"/>
    </xf>
    <xf numFmtId="0" fontId="132" fillId="0" borderId="0" xfId="0" applyFont="1" applyBorder="1" applyAlignment="1">
      <alignment vertical="top" wrapText="1"/>
    </xf>
    <xf numFmtId="0" fontId="7" fillId="0" borderId="5" xfId="1" applyFont="1" applyBorder="1" applyAlignment="1" applyProtection="1">
      <alignment vertical="top" wrapText="1"/>
    </xf>
    <xf numFmtId="0" fontId="7" fillId="0" borderId="0" xfId="1" applyFont="1" applyBorder="1" applyAlignment="1" applyProtection="1">
      <alignment vertical="top" wrapText="1"/>
    </xf>
    <xf numFmtId="0" fontId="7" fillId="0" borderId="0" xfId="1" quotePrefix="1" applyFont="1" applyBorder="1" applyAlignment="1" applyProtection="1">
      <alignment horizontal="left" vertical="top" wrapText="1" indent="1"/>
    </xf>
    <xf numFmtId="0" fontId="8" fillId="0" borderId="0" xfId="1" quotePrefix="1" applyFont="1" applyBorder="1" applyAlignment="1" applyProtection="1">
      <alignment horizontal="left" vertical="top" wrapText="1" indent="1"/>
    </xf>
    <xf numFmtId="0" fontId="8" fillId="0" borderId="0" xfId="1" applyFont="1" applyBorder="1" applyAlignment="1" applyProtection="1">
      <alignment vertical="top" wrapText="1"/>
    </xf>
    <xf numFmtId="0" fontId="41" fillId="0" borderId="0" xfId="0" applyFont="1" applyAlignment="1">
      <alignment vertical="top" wrapText="1"/>
    </xf>
    <xf numFmtId="0" fontId="41" fillId="0" borderId="0" xfId="0" quotePrefix="1" applyFont="1" applyAlignment="1">
      <alignment horizontal="left" vertical="top" wrapText="1"/>
    </xf>
    <xf numFmtId="0" fontId="79" fillId="0" borderId="0" xfId="0" applyFont="1" applyAlignment="1">
      <alignment vertical="top" wrapText="1"/>
    </xf>
    <xf numFmtId="0" fontId="37" fillId="0" borderId="0" xfId="0" applyNumberFormat="1" applyFont="1" applyBorder="1" applyAlignment="1">
      <alignment horizontal="left" vertical="top" wrapText="1" indent="1"/>
    </xf>
    <xf numFmtId="0" fontId="41" fillId="0" borderId="0" xfId="0" applyNumberFormat="1" applyFont="1" applyAlignment="1">
      <alignment horizontal="left" vertical="top" wrapText="1" indent="2"/>
    </xf>
    <xf numFmtId="0" fontId="37" fillId="0" borderId="5" xfId="0" applyNumberFormat="1" applyFont="1" applyBorder="1" applyAlignment="1">
      <alignment horizontal="left" vertical="top" wrapText="1"/>
    </xf>
    <xf numFmtId="0" fontId="37" fillId="0" borderId="0" xfId="0" applyNumberFormat="1" applyFont="1" applyBorder="1" applyAlignment="1">
      <alignment horizontal="left" vertical="top" wrapText="1"/>
    </xf>
    <xf numFmtId="0" fontId="48" fillId="0" borderId="11" xfId="1" applyFont="1" applyBorder="1" applyAlignment="1" applyProtection="1">
      <alignment vertical="top" wrapText="1"/>
    </xf>
    <xf numFmtId="0" fontId="48" fillId="0" borderId="0" xfId="1" applyFont="1" applyBorder="1" applyAlignment="1" applyProtection="1">
      <alignment vertical="top" wrapText="1"/>
    </xf>
    <xf numFmtId="0" fontId="38" fillId="6" borderId="6" xfId="0" applyFont="1" applyFill="1" applyBorder="1" applyAlignment="1">
      <alignment horizontal="center" vertical="top"/>
    </xf>
    <xf numFmtId="0" fontId="38" fillId="6" borderId="7" xfId="0" applyFont="1" applyFill="1" applyBorder="1" applyAlignment="1">
      <alignment horizontal="center" vertical="top"/>
    </xf>
    <xf numFmtId="0" fontId="38" fillId="6" borderId="8" xfId="0" applyFont="1" applyFill="1" applyBorder="1" applyAlignment="1">
      <alignment horizontal="center" vertical="top"/>
    </xf>
    <xf numFmtId="0" fontId="47" fillId="0" borderId="0" xfId="1" applyFont="1" applyAlignment="1" applyProtection="1">
      <alignment wrapText="1"/>
    </xf>
    <xf numFmtId="0" fontId="172" fillId="0" borderId="0" xfId="1" applyFont="1" applyAlignment="1" applyProtection="1">
      <alignment horizontal="left" vertical="top" wrapText="1"/>
    </xf>
    <xf numFmtId="0" fontId="47" fillId="0" borderId="0" xfId="0" applyFont="1" applyAlignment="1">
      <alignment vertical="top" wrapText="1"/>
    </xf>
    <xf numFmtId="0" fontId="132" fillId="0" borderId="36" xfId="1" applyFont="1" applyBorder="1" applyAlignment="1" applyProtection="1">
      <alignment horizontal="left" vertical="top" wrapText="1"/>
    </xf>
    <xf numFmtId="0" fontId="132" fillId="0" borderId="42" xfId="1" applyFont="1" applyBorder="1" applyAlignment="1" applyProtection="1">
      <alignment horizontal="left" vertical="top" wrapText="1"/>
    </xf>
    <xf numFmtId="0" fontId="41" fillId="0" borderId="0" xfId="1" applyFont="1" applyAlignment="1" applyProtection="1">
      <alignment horizontal="left" vertical="top" wrapText="1" indent="1"/>
    </xf>
    <xf numFmtId="0" fontId="41" fillId="0" borderId="0" xfId="1" quotePrefix="1" applyFont="1" applyAlignment="1" applyProtection="1">
      <alignment horizontal="left" vertical="top" wrapText="1"/>
    </xf>
    <xf numFmtId="0" fontId="132" fillId="0" borderId="0" xfId="1" quotePrefix="1" applyFont="1" applyAlignment="1" applyProtection="1">
      <alignment horizontal="left" vertical="top" wrapText="1"/>
    </xf>
    <xf numFmtId="0" fontId="132" fillId="0" borderId="0" xfId="0" applyNumberFormat="1" applyFont="1" applyBorder="1" applyAlignment="1">
      <alignment horizontal="left" vertical="top" wrapText="1" indent="1"/>
    </xf>
    <xf numFmtId="0" fontId="62" fillId="0" borderId="36" xfId="0" applyNumberFormat="1" applyFont="1" applyBorder="1" applyAlignment="1">
      <alignment horizontal="left" vertical="top" wrapText="1"/>
    </xf>
    <xf numFmtId="0" fontId="62" fillId="0" borderId="0" xfId="0" applyNumberFormat="1" applyFont="1" applyBorder="1" applyAlignment="1">
      <alignment horizontal="left" vertical="top" wrapText="1"/>
    </xf>
    <xf numFmtId="0" fontId="62" fillId="0" borderId="42" xfId="0" applyNumberFormat="1" applyFont="1" applyBorder="1" applyAlignment="1">
      <alignment horizontal="left" vertical="top" wrapText="1"/>
    </xf>
    <xf numFmtId="0" fontId="41" fillId="0" borderId="36" xfId="0" quotePrefix="1" applyFont="1" applyBorder="1" applyAlignment="1">
      <alignment horizontal="left" vertical="top" wrapText="1"/>
    </xf>
    <xf numFmtId="0" fontId="41" fillId="0" borderId="0" xfId="0" quotePrefix="1" applyFont="1" applyBorder="1" applyAlignment="1">
      <alignment horizontal="left" vertical="top" wrapText="1"/>
    </xf>
    <xf numFmtId="0" fontId="41" fillId="0" borderId="42" xfId="0" quotePrefix="1" applyFont="1" applyBorder="1" applyAlignment="1">
      <alignment horizontal="left" vertical="top" wrapText="1"/>
    </xf>
    <xf numFmtId="0" fontId="41" fillId="0" borderId="37" xfId="0" quotePrefix="1" applyFont="1" applyBorder="1" applyAlignment="1">
      <alignment horizontal="left" vertical="top" wrapText="1"/>
    </xf>
    <xf numFmtId="0" fontId="41" fillId="0" borderId="38" xfId="0" quotePrefix="1" applyFont="1" applyBorder="1" applyAlignment="1">
      <alignment horizontal="left" vertical="top" wrapText="1"/>
    </xf>
    <xf numFmtId="0" fontId="41" fillId="0" borderId="43" xfId="0" quotePrefix="1" applyFont="1" applyBorder="1" applyAlignment="1">
      <alignment horizontal="left" vertical="top" wrapText="1"/>
    </xf>
    <xf numFmtId="0" fontId="41" fillId="0" borderId="0" xfId="0" applyNumberFormat="1" applyFont="1" applyBorder="1" applyAlignment="1">
      <alignment horizontal="left" vertical="top" wrapText="1" indent="1"/>
    </xf>
    <xf numFmtId="0" fontId="132" fillId="0" borderId="36" xfId="0" applyFont="1" applyBorder="1" applyAlignment="1">
      <alignment horizontal="left" vertical="top" wrapText="1"/>
    </xf>
    <xf numFmtId="0" fontId="131" fillId="0" borderId="0" xfId="0" applyFont="1" applyAlignment="1">
      <alignment horizontal="left" vertical="top" wrapText="1"/>
    </xf>
    <xf numFmtId="0" fontId="132" fillId="0" borderId="0" xfId="0" quotePrefix="1" applyFont="1" applyAlignment="1">
      <alignment horizontal="left" vertical="top" wrapText="1" indent="1"/>
    </xf>
    <xf numFmtId="0" fontId="170" fillId="0" borderId="0" xfId="1" applyFont="1" applyAlignment="1" applyProtection="1">
      <alignment horizontal="left" wrapText="1"/>
    </xf>
    <xf numFmtId="0" fontId="132" fillId="0" borderId="42" xfId="0" applyFont="1" applyBorder="1" applyAlignment="1">
      <alignment horizontal="left" vertical="top" wrapText="1"/>
    </xf>
    <xf numFmtId="0" fontId="132" fillId="0" borderId="37" xfId="0" applyFont="1" applyBorder="1" applyAlignment="1">
      <alignment horizontal="left" vertical="top" wrapText="1"/>
    </xf>
    <xf numFmtId="0" fontId="132" fillId="0" borderId="43" xfId="0" applyFont="1" applyBorder="1" applyAlignment="1">
      <alignment horizontal="left" vertical="top" wrapText="1"/>
    </xf>
    <xf numFmtId="0" fontId="79" fillId="0" borderId="0" xfId="0" applyFont="1" applyAlignment="1">
      <alignment horizontal="left" vertical="top" wrapText="1"/>
    </xf>
    <xf numFmtId="0" fontId="41" fillId="0" borderId="34" xfId="0" applyFont="1" applyBorder="1" applyAlignment="1">
      <alignment vertical="top" wrapText="1"/>
    </xf>
    <xf numFmtId="0" fontId="41" fillId="0" borderId="35" xfId="0" applyFont="1" applyBorder="1" applyAlignment="1">
      <alignment vertical="top" wrapText="1"/>
    </xf>
    <xf numFmtId="0" fontId="41" fillId="0" borderId="41" xfId="0" applyFont="1" applyBorder="1" applyAlignment="1">
      <alignment vertical="top" wrapText="1"/>
    </xf>
    <xf numFmtId="0" fontId="41" fillId="0" borderId="36" xfId="0" applyFont="1" applyBorder="1" applyAlignment="1">
      <alignment vertical="top" wrapText="1"/>
    </xf>
    <xf numFmtId="0" fontId="41" fillId="0" borderId="0" xfId="0" applyFont="1" applyBorder="1" applyAlignment="1">
      <alignment vertical="top" wrapText="1"/>
    </xf>
    <xf numFmtId="0" fontId="41" fillId="0" borderId="42" xfId="0" applyFont="1" applyBorder="1" applyAlignment="1">
      <alignment vertical="top" wrapText="1"/>
    </xf>
    <xf numFmtId="0" fontId="41" fillId="0" borderId="37" xfId="0" applyFont="1" applyBorder="1" applyAlignment="1">
      <alignment vertical="top" wrapText="1"/>
    </xf>
    <xf numFmtId="0" fontId="41" fillId="0" borderId="38" xfId="0" applyFont="1" applyBorder="1" applyAlignment="1">
      <alignment vertical="top" wrapText="1"/>
    </xf>
    <xf numFmtId="0" fontId="41" fillId="0" borderId="43" xfId="0" applyFont="1" applyBorder="1" applyAlignment="1">
      <alignment vertical="top" wrapText="1"/>
    </xf>
    <xf numFmtId="0" fontId="47" fillId="0" borderId="38" xfId="0" applyFont="1" applyBorder="1" applyAlignment="1">
      <alignment horizontal="left" vertical="top" wrapText="1"/>
    </xf>
    <xf numFmtId="0" fontId="37" fillId="0" borderId="5" xfId="0" applyFont="1" applyBorder="1" applyAlignment="1">
      <alignment horizontal="left" vertical="top" wrapText="1"/>
    </xf>
    <xf numFmtId="0" fontId="47" fillId="0" borderId="5" xfId="0" applyFont="1" applyBorder="1" applyAlignment="1">
      <alignment horizontal="center" vertical="center"/>
    </xf>
    <xf numFmtId="0" fontId="47" fillId="0" borderId="14" xfId="0" applyFont="1" applyBorder="1" applyAlignment="1">
      <alignment horizontal="center" vertical="center"/>
    </xf>
    <xf numFmtId="0" fontId="38" fillId="0" borderId="38" xfId="0" applyFont="1" applyBorder="1" applyAlignment="1">
      <alignment horizontal="center" vertical="top"/>
    </xf>
    <xf numFmtId="0" fontId="41" fillId="0" borderId="34" xfId="0" quotePrefix="1" applyNumberFormat="1" applyFont="1" applyBorder="1" applyAlignment="1">
      <alignment horizontal="left" vertical="top" wrapText="1"/>
    </xf>
    <xf numFmtId="0" fontId="41" fillId="0" borderId="35" xfId="0" quotePrefix="1" applyNumberFormat="1" applyFont="1" applyBorder="1" applyAlignment="1">
      <alignment horizontal="left" vertical="top" wrapText="1"/>
    </xf>
    <xf numFmtId="0" fontId="41" fillId="0" borderId="41" xfId="0" quotePrefix="1" applyNumberFormat="1" applyFont="1" applyBorder="1" applyAlignment="1">
      <alignment horizontal="left" vertical="top" wrapText="1"/>
    </xf>
    <xf numFmtId="0" fontId="41" fillId="0" borderId="36" xfId="0" quotePrefix="1" applyNumberFormat="1" applyFont="1" applyBorder="1" applyAlignment="1">
      <alignment horizontal="left" vertical="top" wrapText="1"/>
    </xf>
    <xf numFmtId="0" fontId="41" fillId="0" borderId="0" xfId="0" quotePrefix="1" applyNumberFormat="1" applyFont="1" applyBorder="1" applyAlignment="1">
      <alignment horizontal="left" vertical="top" wrapText="1"/>
    </xf>
    <xf numFmtId="0" fontId="41" fillId="0" borderId="42" xfId="0" quotePrefix="1" applyNumberFormat="1" applyFont="1" applyBorder="1" applyAlignment="1">
      <alignment horizontal="left" vertical="top" wrapText="1"/>
    </xf>
    <xf numFmtId="0" fontId="47" fillId="0" borderId="0" xfId="0" applyNumberFormat="1" applyFont="1" applyAlignment="1">
      <alignment horizontal="left" vertical="top" wrapText="1"/>
    </xf>
    <xf numFmtId="0" fontId="37" fillId="0" borderId="0" xfId="0" quotePrefix="1" applyFont="1" applyAlignment="1">
      <alignment horizontal="left" vertical="top" wrapText="1"/>
    </xf>
    <xf numFmtId="0" fontId="37" fillId="0" borderId="0" xfId="0" quotePrefix="1" applyFont="1" applyAlignment="1">
      <alignment vertical="top" wrapText="1"/>
    </xf>
    <xf numFmtId="0" fontId="37" fillId="0" borderId="0" xfId="0" quotePrefix="1" applyFont="1" applyBorder="1" applyAlignment="1">
      <alignment vertical="top" wrapText="1"/>
    </xf>
    <xf numFmtId="0" fontId="37" fillId="0" borderId="35" xfId="0" applyNumberFormat="1" applyFont="1" applyBorder="1" applyAlignment="1">
      <alignment horizontal="left" vertical="top" wrapText="1"/>
    </xf>
    <xf numFmtId="0" fontId="37" fillId="0" borderId="38" xfId="0" applyNumberFormat="1" applyFont="1" applyBorder="1" applyAlignment="1">
      <alignment horizontal="left" vertical="top" wrapText="1"/>
    </xf>
    <xf numFmtId="0" fontId="37" fillId="0" borderId="0" xfId="0" quotePrefix="1" applyFont="1" applyFill="1" applyAlignment="1">
      <alignment horizontal="left" vertical="top" wrapText="1"/>
    </xf>
    <xf numFmtId="0" fontId="37" fillId="0" borderId="35" xfId="0" quotePrefix="1" applyFont="1" applyBorder="1" applyAlignment="1">
      <alignment horizontal="left" vertical="top" wrapText="1" indent="1"/>
    </xf>
    <xf numFmtId="0" fontId="37" fillId="0" borderId="38" xfId="0" quotePrefix="1" applyFont="1" applyBorder="1" applyAlignment="1">
      <alignment horizontal="left" vertical="top" wrapText="1" indent="1"/>
    </xf>
    <xf numFmtId="0" fontId="147" fillId="0" borderId="5" xfId="0" applyFont="1" applyBorder="1" applyAlignment="1">
      <alignment horizontal="left" vertical="top" wrapText="1"/>
    </xf>
    <xf numFmtId="0" fontId="38" fillId="0" borderId="35" xfId="0" quotePrefix="1" applyFont="1" applyBorder="1" applyAlignment="1">
      <alignment horizontal="left" vertical="top" wrapText="1" indent="1"/>
    </xf>
    <xf numFmtId="0" fontId="38" fillId="0" borderId="38" xfId="0" quotePrefix="1" applyFont="1" applyBorder="1" applyAlignment="1">
      <alignment horizontal="left" vertical="top" wrapText="1" indent="1"/>
    </xf>
    <xf numFmtId="0" fontId="72" fillId="0" borderId="35" xfId="0" applyFont="1" applyBorder="1" applyAlignment="1">
      <alignment horizontal="left" vertical="top" wrapText="1"/>
    </xf>
    <xf numFmtId="0" fontId="72" fillId="0" borderId="0" xfId="0" applyFont="1" applyBorder="1" applyAlignment="1">
      <alignment horizontal="left" vertical="top" wrapText="1"/>
    </xf>
    <xf numFmtId="0" fontId="53" fillId="14" borderId="12" xfId="0" applyFont="1" applyFill="1" applyBorder="1" applyAlignment="1">
      <alignment horizontal="left" vertical="top" wrapText="1"/>
    </xf>
    <xf numFmtId="0" fontId="53" fillId="14" borderId="11" xfId="0" applyFont="1" applyFill="1" applyBorder="1" applyAlignment="1">
      <alignment horizontal="left" vertical="top" wrapText="1"/>
    </xf>
    <xf numFmtId="0" fontId="53" fillId="14" borderId="12" xfId="0" applyFont="1" applyFill="1" applyBorder="1" applyAlignment="1">
      <alignment vertical="top" wrapText="1"/>
    </xf>
    <xf numFmtId="0" fontId="53" fillId="14" borderId="11" xfId="0" applyFont="1" applyFill="1" applyBorder="1" applyAlignment="1">
      <alignment vertical="top" wrapText="1"/>
    </xf>
    <xf numFmtId="0" fontId="37" fillId="0" borderId="0" xfId="1" applyFont="1" applyBorder="1" applyAlignment="1" applyProtection="1">
      <alignment horizontal="left" vertical="top" wrapText="1"/>
    </xf>
    <xf numFmtId="0" fontId="0" fillId="0" borderId="0" xfId="0"/>
    <xf numFmtId="0" fontId="6" fillId="0" borderId="36" xfId="1" quotePrefix="1" applyFont="1" applyBorder="1" applyAlignment="1" applyProtection="1">
      <alignment horizontal="left" vertical="top" wrapText="1" indent="1"/>
    </xf>
    <xf numFmtId="0" fontId="6" fillId="0" borderId="0" xfId="1" quotePrefix="1" applyFont="1" applyBorder="1" applyAlignment="1" applyProtection="1">
      <alignment horizontal="left" vertical="top" wrapText="1" indent="1"/>
    </xf>
    <xf numFmtId="0" fontId="6" fillId="0" borderId="42" xfId="1" quotePrefix="1" applyFont="1" applyBorder="1" applyAlignment="1" applyProtection="1">
      <alignment horizontal="left" vertical="top" wrapText="1" indent="1"/>
    </xf>
    <xf numFmtId="0" fontId="6" fillId="0" borderId="36" xfId="1" applyFont="1" applyBorder="1" applyAlignment="1" applyProtection="1">
      <alignment horizontal="left" vertical="top" wrapText="1" indent="1"/>
    </xf>
    <xf numFmtId="0" fontId="6" fillId="0" borderId="0" xfId="1" applyFont="1" applyBorder="1" applyAlignment="1" applyProtection="1">
      <alignment horizontal="left" vertical="top" wrapText="1" indent="1"/>
    </xf>
    <xf numFmtId="0" fontId="6" fillId="0" borderId="42" xfId="1" applyFont="1" applyBorder="1" applyAlignment="1" applyProtection="1">
      <alignment horizontal="left" vertical="top" wrapText="1" indent="1"/>
    </xf>
    <xf numFmtId="0" fontId="132" fillId="0" borderId="38" xfId="0" applyFont="1" applyFill="1" applyBorder="1" applyAlignment="1">
      <alignment horizontal="left" vertical="top" wrapText="1"/>
    </xf>
    <xf numFmtId="0" fontId="6" fillId="0" borderId="34" xfId="1" applyFont="1" applyBorder="1" applyAlignment="1" applyProtection="1">
      <alignment horizontal="left" vertical="top" wrapText="1"/>
    </xf>
    <xf numFmtId="0" fontId="6" fillId="0" borderId="35" xfId="1" applyFont="1" applyBorder="1" applyAlignment="1" applyProtection="1">
      <alignment horizontal="left" vertical="top" wrapText="1"/>
    </xf>
    <xf numFmtId="0" fontId="6" fillId="0" borderId="41" xfId="1" applyFont="1" applyBorder="1" applyAlignment="1" applyProtection="1">
      <alignment horizontal="left" vertical="top" wrapText="1"/>
    </xf>
    <xf numFmtId="0" fontId="6" fillId="0" borderId="36" xfId="1" applyFont="1" applyBorder="1" applyAlignment="1" applyProtection="1">
      <alignment horizontal="left" vertical="top" wrapText="1"/>
    </xf>
    <xf numFmtId="0" fontId="6" fillId="0" borderId="0" xfId="1" applyFont="1" applyBorder="1" applyAlignment="1" applyProtection="1">
      <alignment horizontal="left" vertical="top" wrapText="1"/>
    </xf>
    <xf numFmtId="0" fontId="6" fillId="0" borderId="42" xfId="1" applyFont="1" applyBorder="1" applyAlignment="1" applyProtection="1">
      <alignment horizontal="left" vertical="top" wrapText="1"/>
    </xf>
    <xf numFmtId="0" fontId="37" fillId="3" borderId="6" xfId="0" applyFont="1" applyFill="1" applyBorder="1" applyAlignment="1">
      <alignment horizontal="left" vertical="top" wrapText="1"/>
    </xf>
    <xf numFmtId="0" fontId="37" fillId="3" borderId="8" xfId="0" applyFont="1" applyFill="1" applyBorder="1" applyAlignment="1">
      <alignment horizontal="left" vertical="top" wrapText="1"/>
    </xf>
    <xf numFmtId="0" fontId="38" fillId="7" borderId="6" xfId="0" applyFont="1" applyFill="1" applyBorder="1" applyAlignment="1">
      <alignment horizontal="center" vertical="top"/>
    </xf>
    <xf numFmtId="0" fontId="38" fillId="7" borderId="7" xfId="0" applyFont="1" applyFill="1" applyBorder="1" applyAlignment="1">
      <alignment horizontal="center" vertical="top"/>
    </xf>
    <xf numFmtId="0" fontId="38" fillId="7" borderId="8" xfId="0" applyFont="1" applyFill="1" applyBorder="1" applyAlignment="1">
      <alignment horizontal="center" vertical="top"/>
    </xf>
    <xf numFmtId="0" fontId="37" fillId="13" borderId="82" xfId="0" applyFont="1" applyFill="1" applyBorder="1" applyAlignment="1">
      <alignment horizontal="center" vertical="top"/>
    </xf>
    <xf numFmtId="0" fontId="37" fillId="6" borderId="6" xfId="0" applyFont="1" applyFill="1" applyBorder="1" applyAlignment="1">
      <alignment horizontal="center" vertical="top"/>
    </xf>
    <xf numFmtId="0" fontId="37" fillId="6" borderId="8" xfId="0" applyFont="1" applyFill="1" applyBorder="1" applyAlignment="1">
      <alignment horizontal="center" vertical="top"/>
    </xf>
    <xf numFmtId="0" fontId="38" fillId="6" borderId="6" xfId="0" applyFont="1" applyFill="1" applyBorder="1" applyAlignment="1">
      <alignment horizontal="center"/>
    </xf>
    <xf numFmtId="0" fontId="38" fillId="6" borderId="7" xfId="0" applyFont="1" applyFill="1" applyBorder="1" applyAlignment="1">
      <alignment horizontal="center"/>
    </xf>
    <xf numFmtId="0" fontId="38" fillId="6" borderId="8" xfId="0" applyFont="1" applyFill="1" applyBorder="1" applyAlignment="1">
      <alignment horizontal="center"/>
    </xf>
    <xf numFmtId="0" fontId="177" fillId="0" borderId="12" xfId="0" applyFont="1" applyBorder="1" applyAlignment="1">
      <alignment horizontal="left" vertical="center" wrapText="1"/>
    </xf>
    <xf numFmtId="0" fontId="177" fillId="0" borderId="5" xfId="0" applyFont="1" applyBorder="1" applyAlignment="1">
      <alignment horizontal="left" vertical="center" wrapText="1"/>
    </xf>
    <xf numFmtId="0" fontId="177" fillId="0" borderId="10" xfId="0" applyFont="1" applyBorder="1" applyAlignment="1">
      <alignment horizontal="left" vertical="center" wrapText="1"/>
    </xf>
    <xf numFmtId="0" fontId="177" fillId="0" borderId="11" xfId="0" applyFont="1" applyBorder="1" applyAlignment="1">
      <alignment horizontal="left" vertical="center" wrapText="1"/>
    </xf>
    <xf numFmtId="0" fontId="177" fillId="0" borderId="0" xfId="0" applyFont="1" applyBorder="1" applyAlignment="1">
      <alignment horizontal="left" vertical="center" wrapText="1"/>
    </xf>
    <xf numFmtId="0" fontId="177" fillId="0" borderId="15" xfId="0" applyFont="1" applyBorder="1" applyAlignment="1">
      <alignment horizontal="left" vertical="center" wrapText="1"/>
    </xf>
    <xf numFmtId="0" fontId="177" fillId="0" borderId="13" xfId="0" applyFont="1" applyBorder="1" applyAlignment="1">
      <alignment horizontal="left" vertical="center" wrapText="1"/>
    </xf>
    <xf numFmtId="0" fontId="177" fillId="0" borderId="14" xfId="0" applyFont="1" applyBorder="1" applyAlignment="1">
      <alignment horizontal="left" vertical="center" wrapText="1"/>
    </xf>
    <xf numFmtId="0" fontId="177" fillId="0" borderId="9" xfId="0" applyFont="1" applyBorder="1" applyAlignment="1">
      <alignment horizontal="left" vertical="center" wrapText="1"/>
    </xf>
    <xf numFmtId="0" fontId="37" fillId="0" borderId="11" xfId="0" quotePrefix="1" applyFont="1" applyBorder="1" applyAlignment="1">
      <alignment horizontal="left" wrapText="1" indent="1"/>
    </xf>
    <xf numFmtId="0" fontId="37" fillId="0" borderId="0" xfId="0" quotePrefix="1" applyFont="1" applyBorder="1" applyAlignment="1">
      <alignment horizontal="left" wrapText="1" indent="1"/>
    </xf>
    <xf numFmtId="0" fontId="37" fillId="0" borderId="15" xfId="0" quotePrefix="1" applyFont="1" applyBorder="1" applyAlignment="1">
      <alignment horizontal="left" wrapText="1" indent="1"/>
    </xf>
    <xf numFmtId="0" fontId="37" fillId="0" borderId="11" xfId="0" quotePrefix="1" applyFont="1" applyFill="1" applyBorder="1" applyAlignment="1">
      <alignment horizontal="left" wrapText="1" indent="1"/>
    </xf>
    <xf numFmtId="0" fontId="37" fillId="0" borderId="0" xfId="0" quotePrefix="1" applyFont="1" applyFill="1" applyBorder="1" applyAlignment="1">
      <alignment horizontal="left" wrapText="1" indent="1"/>
    </xf>
    <xf numFmtId="0" fontId="37" fillId="0" borderId="15" xfId="0" quotePrefix="1" applyFont="1" applyFill="1" applyBorder="1" applyAlignment="1">
      <alignment horizontal="left" wrapText="1" indent="1"/>
    </xf>
    <xf numFmtId="0" fontId="37" fillId="0" borderId="13" xfId="0" quotePrefix="1" applyFont="1" applyFill="1" applyBorder="1" applyAlignment="1">
      <alignment horizontal="left" wrapText="1" indent="1"/>
    </xf>
    <xf numFmtId="0" fontId="37" fillId="0" borderId="14" xfId="0" quotePrefix="1" applyFont="1" applyFill="1" applyBorder="1" applyAlignment="1">
      <alignment horizontal="left" wrapText="1" indent="1"/>
    </xf>
    <xf numFmtId="0" fontId="37" fillId="0" borderId="9" xfId="0" quotePrefix="1" applyFont="1" applyFill="1" applyBorder="1" applyAlignment="1">
      <alignment horizontal="left" wrapText="1" indent="1"/>
    </xf>
    <xf numFmtId="0" fontId="37" fillId="0" borderId="12" xfId="0" applyFont="1" applyBorder="1" applyAlignment="1">
      <alignment wrapText="1"/>
    </xf>
    <xf numFmtId="0" fontId="37" fillId="0" borderId="5" xfId="0" applyFont="1" applyBorder="1" applyAlignment="1">
      <alignment wrapText="1"/>
    </xf>
    <xf numFmtId="0" fontId="37" fillId="0" borderId="10" xfId="0" applyFont="1" applyBorder="1" applyAlignment="1">
      <alignment wrapText="1"/>
    </xf>
    <xf numFmtId="0" fontId="37" fillId="0" borderId="11" xfId="0" applyFont="1" applyBorder="1" applyAlignment="1">
      <alignment wrapText="1"/>
    </xf>
    <xf numFmtId="0" fontId="37" fillId="0" borderId="0" xfId="0" applyFont="1" applyBorder="1" applyAlignment="1">
      <alignment wrapText="1"/>
    </xf>
    <xf numFmtId="0" fontId="37" fillId="0" borderId="15" xfId="0" applyFont="1" applyBorder="1" applyAlignment="1">
      <alignment wrapText="1"/>
    </xf>
    <xf numFmtId="0" fontId="37" fillId="0" borderId="13" xfId="0" quotePrefix="1" applyFont="1" applyBorder="1" applyAlignment="1">
      <alignment horizontal="left" wrapText="1" indent="1"/>
    </xf>
    <xf numFmtId="0" fontId="37" fillId="0" borderId="14" xfId="0" quotePrefix="1" applyFont="1" applyBorder="1" applyAlignment="1">
      <alignment horizontal="left" wrapText="1" indent="1"/>
    </xf>
    <xf numFmtId="0" fontId="37" fillId="0" borderId="9" xfId="0" quotePrefix="1" applyFont="1" applyBorder="1" applyAlignment="1">
      <alignment horizontal="left" wrapText="1" indent="1"/>
    </xf>
    <xf numFmtId="0" fontId="37" fillId="0" borderId="14" xfId="0" applyFont="1" applyBorder="1" applyAlignment="1">
      <alignment wrapText="1"/>
    </xf>
    <xf numFmtId="0" fontId="37" fillId="0" borderId="9" xfId="0" applyFont="1" applyBorder="1" applyAlignment="1">
      <alignment wrapText="1"/>
    </xf>
    <xf numFmtId="0" fontId="37" fillId="0" borderId="0" xfId="0" applyFont="1" applyAlignment="1">
      <alignment wrapText="1"/>
    </xf>
    <xf numFmtId="0" fontId="37" fillId="0" borderId="0" xfId="15" applyNumberFormat="1" applyFont="1" applyFill="1" applyAlignment="1">
      <alignment horizontal="left" vertical="top" wrapText="1"/>
    </xf>
    <xf numFmtId="0" fontId="37" fillId="11" borderId="0" xfId="15" applyNumberFormat="1" applyFont="1" applyFill="1" applyAlignment="1">
      <alignment horizontal="left" vertical="top" wrapText="1"/>
    </xf>
    <xf numFmtId="0" fontId="41" fillId="0" borderId="0" xfId="15" applyNumberFormat="1" applyFont="1" applyFill="1" applyAlignment="1">
      <alignment horizontal="left" vertical="top" wrapText="1" indent="1"/>
    </xf>
    <xf numFmtId="0" fontId="37" fillId="0" borderId="0" xfId="15" applyNumberFormat="1" applyFont="1" applyFill="1" applyBorder="1" applyAlignment="1">
      <alignment horizontal="left" vertical="top" wrapText="1"/>
    </xf>
    <xf numFmtId="0" fontId="37" fillId="0" borderId="0" xfId="15" applyNumberFormat="1" applyFont="1" applyFill="1" applyAlignment="1">
      <alignment horizontal="left" vertical="top" indent="1"/>
    </xf>
    <xf numFmtId="0" fontId="37" fillId="0" borderId="0" xfId="15" quotePrefix="1" applyNumberFormat="1" applyFont="1" applyFill="1" applyAlignment="1">
      <alignment horizontal="left" vertical="top" indent="1"/>
    </xf>
    <xf numFmtId="0" fontId="37" fillId="0" borderId="0" xfId="15" applyNumberFormat="1" applyFont="1" applyFill="1" applyAlignment="1">
      <alignment horizontal="left" vertical="top" indent="2"/>
    </xf>
    <xf numFmtId="0" fontId="73" fillId="0" borderId="0" xfId="15" applyNumberFormat="1" applyFont="1" applyFill="1" applyAlignment="1">
      <alignment horizontal="left" vertical="top"/>
    </xf>
    <xf numFmtId="0" fontId="47" fillId="0" borderId="0" xfId="15" applyNumberFormat="1" applyFont="1" applyFill="1" applyAlignment="1">
      <alignment horizontal="left" vertical="top"/>
    </xf>
    <xf numFmtId="0" fontId="47" fillId="0" borderId="0" xfId="15" quotePrefix="1" applyNumberFormat="1" applyFont="1" applyFill="1" applyAlignment="1">
      <alignment horizontal="left" vertical="top" indent="1"/>
    </xf>
    <xf numFmtId="0" fontId="47" fillId="0" borderId="0" xfId="15" applyNumberFormat="1" applyFont="1" applyFill="1" applyAlignment="1">
      <alignment horizontal="left" vertical="top" indent="2"/>
    </xf>
    <xf numFmtId="0" fontId="47" fillId="0" borderId="0" xfId="15" applyNumberFormat="1" applyFont="1" applyFill="1" applyAlignment="1">
      <alignment horizontal="left" vertical="top" wrapText="1"/>
    </xf>
    <xf numFmtId="0" fontId="47" fillId="0" borderId="0" xfId="1" applyNumberFormat="1" applyFont="1" applyFill="1" applyAlignment="1" applyProtection="1">
      <alignment horizontal="left" vertical="top"/>
    </xf>
    <xf numFmtId="0" fontId="41" fillId="0" borderId="0" xfId="15" applyNumberFormat="1" applyFont="1" applyFill="1" applyAlignment="1">
      <alignment horizontal="left" vertical="top" wrapText="1" indent="2"/>
    </xf>
    <xf numFmtId="0" fontId="37" fillId="0" borderId="0" xfId="15" applyNumberFormat="1" applyFont="1" applyFill="1" applyAlignment="1">
      <alignment horizontal="left" vertical="top" wrapText="1"/>
    </xf>
    <xf numFmtId="0" fontId="132" fillId="0" borderId="0" xfId="15" applyNumberFormat="1" applyFont="1" applyFill="1" applyAlignment="1">
      <alignment horizontal="left" vertical="top" wrapText="1" indent="1"/>
    </xf>
    <xf numFmtId="0" fontId="41" fillId="0" borderId="0" xfId="15" quotePrefix="1" applyNumberFormat="1" applyFont="1" applyFill="1" applyAlignment="1">
      <alignment horizontal="left" vertical="top" indent="1"/>
    </xf>
    <xf numFmtId="0" fontId="48" fillId="0" borderId="0" xfId="15" applyNumberFormat="1" applyFont="1" applyFill="1" applyAlignment="1">
      <alignment horizontal="left" vertical="top" wrapText="1"/>
    </xf>
    <xf numFmtId="0" fontId="48" fillId="0" borderId="0" xfId="15" applyNumberFormat="1" applyFont="1" applyFill="1" applyAlignment="1">
      <alignment horizontal="right" vertical="top"/>
    </xf>
    <xf numFmtId="0" fontId="37" fillId="0" borderId="0" xfId="1" applyNumberFormat="1" applyFont="1" applyFill="1" applyBorder="1" applyAlignment="1" applyProtection="1">
      <alignment horizontal="left" vertical="top"/>
    </xf>
    <xf numFmtId="0" fontId="83" fillId="0" borderId="0" xfId="15" applyNumberFormat="1" applyFont="1" applyFill="1" applyAlignment="1">
      <alignment horizontal="left" vertical="top"/>
    </xf>
    <xf numFmtId="0" fontId="73" fillId="0" borderId="0" xfId="15" applyNumberFormat="1" applyFont="1" applyFill="1" applyAlignment="1">
      <alignment horizontal="left" vertical="top" wrapText="1"/>
    </xf>
    <xf numFmtId="0" fontId="73" fillId="0" borderId="0" xfId="1" applyNumberFormat="1" applyFont="1" applyFill="1" applyAlignment="1" applyProtection="1">
      <alignment horizontal="right" vertical="top"/>
    </xf>
    <xf numFmtId="0" fontId="73" fillId="0" borderId="0" xfId="15" applyNumberFormat="1" applyFont="1" applyFill="1" applyAlignment="1">
      <alignment horizontal="right" vertical="top"/>
    </xf>
    <xf numFmtId="0" fontId="132" fillId="0" borderId="0" xfId="15" applyNumberFormat="1" applyFont="1" applyFill="1" applyAlignment="1">
      <alignment vertical="top"/>
    </xf>
    <xf numFmtId="0" fontId="83" fillId="0" borderId="0" xfId="15" applyNumberFormat="1" applyFont="1" applyFill="1" applyAlignment="1">
      <alignment horizontal="right" vertical="top" wrapText="1"/>
    </xf>
    <xf numFmtId="0" fontId="38" fillId="0" borderId="0" xfId="15" applyNumberFormat="1" applyFont="1" applyFill="1" applyAlignment="1">
      <alignment horizontal="left" vertical="top"/>
    </xf>
    <xf numFmtId="0" fontId="37" fillId="0" borderId="0" xfId="15" applyNumberFormat="1" applyFont="1" applyFill="1" applyAlignment="1">
      <alignment horizontal="left" vertical="top" wrapText="1" indent="1"/>
    </xf>
    <xf numFmtId="0" fontId="47" fillId="0" borderId="0" xfId="15" applyNumberFormat="1" applyFont="1" applyFill="1" applyAlignment="1">
      <alignment horizontal="left" vertical="top" wrapText="1" indent="1"/>
    </xf>
    <xf numFmtId="0" fontId="37" fillId="0" borderId="0" xfId="15" quotePrefix="1" applyNumberFormat="1" applyFont="1" applyFill="1" applyBorder="1" applyAlignment="1">
      <alignment horizontal="left" vertical="top" indent="1"/>
    </xf>
    <xf numFmtId="0" fontId="47" fillId="0" borderId="0" xfId="15" applyNumberFormat="1" applyFont="1" applyFill="1" applyBorder="1" applyAlignment="1">
      <alignment horizontal="left" vertical="top" indent="2"/>
    </xf>
    <xf numFmtId="0" fontId="204" fillId="7" borderId="0" xfId="1" applyFont="1" applyFill="1" applyAlignment="1" applyProtection="1">
      <alignment vertical="top"/>
    </xf>
    <xf numFmtId="0" fontId="183" fillId="0" borderId="0" xfId="0" applyFont="1" applyAlignment="1">
      <alignment horizontal="left" vertical="top" wrapText="1"/>
    </xf>
    <xf numFmtId="0" fontId="75" fillId="0" borderId="0" xfId="0" applyFont="1" applyBorder="1" applyAlignment="1">
      <alignment vertical="top"/>
    </xf>
    <xf numFmtId="0" fontId="38" fillId="0" borderId="0" xfId="0" applyFont="1" applyBorder="1"/>
    <xf numFmtId="0" fontId="0" fillId="0" borderId="7" xfId="0" applyFill="1" applyBorder="1" applyAlignment="1">
      <alignment horizontal="left" vertical="top"/>
    </xf>
    <xf numFmtId="9" fontId="0" fillId="0" borderId="7" xfId="0" applyNumberFormat="1" applyFill="1" applyBorder="1" applyAlignment="1">
      <alignment horizontal="left" vertical="top"/>
    </xf>
    <xf numFmtId="0" fontId="38" fillId="0" borderId="7" xfId="0" applyFont="1" applyFill="1" applyBorder="1" applyAlignment="1">
      <alignment horizontal="left" vertical="top"/>
    </xf>
    <xf numFmtId="0" fontId="0" fillId="0" borderId="5" xfId="0" applyFill="1" applyBorder="1" applyAlignment="1">
      <alignment horizontal="left" vertical="top"/>
    </xf>
  </cellXfs>
  <cellStyles count="18">
    <cellStyle name="%" xfId="9"/>
    <cellStyle name="Lien hypertexte" xfId="1" builtinId="8"/>
    <cellStyle name="Lien hypertexte 2" xfId="16"/>
    <cellStyle name="Milliers 2" xfId="8"/>
    <cellStyle name="Monétaire" xfId="14" builtinId="4"/>
    <cellStyle name="Normal" xfId="0" builtinId="0"/>
    <cellStyle name="Normal 10 2" xfId="13"/>
    <cellStyle name="Normal 2" xfId="2"/>
    <cellStyle name="Normal 3" xfId="6"/>
    <cellStyle name="Normal 4" xfId="15"/>
    <cellStyle name="Normal_KPIs" xfId="17"/>
    <cellStyle name="Pourcentage" xfId="3" builtinId="5"/>
    <cellStyle name="Pourcentage 2" xfId="7"/>
    <cellStyle name="Standard_CO_Datasheet_Umbau" xfId="5"/>
    <cellStyle name="Style 1" xfId="4"/>
    <cellStyle name="Table - Number" xfId="10"/>
    <cellStyle name="Table - Text" xfId="11"/>
    <cellStyle name="Table - Text Bold" xfId="12"/>
  </cellStyles>
  <dxfs count="0"/>
  <tableStyles count="0" defaultTableStyle="TableStyleMedium9" defaultPivotStyle="PivotStyleLight16"/>
  <colors>
    <mruColors>
      <color rgb="FFFFE697"/>
      <color rgb="FFFFDA65"/>
      <color rgb="FFFFD347"/>
      <color rgb="FFFFFF66"/>
      <color rgb="FFFFFF99"/>
      <color rgb="FFC4BD97"/>
      <color rgb="FF4A452A"/>
      <color rgb="FFFFFF00"/>
      <color rgb="FFFFFFCC"/>
      <color rgb="FF5D743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marker>
            <c:symbol val="dash"/>
            <c:size val="20"/>
            <c:spPr>
              <a:solidFill>
                <a:srgbClr val="FFC000">
                  <a:alpha val="67000"/>
                </a:srgbClr>
              </a:solidFill>
              <a:ln>
                <a:noFill/>
              </a:ln>
            </c:spPr>
          </c:marker>
          <c:dLbls>
            <c:dLbl>
              <c:idx val="0"/>
              <c:layout>
                <c:manualLayout>
                  <c:x val="-4.3073379593154645E-2"/>
                  <c:y val="-1.3650960001074878E-2"/>
                </c:manualLayout>
              </c:layout>
              <c:tx>
                <c:rich>
                  <a:bodyPr/>
                  <a:lstStyle/>
                  <a:p>
                    <a:pPr>
                      <a:defRPr sz="1000" b="0" i="0" strike="noStrike">
                        <a:latin typeface="Arial"/>
                      </a:defRPr>
                    </a:pPr>
                    <a:r>
                      <a:rPr lang="en-US"/>
                      <a:t>DT </a:t>
                    </a:r>
                    <a:r>
                      <a:rPr lang="en-US">
                        <a:sym typeface="Symbol"/>
                      </a:rPr>
                      <a:t></a:t>
                    </a:r>
                    <a:endParaRPr lang="en-US"/>
                  </a:p>
                </c:rich>
              </c:tx>
              <c:spPr/>
              <c:dLblPos val="r"/>
              <c:showVal val="1"/>
            </c:dLbl>
            <c:dLbl>
              <c:idx val="1"/>
              <c:tx>
                <c:strRef>
                  <c:f>PROFILES!$O$101</c:f>
                  <c:strCache>
                    <c:ptCount val="1"/>
                    <c:pt idx="0">
                      <c:v>TKA</c:v>
                    </c:pt>
                  </c:strCache>
                </c:strRef>
              </c:tx>
              <c:spPr/>
              <c:txPr>
                <a:bodyPr/>
                <a:lstStyle/>
                <a:p>
                  <a:pPr>
                    <a:defRPr sz="1000" b="0" i="0" strike="noStrike">
                      <a:latin typeface="Arial"/>
                    </a:defRPr>
                  </a:pPr>
                  <a:endParaRPr lang="fr-FR"/>
                </a:p>
              </c:txPr>
              <c:dLblPos val="ctr"/>
              <c:showVal val="1"/>
            </c:dLbl>
            <c:dLbl>
              <c:idx val="2"/>
              <c:tx>
                <c:strRef>
                  <c:f>PROFILES!$O$102</c:f>
                  <c:strCache>
                    <c:ptCount val="1"/>
                    <c:pt idx="0">
                      <c:v>BELGACOM</c:v>
                    </c:pt>
                  </c:strCache>
                </c:strRef>
              </c:tx>
              <c:spPr/>
              <c:txPr>
                <a:bodyPr/>
                <a:lstStyle/>
                <a:p>
                  <a:pPr>
                    <a:defRPr sz="1000" b="1" i="0" strike="noStrike">
                      <a:latin typeface="Arial"/>
                    </a:defRPr>
                  </a:pPr>
                  <a:endParaRPr lang="fr-FR"/>
                </a:p>
              </c:txPr>
              <c:dLblPos val="ctr"/>
              <c:showVal val="1"/>
            </c:dLbl>
            <c:dLbl>
              <c:idx val="3"/>
              <c:tx>
                <c:strRef>
                  <c:f>PROFILES!$O$103</c:f>
                  <c:strCache>
                    <c:ptCount val="1"/>
                    <c:pt idx="0">
                      <c:v>MOBISTAR</c:v>
                    </c:pt>
                  </c:strCache>
                </c:strRef>
              </c:tx>
              <c:spPr/>
              <c:txPr>
                <a:bodyPr/>
                <a:lstStyle/>
                <a:p>
                  <a:pPr>
                    <a:defRPr sz="1000" b="1" i="0" strike="noStrike">
                      <a:latin typeface="Arial"/>
                    </a:defRPr>
                  </a:pPr>
                  <a:endParaRPr lang="fr-FR"/>
                </a:p>
              </c:txPr>
              <c:dLblPos val="ctr"/>
              <c:showVal val="1"/>
            </c:dLbl>
            <c:dLbl>
              <c:idx val="4"/>
              <c:tx>
                <c:strRef>
                  <c:f>PROFILES!$O$104</c:f>
                  <c:strCache>
                    <c:ptCount val="1"/>
                    <c:pt idx="0">
                      <c:v>TELENET</c:v>
                    </c:pt>
                  </c:strCache>
                </c:strRef>
              </c:tx>
              <c:spPr/>
              <c:txPr>
                <a:bodyPr/>
                <a:lstStyle/>
                <a:p>
                  <a:pPr>
                    <a:defRPr sz="1000" b="1" i="0" strike="noStrike">
                      <a:latin typeface="Arial"/>
                    </a:defRPr>
                  </a:pPr>
                  <a:endParaRPr lang="fr-FR"/>
                </a:p>
              </c:txPr>
              <c:dLblPos val="ctr"/>
              <c:showVal val="1"/>
            </c:dLbl>
            <c:dLbl>
              <c:idx val="5"/>
              <c:tx>
                <c:strRef>
                  <c:f>PROFILES!$O$105</c:f>
                  <c:strCache>
                    <c:ptCount val="1"/>
                    <c:pt idx="0">
                      <c:v>TDC</c:v>
                    </c:pt>
                  </c:strCache>
                </c:strRef>
              </c:tx>
              <c:spPr/>
              <c:txPr>
                <a:bodyPr/>
                <a:lstStyle/>
                <a:p>
                  <a:pPr>
                    <a:defRPr sz="1000" b="0" i="0" strike="noStrike">
                      <a:latin typeface="Arial"/>
                    </a:defRPr>
                  </a:pPr>
                  <a:endParaRPr lang="fr-FR"/>
                </a:p>
              </c:txPr>
              <c:dLblPos val="ctr"/>
              <c:showVal val="1"/>
            </c:dLbl>
            <c:dLbl>
              <c:idx val="6"/>
              <c:tx>
                <c:strRef>
                  <c:f>PROFILES!$O$106</c:f>
                  <c:strCache>
                    <c:ptCount val="1"/>
                    <c:pt idx="0">
                      <c:v>TEF</c:v>
                    </c:pt>
                  </c:strCache>
                </c:strRef>
              </c:tx>
              <c:spPr/>
              <c:txPr>
                <a:bodyPr/>
                <a:lstStyle/>
                <a:p>
                  <a:pPr>
                    <a:defRPr sz="1000" b="0" i="0" strike="noStrike">
                      <a:latin typeface="Arial"/>
                    </a:defRPr>
                  </a:pPr>
                  <a:endParaRPr lang="fr-FR"/>
                </a:p>
              </c:txPr>
              <c:dLblPos val="ctr"/>
              <c:showVal val="1"/>
            </c:dLbl>
            <c:dLbl>
              <c:idx val="7"/>
              <c:tx>
                <c:strRef>
                  <c:f>PROFILES!$O$107</c:f>
                  <c:strCache>
                    <c:ptCount val="1"/>
                    <c:pt idx="0">
                      <c:v>ELI</c:v>
                    </c:pt>
                  </c:strCache>
                </c:strRef>
              </c:tx>
              <c:spPr/>
              <c:txPr>
                <a:bodyPr/>
                <a:lstStyle/>
                <a:p>
                  <a:pPr>
                    <a:defRPr sz="1000" b="0" i="0" strike="noStrike">
                      <a:latin typeface="Arial"/>
                    </a:defRPr>
                  </a:pPr>
                  <a:endParaRPr lang="fr-FR"/>
                </a:p>
              </c:txPr>
              <c:dLblPos val="ctr"/>
              <c:showVal val="1"/>
            </c:dLbl>
            <c:dLbl>
              <c:idx val="8"/>
              <c:tx>
                <c:strRef>
                  <c:f>PROFILES!$O$108</c:f>
                  <c:strCache>
                    <c:ptCount val="1"/>
                    <c:pt idx="0">
                      <c:v>ILD</c:v>
                    </c:pt>
                  </c:strCache>
                </c:strRef>
              </c:tx>
              <c:spPr/>
              <c:txPr>
                <a:bodyPr/>
                <a:lstStyle/>
                <a:p>
                  <a:pPr>
                    <a:defRPr sz="1000" b="0" i="0" strike="noStrike">
                      <a:latin typeface="Arial"/>
                    </a:defRPr>
                  </a:pPr>
                  <a:endParaRPr lang="fr-FR"/>
                </a:p>
              </c:txPr>
              <c:dLblPos val="ctr"/>
              <c:showVal val="1"/>
            </c:dLbl>
            <c:dLbl>
              <c:idx val="9"/>
              <c:tx>
                <c:strRef>
                  <c:f>PROFILES!$O$109</c:f>
                  <c:strCache>
                    <c:ptCount val="1"/>
                    <c:pt idx="0">
                      <c:v>ORA</c:v>
                    </c:pt>
                  </c:strCache>
                </c:strRef>
              </c:tx>
              <c:spPr/>
              <c:txPr>
                <a:bodyPr/>
                <a:lstStyle/>
                <a:p>
                  <a:pPr>
                    <a:defRPr sz="1000" b="0" i="0" strike="noStrike">
                      <a:latin typeface="Arial"/>
                    </a:defRPr>
                  </a:pPr>
                  <a:endParaRPr lang="fr-FR"/>
                </a:p>
              </c:txPr>
              <c:dLblPos val="ctr"/>
              <c:showVal val="1"/>
            </c:dLbl>
            <c:dLbl>
              <c:idx val="10"/>
              <c:tx>
                <c:strRef>
                  <c:f>PROFILES!$O$110</c:f>
                  <c:strCache>
                    <c:ptCount val="1"/>
                    <c:pt idx="0">
                      <c:v>OTE</c:v>
                    </c:pt>
                  </c:strCache>
                </c:strRef>
              </c:tx>
              <c:spPr/>
              <c:txPr>
                <a:bodyPr/>
                <a:lstStyle/>
                <a:p>
                  <a:pPr>
                    <a:defRPr sz="1000" b="0" i="0" strike="noStrike">
                      <a:latin typeface="Arial"/>
                    </a:defRPr>
                  </a:pPr>
                  <a:endParaRPr lang="fr-FR"/>
                </a:p>
              </c:txPr>
              <c:dLblPos val="ctr"/>
              <c:showVal val="1"/>
            </c:dLbl>
            <c:dLbl>
              <c:idx val="11"/>
              <c:tx>
                <c:strRef>
                  <c:f>PROFILES!$O$111</c:f>
                  <c:strCache>
                    <c:ptCount val="1"/>
                    <c:pt idx="0">
                      <c:v>TIT</c:v>
                    </c:pt>
                  </c:strCache>
                </c:strRef>
              </c:tx>
              <c:spPr/>
              <c:txPr>
                <a:bodyPr/>
                <a:lstStyle/>
                <a:p>
                  <a:pPr>
                    <a:defRPr sz="1000" b="0" i="0" strike="noStrike">
                      <a:latin typeface="Arial"/>
                    </a:defRPr>
                  </a:pPr>
                  <a:endParaRPr lang="fr-FR"/>
                </a:p>
              </c:txPr>
              <c:dLblPos val="ctr"/>
              <c:showVal val="1"/>
            </c:dLbl>
            <c:dLbl>
              <c:idx val="12"/>
              <c:tx>
                <c:strRef>
                  <c:f>PROFILES!$O$112</c:f>
                  <c:strCache>
                    <c:ptCount val="1"/>
                    <c:pt idx="0">
                      <c:v>TEL</c:v>
                    </c:pt>
                  </c:strCache>
                </c:strRef>
              </c:tx>
              <c:spPr/>
              <c:txPr>
                <a:bodyPr/>
                <a:lstStyle/>
                <a:p>
                  <a:pPr>
                    <a:defRPr sz="1000" b="0" i="0" strike="noStrike">
                      <a:latin typeface="Arial"/>
                    </a:defRPr>
                  </a:pPr>
                  <a:endParaRPr lang="fr-FR"/>
                </a:p>
              </c:txPr>
              <c:dLblPos val="ctr"/>
              <c:showVal val="1"/>
            </c:dLbl>
            <c:dLbl>
              <c:idx val="13"/>
              <c:tx>
                <c:strRef>
                  <c:f>PROFILES!$O$113</c:f>
                  <c:strCache>
                    <c:ptCount val="1"/>
                    <c:pt idx="0">
                      <c:v>KPN</c:v>
                    </c:pt>
                  </c:strCache>
                </c:strRef>
              </c:tx>
              <c:spPr/>
              <c:txPr>
                <a:bodyPr/>
                <a:lstStyle/>
                <a:p>
                  <a:pPr>
                    <a:defRPr sz="1000" b="0" i="0" strike="noStrike">
                      <a:latin typeface="Arial"/>
                    </a:defRPr>
                  </a:pPr>
                  <a:endParaRPr lang="fr-FR"/>
                </a:p>
              </c:txPr>
              <c:dLblPos val="ctr"/>
              <c:showVal val="1"/>
            </c:dLbl>
            <c:dLbl>
              <c:idx val="14"/>
              <c:tx>
                <c:strRef>
                  <c:f>PROFILES!$O$114</c:f>
                  <c:strCache>
                    <c:ptCount val="1"/>
                    <c:pt idx="0">
                      <c:v>TPS</c:v>
                    </c:pt>
                  </c:strCache>
                </c:strRef>
              </c:tx>
              <c:spPr/>
              <c:txPr>
                <a:bodyPr/>
                <a:lstStyle/>
                <a:p>
                  <a:pPr>
                    <a:defRPr sz="1000" b="0" i="0" strike="noStrike">
                      <a:latin typeface="Arial"/>
                    </a:defRPr>
                  </a:pPr>
                  <a:endParaRPr lang="fr-FR"/>
                </a:p>
              </c:txPr>
              <c:dLblPos val="ctr"/>
              <c:showVal val="1"/>
            </c:dLbl>
            <c:dLbl>
              <c:idx val="15"/>
              <c:tx>
                <c:strRef>
                  <c:f>PROFILES!$O$115</c:f>
                  <c:strCache>
                    <c:ptCount val="1"/>
                    <c:pt idx="0">
                      <c:v>PT</c:v>
                    </c:pt>
                  </c:strCache>
                </c:strRef>
              </c:tx>
              <c:spPr/>
              <c:txPr>
                <a:bodyPr/>
                <a:lstStyle/>
                <a:p>
                  <a:pPr>
                    <a:defRPr sz="1000" b="0" i="0" strike="noStrike">
                      <a:latin typeface="Arial"/>
                    </a:defRPr>
                  </a:pPr>
                  <a:endParaRPr lang="fr-FR"/>
                </a:p>
              </c:txPr>
              <c:dLblPos val="ctr"/>
              <c:showVal val="1"/>
            </c:dLbl>
            <c:dLbl>
              <c:idx val="16"/>
              <c:tx>
                <c:strRef>
                  <c:f>PROFILES!$O$116</c:f>
                  <c:strCache>
                    <c:ptCount val="1"/>
                    <c:pt idx="0">
                      <c:v>BT</c:v>
                    </c:pt>
                  </c:strCache>
                </c:strRef>
              </c:tx>
              <c:spPr/>
              <c:txPr>
                <a:bodyPr/>
                <a:lstStyle/>
                <a:p>
                  <a:pPr>
                    <a:defRPr sz="1000" b="0" i="0" strike="noStrike">
                      <a:latin typeface="Arial"/>
                    </a:defRPr>
                  </a:pPr>
                  <a:endParaRPr lang="fr-FR"/>
                </a:p>
              </c:txPr>
              <c:dLblPos val="ctr"/>
              <c:showVal val="1"/>
            </c:dLbl>
            <c:dLbl>
              <c:idx val="17"/>
              <c:tx>
                <c:strRef>
                  <c:f>PROFILES!$O$117</c:f>
                  <c:strCache>
                    <c:ptCount val="1"/>
                    <c:pt idx="0">
                      <c:v>VOD</c:v>
                    </c:pt>
                  </c:strCache>
                </c:strRef>
              </c:tx>
              <c:spPr/>
              <c:txPr>
                <a:bodyPr/>
                <a:lstStyle/>
                <a:p>
                  <a:pPr>
                    <a:defRPr sz="1000" b="0" i="0" strike="noStrike">
                      <a:latin typeface="Arial"/>
                    </a:defRPr>
                  </a:pPr>
                  <a:endParaRPr lang="fr-FR"/>
                </a:p>
              </c:txPr>
              <c:dLblPos val="ctr"/>
              <c:showVal val="1"/>
            </c:dLbl>
            <c:dLbl>
              <c:idx val="18"/>
              <c:tx>
                <c:strRef>
                  <c:f>PROFILES!$O$118</c:f>
                  <c:strCache>
                    <c:ptCount val="1"/>
                    <c:pt idx="0">
                      <c:v>TLSN</c:v>
                    </c:pt>
                  </c:strCache>
                </c:strRef>
              </c:tx>
              <c:spPr/>
              <c:txPr>
                <a:bodyPr/>
                <a:lstStyle/>
                <a:p>
                  <a:pPr>
                    <a:defRPr sz="1000" b="0" i="0" strike="noStrike">
                      <a:latin typeface="Arial"/>
                    </a:defRPr>
                  </a:pPr>
                  <a:endParaRPr lang="fr-FR"/>
                </a:p>
              </c:txPr>
              <c:dLblPos val="ctr"/>
              <c:showVal val="1"/>
            </c:dLbl>
            <c:dLbl>
              <c:idx val="19"/>
              <c:tx>
                <c:strRef>
                  <c:f>PROFILES!$O$119</c:f>
                  <c:strCache>
                    <c:ptCount val="1"/>
                    <c:pt idx="0">
                      <c:v>TEL2</c:v>
                    </c:pt>
                  </c:strCache>
                </c:strRef>
              </c:tx>
              <c:spPr/>
              <c:txPr>
                <a:bodyPr/>
                <a:lstStyle/>
                <a:p>
                  <a:pPr>
                    <a:defRPr sz="1000" b="0" i="0" strike="noStrike">
                      <a:latin typeface="Arial"/>
                    </a:defRPr>
                  </a:pPr>
                  <a:endParaRPr lang="fr-FR"/>
                </a:p>
              </c:txPr>
              <c:dLblPos val="ctr"/>
              <c:showVal val="1"/>
            </c:dLbl>
            <c:dLbl>
              <c:idx val="20"/>
              <c:tx>
                <c:strRef>
                  <c:f>PROFILES!$O$120</c:f>
                  <c:strCache>
                    <c:ptCount val="1"/>
                    <c:pt idx="0">
                      <c:v>SCM</c:v>
                    </c:pt>
                  </c:strCache>
                </c:strRef>
              </c:tx>
              <c:spPr/>
              <c:txPr>
                <a:bodyPr/>
                <a:lstStyle/>
                <a:p>
                  <a:pPr>
                    <a:defRPr sz="1000" b="0" i="0" strike="noStrike">
                      <a:latin typeface="Arial"/>
                    </a:defRPr>
                  </a:pPr>
                  <a:endParaRPr lang="fr-FR"/>
                </a:p>
              </c:txPr>
              <c:dLblPos val="ctr"/>
              <c:showVal val="1"/>
            </c:dLbl>
            <c:dLbl>
              <c:idx val="21"/>
              <c:tx>
                <c:strRef>
                  <c:f>PROFILES!$O$121</c:f>
                  <c:strCache>
                    <c:ptCount val="1"/>
                    <c:pt idx="0">
                      <c:v>SNC</c:v>
                    </c:pt>
                  </c:strCache>
                </c:strRef>
              </c:tx>
              <c:spPr/>
              <c:txPr>
                <a:bodyPr/>
                <a:lstStyle/>
                <a:p>
                  <a:pPr>
                    <a:defRPr sz="1000" b="0" i="0" strike="noStrike">
                      <a:latin typeface="Arial"/>
                    </a:defRPr>
                  </a:pPr>
                  <a:endParaRPr lang="fr-FR"/>
                </a:p>
              </c:txPr>
              <c:dLblPos val="ctr"/>
              <c:showVal val="1"/>
            </c:dLbl>
            <c:showVal val="1"/>
          </c:dLbls>
          <c:xVal>
            <c:numRef>
              <c:f>PROFILES!$D$346:$D$367</c:f>
              <c:numCache>
                <c:formatCode>0%</c:formatCode>
                <c:ptCount val="22"/>
                <c:pt idx="0">
                  <c:v>0.61</c:v>
                </c:pt>
                <c:pt idx="1">
                  <c:v>0.60910298289809772</c:v>
                </c:pt>
                <c:pt idx="2">
                  <c:v>0.37158673775730477</c:v>
                </c:pt>
                <c:pt idx="3">
                  <c:v>0.91288970849739615</c:v>
                </c:pt>
                <c:pt idx="4">
                  <c:v>6.4385445236561381E-2</c:v>
                </c:pt>
                <c:pt idx="5">
                  <c:v>0.31054928118178421</c:v>
                </c:pt>
                <c:pt idx="6">
                  <c:v>0.6158872479982318</c:v>
                </c:pt>
                <c:pt idx="7">
                  <c:v>0.62657499999999999</c:v>
                </c:pt>
                <c:pt idx="8">
                  <c:v>0.12852484759899571</c:v>
                </c:pt>
                <c:pt idx="9">
                  <c:v>0.60741568747204655</c:v>
                </c:pt>
                <c:pt idx="10">
                  <c:v>0.50129449294861916</c:v>
                </c:pt>
                <c:pt idx="11">
                  <c:v>0.34534166666666666</c:v>
                </c:pt>
                <c:pt idx="12">
                  <c:v>0.7344324868237998</c:v>
                </c:pt>
                <c:pt idx="13">
                  <c:v>0.5805147103617575</c:v>
                </c:pt>
                <c:pt idx="14">
                  <c:v>0.5033608700542046</c:v>
                </c:pt>
                <c:pt idx="15">
                  <c:v>0.48460704112825509</c:v>
                </c:pt>
                <c:pt idx="16">
                  <c:v>0</c:v>
                </c:pt>
                <c:pt idx="17">
                  <c:v>0.91487499999999988</c:v>
                </c:pt>
                <c:pt idx="18">
                  <c:v>0.65501722002617635</c:v>
                </c:pt>
                <c:pt idx="19">
                  <c:v>0.69332936189191507</c:v>
                </c:pt>
                <c:pt idx="20">
                  <c:v>0.32615050588405037</c:v>
                </c:pt>
                <c:pt idx="21">
                  <c:v>0.61617346049174182</c:v>
                </c:pt>
              </c:numCache>
            </c:numRef>
          </c:xVal>
          <c:yVal>
            <c:numRef>
              <c:f>PROFILES!$E$346:$E$367</c:f>
              <c:numCache>
                <c:formatCode>0.0</c:formatCode>
                <c:ptCount val="22"/>
                <c:pt idx="0">
                  <c:v>1.4833076923076924</c:v>
                </c:pt>
                <c:pt idx="1">
                  <c:v>1.5272923076923075</c:v>
                </c:pt>
                <c:pt idx="2">
                  <c:v>1.5174769230769232</c:v>
                </c:pt>
                <c:pt idx="3">
                  <c:v>1.5173461538461537</c:v>
                </c:pt>
                <c:pt idx="4">
                  <c:v>4.4188461538461548</c:v>
                </c:pt>
                <c:pt idx="5">
                  <c:v>2.362423076923077</c:v>
                </c:pt>
                <c:pt idx="6">
                  <c:v>2.0117846153846157</c:v>
                </c:pt>
                <c:pt idx="7">
                  <c:v>2.1973000000000003</c:v>
                </c:pt>
                <c:pt idx="8">
                  <c:v>2.7539884615384618</c:v>
                </c:pt>
                <c:pt idx="9">
                  <c:v>1.4515346153846156</c:v>
                </c:pt>
                <c:pt idx="10">
                  <c:v>1.2066538461538463</c:v>
                </c:pt>
                <c:pt idx="11">
                  <c:v>1.8478384615384618</c:v>
                </c:pt>
                <c:pt idx="12">
                  <c:v>2.0217230769230765</c:v>
                </c:pt>
                <c:pt idx="13">
                  <c:v>1.8971769230769233</c:v>
                </c:pt>
                <c:pt idx="14">
                  <c:v>1.5614461538461539</c:v>
                </c:pt>
                <c:pt idx="15">
                  <c:v>2.2663538461538462</c:v>
                </c:pt>
                <c:pt idx="16">
                  <c:v>1.3321076923076924</c:v>
                </c:pt>
                <c:pt idx="17">
                  <c:v>2.543480769230769</c:v>
                </c:pt>
                <c:pt idx="18">
                  <c:v>2.6416384615384612</c:v>
                </c:pt>
                <c:pt idx="19">
                  <c:v>1.6592076923076922</c:v>
                </c:pt>
                <c:pt idx="20">
                  <c:v>2.5073538461538467</c:v>
                </c:pt>
                <c:pt idx="21">
                  <c:v>0.9397923076923077</c:v>
                </c:pt>
              </c:numCache>
            </c:numRef>
          </c:yVal>
        </c:ser>
        <c:axId val="167074048"/>
        <c:axId val="167096320"/>
      </c:scatterChart>
      <c:valAx>
        <c:axId val="167074048"/>
        <c:scaling>
          <c:orientation val="minMax"/>
        </c:scaling>
        <c:axPos val="b"/>
        <c:numFmt formatCode="0%" sourceLinked="1"/>
        <c:tickLblPos val="nextTo"/>
        <c:txPr>
          <a:bodyPr/>
          <a:lstStyle/>
          <a:p>
            <a:pPr>
              <a:defRPr sz="1200" baseline="0">
                <a:latin typeface="Arial" pitchFamily="34" charset="0"/>
              </a:defRPr>
            </a:pPr>
            <a:endParaRPr lang="fr-FR"/>
          </a:p>
        </c:txPr>
        <c:crossAx val="167096320"/>
        <c:crosses val="autoZero"/>
        <c:crossBetween val="midCat"/>
        <c:majorUnit val="0.1"/>
      </c:valAx>
      <c:valAx>
        <c:axId val="167096320"/>
        <c:scaling>
          <c:orientation val="minMax"/>
        </c:scaling>
        <c:axPos val="l"/>
        <c:majorGridlines>
          <c:spPr>
            <a:ln>
              <a:solidFill>
                <a:schemeClr val="bg1">
                  <a:lumMod val="50000"/>
                </a:schemeClr>
              </a:solidFill>
              <a:prstDash val="sysDash"/>
            </a:ln>
          </c:spPr>
        </c:majorGridlines>
        <c:numFmt formatCode="0.0" sourceLinked="1"/>
        <c:tickLblPos val="nextTo"/>
        <c:txPr>
          <a:bodyPr/>
          <a:lstStyle/>
          <a:p>
            <a:pPr>
              <a:defRPr sz="1200" baseline="0">
                <a:latin typeface="Arial" pitchFamily="34" charset="0"/>
              </a:defRPr>
            </a:pPr>
            <a:endParaRPr lang="fr-FR"/>
          </a:p>
        </c:txPr>
        <c:crossAx val="167074048"/>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3110289987712014E-2"/>
          <c:y val="6.0510332205409793E-2"/>
          <c:w val="0.78283207805546051"/>
          <c:h val="0.85876772922695765"/>
        </c:manualLayout>
      </c:layout>
      <c:lineChart>
        <c:grouping val="standard"/>
        <c:ser>
          <c:idx val="2"/>
          <c:order val="0"/>
          <c:tx>
            <c:strRef>
              <c:f>CALCULATIONS!$S$7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CALCULATIONS!$T$7:$AH$7</c:f>
              <c:numCache>
                <c:formatCode>0.00</c:formatCode>
                <c:ptCount val="15"/>
                <c:pt idx="0">
                  <c:v>0.9375949600736202</c:v>
                </c:pt>
                <c:pt idx="1">
                  <c:v>1.0596053311851197</c:v>
                </c:pt>
                <c:pt idx="2">
                  <c:v>1</c:v>
                </c:pt>
                <c:pt idx="3">
                  <c:v>1.1059346610413616</c:v>
                </c:pt>
                <c:pt idx="4">
                  <c:v>0.92385177445505473</c:v>
                </c:pt>
                <c:pt idx="5">
                  <c:v>1.0051339717232151</c:v>
                </c:pt>
                <c:pt idx="6">
                  <c:v>0.95089890370332808</c:v>
                </c:pt>
                <c:pt idx="7">
                  <c:v>0.87608737926907276</c:v>
                </c:pt>
                <c:pt idx="8">
                  <c:v>0.88068086248400801</c:v>
                </c:pt>
                <c:pt idx="9">
                  <c:v>0.93188545472966378</c:v>
                </c:pt>
                <c:pt idx="10">
                  <c:v>0.86816195682391817</c:v>
                </c:pt>
                <c:pt idx="11">
                  <c:v>0.91816135863221393</c:v>
                </c:pt>
                <c:pt idx="12">
                  <c:v>0.80845466998198301</c:v>
                </c:pt>
                <c:pt idx="13">
                  <c:v>0.74979956002828585</c:v>
                </c:pt>
                <c:pt idx="14">
                  <c:v>0.66634474879070904</c:v>
                </c:pt>
              </c:numCache>
            </c:numRef>
          </c:val>
        </c:ser>
        <c:ser>
          <c:idx val="13"/>
          <c:order val="1"/>
          <c:tx>
            <c:strRef>
              <c:f>CALCULATIONS!$S$18</c:f>
              <c:strCache>
                <c:ptCount val="1"/>
                <c:pt idx="0">
                  <c:v>KPN</c:v>
                </c:pt>
              </c:strCache>
            </c:strRef>
          </c:tx>
          <c:spPr>
            <a:ln w="19050">
              <a:solidFill>
                <a:schemeClr val="accent3">
                  <a:lumMod val="50000"/>
                </a:schemeClr>
              </a:solidFill>
            </a:ln>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CALCULATIONS!$T$18:$AH$18</c:f>
              <c:numCache>
                <c:formatCode>0.00</c:formatCode>
                <c:ptCount val="15"/>
                <c:pt idx="0">
                  <c:v>1.1377925912334799</c:v>
                </c:pt>
                <c:pt idx="1">
                  <c:v>1.1198090684661495</c:v>
                </c:pt>
                <c:pt idx="2">
                  <c:v>1</c:v>
                </c:pt>
                <c:pt idx="3">
                  <c:v>1.0525782423714849</c:v>
                </c:pt>
                <c:pt idx="4">
                  <c:v>1.0131471490800472</c:v>
                </c:pt>
                <c:pt idx="5">
                  <c:v>1.0837476279575495</c:v>
                </c:pt>
                <c:pt idx="6">
                  <c:v>0.90432518360559888</c:v>
                </c:pt>
                <c:pt idx="7">
                  <c:v>0.86306432044025816</c:v>
                </c:pt>
                <c:pt idx="8">
                  <c:v>0.78078951956203091</c:v>
                </c:pt>
                <c:pt idx="9">
                  <c:v>0.69658755679553841</c:v>
                </c:pt>
                <c:pt idx="10">
                  <c:v>0.63814447209758318</c:v>
                </c:pt>
                <c:pt idx="11">
                  <c:v>0.50217139118427645</c:v>
                </c:pt>
                <c:pt idx="12">
                  <c:v>0.31383600230205744</c:v>
                </c:pt>
                <c:pt idx="13">
                  <c:v>0.22161078533373491</c:v>
                </c:pt>
                <c:pt idx="14">
                  <c:v>0.40233478298448</c:v>
                </c:pt>
              </c:numCache>
            </c:numRef>
          </c:val>
        </c:ser>
        <c:ser>
          <c:idx val="5"/>
          <c:order val="2"/>
          <c:tx>
            <c:strRef>
              <c:f>CALCULATIONS!$S$10</c:f>
              <c:strCache>
                <c:ptCount val="1"/>
                <c:pt idx="0">
                  <c:v>TDC</c:v>
                </c:pt>
              </c:strCache>
            </c:strRef>
          </c:tx>
          <c:spPr>
            <a:ln w="19050">
              <a:solidFill>
                <a:schemeClr val="bg2">
                  <a:lumMod val="50000"/>
                </a:schemeClr>
              </a:solidFill>
            </a:ln>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CALCULATIONS!$T$10:$AH$10</c:f>
              <c:numCache>
                <c:formatCode>0.00</c:formatCode>
                <c:ptCount val="15"/>
                <c:pt idx="0">
                  <c:v>1.11331594520898</c:v>
                </c:pt>
                <c:pt idx="1">
                  <c:v>1.111087708235821</c:v>
                </c:pt>
                <c:pt idx="2">
                  <c:v>1</c:v>
                </c:pt>
                <c:pt idx="3">
                  <c:v>1.0427831360082092</c:v>
                </c:pt>
                <c:pt idx="4">
                  <c:v>0.90962296214032845</c:v>
                </c:pt>
                <c:pt idx="5">
                  <c:v>0.80900059473824282</c:v>
                </c:pt>
                <c:pt idx="6">
                  <c:v>0.89016614901577873</c:v>
                </c:pt>
                <c:pt idx="7">
                  <c:v>0.86342702949911387</c:v>
                </c:pt>
                <c:pt idx="8">
                  <c:v>0.86461912185568557</c:v>
                </c:pt>
                <c:pt idx="9">
                  <c:v>0.76955565247252455</c:v>
                </c:pt>
                <c:pt idx="10">
                  <c:v>0.7737277136737063</c:v>
                </c:pt>
                <c:pt idx="11">
                  <c:v>0.80141502891791239</c:v>
                </c:pt>
                <c:pt idx="12">
                  <c:v>0.75931513861507838</c:v>
                </c:pt>
                <c:pt idx="13">
                  <c:v>0.84749734127641996</c:v>
                </c:pt>
                <c:pt idx="14">
                  <c:v>0.86680674387051748</c:v>
                </c:pt>
              </c:numCache>
            </c:numRef>
          </c:val>
        </c:ser>
        <c:ser>
          <c:idx val="4"/>
          <c:order val="3"/>
          <c:tx>
            <c:strRef>
              <c:f>CALCULATIONS!$S$9</c:f>
              <c:strCache>
                <c:ptCount val="1"/>
                <c:pt idx="0">
                  <c:v>Telenet</c:v>
                </c:pt>
              </c:strCache>
            </c:strRef>
          </c:tx>
          <c:spPr>
            <a:ln w="28575">
              <a:solidFill>
                <a:srgbClr val="FFC000"/>
              </a:solidFill>
            </a:ln>
          </c:spPr>
          <c:marker>
            <c:symbol val="diamond"/>
            <c:size val="7"/>
            <c:spPr>
              <a:solidFill>
                <a:srgbClr val="FFC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CALCULATIONS!$T$9:$AH$9</c:f>
              <c:numCache>
                <c:formatCode>0.00</c:formatCode>
                <c:ptCount val="15"/>
                <c:pt idx="0">
                  <c:v>0.92049255428842269</c:v>
                </c:pt>
                <c:pt idx="1">
                  <c:v>1.0324871994707998</c:v>
                </c:pt>
                <c:pt idx="2">
                  <c:v>1</c:v>
                </c:pt>
                <c:pt idx="3">
                  <c:v>1.1389156874509956</c:v>
                </c:pt>
                <c:pt idx="4">
                  <c:v>1.3696898296195521</c:v>
                </c:pt>
                <c:pt idx="5">
                  <c:v>1.5451635036465585</c:v>
                </c:pt>
                <c:pt idx="6">
                  <c:v>1.5284670156731401</c:v>
                </c:pt>
                <c:pt idx="7">
                  <c:v>1.2906282881043631</c:v>
                </c:pt>
                <c:pt idx="8">
                  <c:v>1.3834238028453811</c:v>
                </c:pt>
                <c:pt idx="9">
                  <c:v>1.4578695953797549</c:v>
                </c:pt>
                <c:pt idx="10">
                  <c:v>1.6195464398062602</c:v>
                </c:pt>
                <c:pt idx="11">
                  <c:v>1.6313402545323641</c:v>
                </c:pt>
                <c:pt idx="12">
                  <c:v>1.6708035611008387</c:v>
                </c:pt>
                <c:pt idx="13">
                  <c:v>1.8130204273299517</c:v>
                </c:pt>
                <c:pt idx="14">
                  <c:v>1.6732729777139232</c:v>
                </c:pt>
              </c:numCache>
            </c:numRef>
          </c:val>
        </c:ser>
        <c:ser>
          <c:idx val="16"/>
          <c:order val="4"/>
          <c:tx>
            <c:strRef>
              <c:f>CALCULATIONS!$S$21</c:f>
              <c:strCache>
                <c:ptCount val="1"/>
                <c:pt idx="0">
                  <c:v>BT</c:v>
                </c:pt>
              </c:strCache>
            </c:strRef>
          </c:tx>
          <c:spPr>
            <a:ln w="19050">
              <a:solidFill>
                <a:srgbClr val="0070C0"/>
              </a:solidFill>
            </a:ln>
          </c:spPr>
          <c:marker>
            <c:symbol val="diamond"/>
            <c:size val="5"/>
            <c:spPr>
              <a:solidFill>
                <a:srgbClr val="FFC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CALCULATIONS!$T$21:$AH$21</c:f>
              <c:numCache>
                <c:formatCode>0.00</c:formatCode>
                <c:ptCount val="15"/>
                <c:pt idx="0">
                  <c:v>0.98689333108427757</c:v>
                </c:pt>
                <c:pt idx="1">
                  <c:v>0.95234434837593107</c:v>
                </c:pt>
                <c:pt idx="2">
                  <c:v>1</c:v>
                </c:pt>
                <c:pt idx="3">
                  <c:v>1.024390173064393</c:v>
                </c:pt>
                <c:pt idx="4">
                  <c:v>1.3230699510174049</c:v>
                </c:pt>
                <c:pt idx="5">
                  <c:v>1.4265949254571519</c:v>
                </c:pt>
                <c:pt idx="6">
                  <c:v>1.5488086070591938</c:v>
                </c:pt>
                <c:pt idx="7">
                  <c:v>1.2732817542907013</c:v>
                </c:pt>
                <c:pt idx="8">
                  <c:v>1.3995590785650471</c:v>
                </c:pt>
                <c:pt idx="9">
                  <c:v>1.6618492640238904</c:v>
                </c:pt>
                <c:pt idx="10">
                  <c:v>1.5528689116035814</c:v>
                </c:pt>
                <c:pt idx="11">
                  <c:v>1.7132663728762054</c:v>
                </c:pt>
                <c:pt idx="12">
                  <c:v>1.7157169642453682</c:v>
                </c:pt>
                <c:pt idx="13">
                  <c:v>2.065776047223534</c:v>
                </c:pt>
                <c:pt idx="14">
                  <c:v>2.2980141891936237</c:v>
                </c:pt>
              </c:numCache>
            </c:numRef>
          </c:val>
        </c:ser>
        <c:ser>
          <c:idx val="3"/>
          <c:order val="5"/>
          <c:tx>
            <c:strRef>
              <c:f>CALCULATIONS!$S$8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CALCULATIONS!$T$8:$AH$8</c:f>
              <c:numCache>
                <c:formatCode>0.00</c:formatCode>
                <c:ptCount val="15"/>
                <c:pt idx="0">
                  <c:v>1.0976521491909161</c:v>
                </c:pt>
                <c:pt idx="1">
                  <c:v>1.0488260745954583</c:v>
                </c:pt>
                <c:pt idx="2">
                  <c:v>1</c:v>
                </c:pt>
                <c:pt idx="3">
                  <c:v>1.0558733120973747</c:v>
                </c:pt>
                <c:pt idx="4">
                  <c:v>1.1117466241947491</c:v>
                </c:pt>
                <c:pt idx="5">
                  <c:v>1.1560927363359628</c:v>
                </c:pt>
                <c:pt idx="6">
                  <c:v>1.2004388484771762</c:v>
                </c:pt>
                <c:pt idx="7">
                  <c:v>1.0641920149205428</c:v>
                </c:pt>
                <c:pt idx="8">
                  <c:v>0.92794518136390913</c:v>
                </c:pt>
                <c:pt idx="9">
                  <c:v>0.77382241338785718</c:v>
                </c:pt>
                <c:pt idx="10">
                  <c:v>0.61969964541180522</c:v>
                </c:pt>
                <c:pt idx="11">
                  <c:v>0.53203872650693296</c:v>
                </c:pt>
                <c:pt idx="12">
                  <c:v>0.4443778076020608</c:v>
                </c:pt>
                <c:pt idx="13">
                  <c:v>0.40553198444325683</c:v>
                </c:pt>
                <c:pt idx="14">
                  <c:v>0.36668616128445281</c:v>
                </c:pt>
              </c:numCache>
            </c:numRef>
          </c:val>
        </c:ser>
        <c:ser>
          <c:idx val="17"/>
          <c:order val="6"/>
          <c:tx>
            <c:strRef>
              <c:f>CALCULATIONS!$S$22</c:f>
              <c:strCache>
                <c:ptCount val="1"/>
                <c:pt idx="0">
                  <c:v>VOD</c:v>
                </c:pt>
              </c:strCache>
            </c:strRef>
          </c:tx>
          <c:spPr>
            <a:ln w="19050">
              <a:solidFill>
                <a:srgbClr val="0070C0"/>
              </a:solidFill>
            </a:ln>
          </c:spPr>
          <c:marker>
            <c:symbol val="triangle"/>
            <c:size val="5"/>
            <c:spPr>
              <a:solidFill>
                <a:srgbClr val="C00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CALCULATIONS!$T$22:$AH$22</c:f>
              <c:numCache>
                <c:formatCode>0.00</c:formatCode>
                <c:ptCount val="15"/>
                <c:pt idx="0">
                  <c:v>0.98520496394155388</c:v>
                </c:pt>
                <c:pt idx="1">
                  <c:v>0.98520496394155388</c:v>
                </c:pt>
                <c:pt idx="2">
                  <c:v>1</c:v>
                </c:pt>
                <c:pt idx="3">
                  <c:v>1.0147950360584461</c:v>
                </c:pt>
                <c:pt idx="4">
                  <c:v>1.0676083697816543</c:v>
                </c:pt>
                <c:pt idx="5">
                  <c:v>1.120421703504862</c:v>
                </c:pt>
                <c:pt idx="6">
                  <c:v>1.0762046228931996</c:v>
                </c:pt>
                <c:pt idx="7">
                  <c:v>1.0319875422815368</c:v>
                </c:pt>
                <c:pt idx="8">
                  <c:v>1.0420875776264942</c:v>
                </c:pt>
                <c:pt idx="9">
                  <c:v>1.0521876129714518</c:v>
                </c:pt>
                <c:pt idx="10">
                  <c:v>1.0579816743820289</c:v>
                </c:pt>
                <c:pt idx="11">
                  <c:v>1.0637757357926059</c:v>
                </c:pt>
                <c:pt idx="12">
                  <c:v>1.0936236969428437</c:v>
                </c:pt>
                <c:pt idx="13">
                  <c:v>1.1234716580930815</c:v>
                </c:pt>
                <c:pt idx="14">
                  <c:v>1.1234716580930815</c:v>
                </c:pt>
              </c:numCache>
            </c:numRef>
          </c:val>
        </c:ser>
        <c:ser>
          <c:idx val="0"/>
          <c:order val="7"/>
          <c:tx>
            <c:strRef>
              <c:f>CALCULATIONS!$B$19</c:f>
              <c:strCache>
                <c:ptCount val="1"/>
                <c:pt idx="0">
                  <c:v>TPS</c:v>
                </c:pt>
              </c:strCache>
            </c:strRef>
          </c:tx>
          <c:spPr>
            <a:ln w="22225">
              <a:solidFill>
                <a:schemeClr val="bg1">
                  <a:lumMod val="50000"/>
                </a:schemeClr>
              </a:solidFill>
            </a:ln>
          </c:spPr>
          <c:marker>
            <c:symbol val="none"/>
          </c:marker>
          <c:val>
            <c:numRef>
              <c:f>CALCULATIONS!$T$19:$AH$19</c:f>
              <c:numCache>
                <c:formatCode>0.00</c:formatCode>
                <c:ptCount val="15"/>
                <c:pt idx="0">
                  <c:v>1.1100818381111281</c:v>
                </c:pt>
                <c:pt idx="1">
                  <c:v>1.1335664319920735</c:v>
                </c:pt>
                <c:pt idx="2">
                  <c:v>1</c:v>
                </c:pt>
                <c:pt idx="3">
                  <c:v>1.2573426574891096</c:v>
                </c:pt>
                <c:pt idx="4">
                  <c:v>1.1436570921938842</c:v>
                </c:pt>
                <c:pt idx="5">
                  <c:v>1.2307692323802037</c:v>
                </c:pt>
                <c:pt idx="6">
                  <c:v>1.1650349655841605</c:v>
                </c:pt>
                <c:pt idx="7">
                  <c:v>1.2167832186138681</c:v>
                </c:pt>
                <c:pt idx="8">
                  <c:v>1.1946892270649596</c:v>
                </c:pt>
                <c:pt idx="9">
                  <c:v>1.1951048967524811</c:v>
                </c:pt>
                <c:pt idx="10">
                  <c:v>1.0888111910811962</c:v>
                </c:pt>
                <c:pt idx="11">
                  <c:v>1.1503496506059416</c:v>
                </c:pt>
                <c:pt idx="12">
                  <c:v>0.85524475385346044</c:v>
                </c:pt>
                <c:pt idx="13">
                  <c:v>0.4664335680079264</c:v>
                </c:pt>
                <c:pt idx="14">
                  <c:v>0.52563611593242876</c:v>
                </c:pt>
              </c:numCache>
            </c:numRef>
          </c:val>
        </c:ser>
        <c:marker val="1"/>
        <c:axId val="168611200"/>
        <c:axId val="168545280"/>
      </c:lineChart>
      <c:dateAx>
        <c:axId val="168611200"/>
        <c:scaling>
          <c:orientation val="minMax"/>
        </c:scaling>
        <c:axPos val="b"/>
        <c:numFmt formatCode="mm/yyyy;@" sourceLinked="0"/>
        <c:tickLblPos val="nextTo"/>
        <c:crossAx val="168545280"/>
        <c:crosses val="autoZero"/>
        <c:auto val="1"/>
        <c:lblOffset val="100"/>
        <c:majorUnit val="6"/>
        <c:majorTimeUnit val="months"/>
      </c:dateAx>
      <c:valAx>
        <c:axId val="168545280"/>
        <c:scaling>
          <c:orientation val="minMax"/>
        </c:scaling>
        <c:axPos val="l"/>
        <c:majorGridlines>
          <c:spPr>
            <a:ln>
              <a:solidFill>
                <a:schemeClr val="bg1">
                  <a:lumMod val="50000"/>
                </a:schemeClr>
              </a:solidFill>
              <a:prstDash val="dash"/>
            </a:ln>
          </c:spPr>
        </c:majorGridlines>
        <c:numFmt formatCode="0.0" sourceLinked="0"/>
        <c:tickLblPos val="nextTo"/>
        <c:crossAx val="168611200"/>
        <c:crosses val="autoZero"/>
        <c:crossBetween val="between"/>
        <c:majorUnit val="0.2"/>
      </c:valAx>
    </c:plotArea>
    <c:legend>
      <c:legendPos val="r"/>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0855" l="0.70000000000000062" r="0.70000000000000062" t="0.750000000000008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2"/>
          <c:order val="0"/>
          <c:tx>
            <c:strRef>
              <c:f>CALCULATIONS!$S$7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CALCULATIONS!$FG$7:$FU$7</c:f>
              <c:numCache>
                <c:formatCode>0.0</c:formatCode>
                <c:ptCount val="15"/>
                <c:pt idx="0">
                  <c:v>4.2885463249133933</c:v>
                </c:pt>
                <c:pt idx="1">
                  <c:v>3.9618557811118289</c:v>
                </c:pt>
                <c:pt idx="2">
                  <c:v>3.9006785302867524</c:v>
                </c:pt>
                <c:pt idx="3">
                  <c:v>4.1410125423515485</c:v>
                </c:pt>
                <c:pt idx="4">
                  <c:v>4.1241559139513644</c:v>
                </c:pt>
                <c:pt idx="5">
                  <c:v>5.2671505229384259</c:v>
                </c:pt>
                <c:pt idx="6">
                  <c:v>5.2223693161108651</c:v>
                </c:pt>
                <c:pt idx="7">
                  <c:v>4.8179225884237669</c:v>
                </c:pt>
                <c:pt idx="8">
                  <c:v>5.0287788436693788</c:v>
                </c:pt>
                <c:pt idx="9">
                  <c:v>5.1741131495120847</c:v>
                </c:pt>
                <c:pt idx="10">
                  <c:v>5.3259826222569435</c:v>
                </c:pt>
                <c:pt idx="11">
                  <c:v>5.4654156252831125</c:v>
                </c:pt>
                <c:pt idx="12">
                  <c:v>5.0403995907375387</c:v>
                </c:pt>
                <c:pt idx="13">
                  <c:v>4.7843999563302617</c:v>
                </c:pt>
                <c:pt idx="14">
                  <c:v>4.6619962755533297</c:v>
                </c:pt>
              </c:numCache>
            </c:numRef>
          </c:val>
        </c:ser>
        <c:ser>
          <c:idx val="3"/>
          <c:order val="1"/>
          <c:tx>
            <c:strRef>
              <c:f>CALCULATIONS!$S$8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CALCULATIONS!$FG$8:$FU$8</c:f>
              <c:numCache>
                <c:formatCode>0.0</c:formatCode>
                <c:ptCount val="15"/>
                <c:pt idx="0">
                  <c:v>5.5752364574033733</c:v>
                </c:pt>
                <c:pt idx="1">
                  <c:v>5.4047333376614315</c:v>
                </c:pt>
                <c:pt idx="2">
                  <c:v>5.2339153941178145</c:v>
                </c:pt>
                <c:pt idx="3">
                  <c:v>5.5576682975344065</c:v>
                </c:pt>
                <c:pt idx="4">
                  <c:v>5.8810790231121963</c:v>
                </c:pt>
                <c:pt idx="5">
                  <c:v>6.1582168528162011</c:v>
                </c:pt>
                <c:pt idx="6">
                  <c:v>6.4355828272677673</c:v>
                </c:pt>
                <c:pt idx="7">
                  <c:v>5.8542333336833154</c:v>
                </c:pt>
                <c:pt idx="8">
                  <c:v>5.2720746336887681</c:v>
                </c:pt>
                <c:pt idx="9">
                  <c:v>4.7383879777317404</c:v>
                </c:pt>
                <c:pt idx="10">
                  <c:v>4.207010335202404</c:v>
                </c:pt>
                <c:pt idx="11">
                  <c:v>3.8238807121569747</c:v>
                </c:pt>
                <c:pt idx="12">
                  <c:v>3.442306594398771</c:v>
                </c:pt>
                <c:pt idx="13">
                  <c:v>3.5594938248269159</c:v>
                </c:pt>
                <c:pt idx="14">
                  <c:v>3.6764587184436395</c:v>
                </c:pt>
              </c:numCache>
            </c:numRef>
          </c:val>
        </c:ser>
        <c:ser>
          <c:idx val="4"/>
          <c:order val="2"/>
          <c:tx>
            <c:strRef>
              <c:f>CALCULATIONS!$S$9</c:f>
              <c:strCache>
                <c:ptCount val="1"/>
                <c:pt idx="0">
                  <c:v>Telenet</c:v>
                </c:pt>
              </c:strCache>
            </c:strRef>
          </c:tx>
          <c:spPr>
            <a:ln w="28575">
              <a:solidFill>
                <a:srgbClr val="FFC000"/>
              </a:solidFill>
            </a:ln>
          </c:spPr>
          <c:marker>
            <c:symbol val="diamond"/>
            <c:size val="7"/>
            <c:spPr>
              <a:solidFill>
                <a:srgbClr val="FFC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CALCULATIONS!$FG$9:$FU$9</c:f>
              <c:numCache>
                <c:formatCode>0.0</c:formatCode>
                <c:ptCount val="15"/>
                <c:pt idx="0">
                  <c:v>7.3882795026632264</c:v>
                </c:pt>
                <c:pt idx="1">
                  <c:v>7.511456716472753</c:v>
                </c:pt>
                <c:pt idx="2">
                  <c:v>7.1707944229261198</c:v>
                </c:pt>
                <c:pt idx="3">
                  <c:v>7.7055366686292892</c:v>
                </c:pt>
                <c:pt idx="4">
                  <c:v>8.4062817091520898</c:v>
                </c:pt>
                <c:pt idx="5">
                  <c:v>8.8763505624407077</c:v>
                </c:pt>
                <c:pt idx="6">
                  <c:v>8.5774744199633144</c:v>
                </c:pt>
                <c:pt idx="7">
                  <c:v>8.8417973134188603</c:v>
                </c:pt>
                <c:pt idx="8">
                  <c:v>8.7507454377216138</c:v>
                </c:pt>
                <c:pt idx="9">
                  <c:v>8.7120469152324826</c:v>
                </c:pt>
                <c:pt idx="10">
                  <c:v>9.1838724950545316</c:v>
                </c:pt>
                <c:pt idx="11">
                  <c:v>9.135932537020869</c:v>
                </c:pt>
                <c:pt idx="12">
                  <c:v>9.0664383370126806</c:v>
                </c:pt>
                <c:pt idx="13">
                  <c:v>9.4423485403827989</c:v>
                </c:pt>
                <c:pt idx="14">
                  <c:v>9.0506669895995948</c:v>
                </c:pt>
              </c:numCache>
            </c:numRef>
          </c:val>
        </c:ser>
        <c:ser>
          <c:idx val="1"/>
          <c:order val="3"/>
          <c:tx>
            <c:v>EV* avg.</c:v>
          </c:tx>
          <c:spPr>
            <a:ln w="19050">
              <a:solidFill>
                <a:prstClr val="black"/>
              </a:solidFill>
            </a:ln>
          </c:spPr>
          <c:marker>
            <c:symbol val="none"/>
          </c:marker>
          <c:val>
            <c:numRef>
              <c:f>CALCULATIONS!$FG$42:$FU$42</c:f>
              <c:numCache>
                <c:formatCode>0.0</c:formatCode>
                <c:ptCount val="15"/>
                <c:pt idx="0">
                  <c:v>5.2967542491987132</c:v>
                </c:pt>
                <c:pt idx="1">
                  <c:v>5.0737318467773678</c:v>
                </c:pt>
                <c:pt idx="2">
                  <c:v>4.9171437546117289</c:v>
                </c:pt>
                <c:pt idx="3">
                  <c:v>5.2716242268817162</c:v>
                </c:pt>
                <c:pt idx="4">
                  <c:v>5.6882436822288636</c:v>
                </c:pt>
                <c:pt idx="5">
                  <c:v>6.4913339947622788</c:v>
                </c:pt>
                <c:pt idx="6">
                  <c:v>6.4227292587138756</c:v>
                </c:pt>
                <c:pt idx="7">
                  <c:v>6.2488976706353814</c:v>
                </c:pt>
                <c:pt idx="8">
                  <c:v>6.2487365146844596</c:v>
                </c:pt>
                <c:pt idx="9">
                  <c:v>6.2603565393348699</c:v>
                </c:pt>
                <c:pt idx="10">
                  <c:v>6.5340810446223898</c:v>
                </c:pt>
                <c:pt idx="11">
                  <c:v>6.6182307194366299</c:v>
                </c:pt>
                <c:pt idx="12">
                  <c:v>6.4302951723889556</c:v>
                </c:pt>
                <c:pt idx="13">
                  <c:v>6.5858108925210557</c:v>
                </c:pt>
                <c:pt idx="14">
                  <c:v>6.4803078290533485</c:v>
                </c:pt>
              </c:numCache>
            </c:numRef>
          </c:val>
        </c:ser>
        <c:ser>
          <c:idx val="0"/>
          <c:order val="4"/>
          <c:tx>
            <c:v>Mkt Cap avg.</c:v>
          </c:tx>
          <c:spPr>
            <a:ln w="19050">
              <a:solidFill>
                <a:schemeClr val="tx1"/>
              </a:solidFill>
              <a:prstDash val="sysDash"/>
            </a:ln>
          </c:spPr>
          <c:marker>
            <c:symbol val="none"/>
          </c:marker>
          <c:val>
            <c:numRef>
              <c:f>CALCULATIONS!$FG$41:$FU$41</c:f>
              <c:numCache>
                <c:formatCode>0.0</c:formatCode>
                <c:ptCount val="15"/>
                <c:pt idx="0">
                  <c:v>5.0857987540790237</c:v>
                </c:pt>
                <c:pt idx="1">
                  <c:v>4.8462173235416532</c:v>
                </c:pt>
                <c:pt idx="2">
                  <c:v>4.7281901422629922</c:v>
                </c:pt>
                <c:pt idx="3">
                  <c:v>5.0455917230427243</c:v>
                </c:pt>
                <c:pt idx="4">
                  <c:v>5.4740552716495561</c:v>
                </c:pt>
                <c:pt idx="5">
                  <c:v>6.3081733140473482</c:v>
                </c:pt>
                <c:pt idx="6">
                  <c:v>6.2927768296860034</c:v>
                </c:pt>
                <c:pt idx="7">
                  <c:v>5.9568594704927982</c:v>
                </c:pt>
                <c:pt idx="8">
                  <c:v>5.9971334360864601</c:v>
                </c:pt>
                <c:pt idx="9">
                  <c:v>6.0205830680178254</c:v>
                </c:pt>
                <c:pt idx="10">
                  <c:v>6.3390055343071374</c:v>
                </c:pt>
                <c:pt idx="11">
                  <c:v>6.3782047963979753</c:v>
                </c:pt>
                <c:pt idx="12">
                  <c:v>6.2149521900387903</c:v>
                </c:pt>
                <c:pt idx="13">
                  <c:v>6.3783142020381636</c:v>
                </c:pt>
                <c:pt idx="14">
                  <c:v>6.2146690797526505</c:v>
                </c:pt>
              </c:numCache>
            </c:numRef>
          </c:val>
        </c:ser>
        <c:marker val="1"/>
        <c:axId val="168670720"/>
        <c:axId val="168672256"/>
      </c:lineChart>
      <c:dateAx>
        <c:axId val="168670720"/>
        <c:scaling>
          <c:orientation val="minMax"/>
        </c:scaling>
        <c:axPos val="b"/>
        <c:numFmt formatCode="mm/yyyy;@" sourceLinked="0"/>
        <c:tickLblPos val="nextTo"/>
        <c:crossAx val="168672256"/>
        <c:crosses val="autoZero"/>
        <c:auto val="1"/>
        <c:lblOffset val="100"/>
        <c:majorUnit val="6"/>
        <c:majorTimeUnit val="months"/>
      </c:dateAx>
      <c:valAx>
        <c:axId val="168672256"/>
        <c:scaling>
          <c:orientation val="minMax"/>
        </c:scaling>
        <c:axPos val="l"/>
        <c:majorGridlines>
          <c:spPr>
            <a:ln>
              <a:solidFill>
                <a:schemeClr val="bg1">
                  <a:lumMod val="50000"/>
                </a:schemeClr>
              </a:solidFill>
              <a:prstDash val="dash"/>
            </a:ln>
          </c:spPr>
        </c:majorGridlines>
        <c:numFmt formatCode="0" sourceLinked="0"/>
        <c:tickLblPos val="nextTo"/>
        <c:crossAx val="168670720"/>
        <c:crosses val="autoZero"/>
        <c:crossBetween val="between"/>
      </c:valAx>
      <c:spPr>
        <a:noFill/>
      </c:spPr>
    </c:plotArea>
    <c:legend>
      <c:legendPos val="r"/>
    </c:legend>
    <c:plotVisOnly val="1"/>
  </c:chart>
  <c:spPr>
    <a:noFill/>
    <a:ln>
      <a:noFill/>
    </a:ln>
  </c:spPr>
  <c:txPr>
    <a:bodyPr/>
    <a:lstStyle/>
    <a:p>
      <a:pPr>
        <a:defRPr sz="1200">
          <a:latin typeface="Arial" pitchFamily="34" charset="0"/>
          <a:cs typeface="Arial" pitchFamily="34" charset="0"/>
        </a:defRPr>
      </a:pPr>
      <a:endParaRPr lang="fr-FR"/>
    </a:p>
  </c:txPr>
  <c:printSettings>
    <c:headerFooter/>
    <c:pageMargins b="0.75000000000000877" l="0.70000000000000062" r="0.70000000000000062" t="0.75000000000000877"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5219154499082226E-2"/>
          <c:y val="4.1812137751414034E-2"/>
          <c:w val="0.7654028642006927"/>
          <c:h val="0.86141379361851433"/>
        </c:manualLayout>
      </c:layout>
      <c:lineChart>
        <c:grouping val="standard"/>
        <c:ser>
          <c:idx val="2"/>
          <c:order val="0"/>
          <c:tx>
            <c:strRef>
              <c:f>CALCULATIONS!$S$7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CALCULATIONS!$T$7:$AH$7</c:f>
              <c:numCache>
                <c:formatCode>0.00</c:formatCode>
                <c:ptCount val="15"/>
                <c:pt idx="0">
                  <c:v>0.9375949600736202</c:v>
                </c:pt>
                <c:pt idx="1">
                  <c:v>1.0596053311851197</c:v>
                </c:pt>
                <c:pt idx="2">
                  <c:v>1</c:v>
                </c:pt>
                <c:pt idx="3">
                  <c:v>1.1059346610413616</c:v>
                </c:pt>
                <c:pt idx="4">
                  <c:v>0.92385177445505473</c:v>
                </c:pt>
                <c:pt idx="5">
                  <c:v>1.0051339717232151</c:v>
                </c:pt>
                <c:pt idx="6">
                  <c:v>0.95089890370332808</c:v>
                </c:pt>
                <c:pt idx="7">
                  <c:v>0.87608737926907276</c:v>
                </c:pt>
                <c:pt idx="8">
                  <c:v>0.88068086248400801</c:v>
                </c:pt>
                <c:pt idx="9">
                  <c:v>0.93188545472966378</c:v>
                </c:pt>
                <c:pt idx="10">
                  <c:v>0.86816195682391817</c:v>
                </c:pt>
                <c:pt idx="11">
                  <c:v>0.91816135863221393</c:v>
                </c:pt>
                <c:pt idx="12">
                  <c:v>0.80845466998198301</c:v>
                </c:pt>
                <c:pt idx="13">
                  <c:v>0.74979956002828585</c:v>
                </c:pt>
                <c:pt idx="14">
                  <c:v>0.66634474879070904</c:v>
                </c:pt>
              </c:numCache>
            </c:numRef>
          </c:val>
        </c:ser>
        <c:ser>
          <c:idx val="3"/>
          <c:order val="1"/>
          <c:tx>
            <c:strRef>
              <c:f>CALCULATIONS!$S$8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CALCULATIONS!$T$8:$AH$8</c:f>
              <c:numCache>
                <c:formatCode>0.00</c:formatCode>
                <c:ptCount val="15"/>
                <c:pt idx="0">
                  <c:v>1.0976521491909161</c:v>
                </c:pt>
                <c:pt idx="1">
                  <c:v>1.0488260745954583</c:v>
                </c:pt>
                <c:pt idx="2">
                  <c:v>1</c:v>
                </c:pt>
                <c:pt idx="3">
                  <c:v>1.0558733120973747</c:v>
                </c:pt>
                <c:pt idx="4">
                  <c:v>1.1117466241947491</c:v>
                </c:pt>
                <c:pt idx="5">
                  <c:v>1.1560927363359628</c:v>
                </c:pt>
                <c:pt idx="6">
                  <c:v>1.2004388484771762</c:v>
                </c:pt>
                <c:pt idx="7">
                  <c:v>1.0641920149205428</c:v>
                </c:pt>
                <c:pt idx="8">
                  <c:v>0.92794518136390913</c:v>
                </c:pt>
                <c:pt idx="9">
                  <c:v>0.77382241338785718</c:v>
                </c:pt>
                <c:pt idx="10">
                  <c:v>0.61969964541180522</c:v>
                </c:pt>
                <c:pt idx="11">
                  <c:v>0.53203872650693296</c:v>
                </c:pt>
                <c:pt idx="12">
                  <c:v>0.4443778076020608</c:v>
                </c:pt>
                <c:pt idx="13">
                  <c:v>0.40553198444325683</c:v>
                </c:pt>
                <c:pt idx="14">
                  <c:v>0.36668616128445281</c:v>
                </c:pt>
              </c:numCache>
            </c:numRef>
          </c:val>
        </c:ser>
        <c:ser>
          <c:idx val="4"/>
          <c:order val="2"/>
          <c:tx>
            <c:strRef>
              <c:f>CALCULATIONS!$S$9</c:f>
              <c:strCache>
                <c:ptCount val="1"/>
                <c:pt idx="0">
                  <c:v>Telenet</c:v>
                </c:pt>
              </c:strCache>
            </c:strRef>
          </c:tx>
          <c:spPr>
            <a:ln w="28575">
              <a:solidFill>
                <a:srgbClr val="FFC000"/>
              </a:solidFill>
            </a:ln>
          </c:spPr>
          <c:marker>
            <c:symbol val="diamond"/>
            <c:size val="7"/>
            <c:spPr>
              <a:solidFill>
                <a:srgbClr val="FFC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CALCULATIONS!$T$9:$AH$9</c:f>
              <c:numCache>
                <c:formatCode>0.00</c:formatCode>
                <c:ptCount val="15"/>
                <c:pt idx="0">
                  <c:v>0.92049255428842269</c:v>
                </c:pt>
                <c:pt idx="1">
                  <c:v>1.0324871994707998</c:v>
                </c:pt>
                <c:pt idx="2">
                  <c:v>1</c:v>
                </c:pt>
                <c:pt idx="3">
                  <c:v>1.1389156874509956</c:v>
                </c:pt>
                <c:pt idx="4">
                  <c:v>1.3696898296195521</c:v>
                </c:pt>
                <c:pt idx="5">
                  <c:v>1.5451635036465585</c:v>
                </c:pt>
                <c:pt idx="6">
                  <c:v>1.5284670156731401</c:v>
                </c:pt>
                <c:pt idx="7">
                  <c:v>1.2906282881043631</c:v>
                </c:pt>
                <c:pt idx="8">
                  <c:v>1.3834238028453811</c:v>
                </c:pt>
                <c:pt idx="9">
                  <c:v>1.4578695953797549</c:v>
                </c:pt>
                <c:pt idx="10">
                  <c:v>1.6195464398062602</c:v>
                </c:pt>
                <c:pt idx="11">
                  <c:v>1.6313402545323641</c:v>
                </c:pt>
                <c:pt idx="12">
                  <c:v>1.6708035611008387</c:v>
                </c:pt>
                <c:pt idx="13">
                  <c:v>1.8130204273299517</c:v>
                </c:pt>
                <c:pt idx="14">
                  <c:v>1.6732729777139232</c:v>
                </c:pt>
              </c:numCache>
            </c:numRef>
          </c:val>
        </c:ser>
        <c:ser>
          <c:idx val="16"/>
          <c:order val="3"/>
          <c:tx>
            <c:strRef>
              <c:f>CALCULATIONS!$S$21</c:f>
              <c:strCache>
                <c:ptCount val="1"/>
                <c:pt idx="0">
                  <c:v>BT</c:v>
                </c:pt>
              </c:strCache>
            </c:strRef>
          </c:tx>
          <c:spPr>
            <a:ln w="19050">
              <a:solidFill>
                <a:srgbClr val="0070C0"/>
              </a:solidFill>
            </a:ln>
          </c:spPr>
          <c:marker>
            <c:symbol val="diamond"/>
            <c:size val="5"/>
            <c:spPr>
              <a:solidFill>
                <a:srgbClr val="FFC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CALCULATIONS!$T$21:$AH$21</c:f>
              <c:numCache>
                <c:formatCode>0.00</c:formatCode>
                <c:ptCount val="15"/>
                <c:pt idx="0">
                  <c:v>0.98689333108427757</c:v>
                </c:pt>
                <c:pt idx="1">
                  <c:v>0.95234434837593107</c:v>
                </c:pt>
                <c:pt idx="2">
                  <c:v>1</c:v>
                </c:pt>
                <c:pt idx="3">
                  <c:v>1.024390173064393</c:v>
                </c:pt>
                <c:pt idx="4">
                  <c:v>1.3230699510174049</c:v>
                </c:pt>
                <c:pt idx="5">
                  <c:v>1.4265949254571519</c:v>
                </c:pt>
                <c:pt idx="6">
                  <c:v>1.5488086070591938</c:v>
                </c:pt>
                <c:pt idx="7">
                  <c:v>1.2732817542907013</c:v>
                </c:pt>
                <c:pt idx="8">
                  <c:v>1.3995590785650471</c:v>
                </c:pt>
                <c:pt idx="9">
                  <c:v>1.6618492640238904</c:v>
                </c:pt>
                <c:pt idx="10">
                  <c:v>1.5528689116035814</c:v>
                </c:pt>
                <c:pt idx="11">
                  <c:v>1.7132663728762054</c:v>
                </c:pt>
                <c:pt idx="12">
                  <c:v>1.7157169642453682</c:v>
                </c:pt>
                <c:pt idx="13">
                  <c:v>2.065776047223534</c:v>
                </c:pt>
                <c:pt idx="14">
                  <c:v>2.2980141891936237</c:v>
                </c:pt>
              </c:numCache>
            </c:numRef>
          </c:val>
        </c:ser>
        <c:ser>
          <c:idx val="17"/>
          <c:order val="4"/>
          <c:tx>
            <c:strRef>
              <c:f>CALCULATIONS!$S$22</c:f>
              <c:strCache>
                <c:ptCount val="1"/>
                <c:pt idx="0">
                  <c:v>VOD</c:v>
                </c:pt>
              </c:strCache>
            </c:strRef>
          </c:tx>
          <c:spPr>
            <a:ln w="19050">
              <a:solidFill>
                <a:srgbClr val="0070C0"/>
              </a:solidFill>
            </a:ln>
          </c:spPr>
          <c:marker>
            <c:symbol val="triangle"/>
            <c:size val="5"/>
            <c:spPr>
              <a:solidFill>
                <a:srgbClr val="C00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CALCULATIONS!$T$22:$AH$22</c:f>
              <c:numCache>
                <c:formatCode>0.00</c:formatCode>
                <c:ptCount val="15"/>
                <c:pt idx="0">
                  <c:v>0.98520496394155388</c:v>
                </c:pt>
                <c:pt idx="1">
                  <c:v>0.98520496394155388</c:v>
                </c:pt>
                <c:pt idx="2">
                  <c:v>1</c:v>
                </c:pt>
                <c:pt idx="3">
                  <c:v>1.0147950360584461</c:v>
                </c:pt>
                <c:pt idx="4">
                  <c:v>1.0676083697816543</c:v>
                </c:pt>
                <c:pt idx="5">
                  <c:v>1.120421703504862</c:v>
                </c:pt>
                <c:pt idx="6">
                  <c:v>1.0762046228931996</c:v>
                </c:pt>
                <c:pt idx="7">
                  <c:v>1.0319875422815368</c:v>
                </c:pt>
                <c:pt idx="8">
                  <c:v>1.0420875776264942</c:v>
                </c:pt>
                <c:pt idx="9">
                  <c:v>1.0521876129714518</c:v>
                </c:pt>
                <c:pt idx="10">
                  <c:v>1.0579816743820289</c:v>
                </c:pt>
                <c:pt idx="11">
                  <c:v>1.0637757357926059</c:v>
                </c:pt>
                <c:pt idx="12">
                  <c:v>1.0936236969428437</c:v>
                </c:pt>
                <c:pt idx="13">
                  <c:v>1.1234716580930815</c:v>
                </c:pt>
                <c:pt idx="14">
                  <c:v>1.1234716580930815</c:v>
                </c:pt>
              </c:numCache>
            </c:numRef>
          </c:val>
        </c:ser>
        <c:ser>
          <c:idx val="5"/>
          <c:order val="5"/>
          <c:tx>
            <c:strRef>
              <c:f>CALCULATIONS!$S$10</c:f>
              <c:strCache>
                <c:ptCount val="1"/>
                <c:pt idx="0">
                  <c:v>TDC</c:v>
                </c:pt>
              </c:strCache>
            </c:strRef>
          </c:tx>
          <c:spPr>
            <a:ln w="15875">
              <a:solidFill>
                <a:schemeClr val="bg2">
                  <a:lumMod val="50000"/>
                </a:schemeClr>
              </a:solidFill>
            </a:ln>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CALCULATIONS!$T$10:$AH$10</c:f>
              <c:numCache>
                <c:formatCode>0.00</c:formatCode>
                <c:ptCount val="15"/>
                <c:pt idx="0">
                  <c:v>1.11331594520898</c:v>
                </c:pt>
                <c:pt idx="1">
                  <c:v>1.111087708235821</c:v>
                </c:pt>
                <c:pt idx="2">
                  <c:v>1</c:v>
                </c:pt>
                <c:pt idx="3">
                  <c:v>1.0427831360082092</c:v>
                </c:pt>
                <c:pt idx="4">
                  <c:v>0.90962296214032845</c:v>
                </c:pt>
                <c:pt idx="5">
                  <c:v>0.80900059473824282</c:v>
                </c:pt>
                <c:pt idx="6">
                  <c:v>0.89016614901577873</c:v>
                </c:pt>
                <c:pt idx="7">
                  <c:v>0.86342702949911387</c:v>
                </c:pt>
                <c:pt idx="8">
                  <c:v>0.86461912185568557</c:v>
                </c:pt>
                <c:pt idx="9">
                  <c:v>0.76955565247252455</c:v>
                </c:pt>
                <c:pt idx="10">
                  <c:v>0.7737277136737063</c:v>
                </c:pt>
                <c:pt idx="11">
                  <c:v>0.80141502891791239</c:v>
                </c:pt>
                <c:pt idx="12">
                  <c:v>0.75931513861507838</c:v>
                </c:pt>
                <c:pt idx="13">
                  <c:v>0.84749734127641996</c:v>
                </c:pt>
                <c:pt idx="14">
                  <c:v>0.86680674387051748</c:v>
                </c:pt>
              </c:numCache>
            </c:numRef>
          </c:val>
        </c:ser>
        <c:ser>
          <c:idx val="13"/>
          <c:order val="6"/>
          <c:tx>
            <c:strRef>
              <c:f>CALCULATIONS!$S$18</c:f>
              <c:strCache>
                <c:ptCount val="1"/>
                <c:pt idx="0">
                  <c:v>KPN</c:v>
                </c:pt>
              </c:strCache>
            </c:strRef>
          </c:tx>
          <c:spPr>
            <a:ln w="22225">
              <a:solidFill>
                <a:schemeClr val="accent3">
                  <a:lumMod val="50000"/>
                </a:schemeClr>
              </a:solidFill>
            </a:ln>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CALCULATIONS!$T$18:$AH$18</c:f>
              <c:numCache>
                <c:formatCode>0.00</c:formatCode>
                <c:ptCount val="15"/>
                <c:pt idx="0">
                  <c:v>1.1377925912334799</c:v>
                </c:pt>
                <c:pt idx="1">
                  <c:v>1.1198090684661495</c:v>
                </c:pt>
                <c:pt idx="2">
                  <c:v>1</c:v>
                </c:pt>
                <c:pt idx="3">
                  <c:v>1.0525782423714849</c:v>
                </c:pt>
                <c:pt idx="4">
                  <c:v>1.0131471490800472</c:v>
                </c:pt>
                <c:pt idx="5">
                  <c:v>1.0837476279575495</c:v>
                </c:pt>
                <c:pt idx="6">
                  <c:v>0.90432518360559888</c:v>
                </c:pt>
                <c:pt idx="7">
                  <c:v>0.86306432044025816</c:v>
                </c:pt>
                <c:pt idx="8">
                  <c:v>0.78078951956203091</c:v>
                </c:pt>
                <c:pt idx="9">
                  <c:v>0.69658755679553841</c:v>
                </c:pt>
                <c:pt idx="10">
                  <c:v>0.63814447209758318</c:v>
                </c:pt>
                <c:pt idx="11">
                  <c:v>0.50217139118427645</c:v>
                </c:pt>
                <c:pt idx="12">
                  <c:v>0.31383600230205744</c:v>
                </c:pt>
                <c:pt idx="13">
                  <c:v>0.22161078533373491</c:v>
                </c:pt>
                <c:pt idx="14">
                  <c:v>0.40233478298448</c:v>
                </c:pt>
              </c:numCache>
            </c:numRef>
          </c:val>
        </c:ser>
        <c:ser>
          <c:idx val="14"/>
          <c:order val="7"/>
          <c:tx>
            <c:strRef>
              <c:f>CALCULATIONS!$S$19</c:f>
              <c:strCache>
                <c:ptCount val="1"/>
                <c:pt idx="0">
                  <c:v>TPS</c:v>
                </c:pt>
              </c:strCache>
            </c:strRef>
          </c:tx>
          <c:spPr>
            <a:ln w="25400">
              <a:solidFill>
                <a:srgbClr val="7F7F7F"/>
              </a:solidFill>
              <a:prstDash val="solid"/>
            </a:ln>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CALCULATIONS!$T$19:$AH$19</c:f>
              <c:numCache>
                <c:formatCode>0.00</c:formatCode>
                <c:ptCount val="15"/>
                <c:pt idx="0">
                  <c:v>1.1100818381111281</c:v>
                </c:pt>
                <c:pt idx="1">
                  <c:v>1.1335664319920735</c:v>
                </c:pt>
                <c:pt idx="2">
                  <c:v>1</c:v>
                </c:pt>
                <c:pt idx="3">
                  <c:v>1.2573426574891096</c:v>
                </c:pt>
                <c:pt idx="4">
                  <c:v>1.1436570921938842</c:v>
                </c:pt>
                <c:pt idx="5">
                  <c:v>1.2307692323802037</c:v>
                </c:pt>
                <c:pt idx="6">
                  <c:v>1.1650349655841605</c:v>
                </c:pt>
                <c:pt idx="7">
                  <c:v>1.2167832186138681</c:v>
                </c:pt>
                <c:pt idx="8">
                  <c:v>1.1946892270649596</c:v>
                </c:pt>
                <c:pt idx="9">
                  <c:v>1.1951048967524811</c:v>
                </c:pt>
                <c:pt idx="10">
                  <c:v>1.0888111910811962</c:v>
                </c:pt>
                <c:pt idx="11">
                  <c:v>1.1503496506059416</c:v>
                </c:pt>
                <c:pt idx="12">
                  <c:v>0.85524475385346044</c:v>
                </c:pt>
                <c:pt idx="13">
                  <c:v>0.4664335680079264</c:v>
                </c:pt>
                <c:pt idx="14">
                  <c:v>0.52563611593242876</c:v>
                </c:pt>
              </c:numCache>
            </c:numRef>
          </c:val>
        </c:ser>
        <c:ser>
          <c:idx val="11"/>
          <c:order val="8"/>
          <c:tx>
            <c:strRef>
              <c:f>CALCULATIONS!$S$16</c:f>
              <c:strCache>
                <c:ptCount val="1"/>
                <c:pt idx="0">
                  <c:v>TIT</c:v>
                </c:pt>
              </c:strCache>
            </c:strRef>
          </c:tx>
          <c:spPr>
            <a:ln w="15875"/>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CALCULATIONS!$T$16:$AH$16</c:f>
              <c:numCache>
                <c:formatCode>0.00</c:formatCode>
                <c:ptCount val="15"/>
                <c:pt idx="0">
                  <c:v>1.1956043958804889</c:v>
                </c:pt>
                <c:pt idx="1">
                  <c:v>1.1714285743652026</c:v>
                </c:pt>
                <c:pt idx="2">
                  <c:v>1</c:v>
                </c:pt>
                <c:pt idx="3">
                  <c:v>1.1279571849999219</c:v>
                </c:pt>
                <c:pt idx="4">
                  <c:v>1.0641313152701266</c:v>
                </c:pt>
                <c:pt idx="5">
                  <c:v>1.1939839505304761</c:v>
                </c:pt>
                <c:pt idx="6">
                  <c:v>1.0558779702925718</c:v>
                </c:pt>
                <c:pt idx="7">
                  <c:v>0.90223088647351224</c:v>
                </c:pt>
                <c:pt idx="8">
                  <c:v>0.91489184737119555</c:v>
                </c:pt>
                <c:pt idx="9">
                  <c:v>0.98149949732133301</c:v>
                </c:pt>
                <c:pt idx="10">
                  <c:v>0.85929372416764804</c:v>
                </c:pt>
                <c:pt idx="11">
                  <c:v>0.85874324611728359</c:v>
                </c:pt>
                <c:pt idx="12">
                  <c:v>0.75195081840298761</c:v>
                </c:pt>
                <c:pt idx="13">
                  <c:v>0.60662504136550988</c:v>
                </c:pt>
                <c:pt idx="14">
                  <c:v>0.58790883904416724</c:v>
                </c:pt>
              </c:numCache>
            </c:numRef>
          </c:val>
        </c:ser>
        <c:ser>
          <c:idx val="20"/>
          <c:order val="9"/>
          <c:tx>
            <c:strRef>
              <c:f>CALCULATIONS!$S$25</c:f>
              <c:strCache>
                <c:ptCount val="1"/>
                <c:pt idx="0">
                  <c:v>SCM</c:v>
                </c:pt>
              </c:strCache>
            </c:strRef>
          </c:tx>
          <c:spPr>
            <a:ln w="15875"/>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CALCULATIONS!$T$25:$AH$25</c:f>
              <c:numCache>
                <c:formatCode>0.00</c:formatCode>
                <c:ptCount val="15"/>
                <c:pt idx="0">
                  <c:v>1.078143187139347</c:v>
                </c:pt>
                <c:pt idx="1">
                  <c:v>1.0487882887528372</c:v>
                </c:pt>
                <c:pt idx="2">
                  <c:v>1</c:v>
                </c:pt>
                <c:pt idx="3">
                  <c:v>1.0601926602333713</c:v>
                </c:pt>
                <c:pt idx="4">
                  <c:v>1.1203853204667424</c:v>
                </c:pt>
                <c:pt idx="5">
                  <c:v>1.115893701869253</c:v>
                </c:pt>
                <c:pt idx="6">
                  <c:v>1.0506950101353865</c:v>
                </c:pt>
                <c:pt idx="7">
                  <c:v>1.0106296005117381</c:v>
                </c:pt>
                <c:pt idx="8">
                  <c:v>0.97001093262901461</c:v>
                </c:pt>
                <c:pt idx="9">
                  <c:v>0.99455001706317647</c:v>
                </c:pt>
                <c:pt idx="10">
                  <c:v>1.0389763401054615</c:v>
                </c:pt>
                <c:pt idx="11">
                  <c:v>1.0302546079744606</c:v>
                </c:pt>
                <c:pt idx="12">
                  <c:v>1.0733077374198514</c:v>
                </c:pt>
                <c:pt idx="13">
                  <c:v>1.1970564196149549</c:v>
                </c:pt>
                <c:pt idx="14">
                  <c:v>1.1272838779318437</c:v>
                </c:pt>
              </c:numCache>
            </c:numRef>
          </c:val>
        </c:ser>
        <c:ser>
          <c:idx val="1"/>
          <c:order val="10"/>
          <c:tx>
            <c:strRef>
              <c:f>CALCULATIONS!$S$6</c:f>
              <c:strCache>
                <c:ptCount val="1"/>
                <c:pt idx="0">
                  <c:v>TKA</c:v>
                </c:pt>
              </c:strCache>
            </c:strRef>
          </c:tx>
          <c:spPr>
            <a:ln w="15875"/>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CALCULATIONS!$T$6:$AH$6</c:f>
              <c:numCache>
                <c:formatCode>0.00</c:formatCode>
                <c:ptCount val="15"/>
                <c:pt idx="0">
                  <c:v>1.089217286569067</c:v>
                </c:pt>
                <c:pt idx="1">
                  <c:v>1.1330049191630231</c:v>
                </c:pt>
                <c:pt idx="2">
                  <c:v>1</c:v>
                </c:pt>
                <c:pt idx="3">
                  <c:v>1.2085385705464791</c:v>
                </c:pt>
                <c:pt idx="4">
                  <c:v>1.1516146679624943</c:v>
                </c:pt>
                <c:pt idx="5">
                  <c:v>1.1297208516655162</c:v>
                </c:pt>
                <c:pt idx="6">
                  <c:v>0.96332784286144291</c:v>
                </c:pt>
                <c:pt idx="7">
                  <c:v>0.82966610525187867</c:v>
                </c:pt>
                <c:pt idx="8">
                  <c:v>1.0112752926365616</c:v>
                </c:pt>
                <c:pt idx="9">
                  <c:v>0.95588395818277339</c:v>
                </c:pt>
                <c:pt idx="10">
                  <c:v>0.84937053497211934</c:v>
                </c:pt>
                <c:pt idx="11">
                  <c:v>0.60207989869650202</c:v>
                </c:pt>
                <c:pt idx="12">
                  <c:v>0.62835248814695499</c:v>
                </c:pt>
                <c:pt idx="13">
                  <c:v>0.56037219942832506</c:v>
                </c:pt>
                <c:pt idx="14">
                  <c:v>0.53245756386151966</c:v>
                </c:pt>
              </c:numCache>
            </c:numRef>
          </c:val>
        </c:ser>
        <c:marker val="1"/>
        <c:axId val="168884480"/>
        <c:axId val="168898560"/>
      </c:lineChart>
      <c:dateAx>
        <c:axId val="168884480"/>
        <c:scaling>
          <c:orientation val="minMax"/>
        </c:scaling>
        <c:axPos val="b"/>
        <c:numFmt formatCode="mm/yyyy;@" sourceLinked="0"/>
        <c:tickLblPos val="nextTo"/>
        <c:crossAx val="168898560"/>
        <c:crosses val="autoZero"/>
        <c:auto val="1"/>
        <c:lblOffset val="100"/>
        <c:majorUnit val="6"/>
        <c:majorTimeUnit val="months"/>
      </c:dateAx>
      <c:valAx>
        <c:axId val="168898560"/>
        <c:scaling>
          <c:orientation val="minMax"/>
        </c:scaling>
        <c:axPos val="l"/>
        <c:majorGridlines>
          <c:spPr>
            <a:ln>
              <a:solidFill>
                <a:schemeClr val="bg1">
                  <a:lumMod val="50000"/>
                </a:schemeClr>
              </a:solidFill>
              <a:prstDash val="dash"/>
            </a:ln>
          </c:spPr>
        </c:majorGridlines>
        <c:numFmt formatCode="0.0" sourceLinked="0"/>
        <c:tickLblPos val="nextTo"/>
        <c:crossAx val="168884480"/>
        <c:crosses val="autoZero"/>
        <c:crossBetween val="between"/>
        <c:majorUnit val="0.2"/>
      </c:valAx>
    </c:plotArea>
    <c:legend>
      <c:legendPos val="r"/>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0877" l="0.70000000000000062" r="0.70000000000000062" t="0.750000000000008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2"/>
          <c:order val="0"/>
          <c:tx>
            <c:strRef>
              <c:f>CALCULATIONS!$S$7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CALCULATIONS!$FG$7:$FU$7</c:f>
              <c:numCache>
                <c:formatCode>0.0</c:formatCode>
                <c:ptCount val="15"/>
                <c:pt idx="0">
                  <c:v>4.2885463249133933</c:v>
                </c:pt>
                <c:pt idx="1">
                  <c:v>3.9618557811118289</c:v>
                </c:pt>
                <c:pt idx="2">
                  <c:v>3.9006785302867524</c:v>
                </c:pt>
                <c:pt idx="3">
                  <c:v>4.1410125423515485</c:v>
                </c:pt>
                <c:pt idx="4">
                  <c:v>4.1241559139513644</c:v>
                </c:pt>
                <c:pt idx="5">
                  <c:v>5.2671505229384259</c:v>
                </c:pt>
                <c:pt idx="6">
                  <c:v>5.2223693161108651</c:v>
                </c:pt>
                <c:pt idx="7">
                  <c:v>4.8179225884237669</c:v>
                </c:pt>
                <c:pt idx="8">
                  <c:v>5.0287788436693788</c:v>
                </c:pt>
                <c:pt idx="9">
                  <c:v>5.1741131495120847</c:v>
                </c:pt>
                <c:pt idx="10">
                  <c:v>5.3259826222569435</c:v>
                </c:pt>
                <c:pt idx="11">
                  <c:v>5.4654156252831125</c:v>
                </c:pt>
                <c:pt idx="12">
                  <c:v>5.0403995907375387</c:v>
                </c:pt>
                <c:pt idx="13">
                  <c:v>4.7843999563302617</c:v>
                </c:pt>
                <c:pt idx="14">
                  <c:v>4.6619962755533297</c:v>
                </c:pt>
              </c:numCache>
            </c:numRef>
          </c:val>
        </c:ser>
        <c:ser>
          <c:idx val="5"/>
          <c:order val="1"/>
          <c:tx>
            <c:strRef>
              <c:f>CALCULATIONS!$S$10</c:f>
              <c:strCache>
                <c:ptCount val="1"/>
                <c:pt idx="0">
                  <c:v>TDC</c:v>
                </c:pt>
              </c:strCache>
            </c:strRef>
          </c:tx>
          <c:spPr>
            <a:ln w="19050">
              <a:solidFill>
                <a:schemeClr val="bg2">
                  <a:lumMod val="50000"/>
                </a:schemeClr>
              </a:solidFill>
            </a:ln>
          </c:spPr>
          <c:marker>
            <c:symbol val="square"/>
            <c:size val="3"/>
            <c:spPr>
              <a:solidFill>
                <a:schemeClr val="accent3">
                  <a:lumMod val="50000"/>
                </a:schemeClr>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CALCULATIONS!$FG$10:$FU$10</c:f>
              <c:numCache>
                <c:formatCode>0.0</c:formatCode>
                <c:ptCount val="15"/>
                <c:pt idx="0">
                  <c:v>7.555492968888017</c:v>
                </c:pt>
                <c:pt idx="1">
                  <c:v>7.853083267649974</c:v>
                </c:pt>
                <c:pt idx="2">
                  <c:v>7.293720363888645</c:v>
                </c:pt>
                <c:pt idx="3">
                  <c:v>7.3110728852342062</c:v>
                </c:pt>
                <c:pt idx="4">
                  <c:v>5.8527510131329974</c:v>
                </c:pt>
                <c:pt idx="5">
                  <c:v>5.3796215389482942</c:v>
                </c:pt>
                <c:pt idx="6">
                  <c:v>5.9997468678379153</c:v>
                </c:pt>
                <c:pt idx="7">
                  <c:v>5.9166885084159917</c:v>
                </c:pt>
                <c:pt idx="8">
                  <c:v>5.518183400377219</c:v>
                </c:pt>
                <c:pt idx="9">
                  <c:v>5.2650775370385903</c:v>
                </c:pt>
                <c:pt idx="10">
                  <c:v>5.336279633915094</c:v>
                </c:pt>
                <c:pt idx="11">
                  <c:v>5.5584259633478021</c:v>
                </c:pt>
                <c:pt idx="12">
                  <c:v>5.4160250130186531</c:v>
                </c:pt>
                <c:pt idx="13">
                  <c:v>5.8533828292848087</c:v>
                </c:pt>
                <c:pt idx="14">
                  <c:v>5.9052222685092017</c:v>
                </c:pt>
              </c:numCache>
            </c:numRef>
          </c:val>
        </c:ser>
        <c:ser>
          <c:idx val="13"/>
          <c:order val="2"/>
          <c:tx>
            <c:strRef>
              <c:f>CALCULATIONS!$S$18</c:f>
              <c:strCache>
                <c:ptCount val="1"/>
                <c:pt idx="0">
                  <c:v>KPN</c:v>
                </c:pt>
              </c:strCache>
            </c:strRef>
          </c:tx>
          <c:spPr>
            <a:ln w="22225">
              <a:solidFill>
                <a:schemeClr val="accent3">
                  <a:lumMod val="50000"/>
                </a:schemeClr>
              </a:solidFill>
              <a:prstDash val="sysDash"/>
            </a:ln>
          </c:spPr>
          <c:marker>
            <c:symbol val="square"/>
            <c:size val="3"/>
            <c:spPr>
              <a:solidFill>
                <a:srgbClr val="9BBB59">
                  <a:lumMod val="50000"/>
                </a:srgbClr>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CALCULATIONS!$FG$18:$FU$18</c:f>
              <c:numCache>
                <c:formatCode>0.0</c:formatCode>
                <c:ptCount val="15"/>
                <c:pt idx="0">
                  <c:v>5.7602103537566114</c:v>
                </c:pt>
                <c:pt idx="1">
                  <c:v>5.7064707675501944</c:v>
                </c:pt>
                <c:pt idx="2">
                  <c:v>5.499929417146479</c:v>
                </c:pt>
                <c:pt idx="3">
                  <c:v>5.5600726219881471</c:v>
                </c:pt>
                <c:pt idx="4">
                  <c:v>5.3180491966424119</c:v>
                </c:pt>
                <c:pt idx="5">
                  <c:v>5.5712545975151064</c:v>
                </c:pt>
                <c:pt idx="6">
                  <c:v>5.2169361579609115</c:v>
                </c:pt>
                <c:pt idx="7">
                  <c:v>5.3629911480288674</c:v>
                </c:pt>
                <c:pt idx="8">
                  <c:v>5.0051679717344646</c:v>
                </c:pt>
                <c:pt idx="9">
                  <c:v>4.8893010168931506</c:v>
                </c:pt>
                <c:pt idx="10">
                  <c:v>4.976600493860813</c:v>
                </c:pt>
                <c:pt idx="11">
                  <c:v>4.6153204270140611</c:v>
                </c:pt>
                <c:pt idx="12">
                  <c:v>4.0772418397294583</c:v>
                </c:pt>
                <c:pt idx="13">
                  <c:v>3.9264209360953632</c:v>
                </c:pt>
                <c:pt idx="14">
                  <c:v>4.0325018858098245</c:v>
                </c:pt>
              </c:numCache>
            </c:numRef>
          </c:val>
        </c:ser>
        <c:ser>
          <c:idx val="14"/>
          <c:order val="3"/>
          <c:tx>
            <c:strRef>
              <c:f>CALCULATIONS!$S$19</c:f>
              <c:strCache>
                <c:ptCount val="1"/>
                <c:pt idx="0">
                  <c:v>TPS</c:v>
                </c:pt>
              </c:strCache>
            </c:strRef>
          </c:tx>
          <c:spPr>
            <a:ln w="19050">
              <a:solidFill>
                <a:schemeClr val="accent3">
                  <a:lumMod val="50000"/>
                </a:schemeClr>
              </a:solidFill>
              <a:prstDash val="solid"/>
            </a:ln>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CALCULATIONS!$FG$19:$FU$19</c:f>
              <c:numCache>
                <c:formatCode>0.0</c:formatCode>
                <c:ptCount val="15"/>
                <c:pt idx="0">
                  <c:v>4.071678259913444</c:v>
                </c:pt>
                <c:pt idx="1">
                  <c:v>4.1922201995502393</c:v>
                </c:pt>
                <c:pt idx="2">
                  <c:v>3.7433846594322855</c:v>
                </c:pt>
                <c:pt idx="3">
                  <c:v>4.8249024670315865</c:v>
                </c:pt>
                <c:pt idx="4">
                  <c:v>4.3462342091630006</c:v>
                </c:pt>
                <c:pt idx="5">
                  <c:v>4.6472162446924328</c:v>
                </c:pt>
                <c:pt idx="6">
                  <c:v>4.4100755112593859</c:v>
                </c:pt>
                <c:pt idx="7">
                  <c:v>4.9803301152225616</c:v>
                </c:pt>
                <c:pt idx="8">
                  <c:v>4.6307945020217582</c:v>
                </c:pt>
                <c:pt idx="9">
                  <c:v>5.1519271893509089</c:v>
                </c:pt>
                <c:pt idx="10">
                  <c:v>4.4265325805023039</c:v>
                </c:pt>
                <c:pt idx="11">
                  <c:v>4.9748537986715755</c:v>
                </c:pt>
                <c:pt idx="12">
                  <c:v>4.4301575383553979</c:v>
                </c:pt>
                <c:pt idx="13">
                  <c:v>3.0270615218983901</c:v>
                </c:pt>
                <c:pt idx="14">
                  <c:v>3.4400754167452243</c:v>
                </c:pt>
              </c:numCache>
            </c:numRef>
          </c:val>
        </c:ser>
        <c:ser>
          <c:idx val="11"/>
          <c:order val="4"/>
          <c:tx>
            <c:strRef>
              <c:f>CALCULATIONS!$S$16</c:f>
              <c:strCache>
                <c:ptCount val="1"/>
                <c:pt idx="0">
                  <c:v>TIT</c:v>
                </c:pt>
              </c:strCache>
            </c:strRef>
          </c:tx>
          <c:spPr>
            <a:ln w="19050">
              <a:solidFill>
                <a:schemeClr val="accent3">
                  <a:lumMod val="75000"/>
                </a:schemeClr>
              </a:solidFill>
              <a:prstDash val="solid"/>
            </a:ln>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CALCULATIONS!$FG$16:$FU$16</c:f>
              <c:numCache>
                <c:formatCode>0.0</c:formatCode>
                <c:ptCount val="15"/>
                <c:pt idx="0">
                  <c:v>5.2646466027831975</c:v>
                </c:pt>
                <c:pt idx="1">
                  <c:v>5.1589987343788648</c:v>
                </c:pt>
                <c:pt idx="2">
                  <c:v>4.9749953890993099</c:v>
                </c:pt>
                <c:pt idx="3">
                  <c:v>5.2294113583286679</c:v>
                </c:pt>
                <c:pt idx="4">
                  <c:v>4.9914703852200519</c:v>
                </c:pt>
                <c:pt idx="5">
                  <c:v>4.9861855090886849</c:v>
                </c:pt>
                <c:pt idx="6">
                  <c:v>4.7871009202460382</c:v>
                </c:pt>
                <c:pt idx="7">
                  <c:v>4.3986600847103956</c:v>
                </c:pt>
                <c:pt idx="8">
                  <c:v>4.4309114750814773</c:v>
                </c:pt>
                <c:pt idx="9">
                  <c:v>4.4836059637129502</c:v>
                </c:pt>
                <c:pt idx="10">
                  <c:v>4.4049206868457107</c:v>
                </c:pt>
                <c:pt idx="11">
                  <c:v>4.3796910880610298</c:v>
                </c:pt>
                <c:pt idx="12">
                  <c:v>4.1170506660938244</c:v>
                </c:pt>
                <c:pt idx="13">
                  <c:v>4.044250954075908</c:v>
                </c:pt>
                <c:pt idx="14">
                  <c:v>4.0606354500113753</c:v>
                </c:pt>
              </c:numCache>
            </c:numRef>
          </c:val>
        </c:ser>
        <c:ser>
          <c:idx val="20"/>
          <c:order val="5"/>
          <c:tx>
            <c:strRef>
              <c:f>CALCULATIONS!$S$25</c:f>
              <c:strCache>
                <c:ptCount val="1"/>
                <c:pt idx="0">
                  <c:v>SCM</c:v>
                </c:pt>
              </c:strCache>
            </c:strRef>
          </c:tx>
          <c:spPr>
            <a:ln w="19050">
              <a:solidFill>
                <a:schemeClr val="bg2">
                  <a:lumMod val="75000"/>
                </a:schemeClr>
              </a:solidFill>
            </a:ln>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CALCULATIONS!$FG$25:$FU$25</c:f>
              <c:numCache>
                <c:formatCode>0.0</c:formatCode>
                <c:ptCount val="15"/>
                <c:pt idx="0">
                  <c:v>6.4576449666827171</c:v>
                </c:pt>
                <c:pt idx="1">
                  <c:v>6.3242187369633349</c:v>
                </c:pt>
                <c:pt idx="2">
                  <c:v>6.2405736102097356</c:v>
                </c:pt>
                <c:pt idx="3">
                  <c:v>6.4498472781793303</c:v>
                </c:pt>
                <c:pt idx="4">
                  <c:v>7.0041022101503119</c:v>
                </c:pt>
                <c:pt idx="5">
                  <c:v>6.8165679432746522</c:v>
                </c:pt>
                <c:pt idx="6">
                  <c:v>6.8399496407935167</c:v>
                </c:pt>
                <c:pt idx="7">
                  <c:v>6.5558154786127876</c:v>
                </c:pt>
                <c:pt idx="8">
                  <c:v>6.2648201004227762</c:v>
                </c:pt>
                <c:pt idx="9">
                  <c:v>6.4131956124226788</c:v>
                </c:pt>
                <c:pt idx="10">
                  <c:v>6.7422728917767749</c:v>
                </c:pt>
                <c:pt idx="11">
                  <c:v>6.8606043153356984</c:v>
                </c:pt>
                <c:pt idx="12">
                  <c:v>6.9851530972688787</c:v>
                </c:pt>
                <c:pt idx="13">
                  <c:v>7.6388552783366075</c:v>
                </c:pt>
                <c:pt idx="14">
                  <c:v>7.5822149145373468</c:v>
                </c:pt>
              </c:numCache>
            </c:numRef>
          </c:val>
        </c:ser>
        <c:ser>
          <c:idx val="1"/>
          <c:order val="6"/>
          <c:tx>
            <c:strRef>
              <c:f>CALCULATIONS!$S$6</c:f>
              <c:strCache>
                <c:ptCount val="1"/>
                <c:pt idx="0">
                  <c:v>TKA</c:v>
                </c:pt>
              </c:strCache>
            </c:strRef>
          </c:tx>
          <c:spPr>
            <a:ln w="19050">
              <a:solidFill>
                <a:schemeClr val="tx1"/>
              </a:solidFill>
            </a:ln>
          </c:spPr>
          <c:marker>
            <c:symbol val="none"/>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CALCULATIONS!$FG$6:$FU$6</c:f>
              <c:numCache>
                <c:formatCode>0.0</c:formatCode>
                <c:ptCount val="15"/>
                <c:pt idx="0">
                  <c:v>4.2234201890683387</c:v>
                </c:pt>
                <c:pt idx="1">
                  <c:v>4.2911149636128494</c:v>
                </c:pt>
                <c:pt idx="2">
                  <c:v>4.1776975507341811</c:v>
                </c:pt>
                <c:pt idx="3">
                  <c:v>4.6098364551204467</c:v>
                </c:pt>
                <c:pt idx="4">
                  <c:v>4.8789475032529337</c:v>
                </c:pt>
                <c:pt idx="5">
                  <c:v>4.8977138224376864</c:v>
                </c:pt>
                <c:pt idx="6">
                  <c:v>4.679369359619157</c:v>
                </c:pt>
                <c:pt idx="7">
                  <c:v>4.380240507705726</c:v>
                </c:pt>
                <c:pt idx="8">
                  <c:v>4.8677189995072032</c:v>
                </c:pt>
                <c:pt idx="9">
                  <c:v>4.8039171732700661</c:v>
                </c:pt>
                <c:pt idx="10">
                  <c:v>4.628054636597926</c:v>
                </c:pt>
                <c:pt idx="11">
                  <c:v>3.8551314706607713</c:v>
                </c:pt>
                <c:pt idx="12">
                  <c:v>3.9645237326378724</c:v>
                </c:pt>
                <c:pt idx="13">
                  <c:v>4.0585476062749128</c:v>
                </c:pt>
                <c:pt idx="14">
                  <c:v>4.0530525032062261</c:v>
                </c:pt>
              </c:numCache>
            </c:numRef>
          </c:val>
        </c:ser>
        <c:marker val="1"/>
        <c:axId val="168722432"/>
        <c:axId val="168723968"/>
      </c:lineChart>
      <c:dateAx>
        <c:axId val="168722432"/>
        <c:scaling>
          <c:orientation val="minMax"/>
        </c:scaling>
        <c:axPos val="b"/>
        <c:numFmt formatCode="mm/yyyy;@" sourceLinked="0"/>
        <c:tickLblPos val="nextTo"/>
        <c:crossAx val="168723968"/>
        <c:crosses val="autoZero"/>
        <c:auto val="1"/>
        <c:lblOffset val="100"/>
        <c:majorUnit val="6"/>
        <c:majorTimeUnit val="months"/>
      </c:dateAx>
      <c:valAx>
        <c:axId val="168723968"/>
        <c:scaling>
          <c:orientation val="minMax"/>
        </c:scaling>
        <c:axPos val="l"/>
        <c:majorGridlines>
          <c:spPr>
            <a:ln>
              <a:solidFill>
                <a:schemeClr val="bg1">
                  <a:lumMod val="50000"/>
                </a:schemeClr>
              </a:solidFill>
              <a:prstDash val="dash"/>
            </a:ln>
          </c:spPr>
        </c:majorGridlines>
        <c:numFmt formatCode="0" sourceLinked="0"/>
        <c:tickLblPos val="nextTo"/>
        <c:crossAx val="168722432"/>
        <c:crosses val="autoZero"/>
        <c:crossBetween val="between"/>
      </c:valAx>
    </c:plotArea>
    <c:legend>
      <c:legendPos val="l"/>
    </c:legend>
    <c:plotVisOnly val="1"/>
  </c:chart>
  <c:spPr>
    <a:noFill/>
    <a:ln>
      <a:noFill/>
    </a:ln>
  </c:spPr>
  <c:txPr>
    <a:bodyPr/>
    <a:lstStyle/>
    <a:p>
      <a:pPr>
        <a:defRPr sz="1200">
          <a:latin typeface="Arial" pitchFamily="34" charset="0"/>
          <a:cs typeface="Arial" pitchFamily="34" charset="0"/>
        </a:defRPr>
      </a:pPr>
      <a:endParaRPr lang="fr-FR"/>
    </a:p>
  </c:txPr>
  <c:printSettings>
    <c:headerFooter/>
    <c:pageMargins b="0.75000000000000899" l="0.70000000000000062" r="0.70000000000000062" t="0.75000000000000899"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3"/>
          <c:order val="0"/>
          <c:tx>
            <c:strRef>
              <c:f>CALCULATIONS!$S$8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CALCULATIONS!$FG$8:$FU$8</c:f>
              <c:numCache>
                <c:formatCode>0.0</c:formatCode>
                <c:ptCount val="15"/>
                <c:pt idx="0">
                  <c:v>5.5752364574033733</c:v>
                </c:pt>
                <c:pt idx="1">
                  <c:v>5.4047333376614315</c:v>
                </c:pt>
                <c:pt idx="2">
                  <c:v>5.2339153941178145</c:v>
                </c:pt>
                <c:pt idx="3">
                  <c:v>5.5576682975344065</c:v>
                </c:pt>
                <c:pt idx="4">
                  <c:v>5.8810790231121963</c:v>
                </c:pt>
                <c:pt idx="5">
                  <c:v>6.1582168528162011</c:v>
                </c:pt>
                <c:pt idx="6">
                  <c:v>6.4355828272677673</c:v>
                </c:pt>
                <c:pt idx="7">
                  <c:v>5.8542333336833154</c:v>
                </c:pt>
                <c:pt idx="8">
                  <c:v>5.2720746336887681</c:v>
                </c:pt>
                <c:pt idx="9">
                  <c:v>4.7383879777317404</c:v>
                </c:pt>
                <c:pt idx="10">
                  <c:v>4.207010335202404</c:v>
                </c:pt>
                <c:pt idx="11">
                  <c:v>3.8238807121569747</c:v>
                </c:pt>
                <c:pt idx="12">
                  <c:v>3.442306594398771</c:v>
                </c:pt>
                <c:pt idx="13">
                  <c:v>3.5594938248269159</c:v>
                </c:pt>
                <c:pt idx="14">
                  <c:v>3.6764587184436395</c:v>
                </c:pt>
              </c:numCache>
            </c:numRef>
          </c:val>
        </c:ser>
        <c:ser>
          <c:idx val="0"/>
          <c:order val="1"/>
          <c:tx>
            <c:strRef>
              <c:f>CALCULATIONS!$B$26</c:f>
              <c:strCache>
                <c:ptCount val="1"/>
                <c:pt idx="0">
                  <c:v>SNC</c:v>
                </c:pt>
              </c:strCache>
            </c:strRef>
          </c:tx>
          <c:spPr>
            <a:ln w="19050">
              <a:solidFill>
                <a:srgbClr val="C00000"/>
              </a:solidFill>
            </a:ln>
          </c:spPr>
          <c:marker>
            <c:symbol val="none"/>
          </c:marker>
          <c:val>
            <c:numRef>
              <c:f>CALCULATIONS!$FG$26:$FU$26</c:f>
              <c:numCache>
                <c:formatCode>0.0</c:formatCode>
                <c:ptCount val="15"/>
                <c:pt idx="0">
                  <c:v>5.5578222900335454</c:v>
                </c:pt>
                <c:pt idx="1">
                  <c:v>4.879068174563792</c:v>
                </c:pt>
                <c:pt idx="2">
                  <c:v>4.3891584537752149</c:v>
                </c:pt>
                <c:pt idx="3">
                  <c:v>4.3737157209987982</c:v>
                </c:pt>
                <c:pt idx="4">
                  <c:v>4.2117067699231718</c:v>
                </c:pt>
                <c:pt idx="5">
                  <c:v>4.3827513520694943</c:v>
                </c:pt>
                <c:pt idx="6">
                  <c:v>4.2597064774426538</c:v>
                </c:pt>
                <c:pt idx="7">
                  <c:v>3.4314177264441255</c:v>
                </c:pt>
                <c:pt idx="8">
                  <c:v>3.2074942914242124</c:v>
                </c:pt>
                <c:pt idx="9">
                  <c:v>3.3858750717016983</c:v>
                </c:pt>
                <c:pt idx="10">
                  <c:v>3.4330951453756771</c:v>
                </c:pt>
                <c:pt idx="11">
                  <c:v>3.3393538943696282</c:v>
                </c:pt>
                <c:pt idx="12">
                  <c:v>3.7525252065804793</c:v>
                </c:pt>
                <c:pt idx="13">
                  <c:v>4.0453157691035688</c:v>
                </c:pt>
                <c:pt idx="14">
                  <c:v>3.9063069179772585</c:v>
                </c:pt>
              </c:numCache>
            </c:numRef>
          </c:val>
        </c:ser>
        <c:ser>
          <c:idx val="17"/>
          <c:order val="2"/>
          <c:tx>
            <c:strRef>
              <c:f>CALCULATIONS!$S$22</c:f>
              <c:strCache>
                <c:ptCount val="1"/>
                <c:pt idx="0">
                  <c:v>VOD</c:v>
                </c:pt>
              </c:strCache>
            </c:strRef>
          </c:tx>
          <c:spPr>
            <a:ln w="19050">
              <a:solidFill>
                <a:srgbClr val="C00000"/>
              </a:solidFill>
            </a:ln>
          </c:spPr>
          <c:marker>
            <c:symbol val="triangle"/>
            <c:size val="7"/>
            <c:spPr>
              <a:solidFill>
                <a:srgbClr val="0070C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CALCULATIONS!$FG$22:$FU$22</c:f>
              <c:numCache>
                <c:formatCode>0.0</c:formatCode>
                <c:ptCount val="15"/>
                <c:pt idx="0">
                  <c:v>7.5158356243992479</c:v>
                </c:pt>
                <c:pt idx="1">
                  <c:v>7.5287191685069184</c:v>
                </c:pt>
                <c:pt idx="2">
                  <c:v>7.6684304067406543</c:v>
                </c:pt>
                <c:pt idx="3">
                  <c:v>7.8085882000950377</c:v>
                </c:pt>
                <c:pt idx="4">
                  <c:v>8.0407827250682935</c:v>
                </c:pt>
                <c:pt idx="5">
                  <c:v>8.2607418363081084</c:v>
                </c:pt>
                <c:pt idx="6">
                  <c:v>7.2570698931158928</c:v>
                </c:pt>
                <c:pt idx="7">
                  <c:v>6.2419734974350254</c:v>
                </c:pt>
                <c:pt idx="8">
                  <c:v>6.2319520949522929</c:v>
                </c:pt>
                <c:pt idx="9">
                  <c:v>6.2225339057221625</c:v>
                </c:pt>
                <c:pt idx="10">
                  <c:v>6.985562640589424</c:v>
                </c:pt>
                <c:pt idx="11">
                  <c:v>7.7372040770310724</c:v>
                </c:pt>
                <c:pt idx="12">
                  <c:v>8.1973707112800032</c:v>
                </c:pt>
                <c:pt idx="13">
                  <c:v>8.6584668441025876</c:v>
                </c:pt>
                <c:pt idx="14">
                  <c:v>8.6584668441025876</c:v>
                </c:pt>
              </c:numCache>
            </c:numRef>
          </c:val>
        </c:ser>
        <c:ser>
          <c:idx val="4"/>
          <c:order val="3"/>
          <c:tx>
            <c:strRef>
              <c:f>CALCULATIONS!$S$9</c:f>
              <c:strCache>
                <c:ptCount val="1"/>
                <c:pt idx="0">
                  <c:v>Telenet</c:v>
                </c:pt>
              </c:strCache>
            </c:strRef>
          </c:tx>
          <c:spPr>
            <a:ln w="28575">
              <a:solidFill>
                <a:srgbClr val="FFC000"/>
              </a:solidFill>
            </a:ln>
          </c:spPr>
          <c:marker>
            <c:symbol val="diamond"/>
            <c:size val="7"/>
            <c:spPr>
              <a:solidFill>
                <a:srgbClr val="FFC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CALCULATIONS!$FG$9:$FU$9</c:f>
              <c:numCache>
                <c:formatCode>0.0</c:formatCode>
                <c:ptCount val="15"/>
                <c:pt idx="0">
                  <c:v>7.3882795026632264</c:v>
                </c:pt>
                <c:pt idx="1">
                  <c:v>7.511456716472753</c:v>
                </c:pt>
                <c:pt idx="2">
                  <c:v>7.1707944229261198</c:v>
                </c:pt>
                <c:pt idx="3">
                  <c:v>7.7055366686292892</c:v>
                </c:pt>
                <c:pt idx="4">
                  <c:v>8.4062817091520898</c:v>
                </c:pt>
                <c:pt idx="5">
                  <c:v>8.8763505624407077</c:v>
                </c:pt>
                <c:pt idx="6">
                  <c:v>8.5774744199633144</c:v>
                </c:pt>
                <c:pt idx="7">
                  <c:v>8.8417973134188603</c:v>
                </c:pt>
                <c:pt idx="8">
                  <c:v>8.7507454377216138</c:v>
                </c:pt>
                <c:pt idx="9">
                  <c:v>8.7120469152324826</c:v>
                </c:pt>
                <c:pt idx="10">
                  <c:v>9.1838724950545316</c:v>
                </c:pt>
                <c:pt idx="11">
                  <c:v>9.135932537020869</c:v>
                </c:pt>
                <c:pt idx="12">
                  <c:v>9.0664383370126806</c:v>
                </c:pt>
                <c:pt idx="13">
                  <c:v>9.4423485403827989</c:v>
                </c:pt>
                <c:pt idx="14">
                  <c:v>9.0506669895995948</c:v>
                </c:pt>
              </c:numCache>
            </c:numRef>
          </c:val>
        </c:ser>
        <c:ser>
          <c:idx val="1"/>
          <c:order val="4"/>
          <c:tx>
            <c:strRef>
              <c:f>CALCULATIONS!$B$13</c:f>
              <c:strCache>
                <c:ptCount val="1"/>
                <c:pt idx="0">
                  <c:v>ILD</c:v>
                </c:pt>
              </c:strCache>
            </c:strRef>
          </c:tx>
          <c:spPr>
            <a:ln w="19050">
              <a:solidFill>
                <a:srgbClr val="FFC000"/>
              </a:solidFill>
            </a:ln>
          </c:spPr>
          <c:marker>
            <c:symbol val="none"/>
          </c:marker>
          <c:val>
            <c:numRef>
              <c:f>CALCULATIONS!$FG$13:$FU$13</c:f>
              <c:numCache>
                <c:formatCode>0.0</c:formatCode>
                <c:ptCount val="15"/>
                <c:pt idx="0">
                  <c:v>7.9723751868626085</c:v>
                </c:pt>
                <c:pt idx="1">
                  <c:v>6.6065340931206231</c:v>
                </c:pt>
                <c:pt idx="2">
                  <c:v>5.2380859919758995</c:v>
                </c:pt>
                <c:pt idx="3">
                  <c:v>5.8714948997604477</c:v>
                </c:pt>
                <c:pt idx="4">
                  <c:v>6.5057071607273569</c:v>
                </c:pt>
                <c:pt idx="5">
                  <c:v>7.0648339921112235</c:v>
                </c:pt>
                <c:pt idx="6">
                  <c:v>7.6056087861160471</c:v>
                </c:pt>
                <c:pt idx="7">
                  <c:v>7.6611514616413752</c:v>
                </c:pt>
                <c:pt idx="8">
                  <c:v>7.7163927079335384</c:v>
                </c:pt>
                <c:pt idx="9">
                  <c:v>8.4250917260247036</c:v>
                </c:pt>
                <c:pt idx="10">
                  <c:v>9.1314648522894508</c:v>
                </c:pt>
                <c:pt idx="11">
                  <c:v>9.1823846521007333</c:v>
                </c:pt>
                <c:pt idx="12">
                  <c:v>9.2330012887106534</c:v>
                </c:pt>
                <c:pt idx="13">
                  <c:v>9.2491251926001148</c:v>
                </c:pt>
                <c:pt idx="14">
                  <c:v>9.6719476082953495</c:v>
                </c:pt>
              </c:numCache>
            </c:numRef>
          </c:val>
        </c:ser>
        <c:ser>
          <c:idx val="16"/>
          <c:order val="5"/>
          <c:tx>
            <c:strRef>
              <c:f>CALCULATIONS!$S$21</c:f>
              <c:strCache>
                <c:ptCount val="1"/>
                <c:pt idx="0">
                  <c:v>BT</c:v>
                </c:pt>
              </c:strCache>
            </c:strRef>
          </c:tx>
          <c:spPr>
            <a:ln w="19050">
              <a:solidFill>
                <a:srgbClr val="FFC000"/>
              </a:solidFill>
            </a:ln>
          </c:spPr>
          <c:marker>
            <c:symbol val="diamond"/>
            <c:size val="7"/>
            <c:spPr>
              <a:solidFill>
                <a:srgbClr val="0070C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CALCULATIONS!$FG$21:$FU$21</c:f>
              <c:numCache>
                <c:formatCode>0.0</c:formatCode>
                <c:ptCount val="15"/>
                <c:pt idx="0">
                  <c:v>5.5069568381935765</c:v>
                </c:pt>
                <c:pt idx="1">
                  <c:v>4.0978758803437954</c:v>
                </c:pt>
                <c:pt idx="2">
                  <c:v>4.0379191029722445</c:v>
                </c:pt>
                <c:pt idx="3">
                  <c:v>3.9887872212570707</c:v>
                </c:pt>
                <c:pt idx="4">
                  <c:v>4.327999381041133</c:v>
                </c:pt>
                <c:pt idx="5">
                  <c:v>4.4950636364747822</c:v>
                </c:pt>
                <c:pt idx="6">
                  <c:v>4.6333779498390504</c:v>
                </c:pt>
                <c:pt idx="7">
                  <c:v>4.1463493954872561</c:v>
                </c:pt>
                <c:pt idx="8">
                  <c:v>4.2231442619169002</c:v>
                </c:pt>
                <c:pt idx="9">
                  <c:v>5.0590640879247646</c:v>
                </c:pt>
                <c:pt idx="10">
                  <c:v>4.8723638513633851</c:v>
                </c:pt>
                <c:pt idx="11">
                  <c:v>5.1561130534628496</c:v>
                </c:pt>
                <c:pt idx="12">
                  <c:v>5.118941985501583</c:v>
                </c:pt>
                <c:pt idx="13">
                  <c:v>5.3120383859548967</c:v>
                </c:pt>
                <c:pt idx="14">
                  <c:v>5.7096258695546744</c:v>
                </c:pt>
              </c:numCache>
            </c:numRef>
          </c:val>
        </c:ser>
        <c:marker val="1"/>
        <c:axId val="168952576"/>
        <c:axId val="168954496"/>
      </c:lineChart>
      <c:dateAx>
        <c:axId val="168952576"/>
        <c:scaling>
          <c:orientation val="minMax"/>
        </c:scaling>
        <c:axPos val="b"/>
        <c:numFmt formatCode="mm/yyyy;@" sourceLinked="0"/>
        <c:tickLblPos val="nextTo"/>
        <c:crossAx val="168954496"/>
        <c:crosses val="autoZero"/>
        <c:auto val="1"/>
        <c:lblOffset val="100"/>
        <c:majorUnit val="6"/>
        <c:majorTimeUnit val="months"/>
      </c:dateAx>
      <c:valAx>
        <c:axId val="168954496"/>
        <c:scaling>
          <c:orientation val="minMax"/>
        </c:scaling>
        <c:axPos val="l"/>
        <c:majorGridlines>
          <c:spPr>
            <a:ln>
              <a:solidFill>
                <a:schemeClr val="bg1">
                  <a:lumMod val="50000"/>
                </a:schemeClr>
              </a:solidFill>
              <a:prstDash val="dash"/>
            </a:ln>
          </c:spPr>
        </c:majorGridlines>
        <c:numFmt formatCode="0" sourceLinked="0"/>
        <c:tickLblPos val="nextTo"/>
        <c:crossAx val="168952576"/>
        <c:crosses val="autoZero"/>
        <c:crossBetween val="between"/>
      </c:valAx>
      <c:spPr>
        <a:noFill/>
      </c:spPr>
    </c:plotArea>
    <c:legend>
      <c:legendPos val="r"/>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0899" l="0.70000000000000062" r="0.70000000000000062" t="0.75000000000000899"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8556977462616094E-2"/>
          <c:y val="3.9763449225746449E-2"/>
          <c:w val="0.89765555553760068"/>
          <c:h val="0.86820429116133369"/>
        </c:manualLayout>
      </c:layout>
      <c:scatterChart>
        <c:scatterStyle val="lineMarker"/>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dPt>
          <c:dPt>
            <c:idx val="6"/>
            <c:marker>
              <c:spPr>
                <a:solidFill>
                  <a:schemeClr val="bg2">
                    <a:lumMod val="50000"/>
                    <a:alpha val="50000"/>
                  </a:schemeClr>
                </a:solidFill>
                <a:ln>
                  <a:noFill/>
                </a:ln>
              </c:spPr>
            </c:marker>
          </c:dPt>
          <c:dPt>
            <c:idx val="10"/>
            <c:marker>
              <c:spPr>
                <a:solidFill>
                  <a:schemeClr val="bg2">
                    <a:lumMod val="50000"/>
                    <a:alpha val="50000"/>
                  </a:schemeClr>
                </a:solidFill>
                <a:ln>
                  <a:noFill/>
                </a:ln>
              </c:spPr>
            </c:marker>
          </c:dPt>
          <c:dPt>
            <c:idx val="11"/>
            <c:marker>
              <c:spPr>
                <a:solidFill>
                  <a:srgbClr val="558ED5">
                    <a:alpha val="50000"/>
                  </a:srgbClr>
                </a:solidFill>
                <a:ln>
                  <a:noFill/>
                </a:ln>
              </c:spPr>
            </c:marker>
          </c:dPt>
          <c:dPt>
            <c:idx val="12"/>
            <c:marker>
              <c:spPr>
                <a:solidFill>
                  <a:srgbClr val="558ED5">
                    <a:alpha val="50000"/>
                  </a:srgbClr>
                </a:solidFill>
                <a:ln>
                  <a:noFill/>
                </a:ln>
              </c:spPr>
            </c:marker>
          </c:dPt>
          <c:dPt>
            <c:idx val="13"/>
            <c:marker>
              <c:spPr>
                <a:solidFill>
                  <a:schemeClr val="bg2">
                    <a:lumMod val="50000"/>
                    <a:alpha val="50000"/>
                  </a:schemeClr>
                </a:solidFill>
                <a:ln>
                  <a:noFill/>
                </a:ln>
              </c:spPr>
            </c:marker>
          </c:dPt>
          <c:dPt>
            <c:idx val="14"/>
            <c:marker>
              <c:spPr>
                <a:solidFill>
                  <a:srgbClr val="C00000">
                    <a:alpha val="50000"/>
                  </a:srgbClr>
                </a:solidFill>
                <a:ln>
                  <a:noFill/>
                </a:ln>
              </c:spPr>
            </c:marker>
          </c:dPt>
          <c:dPt>
            <c:idx val="15"/>
            <c:marker>
              <c:spPr>
                <a:solidFill>
                  <a:schemeClr val="bg2">
                    <a:lumMod val="50000"/>
                    <a:alpha val="50000"/>
                  </a:schemeClr>
                </a:solidFill>
                <a:ln>
                  <a:noFill/>
                </a:ln>
              </c:spPr>
            </c:marker>
          </c:dPt>
          <c:dPt>
            <c:idx val="16"/>
            <c:marker>
              <c:spPr>
                <a:solidFill>
                  <a:schemeClr val="bg2">
                    <a:lumMod val="50000"/>
                    <a:alpha val="50000"/>
                  </a:schemeClr>
                </a:solidFill>
                <a:ln>
                  <a:noFill/>
                </a:ln>
              </c:spPr>
            </c:marker>
          </c:dPt>
          <c:dPt>
            <c:idx val="17"/>
            <c:marker>
              <c:spPr>
                <a:solidFill>
                  <a:srgbClr val="FFC000">
                    <a:alpha val="50000"/>
                  </a:srgbClr>
                </a:solidFill>
                <a:ln>
                  <a:noFill/>
                </a:ln>
              </c:spPr>
            </c:marker>
          </c:dPt>
          <c:dPt>
            <c:idx val="18"/>
            <c:marker>
              <c:spPr>
                <a:solidFill>
                  <a:srgbClr val="C00000">
                    <a:alpha val="50000"/>
                  </a:srgbClr>
                </a:solidFill>
                <a:ln>
                  <a:noFill/>
                </a:ln>
              </c:spPr>
            </c:marker>
          </c:dPt>
          <c:dPt>
            <c:idx val="19"/>
            <c:marker>
              <c:spPr>
                <a:solidFill>
                  <a:schemeClr val="bg2">
                    <a:lumMod val="50000"/>
                    <a:alpha val="50000"/>
                  </a:schemeClr>
                </a:solidFill>
                <a:ln>
                  <a:noFill/>
                </a:ln>
              </c:spPr>
            </c:marker>
          </c:dPt>
          <c:dLbls>
            <c:dLbl>
              <c:idx val="0"/>
              <c:layout>
                <c:manualLayout>
                  <c:x val="-8.6343296266202879E-2"/>
                  <c:y val="-3.3816930617648292E-3"/>
                </c:manualLayout>
              </c:layout>
              <c:tx>
                <c:strRef>
                  <c:f>'GEARINGS, E&amp;Enot'!$B$36</c:f>
                  <c:strCache>
                    <c:ptCount val="1"/>
                    <c:pt idx="0">
                      <c:v>TELENET</c:v>
                    </c:pt>
                  </c:strCache>
                </c:strRef>
              </c:tx>
              <c:spPr/>
              <c:txPr>
                <a:bodyPr/>
                <a:lstStyle/>
                <a:p>
                  <a:pPr>
                    <a:defRPr sz="1000" b="1" i="0" strike="noStrike">
                      <a:latin typeface="Arial"/>
                    </a:defRPr>
                  </a:pPr>
                  <a:endParaRPr lang="fr-FR"/>
                </a:p>
              </c:txPr>
              <c:dLblPos val="r"/>
              <c:showVal val="1"/>
            </c:dLbl>
            <c:dLbl>
              <c:idx val="1"/>
              <c:layout>
                <c:manualLayout>
                  <c:x val="-5.5764933565185922E-2"/>
                  <c:y val="-3.3814268076855346E-3"/>
                </c:manualLayout>
              </c:layout>
              <c:tx>
                <c:strRef>
                  <c:f>'GEARINGS, E&amp;Enot'!$B$37</c:f>
                  <c:strCache>
                    <c:ptCount val="1"/>
                    <c:pt idx="0">
                      <c:v>PT</c:v>
                    </c:pt>
                  </c:strCache>
                </c:strRef>
              </c:tx>
              <c:spPr/>
              <c:txPr>
                <a:bodyPr/>
                <a:lstStyle/>
                <a:p>
                  <a:pPr>
                    <a:defRPr sz="1000" b="0" i="0" strike="noStrike">
                      <a:latin typeface="Arial"/>
                    </a:defRPr>
                  </a:pPr>
                  <a:endParaRPr lang="fr-FR"/>
                </a:p>
              </c:txPr>
              <c:dLblPos val="r"/>
              <c:showVal val="1"/>
            </c:dLbl>
            <c:dLbl>
              <c:idx val="2"/>
              <c:layout>
                <c:manualLayout>
                  <c:x val="-5.7835829391795372E-2"/>
                  <c:y val="-3.3814268076855346E-3"/>
                </c:manualLayout>
              </c:layout>
              <c:tx>
                <c:strRef>
                  <c:f>'GEARINGS, E&amp;Enot'!$B$38</c:f>
                  <c:strCache>
                    <c:ptCount val="1"/>
                    <c:pt idx="0">
                      <c:v>TIT</c:v>
                    </c:pt>
                  </c:strCache>
                </c:strRef>
              </c:tx>
              <c:spPr/>
              <c:txPr>
                <a:bodyPr/>
                <a:lstStyle/>
                <a:p>
                  <a:pPr>
                    <a:defRPr sz="1000" b="1" i="0" strike="noStrike">
                      <a:latin typeface="Arial"/>
                    </a:defRPr>
                  </a:pPr>
                  <a:endParaRPr lang="fr-FR"/>
                </a:p>
              </c:txPr>
              <c:dLblPos val="r"/>
              <c:showVal val="1"/>
            </c:dLbl>
            <c:dLbl>
              <c:idx val="3"/>
              <c:layout>
                <c:manualLayout>
                  <c:x val="-6.1464634719802534E-2"/>
                  <c:y val="-3.381426807685506E-3"/>
                </c:manualLayout>
              </c:layout>
              <c:tx>
                <c:strRef>
                  <c:f>'GEARINGS, E&amp;Enot'!$B$39</c:f>
                  <c:strCache>
                    <c:ptCount val="1"/>
                    <c:pt idx="0">
                      <c:v>TEF</c:v>
                    </c:pt>
                  </c:strCache>
                </c:strRef>
              </c:tx>
              <c:spPr/>
              <c:txPr>
                <a:bodyPr/>
                <a:lstStyle/>
                <a:p>
                  <a:pPr>
                    <a:defRPr sz="1000" b="0" i="0" strike="noStrike">
                      <a:latin typeface="Arial"/>
                    </a:defRPr>
                  </a:pPr>
                  <a:endParaRPr lang="fr-FR"/>
                </a:p>
              </c:txPr>
              <c:dLblPos val="r"/>
              <c:showVal val="1"/>
            </c:dLbl>
            <c:dLbl>
              <c:idx val="4"/>
              <c:layout>
                <c:manualLayout>
                  <c:x val="-5.6278066793698747E-2"/>
                  <c:y val="-3.3814268076855346E-3"/>
                </c:manualLayout>
              </c:layout>
              <c:tx>
                <c:strRef>
                  <c:f>'GEARINGS, E&amp;Enot'!$B$40</c:f>
                  <c:strCache>
                    <c:ptCount val="1"/>
                    <c:pt idx="0">
                      <c:v>DT</c:v>
                    </c:pt>
                  </c:strCache>
                </c:strRef>
              </c:tx>
              <c:spPr/>
              <c:txPr>
                <a:bodyPr/>
                <a:lstStyle/>
                <a:p>
                  <a:pPr>
                    <a:defRPr sz="1000" b="0" i="0" strike="noStrike">
                      <a:latin typeface="Arial"/>
                    </a:defRPr>
                  </a:pPr>
                  <a:endParaRPr lang="fr-FR"/>
                </a:p>
              </c:txPr>
              <c:dLblPos val="r"/>
              <c:showVal val="1"/>
            </c:dLbl>
            <c:dLbl>
              <c:idx val="5"/>
              <c:layout>
                <c:manualLayout>
                  <c:x val="-6.3022397317898424E-2"/>
                  <c:y val="-3.3816930617648292E-3"/>
                </c:manualLayout>
              </c:layout>
              <c:tx>
                <c:strRef>
                  <c:f>'GEARINGS, E&amp;Enot'!$B$41</c:f>
                  <c:strCache>
                    <c:ptCount val="1"/>
                    <c:pt idx="0">
                      <c:v>KPN</c:v>
                    </c:pt>
                  </c:strCache>
                </c:strRef>
              </c:tx>
              <c:spPr/>
              <c:txPr>
                <a:bodyPr/>
                <a:lstStyle/>
                <a:p>
                  <a:pPr>
                    <a:defRPr sz="1000" b="1" i="0" strike="noStrike">
                      <a:latin typeface="Arial"/>
                    </a:defRPr>
                  </a:pPr>
                  <a:endParaRPr lang="fr-FR"/>
                </a:p>
              </c:txPr>
              <c:dLblPos val="r"/>
              <c:showVal val="1"/>
            </c:dLbl>
            <c:dLbl>
              <c:idx val="6"/>
              <c:layout>
                <c:manualLayout>
                  <c:x val="-6.3013142409969206E-2"/>
                  <c:y val="-3.3814268076855346E-3"/>
                </c:manualLayout>
              </c:layout>
              <c:tx>
                <c:strRef>
                  <c:f>'GEARINGS, E&amp;Enot'!$B$42</c:f>
                  <c:strCache>
                    <c:ptCount val="1"/>
                    <c:pt idx="0">
                      <c:v>TDC</c:v>
                    </c:pt>
                  </c:strCache>
                </c:strRef>
              </c:tx>
              <c:spPr/>
              <c:txPr>
                <a:bodyPr/>
                <a:lstStyle/>
                <a:p>
                  <a:pPr>
                    <a:defRPr sz="1000" b="1" i="0" strike="noStrike">
                      <a:latin typeface="Arial"/>
                    </a:defRPr>
                  </a:pPr>
                  <a:endParaRPr lang="fr-FR"/>
                </a:p>
              </c:txPr>
              <c:dLblPos val="r"/>
              <c:showVal val="1"/>
            </c:dLbl>
            <c:dLbl>
              <c:idx val="7"/>
              <c:layout>
                <c:manualLayout>
                  <c:x val="-6.4057918682853279E-2"/>
                  <c:y val="-3.3816930617648292E-3"/>
                </c:manualLayout>
              </c:layout>
              <c:tx>
                <c:strRef>
                  <c:f>'GEARINGS, E&amp;Enot'!$B$43</c:f>
                  <c:strCache>
                    <c:ptCount val="1"/>
                    <c:pt idx="0">
                      <c:v>ORA</c:v>
                    </c:pt>
                  </c:strCache>
                </c:strRef>
              </c:tx>
              <c:spPr/>
              <c:txPr>
                <a:bodyPr/>
                <a:lstStyle/>
                <a:p>
                  <a:pPr>
                    <a:defRPr sz="1000" b="0" i="0" strike="noStrike">
                      <a:latin typeface="Arial"/>
                    </a:defRPr>
                  </a:pPr>
                  <a:endParaRPr lang="fr-FR"/>
                </a:p>
              </c:txPr>
              <c:dLblPos val="r"/>
              <c:showVal val="1"/>
            </c:dLbl>
            <c:dLbl>
              <c:idx val="8"/>
              <c:layout>
                <c:manualLayout>
                  <c:x val="-6.1987022856244134E-2"/>
                  <c:y val="-3.3814268076855346E-3"/>
                </c:manualLayout>
              </c:layout>
              <c:tx>
                <c:strRef>
                  <c:f>'GEARINGS, E&amp;Enot'!$B$44</c:f>
                  <c:strCache>
                    <c:ptCount val="1"/>
                    <c:pt idx="0">
                      <c:v>TKA</c:v>
                    </c:pt>
                  </c:strCache>
                </c:strRef>
              </c:tx>
              <c:spPr/>
              <c:txPr>
                <a:bodyPr/>
                <a:lstStyle/>
                <a:p>
                  <a:pPr>
                    <a:defRPr sz="1000" b="1" i="0" strike="noStrike">
                      <a:latin typeface="Arial"/>
                    </a:defRPr>
                  </a:pPr>
                  <a:endParaRPr lang="fr-FR"/>
                </a:p>
              </c:txPr>
              <c:dLblPos val="r"/>
              <c:showVal val="1"/>
            </c:dLbl>
            <c:dLbl>
              <c:idx val="9"/>
              <c:layout>
                <c:manualLayout>
                  <c:x val="-6.3022397317898424E-2"/>
                  <c:y val="-3.3814268076855346E-3"/>
                </c:manualLayout>
              </c:layout>
              <c:tx>
                <c:strRef>
                  <c:f>'GEARINGS, E&amp;Enot'!$B$45</c:f>
                  <c:strCache>
                    <c:ptCount val="1"/>
                    <c:pt idx="0">
                      <c:v>OTE</c:v>
                    </c:pt>
                  </c:strCache>
                </c:strRef>
              </c:tx>
              <c:spPr/>
              <c:txPr>
                <a:bodyPr/>
                <a:lstStyle/>
                <a:p>
                  <a:pPr>
                    <a:defRPr sz="1000" b="0" i="0" strike="noStrike">
                      <a:latin typeface="Arial"/>
                    </a:defRPr>
                  </a:pPr>
                  <a:endParaRPr lang="fr-FR"/>
                </a:p>
              </c:txPr>
              <c:dLblPos val="r"/>
              <c:showVal val="1"/>
            </c:dLbl>
            <c:dLbl>
              <c:idx val="10"/>
              <c:layout>
                <c:manualLayout>
                  <c:x val="-6.4570905008065727E-2"/>
                  <c:y val="-3.3814268076855346E-3"/>
                </c:manualLayout>
              </c:layout>
              <c:tx>
                <c:strRef>
                  <c:f>'GEARINGS, E&amp;Enot'!$B$46</c:f>
                  <c:strCache>
                    <c:ptCount val="1"/>
                    <c:pt idx="0">
                      <c:v>SCM</c:v>
                    </c:pt>
                  </c:strCache>
                </c:strRef>
              </c:tx>
              <c:spPr/>
              <c:txPr>
                <a:bodyPr/>
                <a:lstStyle/>
                <a:p>
                  <a:pPr>
                    <a:defRPr sz="1000" b="1" i="0" strike="noStrike">
                      <a:latin typeface="Arial"/>
                    </a:defRPr>
                  </a:pPr>
                  <a:endParaRPr lang="fr-FR"/>
                </a:p>
              </c:txPr>
              <c:dLblPos val="r"/>
              <c:showVal val="1"/>
            </c:dLbl>
            <c:dLbl>
              <c:idx val="11"/>
              <c:layout>
                <c:manualLayout>
                  <c:x val="-5.5764933565185922E-2"/>
                  <c:y val="-3.3814268076855346E-3"/>
                </c:manualLayout>
              </c:layout>
              <c:tx>
                <c:strRef>
                  <c:f>'GEARINGS, E&amp;Enot'!$B$47</c:f>
                  <c:strCache>
                    <c:ptCount val="1"/>
                    <c:pt idx="0">
                      <c:v>BT</c:v>
                    </c:pt>
                  </c:strCache>
                </c:strRef>
              </c:tx>
              <c:spPr/>
              <c:txPr>
                <a:bodyPr/>
                <a:lstStyle/>
                <a:p>
                  <a:pPr>
                    <a:defRPr sz="1000" b="0" i="0" strike="noStrike">
                      <a:latin typeface="Arial"/>
                    </a:defRPr>
                  </a:pPr>
                  <a:endParaRPr lang="fr-FR"/>
                </a:p>
              </c:txPr>
              <c:dLblPos val="r"/>
              <c:showVal val="1"/>
            </c:dLbl>
            <c:dLbl>
              <c:idx val="12"/>
              <c:layout>
                <c:manualLayout>
                  <c:x val="-6.4057918682853279E-2"/>
                  <c:y val="-3.3814268076855346E-3"/>
                </c:manualLayout>
              </c:layout>
              <c:tx>
                <c:strRef>
                  <c:f>'GEARINGS, E&amp;Enot'!$B$48</c:f>
                  <c:strCache>
                    <c:ptCount val="1"/>
                    <c:pt idx="0">
                      <c:v>VOD</c:v>
                    </c:pt>
                  </c:strCache>
                </c:strRef>
              </c:tx>
              <c:spPr/>
              <c:txPr>
                <a:bodyPr/>
                <a:lstStyle/>
                <a:p>
                  <a:pPr>
                    <a:defRPr sz="1000" b="0" i="0" strike="noStrike">
                      <a:latin typeface="Arial"/>
                    </a:defRPr>
                  </a:pPr>
                  <a:endParaRPr lang="fr-FR"/>
                </a:p>
              </c:txPr>
              <c:dLblPos val="r"/>
              <c:showVal val="1"/>
            </c:dLbl>
            <c:dLbl>
              <c:idx val="13"/>
              <c:layout>
                <c:manualLayout>
                  <c:x val="-6.7686577107559223E-2"/>
                  <c:y val="-3.3816930617648292E-3"/>
                </c:manualLayout>
              </c:layout>
              <c:tx>
                <c:strRef>
                  <c:f>'GEARINGS, E&amp;Enot'!$B$49</c:f>
                  <c:strCache>
                    <c:ptCount val="1"/>
                    <c:pt idx="0">
                      <c:v>TLSN</c:v>
                    </c:pt>
                  </c:strCache>
                </c:strRef>
              </c:tx>
              <c:spPr/>
              <c:txPr>
                <a:bodyPr/>
                <a:lstStyle/>
                <a:p>
                  <a:pPr>
                    <a:defRPr sz="1000" b="0" i="0" strike="noStrike">
                      <a:latin typeface="Arial"/>
                    </a:defRPr>
                  </a:pPr>
                  <a:endParaRPr lang="fr-FR"/>
                </a:p>
              </c:txPr>
              <c:dLblPos val="r"/>
              <c:showVal val="1"/>
            </c:dLbl>
            <c:dLbl>
              <c:idx val="14"/>
              <c:layout>
                <c:manualLayout>
                  <c:x val="-6.3535530546411423E-2"/>
                  <c:y val="-3.3814268076854744E-3"/>
                </c:manualLayout>
              </c:layout>
              <c:tx>
                <c:strRef>
                  <c:f>'GEARINGS, E&amp;Enot'!$B$50</c:f>
                  <c:strCache>
                    <c:ptCount val="1"/>
                    <c:pt idx="0">
                      <c:v>SNC</c:v>
                    </c:pt>
                  </c:strCache>
                </c:strRef>
              </c:tx>
              <c:spPr/>
              <c:txPr>
                <a:bodyPr/>
                <a:lstStyle/>
                <a:p>
                  <a:pPr>
                    <a:defRPr sz="1000" b="0" i="0" strike="noStrike">
                      <a:latin typeface="Arial"/>
                    </a:defRPr>
                  </a:pPr>
                  <a:endParaRPr lang="fr-FR"/>
                </a:p>
              </c:txPr>
              <c:dLblPos val="r"/>
              <c:showVal val="1"/>
            </c:dLbl>
            <c:dLbl>
              <c:idx val="15"/>
              <c:layout>
                <c:manualLayout>
                  <c:x val="-5.7845231203024913E-2"/>
                  <c:y val="-3.3814268076854744E-3"/>
                </c:manualLayout>
              </c:layout>
              <c:tx>
                <c:strRef>
                  <c:f>'GEARINGS, E&amp;Enot'!$B$51</c:f>
                  <c:strCache>
                    <c:ptCount val="1"/>
                    <c:pt idx="0">
                      <c:v>ELI</c:v>
                    </c:pt>
                  </c:strCache>
                </c:strRef>
              </c:tx>
              <c:spPr/>
              <c:txPr>
                <a:bodyPr/>
                <a:lstStyle/>
                <a:p>
                  <a:pPr>
                    <a:defRPr sz="1000" b="0" i="0" strike="noStrike">
                      <a:latin typeface="Arial"/>
                    </a:defRPr>
                  </a:pPr>
                  <a:endParaRPr lang="fr-FR"/>
                </a:p>
              </c:txPr>
              <c:dLblPos val="r"/>
              <c:showVal val="1"/>
            </c:dLbl>
            <c:dLbl>
              <c:idx val="16"/>
              <c:layout>
                <c:manualLayout>
                  <c:x val="-6.6138069417391795E-2"/>
                  <c:y val="-3.3816930617648292E-3"/>
                </c:manualLayout>
              </c:layout>
              <c:tx>
                <c:strRef>
                  <c:f>'GEARINGS, E&amp;Enot'!$B$52</c:f>
                  <c:strCache>
                    <c:ptCount val="1"/>
                    <c:pt idx="0">
                      <c:v>TEL2</c:v>
                    </c:pt>
                  </c:strCache>
                </c:strRef>
              </c:tx>
              <c:spPr/>
              <c:txPr>
                <a:bodyPr/>
                <a:lstStyle/>
                <a:p>
                  <a:pPr>
                    <a:defRPr sz="1000" b="0" i="0" strike="noStrike">
                      <a:latin typeface="Arial"/>
                    </a:defRPr>
                  </a:pPr>
                  <a:endParaRPr lang="fr-FR"/>
                </a:p>
              </c:txPr>
              <c:dLblPos val="r"/>
              <c:showVal val="1"/>
            </c:dLbl>
            <c:dLbl>
              <c:idx val="17"/>
              <c:layout>
                <c:manualLayout>
                  <c:x val="-5.8358217528237534E-2"/>
                  <c:y val="-3.3816930617648292E-3"/>
                </c:manualLayout>
              </c:layout>
              <c:tx>
                <c:strRef>
                  <c:f>'GEARINGS, E&amp;Enot'!$B$53</c:f>
                  <c:strCache>
                    <c:ptCount val="1"/>
                    <c:pt idx="0">
                      <c:v>ILD</c:v>
                    </c:pt>
                  </c:strCache>
                </c:strRef>
              </c:tx>
              <c:spPr/>
              <c:txPr>
                <a:bodyPr/>
                <a:lstStyle/>
                <a:p>
                  <a:pPr>
                    <a:defRPr sz="1000" b="0" i="0" strike="noStrike">
                      <a:latin typeface="Arial"/>
                    </a:defRPr>
                  </a:pPr>
                  <a:endParaRPr lang="fr-FR"/>
                </a:p>
              </c:txPr>
              <c:dLblPos val="r"/>
              <c:showVal val="1"/>
            </c:dLbl>
            <c:dLbl>
              <c:idx val="18"/>
              <c:layout>
                <c:manualLayout>
                  <c:x val="-3.2497213611648652E-2"/>
                  <c:y val="-3.3814268076855346E-3"/>
                </c:manualLayout>
              </c:layout>
              <c:tx>
                <c:strRef>
                  <c:f>'GEARINGS, E&amp;Enot'!$B$54</c:f>
                  <c:strCache>
                    <c:ptCount val="1"/>
                    <c:pt idx="0">
                      <c:v>MOBISTAR</c:v>
                    </c:pt>
                  </c:strCache>
                </c:strRef>
              </c:tx>
              <c:spPr/>
              <c:txPr>
                <a:bodyPr/>
                <a:lstStyle/>
                <a:p>
                  <a:pPr>
                    <a:defRPr sz="1000" b="1" i="0" strike="noStrike">
                      <a:latin typeface="Arial"/>
                    </a:defRPr>
                  </a:pPr>
                  <a:endParaRPr lang="fr-FR"/>
                </a:p>
              </c:txPr>
              <c:dLblPos val="r"/>
              <c:showVal val="1"/>
            </c:dLbl>
            <c:dLbl>
              <c:idx val="19"/>
              <c:layout>
                <c:manualLayout>
                  <c:x val="-6.0951501491288862E-2"/>
                  <c:y val="-3.3814268076855346E-3"/>
                </c:manualLayout>
              </c:layout>
              <c:tx>
                <c:strRef>
                  <c:f>'GEARINGS, E&amp;Enot'!$B$55</c:f>
                  <c:strCache>
                    <c:ptCount val="1"/>
                    <c:pt idx="0">
                      <c:v>TEL</c:v>
                    </c:pt>
                  </c:strCache>
                </c:strRef>
              </c:tx>
              <c:spPr/>
              <c:txPr>
                <a:bodyPr/>
                <a:lstStyle/>
                <a:p>
                  <a:pPr>
                    <a:defRPr sz="1000" b="0" i="0" strike="noStrike">
                      <a:latin typeface="Arial"/>
                    </a:defRPr>
                  </a:pPr>
                  <a:endParaRPr lang="fr-FR"/>
                </a:p>
              </c:txPr>
              <c:dLblPos val="r"/>
              <c:showVal val="1"/>
            </c:dLbl>
            <c:dLbl>
              <c:idx val="20"/>
              <c:layout>
                <c:manualLayout>
                  <c:x val="-9.8255684900647206E-2"/>
                  <c:y val="-3.3814268076855346E-3"/>
                </c:manualLayout>
              </c:layout>
              <c:tx>
                <c:strRef>
                  <c:f>'GEARINGS, E&amp;Enot'!$B$56</c:f>
                  <c:strCache>
                    <c:ptCount val="1"/>
                    <c:pt idx="0">
                      <c:v>BELGACOM</c:v>
                    </c:pt>
                  </c:strCache>
                </c:strRef>
              </c:tx>
              <c:spPr/>
              <c:txPr>
                <a:bodyPr/>
                <a:lstStyle/>
                <a:p>
                  <a:pPr>
                    <a:defRPr sz="1000" b="1" i="0" strike="noStrike">
                      <a:latin typeface="Arial"/>
                    </a:defRPr>
                  </a:pPr>
                  <a:endParaRPr lang="fr-FR"/>
                </a:p>
              </c:txPr>
              <c:dLblPos val="r"/>
              <c:showVal val="1"/>
            </c:dLbl>
            <c:dLbl>
              <c:idx val="21"/>
              <c:layout>
                <c:manualLayout>
                  <c:x val="-6.1987022856244134E-2"/>
                  <c:y val="-3.3814268076855346E-3"/>
                </c:manualLayout>
              </c:layout>
              <c:tx>
                <c:strRef>
                  <c:f>'GEARINGS, E&amp;Enot'!$B$57</c:f>
                  <c:strCache>
                    <c:ptCount val="1"/>
                    <c:pt idx="0">
                      <c:v>TPS</c:v>
                    </c:pt>
                  </c:strCache>
                </c:strRef>
              </c:tx>
              <c:spPr/>
              <c:txPr>
                <a:bodyPr/>
                <a:lstStyle/>
                <a:p>
                  <a:pPr>
                    <a:defRPr sz="1000" b="1" i="0" strike="noStrike">
                      <a:latin typeface="Arial"/>
                    </a:defRPr>
                  </a:pPr>
                  <a:endParaRPr lang="fr-FR"/>
                </a:p>
              </c:txPr>
              <c:dLblPos val="r"/>
              <c:showVal val="1"/>
            </c:dLbl>
            <c:showVal val="1"/>
          </c:dLbls>
          <c:xVal>
            <c:numRef>
              <c:f>'GEARINGS, E&amp;Enot'!$C$36:$C$57</c:f>
              <c:numCache>
                <c:formatCode>0%</c:formatCode>
                <c:ptCount val="22"/>
                <c:pt idx="0">
                  <c:v>6.4385445236561381E-2</c:v>
                </c:pt>
                <c:pt idx="1">
                  <c:v>0.48460704112825509</c:v>
                </c:pt>
                <c:pt idx="2">
                  <c:v>0.34534166666666666</c:v>
                </c:pt>
                <c:pt idx="3">
                  <c:v>0.6158872479982318</c:v>
                </c:pt>
                <c:pt idx="4">
                  <c:v>0.61</c:v>
                </c:pt>
                <c:pt idx="5">
                  <c:v>0.5805147103617575</c:v>
                </c:pt>
                <c:pt idx="6">
                  <c:v>0.31054928118178421</c:v>
                </c:pt>
                <c:pt idx="7">
                  <c:v>0.60741568747204655</c:v>
                </c:pt>
                <c:pt idx="8">
                  <c:v>0.60910298289809772</c:v>
                </c:pt>
                <c:pt idx="9">
                  <c:v>0.56323171407839789</c:v>
                </c:pt>
                <c:pt idx="10">
                  <c:v>0.32615050588405037</c:v>
                </c:pt>
                <c:pt idx="11">
                  <c:v>0</c:v>
                </c:pt>
                <c:pt idx="12">
                  <c:v>0.91487499999999988</c:v>
                </c:pt>
                <c:pt idx="13">
                  <c:v>0.67984865616162071</c:v>
                </c:pt>
                <c:pt idx="14">
                  <c:v>0.90539538726018864</c:v>
                </c:pt>
                <c:pt idx="15">
                  <c:v>0.62657499999999999</c:v>
                </c:pt>
                <c:pt idx="16">
                  <c:v>0.67083419702973635</c:v>
                </c:pt>
                <c:pt idx="17">
                  <c:v>9.1630231095150338E-2</c:v>
                </c:pt>
                <c:pt idx="18">
                  <c:v>0.95644485424869818</c:v>
                </c:pt>
                <c:pt idx="19">
                  <c:v>0.7344324868237998</c:v>
                </c:pt>
                <c:pt idx="20">
                  <c:v>0.37158673775730477</c:v>
                </c:pt>
                <c:pt idx="21">
                  <c:v>0.42290073595624156</c:v>
                </c:pt>
              </c:numCache>
            </c:numRef>
          </c:xVal>
          <c:yVal>
            <c:numRef>
              <c:f>'GEARINGS, E&amp;Enot'!$P$36:$P$57</c:f>
              <c:numCache>
                <c:formatCode>0.0</c:formatCode>
                <c:ptCount val="22"/>
                <c:pt idx="0">
                  <c:v>3.7014756930154613</c:v>
                </c:pt>
                <c:pt idx="1">
                  <c:v>3.4278891827637503</c:v>
                </c:pt>
                <c:pt idx="2">
                  <c:v>2.9152503149286035</c:v>
                </c:pt>
                <c:pt idx="3">
                  <c:v>2.7929780820851775</c:v>
                </c:pt>
                <c:pt idx="4">
                  <c:v>2.7906818261625395</c:v>
                </c:pt>
                <c:pt idx="5">
                  <c:v>2.643581803383519</c:v>
                </c:pt>
                <c:pt idx="6">
                  <c:v>2.6587814840492587</c:v>
                </c:pt>
                <c:pt idx="7">
                  <c:v>2.5321561588471506</c:v>
                </c:pt>
                <c:pt idx="8">
                  <c:v>2.1902281092407181</c:v>
                </c:pt>
                <c:pt idx="9">
                  <c:v>2.172629043332774</c:v>
                </c:pt>
                <c:pt idx="10">
                  <c:v>2.1579177629636748</c:v>
                </c:pt>
                <c:pt idx="11">
                  <c:v>2.2664974928712622</c:v>
                </c:pt>
                <c:pt idx="12">
                  <c:v>2.0880314655341889</c:v>
                </c:pt>
                <c:pt idx="13">
                  <c:v>1.845874038975184</c:v>
                </c:pt>
                <c:pt idx="14">
                  <c:v>1.832329792526622</c:v>
                </c:pt>
                <c:pt idx="15">
                  <c:v>1.7511002028712532</c:v>
                </c:pt>
                <c:pt idx="16">
                  <c:v>1.4399592566697517</c:v>
                </c:pt>
                <c:pt idx="17">
                  <c:v>1.265551414722516</c:v>
                </c:pt>
                <c:pt idx="18">
                  <c:v>1.2440956586918632</c:v>
                </c:pt>
                <c:pt idx="19">
                  <c:v>1.0395975936863313</c:v>
                </c:pt>
                <c:pt idx="20">
                  <c:v>0.93248540191552354</c:v>
                </c:pt>
                <c:pt idx="21">
                  <c:v>0.77886477042851432</c:v>
                </c:pt>
              </c:numCache>
            </c:numRef>
          </c:yVal>
        </c:ser>
        <c:axId val="169328640"/>
        <c:axId val="169330176"/>
      </c:scatterChart>
      <c:valAx>
        <c:axId val="169328640"/>
        <c:scaling>
          <c:orientation val="minMax"/>
          <c:max val="1"/>
        </c:scaling>
        <c:axPos val="b"/>
        <c:numFmt formatCode="0%" sourceLinked="1"/>
        <c:tickLblPos val="nextTo"/>
        <c:txPr>
          <a:bodyPr/>
          <a:lstStyle/>
          <a:p>
            <a:pPr>
              <a:defRPr sz="1200" baseline="0">
                <a:latin typeface="Arial" pitchFamily="34" charset="0"/>
              </a:defRPr>
            </a:pPr>
            <a:endParaRPr lang="fr-FR"/>
          </a:p>
        </c:txPr>
        <c:crossAx val="169330176"/>
        <c:crosses val="autoZero"/>
        <c:crossBetween val="midCat"/>
        <c:majorUnit val="0.1"/>
      </c:valAx>
      <c:valAx>
        <c:axId val="169330176"/>
        <c:scaling>
          <c:orientation val="minMax"/>
        </c:scaling>
        <c:axPos val="l"/>
        <c:majorGridlines>
          <c:spPr>
            <a:ln>
              <a:solidFill>
                <a:schemeClr val="bg1">
                  <a:lumMod val="50000"/>
                </a:schemeClr>
              </a:solidFill>
              <a:prstDash val="sysDash"/>
            </a:ln>
          </c:spPr>
        </c:majorGridlines>
        <c:numFmt formatCode="0.0" sourceLinked="0"/>
        <c:tickLblPos val="nextTo"/>
        <c:txPr>
          <a:bodyPr/>
          <a:lstStyle/>
          <a:p>
            <a:pPr>
              <a:defRPr sz="1200" baseline="0">
                <a:latin typeface="Arial" pitchFamily="34" charset="0"/>
              </a:defRPr>
            </a:pPr>
            <a:endParaRPr lang="fr-FR"/>
          </a:p>
        </c:txPr>
        <c:crossAx val="169328640"/>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6.2521750869924619E-2"/>
          <c:y val="3.9763411358832677E-2"/>
          <c:w val="0.89765555553760068"/>
          <c:h val="0.86820429116133369"/>
        </c:manualLayout>
      </c:layout>
      <c:scatterChart>
        <c:scatterStyle val="lineMarker"/>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dPt>
          <c:dPt>
            <c:idx val="6"/>
            <c:marker>
              <c:spPr>
                <a:solidFill>
                  <a:schemeClr val="bg2">
                    <a:lumMod val="50000"/>
                    <a:alpha val="50000"/>
                  </a:schemeClr>
                </a:solidFill>
                <a:ln>
                  <a:noFill/>
                </a:ln>
              </c:spPr>
            </c:marker>
          </c:dPt>
          <c:dPt>
            <c:idx val="10"/>
            <c:marker>
              <c:spPr>
                <a:solidFill>
                  <a:schemeClr val="bg2">
                    <a:lumMod val="50000"/>
                    <a:alpha val="50000"/>
                  </a:schemeClr>
                </a:solidFill>
                <a:ln>
                  <a:noFill/>
                </a:ln>
              </c:spPr>
            </c:marker>
          </c:dPt>
          <c:dPt>
            <c:idx val="11"/>
            <c:marker>
              <c:spPr>
                <a:solidFill>
                  <a:srgbClr val="558ED5">
                    <a:alpha val="50000"/>
                  </a:srgbClr>
                </a:solidFill>
                <a:ln>
                  <a:noFill/>
                </a:ln>
              </c:spPr>
            </c:marker>
          </c:dPt>
          <c:dPt>
            <c:idx val="12"/>
            <c:marker>
              <c:spPr>
                <a:solidFill>
                  <a:srgbClr val="558ED5">
                    <a:alpha val="50000"/>
                  </a:srgbClr>
                </a:solidFill>
                <a:ln>
                  <a:noFill/>
                </a:ln>
              </c:spPr>
            </c:marker>
          </c:dPt>
          <c:dPt>
            <c:idx val="13"/>
            <c:marker>
              <c:spPr>
                <a:solidFill>
                  <a:schemeClr val="bg2">
                    <a:lumMod val="50000"/>
                    <a:alpha val="50000"/>
                  </a:schemeClr>
                </a:solidFill>
                <a:ln>
                  <a:noFill/>
                </a:ln>
              </c:spPr>
            </c:marker>
          </c:dPt>
          <c:dPt>
            <c:idx val="14"/>
            <c:marker>
              <c:spPr>
                <a:solidFill>
                  <a:srgbClr val="C00000">
                    <a:alpha val="50000"/>
                  </a:srgbClr>
                </a:solidFill>
                <a:ln>
                  <a:noFill/>
                </a:ln>
              </c:spPr>
            </c:marker>
          </c:dPt>
          <c:dPt>
            <c:idx val="15"/>
            <c:marker>
              <c:spPr>
                <a:solidFill>
                  <a:schemeClr val="bg2">
                    <a:lumMod val="50000"/>
                    <a:alpha val="50000"/>
                  </a:schemeClr>
                </a:solidFill>
                <a:ln>
                  <a:noFill/>
                </a:ln>
              </c:spPr>
            </c:marker>
          </c:dPt>
          <c:dPt>
            <c:idx val="16"/>
            <c:marker>
              <c:spPr>
                <a:solidFill>
                  <a:schemeClr val="bg2">
                    <a:lumMod val="50000"/>
                    <a:alpha val="50000"/>
                  </a:schemeClr>
                </a:solidFill>
                <a:ln>
                  <a:noFill/>
                </a:ln>
              </c:spPr>
            </c:marker>
          </c:dPt>
          <c:dPt>
            <c:idx val="17"/>
            <c:marker>
              <c:spPr>
                <a:solidFill>
                  <a:srgbClr val="FFC000">
                    <a:alpha val="50000"/>
                  </a:srgbClr>
                </a:solidFill>
                <a:ln>
                  <a:noFill/>
                </a:ln>
              </c:spPr>
            </c:marker>
          </c:dPt>
          <c:dPt>
            <c:idx val="18"/>
            <c:marker>
              <c:spPr>
                <a:solidFill>
                  <a:srgbClr val="C00000">
                    <a:alpha val="50000"/>
                  </a:srgbClr>
                </a:solidFill>
                <a:ln>
                  <a:noFill/>
                </a:ln>
              </c:spPr>
            </c:marker>
          </c:dPt>
          <c:dPt>
            <c:idx val="19"/>
            <c:marker>
              <c:spPr>
                <a:solidFill>
                  <a:schemeClr val="bg2">
                    <a:lumMod val="50000"/>
                    <a:alpha val="50000"/>
                  </a:schemeClr>
                </a:solidFill>
                <a:ln>
                  <a:noFill/>
                </a:ln>
              </c:spPr>
            </c:marker>
          </c:dPt>
          <c:dLbls>
            <c:dLbl>
              <c:idx val="0"/>
              <c:layout>
                <c:manualLayout>
                  <c:x val="-8.6343296266202879E-2"/>
                  <c:y val="-3.3816930617648292E-3"/>
                </c:manualLayout>
              </c:layout>
              <c:tx>
                <c:strRef>
                  <c:f>'GEARINGS, E&amp;Enot'!$B$36</c:f>
                  <c:strCache>
                    <c:ptCount val="1"/>
                    <c:pt idx="0">
                      <c:v>TELENET</c:v>
                    </c:pt>
                  </c:strCache>
                </c:strRef>
              </c:tx>
              <c:spPr/>
              <c:txPr>
                <a:bodyPr/>
                <a:lstStyle/>
                <a:p>
                  <a:pPr>
                    <a:defRPr sz="1000" b="1" i="0" strike="noStrike">
                      <a:latin typeface="Arial"/>
                    </a:defRPr>
                  </a:pPr>
                  <a:endParaRPr lang="fr-FR"/>
                </a:p>
              </c:txPr>
              <c:dLblPos val="r"/>
              <c:showVal val="1"/>
            </c:dLbl>
            <c:dLbl>
              <c:idx val="1"/>
              <c:layout>
                <c:manualLayout>
                  <c:x val="-5.5764933565185922E-2"/>
                  <c:y val="-3.3814268076855355E-3"/>
                </c:manualLayout>
              </c:layout>
              <c:tx>
                <c:strRef>
                  <c:f>'GEARINGS, E&amp;Enot'!$B$37</c:f>
                  <c:strCache>
                    <c:ptCount val="1"/>
                    <c:pt idx="0">
                      <c:v>PT</c:v>
                    </c:pt>
                  </c:strCache>
                </c:strRef>
              </c:tx>
              <c:spPr/>
              <c:txPr>
                <a:bodyPr/>
                <a:lstStyle/>
                <a:p>
                  <a:pPr>
                    <a:defRPr sz="1000" b="0" i="0" strike="noStrike">
                      <a:latin typeface="Arial"/>
                    </a:defRPr>
                  </a:pPr>
                  <a:endParaRPr lang="fr-FR"/>
                </a:p>
              </c:txPr>
              <c:dLblPos val="r"/>
              <c:showVal val="1"/>
            </c:dLbl>
            <c:dLbl>
              <c:idx val="2"/>
              <c:layout>
                <c:manualLayout>
                  <c:x val="-5.7835829391795372E-2"/>
                  <c:y val="-3.3814268076855355E-3"/>
                </c:manualLayout>
              </c:layout>
              <c:tx>
                <c:strRef>
                  <c:f>'GEARINGS, E&amp;Enot'!$B$38</c:f>
                  <c:strCache>
                    <c:ptCount val="1"/>
                    <c:pt idx="0">
                      <c:v>TIT</c:v>
                    </c:pt>
                  </c:strCache>
                </c:strRef>
              </c:tx>
              <c:spPr/>
              <c:txPr>
                <a:bodyPr/>
                <a:lstStyle/>
                <a:p>
                  <a:pPr>
                    <a:defRPr sz="1000" b="1" i="0" strike="noStrike">
                      <a:latin typeface="Arial"/>
                    </a:defRPr>
                  </a:pPr>
                  <a:endParaRPr lang="fr-FR"/>
                </a:p>
              </c:txPr>
              <c:dLblPos val="r"/>
              <c:showVal val="1"/>
            </c:dLbl>
            <c:dLbl>
              <c:idx val="3"/>
              <c:layout>
                <c:manualLayout>
                  <c:x val="-6.1464634719802534E-2"/>
                  <c:y val="-3.3814268076855078E-3"/>
                </c:manualLayout>
              </c:layout>
              <c:tx>
                <c:strRef>
                  <c:f>'GEARINGS, E&amp;Enot'!$B$39</c:f>
                  <c:strCache>
                    <c:ptCount val="1"/>
                    <c:pt idx="0">
                      <c:v>TEF</c:v>
                    </c:pt>
                  </c:strCache>
                </c:strRef>
              </c:tx>
              <c:spPr/>
              <c:txPr>
                <a:bodyPr/>
                <a:lstStyle/>
                <a:p>
                  <a:pPr>
                    <a:defRPr sz="1000" b="0" i="0" strike="noStrike">
                      <a:latin typeface="Arial"/>
                    </a:defRPr>
                  </a:pPr>
                  <a:endParaRPr lang="fr-FR"/>
                </a:p>
              </c:txPr>
              <c:dLblPos val="r"/>
              <c:showVal val="1"/>
            </c:dLbl>
            <c:dLbl>
              <c:idx val="4"/>
              <c:layout>
                <c:manualLayout>
                  <c:x val="-5.6278066793698747E-2"/>
                  <c:y val="-3.3814268076855355E-3"/>
                </c:manualLayout>
              </c:layout>
              <c:tx>
                <c:strRef>
                  <c:f>'GEARINGS, E&amp;Enot'!$B$40</c:f>
                  <c:strCache>
                    <c:ptCount val="1"/>
                    <c:pt idx="0">
                      <c:v>DT</c:v>
                    </c:pt>
                  </c:strCache>
                </c:strRef>
              </c:tx>
              <c:spPr/>
              <c:txPr>
                <a:bodyPr/>
                <a:lstStyle/>
                <a:p>
                  <a:pPr>
                    <a:defRPr sz="1000" b="0" i="0" strike="noStrike">
                      <a:latin typeface="Arial"/>
                    </a:defRPr>
                  </a:pPr>
                  <a:endParaRPr lang="fr-FR"/>
                </a:p>
              </c:txPr>
              <c:dLblPos val="r"/>
              <c:showVal val="1"/>
            </c:dLbl>
            <c:dLbl>
              <c:idx val="5"/>
              <c:layout>
                <c:manualLayout>
                  <c:x val="-6.3022397317898424E-2"/>
                  <c:y val="-3.3816930617648292E-3"/>
                </c:manualLayout>
              </c:layout>
              <c:tx>
                <c:strRef>
                  <c:f>'GEARINGS, E&amp;Enot'!$B$41</c:f>
                  <c:strCache>
                    <c:ptCount val="1"/>
                    <c:pt idx="0">
                      <c:v>KPN</c:v>
                    </c:pt>
                  </c:strCache>
                </c:strRef>
              </c:tx>
              <c:spPr/>
              <c:txPr>
                <a:bodyPr/>
                <a:lstStyle/>
                <a:p>
                  <a:pPr>
                    <a:defRPr sz="1000" b="1" i="0" strike="noStrike">
                      <a:latin typeface="Arial"/>
                    </a:defRPr>
                  </a:pPr>
                  <a:endParaRPr lang="fr-FR"/>
                </a:p>
              </c:txPr>
              <c:dLblPos val="r"/>
              <c:showVal val="1"/>
            </c:dLbl>
            <c:dLbl>
              <c:idx val="6"/>
              <c:layout>
                <c:manualLayout>
                  <c:x val="-6.3013142409969206E-2"/>
                  <c:y val="-3.3814268076855355E-3"/>
                </c:manualLayout>
              </c:layout>
              <c:tx>
                <c:strRef>
                  <c:f>'GEARINGS, E&amp;Enot'!$B$42</c:f>
                  <c:strCache>
                    <c:ptCount val="1"/>
                    <c:pt idx="0">
                      <c:v>TDC</c:v>
                    </c:pt>
                  </c:strCache>
                </c:strRef>
              </c:tx>
              <c:spPr/>
              <c:txPr>
                <a:bodyPr/>
                <a:lstStyle/>
                <a:p>
                  <a:pPr>
                    <a:defRPr sz="1000" b="1" i="0" strike="noStrike">
                      <a:latin typeface="Arial"/>
                    </a:defRPr>
                  </a:pPr>
                  <a:endParaRPr lang="fr-FR"/>
                </a:p>
              </c:txPr>
              <c:dLblPos val="r"/>
              <c:showVal val="1"/>
            </c:dLbl>
            <c:dLbl>
              <c:idx val="7"/>
              <c:layout>
                <c:manualLayout>
                  <c:x val="-6.4057918682853279E-2"/>
                  <c:y val="-3.3816930617648292E-3"/>
                </c:manualLayout>
              </c:layout>
              <c:tx>
                <c:strRef>
                  <c:f>'GEARINGS, E&amp;Enot'!$B$43</c:f>
                  <c:strCache>
                    <c:ptCount val="1"/>
                    <c:pt idx="0">
                      <c:v>ORA</c:v>
                    </c:pt>
                  </c:strCache>
                </c:strRef>
              </c:tx>
              <c:spPr/>
              <c:txPr>
                <a:bodyPr/>
                <a:lstStyle/>
                <a:p>
                  <a:pPr>
                    <a:defRPr sz="1000" b="0" i="0" strike="noStrike">
                      <a:latin typeface="Arial"/>
                    </a:defRPr>
                  </a:pPr>
                  <a:endParaRPr lang="fr-FR"/>
                </a:p>
              </c:txPr>
              <c:dLblPos val="r"/>
              <c:showVal val="1"/>
            </c:dLbl>
            <c:dLbl>
              <c:idx val="8"/>
              <c:layout>
                <c:manualLayout>
                  <c:x val="-6.1987022856244134E-2"/>
                  <c:y val="-3.3814268076855355E-3"/>
                </c:manualLayout>
              </c:layout>
              <c:tx>
                <c:strRef>
                  <c:f>'GEARINGS, E&amp;Enot'!$B$44</c:f>
                  <c:strCache>
                    <c:ptCount val="1"/>
                    <c:pt idx="0">
                      <c:v>TKA</c:v>
                    </c:pt>
                  </c:strCache>
                </c:strRef>
              </c:tx>
              <c:spPr/>
              <c:txPr>
                <a:bodyPr/>
                <a:lstStyle/>
                <a:p>
                  <a:pPr>
                    <a:defRPr sz="1000" b="1" i="0" strike="noStrike">
                      <a:latin typeface="Arial"/>
                    </a:defRPr>
                  </a:pPr>
                  <a:endParaRPr lang="fr-FR"/>
                </a:p>
              </c:txPr>
              <c:dLblPos val="r"/>
              <c:showVal val="1"/>
            </c:dLbl>
            <c:dLbl>
              <c:idx val="9"/>
              <c:layout>
                <c:manualLayout>
                  <c:x val="-6.3022397317898424E-2"/>
                  <c:y val="-3.3814268076855355E-3"/>
                </c:manualLayout>
              </c:layout>
              <c:tx>
                <c:strRef>
                  <c:f>'GEARINGS, E&amp;Enot'!$B$45</c:f>
                  <c:strCache>
                    <c:ptCount val="1"/>
                    <c:pt idx="0">
                      <c:v>OTE</c:v>
                    </c:pt>
                  </c:strCache>
                </c:strRef>
              </c:tx>
              <c:spPr/>
              <c:txPr>
                <a:bodyPr/>
                <a:lstStyle/>
                <a:p>
                  <a:pPr>
                    <a:defRPr sz="1000" b="0" i="0" strike="noStrike">
                      <a:latin typeface="Arial"/>
                    </a:defRPr>
                  </a:pPr>
                  <a:endParaRPr lang="fr-FR"/>
                </a:p>
              </c:txPr>
              <c:dLblPos val="r"/>
              <c:showVal val="1"/>
            </c:dLbl>
            <c:dLbl>
              <c:idx val="10"/>
              <c:layout>
                <c:manualLayout>
                  <c:x val="-6.4570905008065727E-2"/>
                  <c:y val="-3.3814268076855355E-3"/>
                </c:manualLayout>
              </c:layout>
              <c:tx>
                <c:strRef>
                  <c:f>'GEARINGS, E&amp;Enot'!$B$46</c:f>
                  <c:strCache>
                    <c:ptCount val="1"/>
                    <c:pt idx="0">
                      <c:v>SCM</c:v>
                    </c:pt>
                  </c:strCache>
                </c:strRef>
              </c:tx>
              <c:spPr/>
              <c:txPr>
                <a:bodyPr/>
                <a:lstStyle/>
                <a:p>
                  <a:pPr>
                    <a:defRPr sz="1000" b="1" i="0" strike="noStrike">
                      <a:latin typeface="Arial"/>
                    </a:defRPr>
                  </a:pPr>
                  <a:endParaRPr lang="fr-FR"/>
                </a:p>
              </c:txPr>
              <c:dLblPos val="r"/>
              <c:showVal val="1"/>
            </c:dLbl>
            <c:dLbl>
              <c:idx val="11"/>
              <c:layout>
                <c:manualLayout>
                  <c:x val="-5.5764933565185922E-2"/>
                  <c:y val="-3.3814268076855355E-3"/>
                </c:manualLayout>
              </c:layout>
              <c:tx>
                <c:strRef>
                  <c:f>'GEARINGS, E&amp;Enot'!$B$47</c:f>
                  <c:strCache>
                    <c:ptCount val="1"/>
                    <c:pt idx="0">
                      <c:v>BT</c:v>
                    </c:pt>
                  </c:strCache>
                </c:strRef>
              </c:tx>
              <c:spPr/>
              <c:txPr>
                <a:bodyPr/>
                <a:lstStyle/>
                <a:p>
                  <a:pPr>
                    <a:defRPr sz="1000" b="0" i="0" strike="noStrike">
                      <a:latin typeface="Arial"/>
                    </a:defRPr>
                  </a:pPr>
                  <a:endParaRPr lang="fr-FR"/>
                </a:p>
              </c:txPr>
              <c:dLblPos val="r"/>
              <c:showVal val="1"/>
            </c:dLbl>
            <c:dLbl>
              <c:idx val="12"/>
              <c:layout>
                <c:manualLayout>
                  <c:x val="-6.4057918682853279E-2"/>
                  <c:y val="-3.3814268076855355E-3"/>
                </c:manualLayout>
              </c:layout>
              <c:tx>
                <c:strRef>
                  <c:f>'GEARINGS, E&amp;Enot'!$B$48</c:f>
                  <c:strCache>
                    <c:ptCount val="1"/>
                    <c:pt idx="0">
                      <c:v>VOD</c:v>
                    </c:pt>
                  </c:strCache>
                </c:strRef>
              </c:tx>
              <c:spPr/>
              <c:txPr>
                <a:bodyPr/>
                <a:lstStyle/>
                <a:p>
                  <a:pPr>
                    <a:defRPr sz="1000" b="0" i="0" strike="noStrike">
                      <a:latin typeface="Arial"/>
                    </a:defRPr>
                  </a:pPr>
                  <a:endParaRPr lang="fr-FR"/>
                </a:p>
              </c:txPr>
              <c:dLblPos val="r"/>
              <c:showVal val="1"/>
            </c:dLbl>
            <c:dLbl>
              <c:idx val="13"/>
              <c:layout>
                <c:manualLayout>
                  <c:x val="-6.7686577107559223E-2"/>
                  <c:y val="-3.3816930617648292E-3"/>
                </c:manualLayout>
              </c:layout>
              <c:tx>
                <c:strRef>
                  <c:f>'GEARINGS, E&amp;Enot'!$B$49</c:f>
                  <c:strCache>
                    <c:ptCount val="1"/>
                    <c:pt idx="0">
                      <c:v>TLSN</c:v>
                    </c:pt>
                  </c:strCache>
                </c:strRef>
              </c:tx>
              <c:spPr/>
              <c:txPr>
                <a:bodyPr/>
                <a:lstStyle/>
                <a:p>
                  <a:pPr>
                    <a:defRPr sz="1000" b="0" i="0" strike="noStrike">
                      <a:latin typeface="Arial"/>
                    </a:defRPr>
                  </a:pPr>
                  <a:endParaRPr lang="fr-FR"/>
                </a:p>
              </c:txPr>
              <c:dLblPos val="r"/>
              <c:showVal val="1"/>
            </c:dLbl>
            <c:dLbl>
              <c:idx val="14"/>
              <c:layout>
                <c:manualLayout>
                  <c:x val="-6.3535530546411423E-2"/>
                  <c:y val="-3.3814268076854757E-3"/>
                </c:manualLayout>
              </c:layout>
              <c:tx>
                <c:strRef>
                  <c:f>'GEARINGS, E&amp;Enot'!$B$50</c:f>
                  <c:strCache>
                    <c:ptCount val="1"/>
                    <c:pt idx="0">
                      <c:v>SNC</c:v>
                    </c:pt>
                  </c:strCache>
                </c:strRef>
              </c:tx>
              <c:spPr/>
              <c:txPr>
                <a:bodyPr/>
                <a:lstStyle/>
                <a:p>
                  <a:pPr>
                    <a:defRPr sz="1000" b="0" i="0" strike="noStrike">
                      <a:latin typeface="Arial"/>
                    </a:defRPr>
                  </a:pPr>
                  <a:endParaRPr lang="fr-FR"/>
                </a:p>
              </c:txPr>
              <c:dLblPos val="r"/>
              <c:showVal val="1"/>
            </c:dLbl>
            <c:dLbl>
              <c:idx val="15"/>
              <c:layout>
                <c:manualLayout>
                  <c:x val="-5.7845231203024913E-2"/>
                  <c:y val="-3.3814268076854757E-3"/>
                </c:manualLayout>
              </c:layout>
              <c:tx>
                <c:strRef>
                  <c:f>'GEARINGS, E&amp;Enot'!$B$51</c:f>
                  <c:strCache>
                    <c:ptCount val="1"/>
                    <c:pt idx="0">
                      <c:v>ELI</c:v>
                    </c:pt>
                  </c:strCache>
                </c:strRef>
              </c:tx>
              <c:spPr/>
              <c:txPr>
                <a:bodyPr/>
                <a:lstStyle/>
                <a:p>
                  <a:pPr>
                    <a:defRPr sz="1000" b="0" i="0" strike="noStrike">
                      <a:latin typeface="Arial"/>
                    </a:defRPr>
                  </a:pPr>
                  <a:endParaRPr lang="fr-FR"/>
                </a:p>
              </c:txPr>
              <c:dLblPos val="r"/>
              <c:showVal val="1"/>
            </c:dLbl>
            <c:dLbl>
              <c:idx val="16"/>
              <c:layout>
                <c:manualLayout>
                  <c:x val="-6.6138069417391795E-2"/>
                  <c:y val="-3.3816930617648292E-3"/>
                </c:manualLayout>
              </c:layout>
              <c:tx>
                <c:strRef>
                  <c:f>'GEARINGS, E&amp;Enot'!$B$52</c:f>
                  <c:strCache>
                    <c:ptCount val="1"/>
                    <c:pt idx="0">
                      <c:v>TEL2</c:v>
                    </c:pt>
                  </c:strCache>
                </c:strRef>
              </c:tx>
              <c:spPr/>
              <c:txPr>
                <a:bodyPr/>
                <a:lstStyle/>
                <a:p>
                  <a:pPr>
                    <a:defRPr sz="1000" b="0" i="0" strike="noStrike">
                      <a:latin typeface="Arial"/>
                    </a:defRPr>
                  </a:pPr>
                  <a:endParaRPr lang="fr-FR"/>
                </a:p>
              </c:txPr>
              <c:dLblPos val="r"/>
              <c:showVal val="1"/>
            </c:dLbl>
            <c:dLbl>
              <c:idx val="17"/>
              <c:layout>
                <c:manualLayout>
                  <c:x val="-5.8358217528237534E-2"/>
                  <c:y val="-3.3816930617648292E-3"/>
                </c:manualLayout>
              </c:layout>
              <c:tx>
                <c:strRef>
                  <c:f>'GEARINGS, E&amp;Enot'!$B$53</c:f>
                  <c:strCache>
                    <c:ptCount val="1"/>
                    <c:pt idx="0">
                      <c:v>ILD</c:v>
                    </c:pt>
                  </c:strCache>
                </c:strRef>
              </c:tx>
              <c:spPr/>
              <c:txPr>
                <a:bodyPr/>
                <a:lstStyle/>
                <a:p>
                  <a:pPr>
                    <a:defRPr sz="1000" b="0" i="0" strike="noStrike">
                      <a:latin typeface="Arial"/>
                    </a:defRPr>
                  </a:pPr>
                  <a:endParaRPr lang="fr-FR"/>
                </a:p>
              </c:txPr>
              <c:dLblPos val="r"/>
              <c:showVal val="1"/>
            </c:dLbl>
            <c:dLbl>
              <c:idx val="18"/>
              <c:layout>
                <c:manualLayout>
                  <c:x val="-3.2497213611648652E-2"/>
                  <c:y val="-3.3814268076855355E-3"/>
                </c:manualLayout>
              </c:layout>
              <c:tx>
                <c:strRef>
                  <c:f>'GEARINGS, E&amp;Enot'!$B$54</c:f>
                  <c:strCache>
                    <c:ptCount val="1"/>
                    <c:pt idx="0">
                      <c:v>MOBISTAR</c:v>
                    </c:pt>
                  </c:strCache>
                </c:strRef>
              </c:tx>
              <c:spPr/>
              <c:txPr>
                <a:bodyPr/>
                <a:lstStyle/>
                <a:p>
                  <a:pPr>
                    <a:defRPr sz="1000" b="1" i="0" strike="noStrike">
                      <a:latin typeface="Arial"/>
                    </a:defRPr>
                  </a:pPr>
                  <a:endParaRPr lang="fr-FR"/>
                </a:p>
              </c:txPr>
              <c:dLblPos val="r"/>
              <c:showVal val="1"/>
            </c:dLbl>
            <c:dLbl>
              <c:idx val="19"/>
              <c:layout>
                <c:manualLayout>
                  <c:x val="-6.0951501491288862E-2"/>
                  <c:y val="-3.3814268076855355E-3"/>
                </c:manualLayout>
              </c:layout>
              <c:tx>
                <c:strRef>
                  <c:f>'GEARINGS, E&amp;Enot'!$B$55</c:f>
                  <c:strCache>
                    <c:ptCount val="1"/>
                    <c:pt idx="0">
                      <c:v>TEL</c:v>
                    </c:pt>
                  </c:strCache>
                </c:strRef>
              </c:tx>
              <c:spPr/>
              <c:txPr>
                <a:bodyPr/>
                <a:lstStyle/>
                <a:p>
                  <a:pPr>
                    <a:defRPr sz="1000" b="0" i="0" strike="noStrike">
                      <a:latin typeface="Arial"/>
                    </a:defRPr>
                  </a:pPr>
                  <a:endParaRPr lang="fr-FR"/>
                </a:p>
              </c:txPr>
              <c:dLblPos val="r"/>
              <c:showVal val="1"/>
            </c:dLbl>
            <c:dLbl>
              <c:idx val="20"/>
              <c:layout>
                <c:manualLayout>
                  <c:x val="-9.8255684900647206E-2"/>
                  <c:y val="-3.3814268076855355E-3"/>
                </c:manualLayout>
              </c:layout>
              <c:tx>
                <c:strRef>
                  <c:f>'GEARINGS, E&amp;Enot'!$B$56</c:f>
                  <c:strCache>
                    <c:ptCount val="1"/>
                    <c:pt idx="0">
                      <c:v>BELGACOM</c:v>
                    </c:pt>
                  </c:strCache>
                </c:strRef>
              </c:tx>
              <c:spPr/>
              <c:txPr>
                <a:bodyPr/>
                <a:lstStyle/>
                <a:p>
                  <a:pPr>
                    <a:defRPr sz="1000" b="1" i="0" strike="noStrike">
                      <a:latin typeface="Arial"/>
                    </a:defRPr>
                  </a:pPr>
                  <a:endParaRPr lang="fr-FR"/>
                </a:p>
              </c:txPr>
              <c:dLblPos val="r"/>
              <c:showVal val="1"/>
            </c:dLbl>
            <c:dLbl>
              <c:idx val="21"/>
              <c:layout>
                <c:manualLayout>
                  <c:x val="-6.1987022856244134E-2"/>
                  <c:y val="-3.3814268076855355E-3"/>
                </c:manualLayout>
              </c:layout>
              <c:tx>
                <c:strRef>
                  <c:f>'GEARINGS, E&amp;Enot'!$B$57</c:f>
                  <c:strCache>
                    <c:ptCount val="1"/>
                    <c:pt idx="0">
                      <c:v>TPS</c:v>
                    </c:pt>
                  </c:strCache>
                </c:strRef>
              </c:tx>
              <c:spPr/>
              <c:txPr>
                <a:bodyPr/>
                <a:lstStyle/>
                <a:p>
                  <a:pPr>
                    <a:defRPr sz="1000" b="1" i="0" strike="noStrike">
                      <a:latin typeface="Arial"/>
                    </a:defRPr>
                  </a:pPr>
                  <a:endParaRPr lang="fr-FR"/>
                </a:p>
              </c:txPr>
              <c:dLblPos val="r"/>
              <c:showVal val="1"/>
            </c:dLbl>
            <c:showVal val="1"/>
          </c:dLbls>
          <c:xVal>
            <c:numRef>
              <c:f>'GEARINGS, E&amp;Enot'!$E$36:$E$57</c:f>
              <c:numCache>
                <c:formatCode>0%</c:formatCode>
                <c:ptCount val="22"/>
                <c:pt idx="0">
                  <c:v>0.15462918080465343</c:v>
                </c:pt>
                <c:pt idx="1">
                  <c:v>0.49497857034449522</c:v>
                </c:pt>
                <c:pt idx="2">
                  <c:v>0.3626280111015483</c:v>
                </c:pt>
                <c:pt idx="3">
                  <c:v>0.66127040038880336</c:v>
                </c:pt>
                <c:pt idx="4">
                  <c:v>0.62983042679437373</c:v>
                </c:pt>
                <c:pt idx="5">
                  <c:v>0.6264024463118032</c:v>
                </c:pt>
                <c:pt idx="6">
                  <c:v>0.28165979767703259</c:v>
                </c:pt>
                <c:pt idx="7">
                  <c:v>0.62738172243152124</c:v>
                </c:pt>
                <c:pt idx="8">
                  <c:v>0.6207941242005639</c:v>
                </c:pt>
                <c:pt idx="9">
                  <c:v>0.53987730061349704</c:v>
                </c:pt>
                <c:pt idx="10">
                  <c:v>0.30985103942866765</c:v>
                </c:pt>
                <c:pt idx="11">
                  <c:v>0</c:v>
                </c:pt>
                <c:pt idx="12">
                  <c:v>0.89481420237931208</c:v>
                </c:pt>
                <c:pt idx="13">
                  <c:v>0.7167630057803468</c:v>
                </c:pt>
                <c:pt idx="14">
                  <c:v>0.90138346931536006</c:v>
                </c:pt>
                <c:pt idx="15">
                  <c:v>0.64439999999999997</c:v>
                </c:pt>
                <c:pt idx="16">
                  <c:v>0.63639387890884902</c:v>
                </c:pt>
                <c:pt idx="17">
                  <c:v>0.34976819018989347</c:v>
                </c:pt>
                <c:pt idx="18">
                  <c:v>0.97265268915223335</c:v>
                </c:pt>
                <c:pt idx="19">
                  <c:v>0.74956908795771016</c:v>
                </c:pt>
                <c:pt idx="20">
                  <c:v>0.36037883142173305</c:v>
                </c:pt>
                <c:pt idx="21">
                  <c:v>0.44946685046944856</c:v>
                </c:pt>
              </c:numCache>
            </c:numRef>
          </c:xVal>
          <c:yVal>
            <c:numRef>
              <c:f>'GEARINGS, E&amp;Enot'!$R$36:$R$57</c:f>
              <c:numCache>
                <c:formatCode>0.0</c:formatCode>
                <c:ptCount val="22"/>
                <c:pt idx="0">
                  <c:v>4.3704719780651446</c:v>
                </c:pt>
                <c:pt idx="1">
                  <c:v>3.8230610288109381</c:v>
                </c:pt>
                <c:pt idx="2">
                  <c:v>2.8370691340232916</c:v>
                </c:pt>
                <c:pt idx="3">
                  <c:v>2.8353348809740444</c:v>
                </c:pt>
                <c:pt idx="4">
                  <c:v>2.9178287645268703</c:v>
                </c:pt>
                <c:pt idx="5">
                  <c:v>2.5466878830879209</c:v>
                </c:pt>
                <c:pt idx="6">
                  <c:v>2.5933932385229874</c:v>
                </c:pt>
                <c:pt idx="7">
                  <c:v>2.8138910595815916</c:v>
                </c:pt>
                <c:pt idx="8">
                  <c:v>2.5252968522290931</c:v>
                </c:pt>
                <c:pt idx="9">
                  <c:v>1.5517268924243866</c:v>
                </c:pt>
                <c:pt idx="10">
                  <c:v>2.3009327536910358</c:v>
                </c:pt>
                <c:pt idx="11">
                  <c:v>2.136201464388483</c:v>
                </c:pt>
                <c:pt idx="12">
                  <c:v>2.3348198024327131</c:v>
                </c:pt>
                <c:pt idx="13">
                  <c:v>2.1424428051274771</c:v>
                </c:pt>
                <c:pt idx="14">
                  <c:v>1.8160302149559577</c:v>
                </c:pt>
                <c:pt idx="15">
                  <c:v>2.2311132077757287</c:v>
                </c:pt>
                <c:pt idx="16">
                  <c:v>1.5521418473212367</c:v>
                </c:pt>
                <c:pt idx="17">
                  <c:v>1.242834927692577</c:v>
                </c:pt>
                <c:pt idx="18">
                  <c:v>1.6771658832683087</c:v>
                </c:pt>
                <c:pt idx="19">
                  <c:v>1.2087727199953455</c:v>
                </c:pt>
                <c:pt idx="20">
                  <c:v>1.3109622071604587</c:v>
                </c:pt>
                <c:pt idx="21">
                  <c:v>1.1762690733772538</c:v>
                </c:pt>
              </c:numCache>
            </c:numRef>
          </c:yVal>
        </c:ser>
        <c:axId val="169539840"/>
        <c:axId val="169549824"/>
      </c:scatterChart>
      <c:valAx>
        <c:axId val="169539840"/>
        <c:scaling>
          <c:orientation val="minMax"/>
          <c:max val="1"/>
        </c:scaling>
        <c:axPos val="b"/>
        <c:numFmt formatCode="0%" sourceLinked="1"/>
        <c:tickLblPos val="nextTo"/>
        <c:txPr>
          <a:bodyPr/>
          <a:lstStyle/>
          <a:p>
            <a:pPr>
              <a:defRPr sz="1200" baseline="0">
                <a:latin typeface="Arial" pitchFamily="34" charset="0"/>
              </a:defRPr>
            </a:pPr>
            <a:endParaRPr lang="fr-FR"/>
          </a:p>
        </c:txPr>
        <c:crossAx val="169549824"/>
        <c:crosses val="autoZero"/>
        <c:crossBetween val="midCat"/>
        <c:majorUnit val="0.1"/>
      </c:valAx>
      <c:valAx>
        <c:axId val="169549824"/>
        <c:scaling>
          <c:orientation val="minMax"/>
        </c:scaling>
        <c:axPos val="l"/>
        <c:majorGridlines>
          <c:spPr>
            <a:ln>
              <a:solidFill>
                <a:schemeClr val="bg1">
                  <a:lumMod val="50000"/>
                </a:schemeClr>
              </a:solidFill>
              <a:prstDash val="sysDash"/>
            </a:ln>
          </c:spPr>
        </c:majorGridlines>
        <c:numFmt formatCode="0.0" sourceLinked="0"/>
        <c:tickLblPos val="nextTo"/>
        <c:txPr>
          <a:bodyPr/>
          <a:lstStyle/>
          <a:p>
            <a:pPr>
              <a:defRPr sz="1200" baseline="0">
                <a:latin typeface="Arial" pitchFamily="34" charset="0"/>
              </a:defRPr>
            </a:pPr>
            <a:endParaRPr lang="fr-FR"/>
          </a:p>
        </c:txPr>
        <c:crossAx val="169539840"/>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6.2521750869924619E-2"/>
          <c:y val="3.9763411358832677E-2"/>
          <c:w val="0.89765555553760068"/>
          <c:h val="0.86820429116133369"/>
        </c:manualLayout>
      </c:layout>
      <c:scatterChart>
        <c:scatterStyle val="lineMarker"/>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dPt>
          <c:dPt>
            <c:idx val="6"/>
            <c:marker>
              <c:spPr>
                <a:solidFill>
                  <a:schemeClr val="bg2">
                    <a:lumMod val="50000"/>
                    <a:alpha val="50000"/>
                  </a:schemeClr>
                </a:solidFill>
                <a:ln>
                  <a:noFill/>
                </a:ln>
              </c:spPr>
            </c:marker>
          </c:dPt>
          <c:dPt>
            <c:idx val="10"/>
            <c:marker>
              <c:spPr>
                <a:solidFill>
                  <a:schemeClr val="bg2">
                    <a:lumMod val="50000"/>
                    <a:alpha val="50000"/>
                  </a:schemeClr>
                </a:solidFill>
                <a:ln>
                  <a:noFill/>
                </a:ln>
              </c:spPr>
            </c:marker>
          </c:dPt>
          <c:dPt>
            <c:idx val="11"/>
            <c:marker>
              <c:spPr>
                <a:solidFill>
                  <a:srgbClr val="558ED5">
                    <a:alpha val="50000"/>
                  </a:srgbClr>
                </a:solidFill>
                <a:ln>
                  <a:noFill/>
                </a:ln>
              </c:spPr>
            </c:marker>
          </c:dPt>
          <c:dPt>
            <c:idx val="12"/>
            <c:marker>
              <c:spPr>
                <a:solidFill>
                  <a:srgbClr val="558ED5">
                    <a:alpha val="50000"/>
                  </a:srgbClr>
                </a:solidFill>
                <a:ln>
                  <a:noFill/>
                </a:ln>
              </c:spPr>
            </c:marker>
          </c:dPt>
          <c:dPt>
            <c:idx val="13"/>
            <c:marker>
              <c:spPr>
                <a:solidFill>
                  <a:schemeClr val="bg2">
                    <a:lumMod val="50000"/>
                    <a:alpha val="50000"/>
                  </a:schemeClr>
                </a:solidFill>
                <a:ln>
                  <a:noFill/>
                </a:ln>
              </c:spPr>
            </c:marker>
          </c:dPt>
          <c:dPt>
            <c:idx val="14"/>
            <c:marker>
              <c:spPr>
                <a:solidFill>
                  <a:srgbClr val="C00000">
                    <a:alpha val="50000"/>
                  </a:srgbClr>
                </a:solidFill>
                <a:ln>
                  <a:noFill/>
                </a:ln>
              </c:spPr>
            </c:marker>
          </c:dPt>
          <c:dPt>
            <c:idx val="15"/>
            <c:marker>
              <c:spPr>
                <a:solidFill>
                  <a:schemeClr val="bg2">
                    <a:lumMod val="50000"/>
                    <a:alpha val="50000"/>
                  </a:schemeClr>
                </a:solidFill>
                <a:ln>
                  <a:noFill/>
                </a:ln>
              </c:spPr>
            </c:marker>
          </c:dPt>
          <c:dPt>
            <c:idx val="16"/>
            <c:marker>
              <c:spPr>
                <a:solidFill>
                  <a:schemeClr val="bg2">
                    <a:lumMod val="50000"/>
                    <a:alpha val="50000"/>
                  </a:schemeClr>
                </a:solidFill>
                <a:ln>
                  <a:noFill/>
                </a:ln>
              </c:spPr>
            </c:marker>
          </c:dPt>
          <c:dPt>
            <c:idx val="17"/>
            <c:marker>
              <c:spPr>
                <a:solidFill>
                  <a:srgbClr val="FFC000">
                    <a:alpha val="50000"/>
                  </a:srgbClr>
                </a:solidFill>
                <a:ln>
                  <a:noFill/>
                </a:ln>
              </c:spPr>
            </c:marker>
          </c:dPt>
          <c:dPt>
            <c:idx val="18"/>
            <c:marker>
              <c:spPr>
                <a:solidFill>
                  <a:srgbClr val="C00000">
                    <a:alpha val="50000"/>
                  </a:srgbClr>
                </a:solidFill>
                <a:ln>
                  <a:noFill/>
                </a:ln>
              </c:spPr>
            </c:marker>
          </c:dPt>
          <c:dPt>
            <c:idx val="19"/>
            <c:marker>
              <c:spPr>
                <a:solidFill>
                  <a:schemeClr val="bg2">
                    <a:lumMod val="50000"/>
                    <a:alpha val="50000"/>
                  </a:schemeClr>
                </a:solidFill>
                <a:ln>
                  <a:noFill/>
                </a:ln>
              </c:spPr>
            </c:marker>
          </c:dPt>
          <c:dLbls>
            <c:dLbl>
              <c:idx val="0"/>
              <c:layout>
                <c:manualLayout>
                  <c:x val="-8.6343296266202879E-2"/>
                  <c:y val="-3.3816930617648292E-3"/>
                </c:manualLayout>
              </c:layout>
              <c:tx>
                <c:strRef>
                  <c:f>'GEARINGS, E&amp;Enot'!$B$36</c:f>
                  <c:strCache>
                    <c:ptCount val="1"/>
                    <c:pt idx="0">
                      <c:v>TELENET</c:v>
                    </c:pt>
                  </c:strCache>
                </c:strRef>
              </c:tx>
              <c:spPr/>
              <c:txPr>
                <a:bodyPr/>
                <a:lstStyle/>
                <a:p>
                  <a:pPr>
                    <a:defRPr sz="1000" b="1" i="0" strike="noStrike">
                      <a:latin typeface="Arial"/>
                    </a:defRPr>
                  </a:pPr>
                  <a:endParaRPr lang="fr-FR"/>
                </a:p>
              </c:txPr>
              <c:dLblPos val="r"/>
              <c:showVal val="1"/>
            </c:dLbl>
            <c:dLbl>
              <c:idx val="1"/>
              <c:layout>
                <c:manualLayout>
                  <c:x val="-5.5764933565185922E-2"/>
                  <c:y val="-3.3814268076855377E-3"/>
                </c:manualLayout>
              </c:layout>
              <c:tx>
                <c:strRef>
                  <c:f>'GEARINGS, E&amp;Enot'!$B$37</c:f>
                  <c:strCache>
                    <c:ptCount val="1"/>
                    <c:pt idx="0">
                      <c:v>PT</c:v>
                    </c:pt>
                  </c:strCache>
                </c:strRef>
              </c:tx>
              <c:spPr/>
              <c:txPr>
                <a:bodyPr/>
                <a:lstStyle/>
                <a:p>
                  <a:pPr>
                    <a:defRPr sz="1000" b="0" i="0" strike="noStrike">
                      <a:latin typeface="Arial"/>
                    </a:defRPr>
                  </a:pPr>
                  <a:endParaRPr lang="fr-FR"/>
                </a:p>
              </c:txPr>
              <c:dLblPos val="r"/>
              <c:showVal val="1"/>
            </c:dLbl>
            <c:dLbl>
              <c:idx val="2"/>
              <c:layout>
                <c:manualLayout>
                  <c:x val="-5.7835829391795372E-2"/>
                  <c:y val="-3.3814268076855377E-3"/>
                </c:manualLayout>
              </c:layout>
              <c:tx>
                <c:strRef>
                  <c:f>'GEARINGS, E&amp;Enot'!$B$38</c:f>
                  <c:strCache>
                    <c:ptCount val="1"/>
                    <c:pt idx="0">
                      <c:v>TIT</c:v>
                    </c:pt>
                  </c:strCache>
                </c:strRef>
              </c:tx>
              <c:spPr/>
              <c:txPr>
                <a:bodyPr/>
                <a:lstStyle/>
                <a:p>
                  <a:pPr>
                    <a:defRPr sz="1000" b="1" i="0" strike="noStrike">
                      <a:latin typeface="Arial"/>
                    </a:defRPr>
                  </a:pPr>
                  <a:endParaRPr lang="fr-FR"/>
                </a:p>
              </c:txPr>
              <c:dLblPos val="r"/>
              <c:showVal val="1"/>
            </c:dLbl>
            <c:dLbl>
              <c:idx val="3"/>
              <c:layout>
                <c:manualLayout>
                  <c:x val="-6.1464634719802534E-2"/>
                  <c:y val="-3.3814268076855091E-3"/>
                </c:manualLayout>
              </c:layout>
              <c:tx>
                <c:strRef>
                  <c:f>'GEARINGS, E&amp;Enot'!$B$39</c:f>
                  <c:strCache>
                    <c:ptCount val="1"/>
                    <c:pt idx="0">
                      <c:v>TEF</c:v>
                    </c:pt>
                  </c:strCache>
                </c:strRef>
              </c:tx>
              <c:spPr/>
              <c:txPr>
                <a:bodyPr/>
                <a:lstStyle/>
                <a:p>
                  <a:pPr>
                    <a:defRPr sz="1000" b="0" i="0" strike="noStrike">
                      <a:latin typeface="Arial"/>
                    </a:defRPr>
                  </a:pPr>
                  <a:endParaRPr lang="fr-FR"/>
                </a:p>
              </c:txPr>
              <c:dLblPos val="r"/>
              <c:showVal val="1"/>
            </c:dLbl>
            <c:dLbl>
              <c:idx val="4"/>
              <c:layout>
                <c:manualLayout>
                  <c:x val="-5.6278066793698747E-2"/>
                  <c:y val="-3.3814268076855377E-3"/>
                </c:manualLayout>
              </c:layout>
              <c:tx>
                <c:strRef>
                  <c:f>'GEARINGS, E&amp;Enot'!$B$40</c:f>
                  <c:strCache>
                    <c:ptCount val="1"/>
                    <c:pt idx="0">
                      <c:v>DT</c:v>
                    </c:pt>
                  </c:strCache>
                </c:strRef>
              </c:tx>
              <c:spPr/>
              <c:txPr>
                <a:bodyPr/>
                <a:lstStyle/>
                <a:p>
                  <a:pPr>
                    <a:defRPr sz="1000" b="0" i="0" strike="noStrike">
                      <a:latin typeface="Arial"/>
                    </a:defRPr>
                  </a:pPr>
                  <a:endParaRPr lang="fr-FR"/>
                </a:p>
              </c:txPr>
              <c:dLblPos val="r"/>
              <c:showVal val="1"/>
            </c:dLbl>
            <c:dLbl>
              <c:idx val="5"/>
              <c:layout>
                <c:manualLayout>
                  <c:x val="-6.3022397317898424E-2"/>
                  <c:y val="-3.3816930617648292E-3"/>
                </c:manualLayout>
              </c:layout>
              <c:tx>
                <c:strRef>
                  <c:f>'GEARINGS, E&amp;Enot'!$B$41</c:f>
                  <c:strCache>
                    <c:ptCount val="1"/>
                    <c:pt idx="0">
                      <c:v>KPN</c:v>
                    </c:pt>
                  </c:strCache>
                </c:strRef>
              </c:tx>
              <c:spPr/>
              <c:txPr>
                <a:bodyPr/>
                <a:lstStyle/>
                <a:p>
                  <a:pPr>
                    <a:defRPr sz="1000" b="1" i="0" strike="noStrike">
                      <a:latin typeface="Arial"/>
                    </a:defRPr>
                  </a:pPr>
                  <a:endParaRPr lang="fr-FR"/>
                </a:p>
              </c:txPr>
              <c:dLblPos val="r"/>
              <c:showVal val="1"/>
            </c:dLbl>
            <c:dLbl>
              <c:idx val="6"/>
              <c:layout>
                <c:manualLayout>
                  <c:x val="-6.3013142409969206E-2"/>
                  <c:y val="-3.3814268076855377E-3"/>
                </c:manualLayout>
              </c:layout>
              <c:tx>
                <c:strRef>
                  <c:f>'GEARINGS, E&amp;Enot'!$B$42</c:f>
                  <c:strCache>
                    <c:ptCount val="1"/>
                    <c:pt idx="0">
                      <c:v>TDC</c:v>
                    </c:pt>
                  </c:strCache>
                </c:strRef>
              </c:tx>
              <c:spPr/>
              <c:txPr>
                <a:bodyPr/>
                <a:lstStyle/>
                <a:p>
                  <a:pPr>
                    <a:defRPr sz="1000" b="1" i="0" strike="noStrike">
                      <a:latin typeface="Arial"/>
                    </a:defRPr>
                  </a:pPr>
                  <a:endParaRPr lang="fr-FR"/>
                </a:p>
              </c:txPr>
              <c:dLblPos val="r"/>
              <c:showVal val="1"/>
            </c:dLbl>
            <c:dLbl>
              <c:idx val="7"/>
              <c:layout>
                <c:manualLayout>
                  <c:x val="-6.4057918682853279E-2"/>
                  <c:y val="-3.3816930617648292E-3"/>
                </c:manualLayout>
              </c:layout>
              <c:tx>
                <c:strRef>
                  <c:f>'GEARINGS, E&amp;Enot'!$B$43</c:f>
                  <c:strCache>
                    <c:ptCount val="1"/>
                    <c:pt idx="0">
                      <c:v>ORA</c:v>
                    </c:pt>
                  </c:strCache>
                </c:strRef>
              </c:tx>
              <c:spPr/>
              <c:txPr>
                <a:bodyPr/>
                <a:lstStyle/>
                <a:p>
                  <a:pPr>
                    <a:defRPr sz="1000" b="0" i="0" strike="noStrike">
                      <a:latin typeface="Arial"/>
                    </a:defRPr>
                  </a:pPr>
                  <a:endParaRPr lang="fr-FR"/>
                </a:p>
              </c:txPr>
              <c:dLblPos val="r"/>
              <c:showVal val="1"/>
            </c:dLbl>
            <c:dLbl>
              <c:idx val="8"/>
              <c:layout>
                <c:manualLayout>
                  <c:x val="-6.1987022856244134E-2"/>
                  <c:y val="-3.3814268076855377E-3"/>
                </c:manualLayout>
              </c:layout>
              <c:tx>
                <c:strRef>
                  <c:f>'GEARINGS, E&amp;Enot'!$B$44</c:f>
                  <c:strCache>
                    <c:ptCount val="1"/>
                    <c:pt idx="0">
                      <c:v>TKA</c:v>
                    </c:pt>
                  </c:strCache>
                </c:strRef>
              </c:tx>
              <c:spPr/>
              <c:txPr>
                <a:bodyPr/>
                <a:lstStyle/>
                <a:p>
                  <a:pPr>
                    <a:defRPr sz="1000" b="1" i="0" strike="noStrike">
                      <a:latin typeface="Arial"/>
                    </a:defRPr>
                  </a:pPr>
                  <a:endParaRPr lang="fr-FR"/>
                </a:p>
              </c:txPr>
              <c:dLblPos val="r"/>
              <c:showVal val="1"/>
            </c:dLbl>
            <c:dLbl>
              <c:idx val="9"/>
              <c:layout>
                <c:manualLayout>
                  <c:x val="-6.3022397317898424E-2"/>
                  <c:y val="-3.3814268076855377E-3"/>
                </c:manualLayout>
              </c:layout>
              <c:tx>
                <c:strRef>
                  <c:f>'GEARINGS, E&amp;Enot'!$B$45</c:f>
                  <c:strCache>
                    <c:ptCount val="1"/>
                    <c:pt idx="0">
                      <c:v>OTE</c:v>
                    </c:pt>
                  </c:strCache>
                </c:strRef>
              </c:tx>
              <c:spPr/>
              <c:txPr>
                <a:bodyPr/>
                <a:lstStyle/>
                <a:p>
                  <a:pPr>
                    <a:defRPr sz="1000" b="0" i="0" strike="noStrike">
                      <a:latin typeface="Arial"/>
                    </a:defRPr>
                  </a:pPr>
                  <a:endParaRPr lang="fr-FR"/>
                </a:p>
              </c:txPr>
              <c:dLblPos val="r"/>
              <c:showVal val="1"/>
            </c:dLbl>
            <c:dLbl>
              <c:idx val="10"/>
              <c:layout>
                <c:manualLayout>
                  <c:x val="-6.4570905008065727E-2"/>
                  <c:y val="-3.3814268076855377E-3"/>
                </c:manualLayout>
              </c:layout>
              <c:tx>
                <c:strRef>
                  <c:f>'GEARINGS, E&amp;Enot'!$B$46</c:f>
                  <c:strCache>
                    <c:ptCount val="1"/>
                    <c:pt idx="0">
                      <c:v>SCM</c:v>
                    </c:pt>
                  </c:strCache>
                </c:strRef>
              </c:tx>
              <c:spPr/>
              <c:txPr>
                <a:bodyPr/>
                <a:lstStyle/>
                <a:p>
                  <a:pPr>
                    <a:defRPr sz="1000" b="1" i="0" strike="noStrike">
                      <a:latin typeface="Arial"/>
                    </a:defRPr>
                  </a:pPr>
                  <a:endParaRPr lang="fr-FR"/>
                </a:p>
              </c:txPr>
              <c:dLblPos val="r"/>
              <c:showVal val="1"/>
            </c:dLbl>
            <c:dLbl>
              <c:idx val="11"/>
              <c:layout>
                <c:manualLayout>
                  <c:x val="-5.5764933565185922E-2"/>
                  <c:y val="-3.3814268076855377E-3"/>
                </c:manualLayout>
              </c:layout>
              <c:tx>
                <c:strRef>
                  <c:f>'GEARINGS, E&amp;Enot'!$B$47</c:f>
                  <c:strCache>
                    <c:ptCount val="1"/>
                    <c:pt idx="0">
                      <c:v>BT</c:v>
                    </c:pt>
                  </c:strCache>
                </c:strRef>
              </c:tx>
              <c:spPr/>
              <c:txPr>
                <a:bodyPr/>
                <a:lstStyle/>
                <a:p>
                  <a:pPr>
                    <a:defRPr sz="1000" b="0" i="0" strike="noStrike">
                      <a:latin typeface="Arial"/>
                    </a:defRPr>
                  </a:pPr>
                  <a:endParaRPr lang="fr-FR"/>
                </a:p>
              </c:txPr>
              <c:dLblPos val="r"/>
              <c:showVal val="1"/>
            </c:dLbl>
            <c:dLbl>
              <c:idx val="12"/>
              <c:layout>
                <c:manualLayout>
                  <c:x val="-6.4057918682853279E-2"/>
                  <c:y val="-3.3814268076855377E-3"/>
                </c:manualLayout>
              </c:layout>
              <c:tx>
                <c:strRef>
                  <c:f>'GEARINGS, E&amp;Enot'!$B$48</c:f>
                  <c:strCache>
                    <c:ptCount val="1"/>
                    <c:pt idx="0">
                      <c:v>VOD</c:v>
                    </c:pt>
                  </c:strCache>
                </c:strRef>
              </c:tx>
              <c:spPr/>
              <c:txPr>
                <a:bodyPr/>
                <a:lstStyle/>
                <a:p>
                  <a:pPr>
                    <a:defRPr sz="1000" b="0" i="0" strike="noStrike">
                      <a:latin typeface="Arial"/>
                    </a:defRPr>
                  </a:pPr>
                  <a:endParaRPr lang="fr-FR"/>
                </a:p>
              </c:txPr>
              <c:dLblPos val="r"/>
              <c:showVal val="1"/>
            </c:dLbl>
            <c:dLbl>
              <c:idx val="13"/>
              <c:layout>
                <c:manualLayout>
                  <c:x val="-6.7686577107559223E-2"/>
                  <c:y val="-3.3816930617648292E-3"/>
                </c:manualLayout>
              </c:layout>
              <c:tx>
                <c:strRef>
                  <c:f>'GEARINGS, E&amp;Enot'!$B$49</c:f>
                  <c:strCache>
                    <c:ptCount val="1"/>
                    <c:pt idx="0">
                      <c:v>TLSN</c:v>
                    </c:pt>
                  </c:strCache>
                </c:strRef>
              </c:tx>
              <c:spPr/>
              <c:txPr>
                <a:bodyPr/>
                <a:lstStyle/>
                <a:p>
                  <a:pPr>
                    <a:defRPr sz="1000" b="0" i="0" strike="noStrike">
                      <a:latin typeface="Arial"/>
                    </a:defRPr>
                  </a:pPr>
                  <a:endParaRPr lang="fr-FR"/>
                </a:p>
              </c:txPr>
              <c:dLblPos val="r"/>
              <c:showVal val="1"/>
            </c:dLbl>
            <c:dLbl>
              <c:idx val="14"/>
              <c:layout>
                <c:manualLayout>
                  <c:x val="-6.3535530546411423E-2"/>
                  <c:y val="-3.3814268076854774E-3"/>
                </c:manualLayout>
              </c:layout>
              <c:tx>
                <c:strRef>
                  <c:f>'GEARINGS, E&amp;Enot'!$B$50</c:f>
                  <c:strCache>
                    <c:ptCount val="1"/>
                    <c:pt idx="0">
                      <c:v>SNC</c:v>
                    </c:pt>
                  </c:strCache>
                </c:strRef>
              </c:tx>
              <c:spPr/>
              <c:txPr>
                <a:bodyPr/>
                <a:lstStyle/>
                <a:p>
                  <a:pPr>
                    <a:defRPr sz="1000" b="0" i="0" strike="noStrike">
                      <a:latin typeface="Arial"/>
                    </a:defRPr>
                  </a:pPr>
                  <a:endParaRPr lang="fr-FR"/>
                </a:p>
              </c:txPr>
              <c:dLblPos val="r"/>
              <c:showVal val="1"/>
            </c:dLbl>
            <c:dLbl>
              <c:idx val="15"/>
              <c:layout>
                <c:manualLayout>
                  <c:x val="-5.7845231203024913E-2"/>
                  <c:y val="-3.3814268076854774E-3"/>
                </c:manualLayout>
              </c:layout>
              <c:tx>
                <c:strRef>
                  <c:f>'GEARINGS, E&amp;Enot'!$B$51</c:f>
                  <c:strCache>
                    <c:ptCount val="1"/>
                    <c:pt idx="0">
                      <c:v>ELI</c:v>
                    </c:pt>
                  </c:strCache>
                </c:strRef>
              </c:tx>
              <c:spPr/>
              <c:txPr>
                <a:bodyPr/>
                <a:lstStyle/>
                <a:p>
                  <a:pPr>
                    <a:defRPr sz="1000" b="0" i="0" strike="noStrike">
                      <a:latin typeface="Arial"/>
                    </a:defRPr>
                  </a:pPr>
                  <a:endParaRPr lang="fr-FR"/>
                </a:p>
              </c:txPr>
              <c:dLblPos val="r"/>
              <c:showVal val="1"/>
            </c:dLbl>
            <c:dLbl>
              <c:idx val="16"/>
              <c:layout>
                <c:manualLayout>
                  <c:x val="-6.6138069417391795E-2"/>
                  <c:y val="-3.3816930617648292E-3"/>
                </c:manualLayout>
              </c:layout>
              <c:tx>
                <c:strRef>
                  <c:f>'GEARINGS, E&amp;Enot'!$B$52</c:f>
                  <c:strCache>
                    <c:ptCount val="1"/>
                    <c:pt idx="0">
                      <c:v>TEL2</c:v>
                    </c:pt>
                  </c:strCache>
                </c:strRef>
              </c:tx>
              <c:spPr/>
              <c:txPr>
                <a:bodyPr/>
                <a:lstStyle/>
                <a:p>
                  <a:pPr>
                    <a:defRPr sz="1000" b="0" i="0" strike="noStrike">
                      <a:latin typeface="Arial"/>
                    </a:defRPr>
                  </a:pPr>
                  <a:endParaRPr lang="fr-FR"/>
                </a:p>
              </c:txPr>
              <c:dLblPos val="r"/>
              <c:showVal val="1"/>
            </c:dLbl>
            <c:dLbl>
              <c:idx val="17"/>
              <c:layout>
                <c:manualLayout>
                  <c:x val="-5.8358217528237534E-2"/>
                  <c:y val="-3.3816930617648292E-3"/>
                </c:manualLayout>
              </c:layout>
              <c:tx>
                <c:strRef>
                  <c:f>'GEARINGS, E&amp;Enot'!$B$53</c:f>
                  <c:strCache>
                    <c:ptCount val="1"/>
                    <c:pt idx="0">
                      <c:v>ILD</c:v>
                    </c:pt>
                  </c:strCache>
                </c:strRef>
              </c:tx>
              <c:spPr/>
              <c:txPr>
                <a:bodyPr/>
                <a:lstStyle/>
                <a:p>
                  <a:pPr>
                    <a:defRPr sz="1000" b="0" i="0" strike="noStrike">
                      <a:latin typeface="Arial"/>
                    </a:defRPr>
                  </a:pPr>
                  <a:endParaRPr lang="fr-FR"/>
                </a:p>
              </c:txPr>
              <c:dLblPos val="r"/>
              <c:showVal val="1"/>
            </c:dLbl>
            <c:dLbl>
              <c:idx val="18"/>
              <c:layout>
                <c:manualLayout>
                  <c:x val="-3.2497213611648652E-2"/>
                  <c:y val="-3.3814268076855377E-3"/>
                </c:manualLayout>
              </c:layout>
              <c:tx>
                <c:strRef>
                  <c:f>'GEARINGS, E&amp;Enot'!$B$54</c:f>
                  <c:strCache>
                    <c:ptCount val="1"/>
                    <c:pt idx="0">
                      <c:v>MOBISTAR</c:v>
                    </c:pt>
                  </c:strCache>
                </c:strRef>
              </c:tx>
              <c:spPr/>
              <c:txPr>
                <a:bodyPr/>
                <a:lstStyle/>
                <a:p>
                  <a:pPr>
                    <a:defRPr sz="1000" b="1" i="0" strike="noStrike">
                      <a:latin typeface="Arial"/>
                    </a:defRPr>
                  </a:pPr>
                  <a:endParaRPr lang="fr-FR"/>
                </a:p>
              </c:txPr>
              <c:dLblPos val="r"/>
              <c:showVal val="1"/>
            </c:dLbl>
            <c:dLbl>
              <c:idx val="19"/>
              <c:layout>
                <c:manualLayout>
                  <c:x val="-6.0951501491288862E-2"/>
                  <c:y val="-3.3814268076855377E-3"/>
                </c:manualLayout>
              </c:layout>
              <c:tx>
                <c:strRef>
                  <c:f>'GEARINGS, E&amp;Enot'!$B$55</c:f>
                  <c:strCache>
                    <c:ptCount val="1"/>
                    <c:pt idx="0">
                      <c:v>TEL</c:v>
                    </c:pt>
                  </c:strCache>
                </c:strRef>
              </c:tx>
              <c:spPr/>
              <c:txPr>
                <a:bodyPr/>
                <a:lstStyle/>
                <a:p>
                  <a:pPr>
                    <a:defRPr sz="1000" b="0" i="0" strike="noStrike">
                      <a:latin typeface="Arial"/>
                    </a:defRPr>
                  </a:pPr>
                  <a:endParaRPr lang="fr-FR"/>
                </a:p>
              </c:txPr>
              <c:dLblPos val="r"/>
              <c:showVal val="1"/>
            </c:dLbl>
            <c:dLbl>
              <c:idx val="20"/>
              <c:layout>
                <c:manualLayout>
                  <c:x val="-9.8255684900647206E-2"/>
                  <c:y val="-3.3814268076855377E-3"/>
                </c:manualLayout>
              </c:layout>
              <c:tx>
                <c:strRef>
                  <c:f>'GEARINGS, E&amp;Enot'!$B$56</c:f>
                  <c:strCache>
                    <c:ptCount val="1"/>
                    <c:pt idx="0">
                      <c:v>BELGACOM</c:v>
                    </c:pt>
                  </c:strCache>
                </c:strRef>
              </c:tx>
              <c:spPr/>
              <c:txPr>
                <a:bodyPr/>
                <a:lstStyle/>
                <a:p>
                  <a:pPr>
                    <a:defRPr sz="1000" b="1" i="0" strike="noStrike">
                      <a:latin typeface="Arial"/>
                    </a:defRPr>
                  </a:pPr>
                  <a:endParaRPr lang="fr-FR"/>
                </a:p>
              </c:txPr>
              <c:dLblPos val="r"/>
              <c:showVal val="1"/>
            </c:dLbl>
            <c:dLbl>
              <c:idx val="21"/>
              <c:layout>
                <c:manualLayout>
                  <c:x val="-6.1987022856244134E-2"/>
                  <c:y val="-3.3814268076855377E-3"/>
                </c:manualLayout>
              </c:layout>
              <c:tx>
                <c:strRef>
                  <c:f>'GEARINGS, E&amp;Enot'!$B$57</c:f>
                  <c:strCache>
                    <c:ptCount val="1"/>
                    <c:pt idx="0">
                      <c:v>TPS</c:v>
                    </c:pt>
                  </c:strCache>
                </c:strRef>
              </c:tx>
              <c:spPr/>
              <c:txPr>
                <a:bodyPr/>
                <a:lstStyle/>
                <a:p>
                  <a:pPr>
                    <a:defRPr sz="1000" b="1" i="0" strike="noStrike">
                      <a:latin typeface="Arial"/>
                    </a:defRPr>
                  </a:pPr>
                  <a:endParaRPr lang="fr-FR"/>
                </a:p>
              </c:txPr>
              <c:dLblPos val="r"/>
              <c:showVal val="1"/>
            </c:dLbl>
            <c:showVal val="1"/>
          </c:dLbls>
          <c:xVal>
            <c:numRef>
              <c:f>'GEARINGS, E&amp;Enot'!$C$36:$C$57</c:f>
              <c:numCache>
                <c:formatCode>0%</c:formatCode>
                <c:ptCount val="22"/>
                <c:pt idx="0">
                  <c:v>6.4385445236561381E-2</c:v>
                </c:pt>
                <c:pt idx="1">
                  <c:v>0.48460704112825509</c:v>
                </c:pt>
                <c:pt idx="2">
                  <c:v>0.34534166666666666</c:v>
                </c:pt>
                <c:pt idx="3">
                  <c:v>0.6158872479982318</c:v>
                </c:pt>
                <c:pt idx="4">
                  <c:v>0.61</c:v>
                </c:pt>
                <c:pt idx="5">
                  <c:v>0.5805147103617575</c:v>
                </c:pt>
                <c:pt idx="6">
                  <c:v>0.31054928118178421</c:v>
                </c:pt>
                <c:pt idx="7">
                  <c:v>0.60741568747204655</c:v>
                </c:pt>
                <c:pt idx="8">
                  <c:v>0.60910298289809772</c:v>
                </c:pt>
                <c:pt idx="9">
                  <c:v>0.56323171407839789</c:v>
                </c:pt>
                <c:pt idx="10">
                  <c:v>0.32615050588405037</c:v>
                </c:pt>
                <c:pt idx="11">
                  <c:v>0</c:v>
                </c:pt>
                <c:pt idx="12">
                  <c:v>0.91487499999999988</c:v>
                </c:pt>
                <c:pt idx="13">
                  <c:v>0.67984865616162071</c:v>
                </c:pt>
                <c:pt idx="14">
                  <c:v>0.90539538726018864</c:v>
                </c:pt>
                <c:pt idx="15">
                  <c:v>0.62657499999999999</c:v>
                </c:pt>
                <c:pt idx="16">
                  <c:v>0.67083419702973635</c:v>
                </c:pt>
                <c:pt idx="17">
                  <c:v>9.1630231095150338E-2</c:v>
                </c:pt>
                <c:pt idx="18">
                  <c:v>0.95644485424869818</c:v>
                </c:pt>
                <c:pt idx="19">
                  <c:v>0.7344324868237998</c:v>
                </c:pt>
                <c:pt idx="20">
                  <c:v>0.37158673775730477</c:v>
                </c:pt>
                <c:pt idx="21">
                  <c:v>0.42290073595624156</c:v>
                </c:pt>
              </c:numCache>
            </c:numRef>
          </c:xVal>
          <c:yVal>
            <c:numRef>
              <c:f>'GEARINGS, E&amp;Enot'!$Q$36:$Q$57</c:f>
              <c:numCache>
                <c:formatCode>0%</c:formatCode>
                <c:ptCount val="22"/>
                <c:pt idx="0">
                  <c:v>0.31334582285320112</c:v>
                </c:pt>
                <c:pt idx="1">
                  <c:v>0.24423537898737996</c:v>
                </c:pt>
                <c:pt idx="2">
                  <c:v>-0.14664752669478531</c:v>
                </c:pt>
                <c:pt idx="3">
                  <c:v>0.12404595260605845</c:v>
                </c:pt>
                <c:pt idx="4">
                  <c:v>8.5841806528642844E-2</c:v>
                </c:pt>
                <c:pt idx="5">
                  <c:v>2.8580691559688957E-2</c:v>
                </c:pt>
                <c:pt idx="6">
                  <c:v>-0.25803195656746131</c:v>
                </c:pt>
                <c:pt idx="7">
                  <c:v>1.3257606300410854E-2</c:v>
                </c:pt>
                <c:pt idx="8">
                  <c:v>0.36844726500440206</c:v>
                </c:pt>
                <c:pt idx="9">
                  <c:v>-0.22035736928264804</c:v>
                </c:pt>
                <c:pt idx="10">
                  <c:v>6.0078851309961184E-2</c:v>
                </c:pt>
                <c:pt idx="11">
                  <c:v>-0.12537902502142731</c:v>
                </c:pt>
                <c:pt idx="12">
                  <c:v>-3.7762767487534328E-2</c:v>
                </c:pt>
                <c:pt idx="13">
                  <c:v>0.36079457239176377</c:v>
                </c:pt>
                <c:pt idx="14">
                  <c:v>-9.9442962217240083E-2</c:v>
                </c:pt>
                <c:pt idx="15">
                  <c:v>0.37093258903528414</c:v>
                </c:pt>
                <c:pt idx="16">
                  <c:v>0.8442860967329926</c:v>
                </c:pt>
                <c:pt idx="17">
                  <c:v>0.38040351489576829</c:v>
                </c:pt>
                <c:pt idx="18">
                  <c:v>0.5581122698382367</c:v>
                </c:pt>
                <c:pt idx="19">
                  <c:v>2.9438923535487854E-2</c:v>
                </c:pt>
                <c:pt idx="20">
                  <c:v>0.78949919521054279</c:v>
                </c:pt>
                <c:pt idx="21">
                  <c:v>1.0703005310133176</c:v>
                </c:pt>
              </c:numCache>
            </c:numRef>
          </c:yVal>
        </c:ser>
        <c:axId val="169673472"/>
        <c:axId val="169675008"/>
      </c:scatterChart>
      <c:valAx>
        <c:axId val="169673472"/>
        <c:scaling>
          <c:orientation val="minMax"/>
          <c:max val="1"/>
        </c:scaling>
        <c:axPos val="b"/>
        <c:numFmt formatCode="0%" sourceLinked="1"/>
        <c:tickLblPos val="nextTo"/>
        <c:txPr>
          <a:bodyPr/>
          <a:lstStyle/>
          <a:p>
            <a:pPr>
              <a:defRPr sz="1200" baseline="0">
                <a:latin typeface="Arial" pitchFamily="34" charset="0"/>
              </a:defRPr>
            </a:pPr>
            <a:endParaRPr lang="fr-FR"/>
          </a:p>
        </c:txPr>
        <c:crossAx val="169675008"/>
        <c:crosses val="autoZero"/>
        <c:crossBetween val="midCat"/>
        <c:majorUnit val="0.1"/>
      </c:valAx>
      <c:valAx>
        <c:axId val="169675008"/>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69673472"/>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6.2521750869924619E-2"/>
          <c:y val="3.9763411358832677E-2"/>
          <c:w val="0.89765555553760068"/>
          <c:h val="0.86820429116133369"/>
        </c:manualLayout>
      </c:layout>
      <c:scatterChart>
        <c:scatterStyle val="lineMarker"/>
        <c:ser>
          <c:idx val="0"/>
          <c:order val="0"/>
          <c:spPr>
            <a:ln w="28575">
              <a:noFill/>
            </a:ln>
          </c:spPr>
          <c:marker>
            <c:symbol val="dash"/>
            <c:size val="35"/>
            <c:spPr>
              <a:solidFill>
                <a:schemeClr val="bg2">
                  <a:lumMod val="75000"/>
                  <a:alpha val="50000"/>
                </a:schemeClr>
              </a:solidFill>
              <a:ln>
                <a:noFill/>
              </a:ln>
            </c:spPr>
          </c:marker>
          <c:xVal>
            <c:numRef>
              <c:f>('GEARINGS, E&amp;Enot'!$D$37:$D$52,'GEARINGS, E&amp;Enot'!$D$54:$D$57)</c:f>
              <c:numCache>
                <c:formatCode>0%</c:formatCode>
                <c:ptCount val="20"/>
                <c:pt idx="0">
                  <c:v>-0.18079580514885477</c:v>
                </c:pt>
                <c:pt idx="1">
                  <c:v>-5.4500069338510607E-2</c:v>
                </c:pt>
                <c:pt idx="2">
                  <c:v>0.11044311863454735</c:v>
                </c:pt>
                <c:pt idx="3">
                  <c:v>0</c:v>
                </c:pt>
                <c:pt idx="4">
                  <c:v>8.4948466413752491E-2</c:v>
                </c:pt>
                <c:pt idx="5">
                  <c:v>-0.11491916916279199</c:v>
                </c:pt>
                <c:pt idx="6">
                  <c:v>4.0950219141690898E-2</c:v>
                </c:pt>
                <c:pt idx="7">
                  <c:v>-5.2071170724915891E-2</c:v>
                </c:pt>
                <c:pt idx="8">
                  <c:v>-0.12023286586287618</c:v>
                </c:pt>
                <c:pt idx="9">
                  <c:v>-8.7660674172335792E-2</c:v>
                </c:pt>
                <c:pt idx="10">
                  <c:v>0</c:v>
                </c:pt>
                <c:pt idx="11">
                  <c:v>-4.3736501079913587E-2</c:v>
                </c:pt>
                <c:pt idx="12">
                  <c:v>0.13956056160252914</c:v>
                </c:pt>
                <c:pt idx="13">
                  <c:v>-4.1189056985539901E-2</c:v>
                </c:pt>
                <c:pt idx="14">
                  <c:v>5.5614710459497153E-2</c:v>
                </c:pt>
                <c:pt idx="15">
                  <c:v>-0.11335389957676706</c:v>
                </c:pt>
                <c:pt idx="16">
                  <c:v>5.7346309608293736E-3</c:v>
                </c:pt>
                <c:pt idx="17">
                  <c:v>0.10784712869930438</c:v>
                </c:pt>
                <c:pt idx="18">
                  <c:v>-0.1153634304384116</c:v>
                </c:pt>
                <c:pt idx="19">
                  <c:v>-9.0086339251873371E-2</c:v>
                </c:pt>
              </c:numCache>
            </c:numRef>
          </c:xVal>
          <c:yVal>
            <c:numRef>
              <c:f>('GEARINGS, E&amp;Enot'!$Q$37:$Q$52,'GEARINGS, E&amp;Enot'!$Q$54:$Q$57)</c:f>
              <c:numCache>
                <c:formatCode>0%</c:formatCode>
                <c:ptCount val="20"/>
                <c:pt idx="0">
                  <c:v>0.24423537898737996</c:v>
                </c:pt>
                <c:pt idx="1">
                  <c:v>-0.14664752669478531</c:v>
                </c:pt>
                <c:pt idx="2">
                  <c:v>0.12404595260605845</c:v>
                </c:pt>
                <c:pt idx="3">
                  <c:v>8.5841806528642844E-2</c:v>
                </c:pt>
                <c:pt idx="4">
                  <c:v>2.8580691559688957E-2</c:v>
                </c:pt>
                <c:pt idx="5">
                  <c:v>-0.25803195656746131</c:v>
                </c:pt>
                <c:pt idx="6">
                  <c:v>1.3257606300410854E-2</c:v>
                </c:pt>
                <c:pt idx="7">
                  <c:v>0.36844726500440206</c:v>
                </c:pt>
                <c:pt idx="8">
                  <c:v>-0.22035736928264804</c:v>
                </c:pt>
                <c:pt idx="9">
                  <c:v>6.0078851309961184E-2</c:v>
                </c:pt>
                <c:pt idx="10">
                  <c:v>-0.12537902502142731</c:v>
                </c:pt>
                <c:pt idx="11">
                  <c:v>-3.7762767487534328E-2</c:v>
                </c:pt>
                <c:pt idx="12">
                  <c:v>0.36079457239176377</c:v>
                </c:pt>
                <c:pt idx="13">
                  <c:v>-9.9442962217240083E-2</c:v>
                </c:pt>
                <c:pt idx="14">
                  <c:v>0.37093258903528414</c:v>
                </c:pt>
                <c:pt idx="15">
                  <c:v>0.8442860967329926</c:v>
                </c:pt>
                <c:pt idx="16">
                  <c:v>0.5581122698382367</c:v>
                </c:pt>
                <c:pt idx="17">
                  <c:v>2.9438923535487854E-2</c:v>
                </c:pt>
                <c:pt idx="18">
                  <c:v>0.78949919521054279</c:v>
                </c:pt>
                <c:pt idx="19">
                  <c:v>1.0703005310133176</c:v>
                </c:pt>
              </c:numCache>
            </c:numRef>
          </c:yVal>
        </c:ser>
        <c:axId val="169717760"/>
        <c:axId val="169719680"/>
      </c:scatterChart>
      <c:valAx>
        <c:axId val="169717760"/>
        <c:scaling>
          <c:orientation val="minMax"/>
        </c:scaling>
        <c:axPos val="b"/>
        <c:numFmt formatCode="0%" sourceLinked="1"/>
        <c:tickLblPos val="nextTo"/>
        <c:txPr>
          <a:bodyPr/>
          <a:lstStyle/>
          <a:p>
            <a:pPr>
              <a:defRPr sz="1200" baseline="0">
                <a:latin typeface="Arial" pitchFamily="34" charset="0"/>
              </a:defRPr>
            </a:pPr>
            <a:endParaRPr lang="fr-FR"/>
          </a:p>
        </c:txPr>
        <c:crossAx val="169719680"/>
        <c:crosses val="autoZero"/>
        <c:crossBetween val="midCat"/>
      </c:valAx>
      <c:valAx>
        <c:axId val="169719680"/>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69717760"/>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353672571910852E-2"/>
          <c:y val="3.9763449225746449E-2"/>
          <c:w val="0.89765555553760068"/>
          <c:h val="0.86820429116133369"/>
        </c:manualLayout>
      </c:layout>
      <c:scatterChart>
        <c:scatterStyle val="lineMarker"/>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dPt>
          <c:dPt>
            <c:idx val="6"/>
            <c:marker>
              <c:spPr>
                <a:solidFill>
                  <a:schemeClr val="bg2">
                    <a:lumMod val="50000"/>
                    <a:alpha val="50000"/>
                  </a:schemeClr>
                </a:solidFill>
                <a:ln>
                  <a:noFill/>
                </a:ln>
              </c:spPr>
            </c:marker>
          </c:dPt>
          <c:dPt>
            <c:idx val="10"/>
            <c:marker>
              <c:spPr>
                <a:solidFill>
                  <a:schemeClr val="bg2">
                    <a:lumMod val="50000"/>
                    <a:alpha val="50000"/>
                  </a:schemeClr>
                </a:solidFill>
                <a:ln>
                  <a:noFill/>
                </a:ln>
              </c:spPr>
            </c:marker>
          </c:dPt>
          <c:dPt>
            <c:idx val="11"/>
            <c:marker>
              <c:spPr>
                <a:solidFill>
                  <a:srgbClr val="558ED5">
                    <a:alpha val="50000"/>
                  </a:srgbClr>
                </a:solidFill>
                <a:ln>
                  <a:noFill/>
                </a:ln>
              </c:spPr>
            </c:marker>
          </c:dPt>
          <c:dPt>
            <c:idx val="12"/>
            <c:marker>
              <c:spPr>
                <a:solidFill>
                  <a:srgbClr val="558ED5">
                    <a:alpha val="50000"/>
                  </a:srgbClr>
                </a:solidFill>
                <a:ln>
                  <a:noFill/>
                </a:ln>
              </c:spPr>
            </c:marker>
          </c:dPt>
          <c:dPt>
            <c:idx val="13"/>
            <c:marker>
              <c:spPr>
                <a:solidFill>
                  <a:schemeClr val="bg2">
                    <a:lumMod val="50000"/>
                    <a:alpha val="50000"/>
                  </a:schemeClr>
                </a:solidFill>
                <a:ln>
                  <a:noFill/>
                </a:ln>
              </c:spPr>
            </c:marker>
          </c:dPt>
          <c:dPt>
            <c:idx val="14"/>
            <c:marker>
              <c:spPr>
                <a:solidFill>
                  <a:srgbClr val="C00000">
                    <a:alpha val="50000"/>
                  </a:srgbClr>
                </a:solidFill>
                <a:ln>
                  <a:noFill/>
                </a:ln>
              </c:spPr>
            </c:marker>
          </c:dPt>
          <c:dPt>
            <c:idx val="15"/>
            <c:marker>
              <c:spPr>
                <a:solidFill>
                  <a:schemeClr val="bg2">
                    <a:lumMod val="50000"/>
                    <a:alpha val="50000"/>
                  </a:schemeClr>
                </a:solidFill>
                <a:ln>
                  <a:noFill/>
                </a:ln>
              </c:spPr>
            </c:marker>
          </c:dPt>
          <c:dPt>
            <c:idx val="16"/>
            <c:marker>
              <c:spPr>
                <a:solidFill>
                  <a:schemeClr val="bg2">
                    <a:lumMod val="50000"/>
                    <a:alpha val="50000"/>
                  </a:schemeClr>
                </a:solidFill>
                <a:ln>
                  <a:noFill/>
                </a:ln>
              </c:spPr>
            </c:marker>
          </c:dPt>
          <c:dPt>
            <c:idx val="17"/>
            <c:marker>
              <c:spPr>
                <a:solidFill>
                  <a:srgbClr val="FFC000">
                    <a:alpha val="50000"/>
                  </a:srgbClr>
                </a:solidFill>
                <a:ln>
                  <a:noFill/>
                </a:ln>
              </c:spPr>
            </c:marker>
          </c:dPt>
          <c:dPt>
            <c:idx val="18"/>
            <c:marker>
              <c:spPr>
                <a:solidFill>
                  <a:srgbClr val="C00000">
                    <a:alpha val="50000"/>
                  </a:srgbClr>
                </a:solidFill>
                <a:ln>
                  <a:noFill/>
                </a:ln>
              </c:spPr>
            </c:marker>
          </c:dPt>
          <c:dPt>
            <c:idx val="19"/>
            <c:marker>
              <c:spPr>
                <a:solidFill>
                  <a:schemeClr val="bg2">
                    <a:lumMod val="50000"/>
                    <a:alpha val="50000"/>
                  </a:schemeClr>
                </a:solidFill>
                <a:ln>
                  <a:noFill/>
                </a:ln>
              </c:spPr>
            </c:marker>
          </c:dPt>
          <c:dLbls>
            <c:dLbl>
              <c:idx val="0"/>
              <c:layout>
                <c:manualLayout>
                  <c:x val="-8.6343296266202879E-2"/>
                  <c:y val="-3.3816930617648292E-3"/>
                </c:manualLayout>
              </c:layout>
              <c:tx>
                <c:strRef>
                  <c:f>'GEARINGS, E&amp;Enot'!$B$36</c:f>
                  <c:strCache>
                    <c:ptCount val="1"/>
                    <c:pt idx="0">
                      <c:v>TELENET</c:v>
                    </c:pt>
                  </c:strCache>
                </c:strRef>
              </c:tx>
              <c:spPr/>
              <c:txPr>
                <a:bodyPr/>
                <a:lstStyle/>
                <a:p>
                  <a:pPr>
                    <a:defRPr sz="1000" b="1" i="0" strike="noStrike">
                      <a:latin typeface="Arial"/>
                    </a:defRPr>
                  </a:pPr>
                  <a:endParaRPr lang="fr-FR"/>
                </a:p>
              </c:txPr>
              <c:dLblPos val="r"/>
              <c:showVal val="1"/>
            </c:dLbl>
            <c:dLbl>
              <c:idx val="1"/>
              <c:layout>
                <c:manualLayout>
                  <c:x val="-5.5764933565185922E-2"/>
                  <c:y val="-3.3814268076855355E-3"/>
                </c:manualLayout>
              </c:layout>
              <c:tx>
                <c:strRef>
                  <c:f>'GEARINGS, E&amp;Enot'!$B$37</c:f>
                  <c:strCache>
                    <c:ptCount val="1"/>
                    <c:pt idx="0">
                      <c:v>PT</c:v>
                    </c:pt>
                  </c:strCache>
                </c:strRef>
              </c:tx>
              <c:spPr/>
              <c:txPr>
                <a:bodyPr/>
                <a:lstStyle/>
                <a:p>
                  <a:pPr>
                    <a:defRPr sz="1000" b="0" i="0" strike="noStrike">
                      <a:latin typeface="Arial"/>
                    </a:defRPr>
                  </a:pPr>
                  <a:endParaRPr lang="fr-FR"/>
                </a:p>
              </c:txPr>
              <c:dLblPos val="r"/>
              <c:showVal val="1"/>
            </c:dLbl>
            <c:dLbl>
              <c:idx val="2"/>
              <c:layout>
                <c:manualLayout>
                  <c:x val="-5.7835829391795372E-2"/>
                  <c:y val="-3.3814268076855355E-3"/>
                </c:manualLayout>
              </c:layout>
              <c:tx>
                <c:strRef>
                  <c:f>'GEARINGS, E&amp;Enot'!$B$38</c:f>
                  <c:strCache>
                    <c:ptCount val="1"/>
                    <c:pt idx="0">
                      <c:v>TIT</c:v>
                    </c:pt>
                  </c:strCache>
                </c:strRef>
              </c:tx>
              <c:spPr/>
              <c:txPr>
                <a:bodyPr/>
                <a:lstStyle/>
                <a:p>
                  <a:pPr>
                    <a:defRPr sz="1000" b="1" i="0" strike="noStrike">
                      <a:latin typeface="Arial"/>
                    </a:defRPr>
                  </a:pPr>
                  <a:endParaRPr lang="fr-FR"/>
                </a:p>
              </c:txPr>
              <c:dLblPos val="r"/>
              <c:showVal val="1"/>
            </c:dLbl>
            <c:dLbl>
              <c:idx val="3"/>
              <c:layout>
                <c:manualLayout>
                  <c:x val="-6.1464634719802534E-2"/>
                  <c:y val="-3.3814268076855078E-3"/>
                </c:manualLayout>
              </c:layout>
              <c:tx>
                <c:strRef>
                  <c:f>'GEARINGS, E&amp;Enot'!$B$39</c:f>
                  <c:strCache>
                    <c:ptCount val="1"/>
                    <c:pt idx="0">
                      <c:v>TEF</c:v>
                    </c:pt>
                  </c:strCache>
                </c:strRef>
              </c:tx>
              <c:spPr/>
              <c:txPr>
                <a:bodyPr/>
                <a:lstStyle/>
                <a:p>
                  <a:pPr>
                    <a:defRPr sz="1000" b="0" i="0" strike="noStrike">
                      <a:latin typeface="Arial"/>
                    </a:defRPr>
                  </a:pPr>
                  <a:endParaRPr lang="fr-FR"/>
                </a:p>
              </c:txPr>
              <c:dLblPos val="r"/>
              <c:showVal val="1"/>
            </c:dLbl>
            <c:dLbl>
              <c:idx val="4"/>
              <c:layout>
                <c:manualLayout>
                  <c:x val="-5.6278066793698747E-2"/>
                  <c:y val="-3.3814268076855355E-3"/>
                </c:manualLayout>
              </c:layout>
              <c:tx>
                <c:strRef>
                  <c:f>'GEARINGS, E&amp;Enot'!$B$40</c:f>
                  <c:strCache>
                    <c:ptCount val="1"/>
                    <c:pt idx="0">
                      <c:v>DT</c:v>
                    </c:pt>
                  </c:strCache>
                </c:strRef>
              </c:tx>
              <c:spPr/>
              <c:txPr>
                <a:bodyPr/>
                <a:lstStyle/>
                <a:p>
                  <a:pPr>
                    <a:defRPr sz="1000" b="0" i="0" strike="noStrike">
                      <a:latin typeface="Arial"/>
                    </a:defRPr>
                  </a:pPr>
                  <a:endParaRPr lang="fr-FR"/>
                </a:p>
              </c:txPr>
              <c:dLblPos val="r"/>
              <c:showVal val="1"/>
            </c:dLbl>
            <c:dLbl>
              <c:idx val="5"/>
              <c:layout>
                <c:manualLayout>
                  <c:x val="-6.3022397317898424E-2"/>
                  <c:y val="-3.3816930617648292E-3"/>
                </c:manualLayout>
              </c:layout>
              <c:tx>
                <c:strRef>
                  <c:f>'GEARINGS, E&amp;Enot'!$B$41</c:f>
                  <c:strCache>
                    <c:ptCount val="1"/>
                    <c:pt idx="0">
                      <c:v>KPN</c:v>
                    </c:pt>
                  </c:strCache>
                </c:strRef>
              </c:tx>
              <c:spPr/>
              <c:txPr>
                <a:bodyPr/>
                <a:lstStyle/>
                <a:p>
                  <a:pPr>
                    <a:defRPr sz="1000" b="1" i="0" strike="noStrike">
                      <a:latin typeface="Arial"/>
                    </a:defRPr>
                  </a:pPr>
                  <a:endParaRPr lang="fr-FR"/>
                </a:p>
              </c:txPr>
              <c:dLblPos val="r"/>
              <c:showVal val="1"/>
            </c:dLbl>
            <c:dLbl>
              <c:idx val="6"/>
              <c:layout>
                <c:manualLayout>
                  <c:x val="-6.3013142409969206E-2"/>
                  <c:y val="-3.3814268076855355E-3"/>
                </c:manualLayout>
              </c:layout>
              <c:tx>
                <c:strRef>
                  <c:f>'GEARINGS, E&amp;Enot'!$B$42</c:f>
                  <c:strCache>
                    <c:ptCount val="1"/>
                    <c:pt idx="0">
                      <c:v>TDC</c:v>
                    </c:pt>
                  </c:strCache>
                </c:strRef>
              </c:tx>
              <c:spPr/>
              <c:txPr>
                <a:bodyPr/>
                <a:lstStyle/>
                <a:p>
                  <a:pPr>
                    <a:defRPr sz="1000" b="1" i="0" strike="noStrike">
                      <a:latin typeface="Arial"/>
                    </a:defRPr>
                  </a:pPr>
                  <a:endParaRPr lang="fr-FR"/>
                </a:p>
              </c:txPr>
              <c:dLblPos val="r"/>
              <c:showVal val="1"/>
            </c:dLbl>
            <c:dLbl>
              <c:idx val="7"/>
              <c:layout>
                <c:manualLayout>
                  <c:x val="-6.4057918682853279E-2"/>
                  <c:y val="-3.3816930617648292E-3"/>
                </c:manualLayout>
              </c:layout>
              <c:tx>
                <c:strRef>
                  <c:f>'GEARINGS, E&amp;Enot'!$B$43</c:f>
                  <c:strCache>
                    <c:ptCount val="1"/>
                    <c:pt idx="0">
                      <c:v>ORA</c:v>
                    </c:pt>
                  </c:strCache>
                </c:strRef>
              </c:tx>
              <c:spPr/>
              <c:txPr>
                <a:bodyPr/>
                <a:lstStyle/>
                <a:p>
                  <a:pPr>
                    <a:defRPr sz="1000" b="0" i="0" strike="noStrike">
                      <a:latin typeface="Arial"/>
                    </a:defRPr>
                  </a:pPr>
                  <a:endParaRPr lang="fr-FR"/>
                </a:p>
              </c:txPr>
              <c:dLblPos val="r"/>
              <c:showVal val="1"/>
            </c:dLbl>
            <c:dLbl>
              <c:idx val="8"/>
              <c:layout>
                <c:manualLayout>
                  <c:x val="-6.1987022856244134E-2"/>
                  <c:y val="-3.3814268076855355E-3"/>
                </c:manualLayout>
              </c:layout>
              <c:tx>
                <c:strRef>
                  <c:f>'GEARINGS, E&amp;Enot'!$B$44</c:f>
                  <c:strCache>
                    <c:ptCount val="1"/>
                    <c:pt idx="0">
                      <c:v>TKA</c:v>
                    </c:pt>
                  </c:strCache>
                </c:strRef>
              </c:tx>
              <c:spPr/>
              <c:txPr>
                <a:bodyPr/>
                <a:lstStyle/>
                <a:p>
                  <a:pPr>
                    <a:defRPr sz="1000" b="1" i="0" strike="noStrike">
                      <a:latin typeface="Arial"/>
                    </a:defRPr>
                  </a:pPr>
                  <a:endParaRPr lang="fr-FR"/>
                </a:p>
              </c:txPr>
              <c:dLblPos val="r"/>
              <c:showVal val="1"/>
            </c:dLbl>
            <c:dLbl>
              <c:idx val="9"/>
              <c:layout>
                <c:manualLayout>
                  <c:x val="-6.3022397317898424E-2"/>
                  <c:y val="-3.3814268076855355E-3"/>
                </c:manualLayout>
              </c:layout>
              <c:tx>
                <c:strRef>
                  <c:f>'GEARINGS, E&amp;Enot'!$B$45</c:f>
                  <c:strCache>
                    <c:ptCount val="1"/>
                    <c:pt idx="0">
                      <c:v>OTE</c:v>
                    </c:pt>
                  </c:strCache>
                </c:strRef>
              </c:tx>
              <c:spPr/>
              <c:txPr>
                <a:bodyPr/>
                <a:lstStyle/>
                <a:p>
                  <a:pPr>
                    <a:defRPr sz="1000" b="0" i="0" strike="noStrike">
                      <a:latin typeface="Arial"/>
                    </a:defRPr>
                  </a:pPr>
                  <a:endParaRPr lang="fr-FR"/>
                </a:p>
              </c:txPr>
              <c:dLblPos val="r"/>
              <c:showVal val="1"/>
            </c:dLbl>
            <c:dLbl>
              <c:idx val="10"/>
              <c:layout>
                <c:manualLayout>
                  <c:x val="-6.4570905008065727E-2"/>
                  <c:y val="-3.3814268076855355E-3"/>
                </c:manualLayout>
              </c:layout>
              <c:tx>
                <c:strRef>
                  <c:f>'GEARINGS, E&amp;Enot'!$B$46</c:f>
                  <c:strCache>
                    <c:ptCount val="1"/>
                    <c:pt idx="0">
                      <c:v>SCM</c:v>
                    </c:pt>
                  </c:strCache>
                </c:strRef>
              </c:tx>
              <c:spPr/>
              <c:txPr>
                <a:bodyPr/>
                <a:lstStyle/>
                <a:p>
                  <a:pPr>
                    <a:defRPr sz="1000" b="1" i="0" strike="noStrike">
                      <a:latin typeface="Arial"/>
                    </a:defRPr>
                  </a:pPr>
                  <a:endParaRPr lang="fr-FR"/>
                </a:p>
              </c:txPr>
              <c:dLblPos val="r"/>
              <c:showVal val="1"/>
            </c:dLbl>
            <c:dLbl>
              <c:idx val="11"/>
              <c:layout>
                <c:manualLayout>
                  <c:x val="-5.5764933565185922E-2"/>
                  <c:y val="-3.3814268076855355E-3"/>
                </c:manualLayout>
              </c:layout>
              <c:tx>
                <c:strRef>
                  <c:f>'GEARINGS, E&amp;Enot'!$B$47</c:f>
                  <c:strCache>
                    <c:ptCount val="1"/>
                    <c:pt idx="0">
                      <c:v>BT</c:v>
                    </c:pt>
                  </c:strCache>
                </c:strRef>
              </c:tx>
              <c:spPr/>
              <c:txPr>
                <a:bodyPr/>
                <a:lstStyle/>
                <a:p>
                  <a:pPr>
                    <a:defRPr sz="1000" b="0" i="0" strike="noStrike">
                      <a:latin typeface="Arial"/>
                    </a:defRPr>
                  </a:pPr>
                  <a:endParaRPr lang="fr-FR"/>
                </a:p>
              </c:txPr>
              <c:dLblPos val="r"/>
              <c:showVal val="1"/>
            </c:dLbl>
            <c:dLbl>
              <c:idx val="12"/>
              <c:layout>
                <c:manualLayout>
                  <c:x val="-6.4057918682853279E-2"/>
                  <c:y val="-3.3814268076855355E-3"/>
                </c:manualLayout>
              </c:layout>
              <c:tx>
                <c:strRef>
                  <c:f>'GEARINGS, E&amp;Enot'!$B$48</c:f>
                  <c:strCache>
                    <c:ptCount val="1"/>
                    <c:pt idx="0">
                      <c:v>VOD</c:v>
                    </c:pt>
                  </c:strCache>
                </c:strRef>
              </c:tx>
              <c:spPr/>
              <c:txPr>
                <a:bodyPr/>
                <a:lstStyle/>
                <a:p>
                  <a:pPr>
                    <a:defRPr sz="1000" b="0" i="0" strike="noStrike">
                      <a:latin typeface="Arial"/>
                    </a:defRPr>
                  </a:pPr>
                  <a:endParaRPr lang="fr-FR"/>
                </a:p>
              </c:txPr>
              <c:dLblPos val="r"/>
              <c:showVal val="1"/>
            </c:dLbl>
            <c:dLbl>
              <c:idx val="13"/>
              <c:layout>
                <c:manualLayout>
                  <c:x val="-6.7686577107559223E-2"/>
                  <c:y val="-3.3816930617648292E-3"/>
                </c:manualLayout>
              </c:layout>
              <c:tx>
                <c:strRef>
                  <c:f>'GEARINGS, E&amp;Enot'!$B$49</c:f>
                  <c:strCache>
                    <c:ptCount val="1"/>
                    <c:pt idx="0">
                      <c:v>TLSN</c:v>
                    </c:pt>
                  </c:strCache>
                </c:strRef>
              </c:tx>
              <c:spPr/>
              <c:txPr>
                <a:bodyPr/>
                <a:lstStyle/>
                <a:p>
                  <a:pPr>
                    <a:defRPr sz="1000" b="0" i="0" strike="noStrike">
                      <a:latin typeface="Arial"/>
                    </a:defRPr>
                  </a:pPr>
                  <a:endParaRPr lang="fr-FR"/>
                </a:p>
              </c:txPr>
              <c:dLblPos val="r"/>
              <c:showVal val="1"/>
            </c:dLbl>
            <c:dLbl>
              <c:idx val="14"/>
              <c:layout>
                <c:manualLayout>
                  <c:x val="-6.3535530546411423E-2"/>
                  <c:y val="-3.3814268076854757E-3"/>
                </c:manualLayout>
              </c:layout>
              <c:tx>
                <c:strRef>
                  <c:f>'GEARINGS, E&amp;Enot'!$B$50</c:f>
                  <c:strCache>
                    <c:ptCount val="1"/>
                    <c:pt idx="0">
                      <c:v>SNC</c:v>
                    </c:pt>
                  </c:strCache>
                </c:strRef>
              </c:tx>
              <c:spPr/>
              <c:txPr>
                <a:bodyPr/>
                <a:lstStyle/>
                <a:p>
                  <a:pPr>
                    <a:defRPr sz="1000" b="0" i="0" strike="noStrike">
                      <a:latin typeface="Arial"/>
                    </a:defRPr>
                  </a:pPr>
                  <a:endParaRPr lang="fr-FR"/>
                </a:p>
              </c:txPr>
              <c:dLblPos val="r"/>
              <c:showVal val="1"/>
            </c:dLbl>
            <c:dLbl>
              <c:idx val="15"/>
              <c:layout>
                <c:manualLayout>
                  <c:x val="-5.7845231203024913E-2"/>
                  <c:y val="-3.3814268076854757E-3"/>
                </c:manualLayout>
              </c:layout>
              <c:tx>
                <c:strRef>
                  <c:f>'GEARINGS, E&amp;Enot'!$B$51</c:f>
                  <c:strCache>
                    <c:ptCount val="1"/>
                    <c:pt idx="0">
                      <c:v>ELI</c:v>
                    </c:pt>
                  </c:strCache>
                </c:strRef>
              </c:tx>
              <c:spPr/>
              <c:txPr>
                <a:bodyPr/>
                <a:lstStyle/>
                <a:p>
                  <a:pPr>
                    <a:defRPr sz="1000" b="0" i="0" strike="noStrike">
                      <a:latin typeface="Arial"/>
                    </a:defRPr>
                  </a:pPr>
                  <a:endParaRPr lang="fr-FR"/>
                </a:p>
              </c:txPr>
              <c:dLblPos val="r"/>
              <c:showVal val="1"/>
            </c:dLbl>
            <c:dLbl>
              <c:idx val="16"/>
              <c:layout>
                <c:manualLayout>
                  <c:x val="-6.6138069417391795E-2"/>
                  <c:y val="-3.3816930617648292E-3"/>
                </c:manualLayout>
              </c:layout>
              <c:tx>
                <c:strRef>
                  <c:f>'GEARINGS, E&amp;Enot'!$B$52</c:f>
                  <c:strCache>
                    <c:ptCount val="1"/>
                    <c:pt idx="0">
                      <c:v>TEL2</c:v>
                    </c:pt>
                  </c:strCache>
                </c:strRef>
              </c:tx>
              <c:spPr/>
              <c:txPr>
                <a:bodyPr/>
                <a:lstStyle/>
                <a:p>
                  <a:pPr>
                    <a:defRPr sz="1000" b="0" i="0" strike="noStrike">
                      <a:latin typeface="Arial"/>
                    </a:defRPr>
                  </a:pPr>
                  <a:endParaRPr lang="fr-FR"/>
                </a:p>
              </c:txPr>
              <c:dLblPos val="r"/>
              <c:showVal val="1"/>
            </c:dLbl>
            <c:dLbl>
              <c:idx val="17"/>
              <c:layout>
                <c:manualLayout>
                  <c:x val="-5.8358217528237534E-2"/>
                  <c:y val="-3.3816930617648292E-3"/>
                </c:manualLayout>
              </c:layout>
              <c:tx>
                <c:strRef>
                  <c:f>'GEARINGS, E&amp;Enot'!$B$53</c:f>
                  <c:strCache>
                    <c:ptCount val="1"/>
                    <c:pt idx="0">
                      <c:v>ILD</c:v>
                    </c:pt>
                  </c:strCache>
                </c:strRef>
              </c:tx>
              <c:spPr/>
              <c:txPr>
                <a:bodyPr/>
                <a:lstStyle/>
                <a:p>
                  <a:pPr>
                    <a:defRPr sz="1000" b="0" i="0" strike="noStrike">
                      <a:latin typeface="Arial"/>
                    </a:defRPr>
                  </a:pPr>
                  <a:endParaRPr lang="fr-FR"/>
                </a:p>
              </c:txPr>
              <c:dLblPos val="r"/>
              <c:showVal val="1"/>
            </c:dLbl>
            <c:dLbl>
              <c:idx val="18"/>
              <c:layout>
                <c:manualLayout>
                  <c:x val="-3.2497213611648652E-2"/>
                  <c:y val="-3.3814268076855355E-3"/>
                </c:manualLayout>
              </c:layout>
              <c:tx>
                <c:strRef>
                  <c:f>'GEARINGS, E&amp;Enot'!$B$54</c:f>
                  <c:strCache>
                    <c:ptCount val="1"/>
                    <c:pt idx="0">
                      <c:v>MOBISTAR</c:v>
                    </c:pt>
                  </c:strCache>
                </c:strRef>
              </c:tx>
              <c:spPr/>
              <c:txPr>
                <a:bodyPr/>
                <a:lstStyle/>
                <a:p>
                  <a:pPr>
                    <a:defRPr sz="1000" b="1" i="0" strike="noStrike">
                      <a:latin typeface="Arial"/>
                    </a:defRPr>
                  </a:pPr>
                  <a:endParaRPr lang="fr-FR"/>
                </a:p>
              </c:txPr>
              <c:dLblPos val="r"/>
              <c:showVal val="1"/>
            </c:dLbl>
            <c:dLbl>
              <c:idx val="19"/>
              <c:layout>
                <c:manualLayout>
                  <c:x val="-6.0951501491288862E-2"/>
                  <c:y val="-3.3814268076855355E-3"/>
                </c:manualLayout>
              </c:layout>
              <c:tx>
                <c:strRef>
                  <c:f>'GEARINGS, E&amp;Enot'!$B$55</c:f>
                  <c:strCache>
                    <c:ptCount val="1"/>
                    <c:pt idx="0">
                      <c:v>TEL</c:v>
                    </c:pt>
                  </c:strCache>
                </c:strRef>
              </c:tx>
              <c:spPr/>
              <c:txPr>
                <a:bodyPr/>
                <a:lstStyle/>
                <a:p>
                  <a:pPr>
                    <a:defRPr sz="1000" b="0" i="0" strike="noStrike">
                      <a:latin typeface="Arial"/>
                    </a:defRPr>
                  </a:pPr>
                  <a:endParaRPr lang="fr-FR"/>
                </a:p>
              </c:txPr>
              <c:dLblPos val="r"/>
              <c:showVal val="1"/>
            </c:dLbl>
            <c:dLbl>
              <c:idx val="20"/>
              <c:layout>
                <c:manualLayout>
                  <c:x val="-9.8255684900647206E-2"/>
                  <c:y val="-3.3814268076855355E-3"/>
                </c:manualLayout>
              </c:layout>
              <c:tx>
                <c:strRef>
                  <c:f>'GEARINGS, E&amp;Enot'!$B$56</c:f>
                  <c:strCache>
                    <c:ptCount val="1"/>
                    <c:pt idx="0">
                      <c:v>BELGACOM</c:v>
                    </c:pt>
                  </c:strCache>
                </c:strRef>
              </c:tx>
              <c:spPr/>
              <c:txPr>
                <a:bodyPr/>
                <a:lstStyle/>
                <a:p>
                  <a:pPr>
                    <a:defRPr sz="1000" b="1" i="0" strike="noStrike">
                      <a:latin typeface="Arial"/>
                    </a:defRPr>
                  </a:pPr>
                  <a:endParaRPr lang="fr-FR"/>
                </a:p>
              </c:txPr>
              <c:dLblPos val="r"/>
              <c:showVal val="1"/>
            </c:dLbl>
            <c:dLbl>
              <c:idx val="21"/>
              <c:layout>
                <c:manualLayout>
                  <c:x val="-6.1987022856244134E-2"/>
                  <c:y val="-3.3814268076855355E-3"/>
                </c:manualLayout>
              </c:layout>
              <c:tx>
                <c:strRef>
                  <c:f>'GEARINGS, E&amp;Enot'!$B$57</c:f>
                  <c:strCache>
                    <c:ptCount val="1"/>
                    <c:pt idx="0">
                      <c:v>TPS</c:v>
                    </c:pt>
                  </c:strCache>
                </c:strRef>
              </c:tx>
              <c:spPr/>
              <c:txPr>
                <a:bodyPr/>
                <a:lstStyle/>
                <a:p>
                  <a:pPr>
                    <a:defRPr sz="1000" b="1" i="0" strike="noStrike">
                      <a:latin typeface="Arial"/>
                    </a:defRPr>
                  </a:pPr>
                  <a:endParaRPr lang="fr-FR"/>
                </a:p>
              </c:txPr>
              <c:dLblPos val="r"/>
              <c:showVal val="1"/>
            </c:dLbl>
            <c:showVal val="1"/>
          </c:dLbls>
          <c:xVal>
            <c:numRef>
              <c:f>'GEARINGS, E&amp;Enot'!$C$36:$C$57</c:f>
              <c:numCache>
                <c:formatCode>0%</c:formatCode>
                <c:ptCount val="22"/>
                <c:pt idx="0">
                  <c:v>6.4385445236561381E-2</c:v>
                </c:pt>
                <c:pt idx="1">
                  <c:v>0.48460704112825509</c:v>
                </c:pt>
                <c:pt idx="2">
                  <c:v>0.34534166666666666</c:v>
                </c:pt>
                <c:pt idx="3">
                  <c:v>0.6158872479982318</c:v>
                </c:pt>
                <c:pt idx="4">
                  <c:v>0.61</c:v>
                </c:pt>
                <c:pt idx="5">
                  <c:v>0.5805147103617575</c:v>
                </c:pt>
                <c:pt idx="6">
                  <c:v>0.31054928118178421</c:v>
                </c:pt>
                <c:pt idx="7">
                  <c:v>0.60741568747204655</c:v>
                </c:pt>
                <c:pt idx="8">
                  <c:v>0.60910298289809772</c:v>
                </c:pt>
                <c:pt idx="9">
                  <c:v>0.56323171407839789</c:v>
                </c:pt>
                <c:pt idx="10">
                  <c:v>0.32615050588405037</c:v>
                </c:pt>
                <c:pt idx="11">
                  <c:v>0</c:v>
                </c:pt>
                <c:pt idx="12">
                  <c:v>0.91487499999999988</c:v>
                </c:pt>
                <c:pt idx="13">
                  <c:v>0.67984865616162071</c:v>
                </c:pt>
                <c:pt idx="14">
                  <c:v>0.90539538726018864</c:v>
                </c:pt>
                <c:pt idx="15">
                  <c:v>0.62657499999999999</c:v>
                </c:pt>
                <c:pt idx="16">
                  <c:v>0.67083419702973635</c:v>
                </c:pt>
                <c:pt idx="17">
                  <c:v>9.1630231095150338E-2</c:v>
                </c:pt>
                <c:pt idx="18">
                  <c:v>0.95644485424869818</c:v>
                </c:pt>
                <c:pt idx="19">
                  <c:v>0.7344324868237998</c:v>
                </c:pt>
                <c:pt idx="20">
                  <c:v>0.37158673775730477</c:v>
                </c:pt>
                <c:pt idx="21">
                  <c:v>0.42290073595624156</c:v>
                </c:pt>
              </c:numCache>
            </c:numRef>
          </c:xVal>
          <c:yVal>
            <c:numRef>
              <c:f>'GEARINGS, E&amp;Enot'!$I$36:$I$57</c:f>
              <c:numCache>
                <c:formatCode>0%</c:formatCode>
                <c:ptCount val="22"/>
                <c:pt idx="0">
                  <c:v>0.42695023434228802</c:v>
                </c:pt>
                <c:pt idx="1">
                  <c:v>0.5748403529709204</c:v>
                </c:pt>
                <c:pt idx="2">
                  <c:v>0.68457317243488636</c:v>
                </c:pt>
                <c:pt idx="3">
                  <c:v>0.51513010935716153</c:v>
                </c:pt>
                <c:pt idx="4">
                  <c:v>0.58808850315066874</c:v>
                </c:pt>
                <c:pt idx="5">
                  <c:v>0.5495689942142129</c:v>
                </c:pt>
                <c:pt idx="6">
                  <c:v>0.45093517146474416</c:v>
                </c:pt>
                <c:pt idx="7">
                  <c:v>0.54898628094174651</c:v>
                </c:pt>
                <c:pt idx="8">
                  <c:v>0.49698573886957192</c:v>
                </c:pt>
                <c:pt idx="9">
                  <c:v>0.63388271448107447</c:v>
                </c:pt>
                <c:pt idx="10">
                  <c:v>0.31922230141848357</c:v>
                </c:pt>
                <c:pt idx="11">
                  <c:v>0.48927059752514818</c:v>
                </c:pt>
                <c:pt idx="12">
                  <c:v>0.27870192226407053</c:v>
                </c:pt>
                <c:pt idx="13">
                  <c:v>0.2501311526811702</c:v>
                </c:pt>
                <c:pt idx="14">
                  <c:v>0.47841518539184064</c:v>
                </c:pt>
                <c:pt idx="15">
                  <c:v>0.2616424852780464</c:v>
                </c:pt>
                <c:pt idx="16">
                  <c:v>0.20961441125119315</c:v>
                </c:pt>
                <c:pt idx="17">
                  <c:v>0.16024846762312819</c:v>
                </c:pt>
                <c:pt idx="18">
                  <c:v>0.27218937885351913</c:v>
                </c:pt>
                <c:pt idx="19">
                  <c:v>0.18443136241749356</c:v>
                </c:pt>
                <c:pt idx="20">
                  <c:v>0.19702478682132593</c:v>
                </c:pt>
                <c:pt idx="21">
                  <c:v>0.18570292678335293</c:v>
                </c:pt>
              </c:numCache>
            </c:numRef>
          </c:yVal>
        </c:ser>
        <c:axId val="169823616"/>
        <c:axId val="169837696"/>
      </c:scatterChart>
      <c:valAx>
        <c:axId val="169823616"/>
        <c:scaling>
          <c:orientation val="minMax"/>
          <c:max val="1"/>
        </c:scaling>
        <c:axPos val="b"/>
        <c:numFmt formatCode="0%" sourceLinked="1"/>
        <c:tickLblPos val="nextTo"/>
        <c:txPr>
          <a:bodyPr/>
          <a:lstStyle/>
          <a:p>
            <a:pPr>
              <a:defRPr sz="1200" baseline="0">
                <a:latin typeface="Arial" pitchFamily="34" charset="0"/>
              </a:defRPr>
            </a:pPr>
            <a:endParaRPr lang="fr-FR"/>
          </a:p>
        </c:txPr>
        <c:crossAx val="169837696"/>
        <c:crosses val="autoZero"/>
        <c:crossBetween val="midCat"/>
        <c:majorUnit val="0.1"/>
      </c:valAx>
      <c:valAx>
        <c:axId val="169837696"/>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69823616"/>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marker>
            <c:symbol val="dash"/>
            <c:size val="20"/>
            <c:spPr>
              <a:solidFill>
                <a:srgbClr val="FFC000">
                  <a:alpha val="67000"/>
                </a:srgbClr>
              </a:solidFill>
              <a:ln>
                <a:noFill/>
              </a:ln>
            </c:spPr>
          </c:marker>
          <c:dLbls>
            <c:dLbl>
              <c:idx val="0"/>
              <c:tx>
                <c:rich>
                  <a:bodyPr/>
                  <a:lstStyle/>
                  <a:p>
                    <a:pPr>
                      <a:defRPr sz="1000" b="0" i="0" strike="noStrike">
                        <a:latin typeface="Arial"/>
                      </a:defRPr>
                    </a:pPr>
                    <a:r>
                      <a:rPr lang="en-US"/>
                      <a:t>DT</a:t>
                    </a:r>
                  </a:p>
                </c:rich>
              </c:tx>
              <c:spPr/>
              <c:dLblPos val="ctr"/>
              <c:showVal val="1"/>
            </c:dLbl>
            <c:dLbl>
              <c:idx val="1"/>
              <c:tx>
                <c:strRef>
                  <c:f>PROFILES!$O$101</c:f>
                  <c:strCache>
                    <c:ptCount val="1"/>
                    <c:pt idx="0">
                      <c:v>TKA</c:v>
                    </c:pt>
                  </c:strCache>
                </c:strRef>
              </c:tx>
              <c:spPr/>
              <c:txPr>
                <a:bodyPr/>
                <a:lstStyle/>
                <a:p>
                  <a:pPr>
                    <a:defRPr sz="1000" b="0" i="0" strike="noStrike">
                      <a:latin typeface="Arial"/>
                    </a:defRPr>
                  </a:pPr>
                  <a:endParaRPr lang="fr-FR"/>
                </a:p>
              </c:txPr>
              <c:dLblPos val="ctr"/>
              <c:showVal val="1"/>
            </c:dLbl>
            <c:dLbl>
              <c:idx val="2"/>
              <c:tx>
                <c:strRef>
                  <c:f>PROFILES!$O$102</c:f>
                  <c:strCache>
                    <c:ptCount val="1"/>
                    <c:pt idx="0">
                      <c:v>BELGACOM</c:v>
                    </c:pt>
                  </c:strCache>
                </c:strRef>
              </c:tx>
              <c:spPr/>
              <c:txPr>
                <a:bodyPr/>
                <a:lstStyle/>
                <a:p>
                  <a:pPr>
                    <a:defRPr sz="1000" b="1" i="0" strike="noStrike">
                      <a:latin typeface="Arial"/>
                    </a:defRPr>
                  </a:pPr>
                  <a:endParaRPr lang="fr-FR"/>
                </a:p>
              </c:txPr>
              <c:dLblPos val="ctr"/>
              <c:showVal val="1"/>
            </c:dLbl>
            <c:dLbl>
              <c:idx val="3"/>
              <c:tx>
                <c:strRef>
                  <c:f>PROFILES!$O$103</c:f>
                  <c:strCache>
                    <c:ptCount val="1"/>
                    <c:pt idx="0">
                      <c:v>MOBISTAR</c:v>
                    </c:pt>
                  </c:strCache>
                </c:strRef>
              </c:tx>
              <c:spPr/>
              <c:txPr>
                <a:bodyPr/>
                <a:lstStyle/>
                <a:p>
                  <a:pPr>
                    <a:defRPr sz="1000" b="1" i="0" strike="noStrike">
                      <a:latin typeface="Arial"/>
                    </a:defRPr>
                  </a:pPr>
                  <a:endParaRPr lang="fr-FR"/>
                </a:p>
              </c:txPr>
              <c:dLblPos val="ctr"/>
              <c:showVal val="1"/>
            </c:dLbl>
            <c:dLbl>
              <c:idx val="4"/>
              <c:tx>
                <c:strRef>
                  <c:f>PROFILES!$O$104</c:f>
                  <c:strCache>
                    <c:ptCount val="1"/>
                    <c:pt idx="0">
                      <c:v>TELENET</c:v>
                    </c:pt>
                  </c:strCache>
                </c:strRef>
              </c:tx>
              <c:spPr/>
              <c:txPr>
                <a:bodyPr/>
                <a:lstStyle/>
                <a:p>
                  <a:pPr>
                    <a:defRPr sz="1000" b="1" i="0" strike="noStrike">
                      <a:latin typeface="Arial"/>
                    </a:defRPr>
                  </a:pPr>
                  <a:endParaRPr lang="fr-FR"/>
                </a:p>
              </c:txPr>
              <c:dLblPos val="ctr"/>
              <c:showVal val="1"/>
            </c:dLbl>
            <c:dLbl>
              <c:idx val="5"/>
              <c:tx>
                <c:strRef>
                  <c:f>PROFILES!$O$105</c:f>
                  <c:strCache>
                    <c:ptCount val="1"/>
                    <c:pt idx="0">
                      <c:v>TDC</c:v>
                    </c:pt>
                  </c:strCache>
                </c:strRef>
              </c:tx>
              <c:spPr/>
              <c:txPr>
                <a:bodyPr/>
                <a:lstStyle/>
                <a:p>
                  <a:pPr>
                    <a:defRPr sz="1000" b="0" i="0" strike="noStrike">
                      <a:latin typeface="Arial"/>
                    </a:defRPr>
                  </a:pPr>
                  <a:endParaRPr lang="fr-FR"/>
                </a:p>
              </c:txPr>
              <c:dLblPos val="ctr"/>
              <c:showVal val="1"/>
            </c:dLbl>
            <c:dLbl>
              <c:idx val="6"/>
              <c:tx>
                <c:strRef>
                  <c:f>PROFILES!$O$106</c:f>
                  <c:strCache>
                    <c:ptCount val="1"/>
                    <c:pt idx="0">
                      <c:v>TEF</c:v>
                    </c:pt>
                  </c:strCache>
                </c:strRef>
              </c:tx>
              <c:spPr/>
              <c:txPr>
                <a:bodyPr/>
                <a:lstStyle/>
                <a:p>
                  <a:pPr>
                    <a:defRPr sz="1000" b="0" i="0" strike="noStrike">
                      <a:latin typeface="Arial"/>
                    </a:defRPr>
                  </a:pPr>
                  <a:endParaRPr lang="fr-FR"/>
                </a:p>
              </c:txPr>
              <c:dLblPos val="ctr"/>
              <c:showVal val="1"/>
            </c:dLbl>
            <c:dLbl>
              <c:idx val="7"/>
              <c:tx>
                <c:strRef>
                  <c:f>PROFILES!$O$107</c:f>
                  <c:strCache>
                    <c:ptCount val="1"/>
                    <c:pt idx="0">
                      <c:v>ELI</c:v>
                    </c:pt>
                  </c:strCache>
                </c:strRef>
              </c:tx>
              <c:spPr/>
              <c:txPr>
                <a:bodyPr/>
                <a:lstStyle/>
                <a:p>
                  <a:pPr>
                    <a:defRPr sz="1000" b="0" i="0" strike="noStrike">
                      <a:latin typeface="Arial"/>
                    </a:defRPr>
                  </a:pPr>
                  <a:endParaRPr lang="fr-FR"/>
                </a:p>
              </c:txPr>
              <c:dLblPos val="ctr"/>
              <c:showVal val="1"/>
            </c:dLbl>
            <c:dLbl>
              <c:idx val="8"/>
              <c:tx>
                <c:strRef>
                  <c:f>PROFILES!$O$108</c:f>
                  <c:strCache>
                    <c:ptCount val="1"/>
                    <c:pt idx="0">
                      <c:v>ILD</c:v>
                    </c:pt>
                  </c:strCache>
                </c:strRef>
              </c:tx>
              <c:spPr/>
              <c:txPr>
                <a:bodyPr/>
                <a:lstStyle/>
                <a:p>
                  <a:pPr>
                    <a:defRPr sz="1000" b="0" i="0" strike="noStrike">
                      <a:latin typeface="Arial"/>
                    </a:defRPr>
                  </a:pPr>
                  <a:endParaRPr lang="fr-FR"/>
                </a:p>
              </c:txPr>
              <c:dLblPos val="ctr"/>
              <c:showVal val="1"/>
            </c:dLbl>
            <c:dLbl>
              <c:idx val="9"/>
              <c:tx>
                <c:strRef>
                  <c:f>PROFILES!$O$109</c:f>
                  <c:strCache>
                    <c:ptCount val="1"/>
                    <c:pt idx="0">
                      <c:v>ORA</c:v>
                    </c:pt>
                  </c:strCache>
                </c:strRef>
              </c:tx>
              <c:spPr/>
              <c:txPr>
                <a:bodyPr/>
                <a:lstStyle/>
                <a:p>
                  <a:pPr>
                    <a:defRPr sz="1000" b="0" i="0" strike="noStrike">
                      <a:latin typeface="Arial"/>
                    </a:defRPr>
                  </a:pPr>
                  <a:endParaRPr lang="fr-FR"/>
                </a:p>
              </c:txPr>
              <c:dLblPos val="ctr"/>
              <c:showVal val="1"/>
            </c:dLbl>
            <c:dLbl>
              <c:idx val="10"/>
              <c:tx>
                <c:strRef>
                  <c:f>PROFILES!$O$110</c:f>
                  <c:strCache>
                    <c:ptCount val="1"/>
                    <c:pt idx="0">
                      <c:v>OTE</c:v>
                    </c:pt>
                  </c:strCache>
                </c:strRef>
              </c:tx>
              <c:spPr/>
              <c:txPr>
                <a:bodyPr/>
                <a:lstStyle/>
                <a:p>
                  <a:pPr>
                    <a:defRPr sz="1000" b="0" i="0" strike="noStrike">
                      <a:latin typeface="Arial"/>
                    </a:defRPr>
                  </a:pPr>
                  <a:endParaRPr lang="fr-FR"/>
                </a:p>
              </c:txPr>
              <c:dLblPos val="ctr"/>
              <c:showVal val="1"/>
            </c:dLbl>
            <c:dLbl>
              <c:idx val="11"/>
              <c:tx>
                <c:strRef>
                  <c:f>PROFILES!$O$111</c:f>
                  <c:strCache>
                    <c:ptCount val="1"/>
                    <c:pt idx="0">
                      <c:v>TIT</c:v>
                    </c:pt>
                  </c:strCache>
                </c:strRef>
              </c:tx>
              <c:spPr/>
              <c:txPr>
                <a:bodyPr/>
                <a:lstStyle/>
                <a:p>
                  <a:pPr>
                    <a:defRPr sz="1000" b="0" i="0" strike="noStrike">
                      <a:latin typeface="Arial"/>
                    </a:defRPr>
                  </a:pPr>
                  <a:endParaRPr lang="fr-FR"/>
                </a:p>
              </c:txPr>
              <c:dLblPos val="ctr"/>
              <c:showVal val="1"/>
            </c:dLbl>
            <c:dLbl>
              <c:idx val="12"/>
              <c:tx>
                <c:strRef>
                  <c:f>PROFILES!$O$112</c:f>
                  <c:strCache>
                    <c:ptCount val="1"/>
                    <c:pt idx="0">
                      <c:v>TEL</c:v>
                    </c:pt>
                  </c:strCache>
                </c:strRef>
              </c:tx>
              <c:spPr/>
              <c:txPr>
                <a:bodyPr/>
                <a:lstStyle/>
                <a:p>
                  <a:pPr>
                    <a:defRPr sz="1000" b="0" i="0" strike="noStrike">
                      <a:latin typeface="Arial"/>
                    </a:defRPr>
                  </a:pPr>
                  <a:endParaRPr lang="fr-FR"/>
                </a:p>
              </c:txPr>
              <c:dLblPos val="ctr"/>
              <c:showVal val="1"/>
            </c:dLbl>
            <c:dLbl>
              <c:idx val="13"/>
              <c:tx>
                <c:strRef>
                  <c:f>PROFILES!$O$113</c:f>
                  <c:strCache>
                    <c:ptCount val="1"/>
                    <c:pt idx="0">
                      <c:v>KPN</c:v>
                    </c:pt>
                  </c:strCache>
                </c:strRef>
              </c:tx>
              <c:spPr/>
              <c:txPr>
                <a:bodyPr/>
                <a:lstStyle/>
                <a:p>
                  <a:pPr>
                    <a:defRPr sz="1000" b="0" i="0" strike="noStrike">
                      <a:latin typeface="Arial"/>
                    </a:defRPr>
                  </a:pPr>
                  <a:endParaRPr lang="fr-FR"/>
                </a:p>
              </c:txPr>
              <c:dLblPos val="ctr"/>
              <c:showVal val="1"/>
            </c:dLbl>
            <c:dLbl>
              <c:idx val="14"/>
              <c:tx>
                <c:strRef>
                  <c:f>PROFILES!$O$114</c:f>
                  <c:strCache>
                    <c:ptCount val="1"/>
                    <c:pt idx="0">
                      <c:v>TPS</c:v>
                    </c:pt>
                  </c:strCache>
                </c:strRef>
              </c:tx>
              <c:spPr/>
              <c:txPr>
                <a:bodyPr/>
                <a:lstStyle/>
                <a:p>
                  <a:pPr>
                    <a:defRPr sz="1000" b="0" i="0" strike="noStrike">
                      <a:latin typeface="Arial"/>
                    </a:defRPr>
                  </a:pPr>
                  <a:endParaRPr lang="fr-FR"/>
                </a:p>
              </c:txPr>
              <c:dLblPos val="ctr"/>
              <c:showVal val="1"/>
            </c:dLbl>
            <c:dLbl>
              <c:idx val="15"/>
              <c:tx>
                <c:strRef>
                  <c:f>PROFILES!$O$115</c:f>
                  <c:strCache>
                    <c:ptCount val="1"/>
                    <c:pt idx="0">
                      <c:v>PT</c:v>
                    </c:pt>
                  </c:strCache>
                </c:strRef>
              </c:tx>
              <c:spPr/>
              <c:txPr>
                <a:bodyPr/>
                <a:lstStyle/>
                <a:p>
                  <a:pPr>
                    <a:defRPr sz="1000" b="0" i="0" strike="noStrike">
                      <a:latin typeface="Arial"/>
                    </a:defRPr>
                  </a:pPr>
                  <a:endParaRPr lang="fr-FR"/>
                </a:p>
              </c:txPr>
              <c:dLblPos val="ctr"/>
              <c:showVal val="1"/>
            </c:dLbl>
            <c:dLbl>
              <c:idx val="16"/>
              <c:tx>
                <c:strRef>
                  <c:f>PROFILES!$O$116</c:f>
                  <c:strCache>
                    <c:ptCount val="1"/>
                    <c:pt idx="0">
                      <c:v>BT</c:v>
                    </c:pt>
                  </c:strCache>
                </c:strRef>
              </c:tx>
              <c:spPr/>
              <c:txPr>
                <a:bodyPr/>
                <a:lstStyle/>
                <a:p>
                  <a:pPr>
                    <a:defRPr sz="1000" b="0" i="0" strike="noStrike">
                      <a:latin typeface="Arial"/>
                    </a:defRPr>
                  </a:pPr>
                  <a:endParaRPr lang="fr-FR"/>
                </a:p>
              </c:txPr>
              <c:dLblPos val="ctr"/>
              <c:showVal val="1"/>
            </c:dLbl>
            <c:dLbl>
              <c:idx val="17"/>
              <c:tx>
                <c:strRef>
                  <c:f>PROFILES!$O$117</c:f>
                  <c:strCache>
                    <c:ptCount val="1"/>
                    <c:pt idx="0">
                      <c:v>VOD</c:v>
                    </c:pt>
                  </c:strCache>
                </c:strRef>
              </c:tx>
              <c:spPr/>
              <c:txPr>
                <a:bodyPr/>
                <a:lstStyle/>
                <a:p>
                  <a:pPr>
                    <a:defRPr sz="1000" b="0" i="0" strike="noStrike">
                      <a:latin typeface="Arial"/>
                    </a:defRPr>
                  </a:pPr>
                  <a:endParaRPr lang="fr-FR"/>
                </a:p>
              </c:txPr>
              <c:dLblPos val="ctr"/>
              <c:showVal val="1"/>
            </c:dLbl>
            <c:dLbl>
              <c:idx val="18"/>
              <c:tx>
                <c:strRef>
                  <c:f>PROFILES!$O$118</c:f>
                  <c:strCache>
                    <c:ptCount val="1"/>
                    <c:pt idx="0">
                      <c:v>TLSN</c:v>
                    </c:pt>
                  </c:strCache>
                </c:strRef>
              </c:tx>
              <c:spPr/>
              <c:txPr>
                <a:bodyPr/>
                <a:lstStyle/>
                <a:p>
                  <a:pPr>
                    <a:defRPr sz="1000" b="0" i="0" strike="noStrike">
                      <a:latin typeface="Arial"/>
                    </a:defRPr>
                  </a:pPr>
                  <a:endParaRPr lang="fr-FR"/>
                </a:p>
              </c:txPr>
              <c:dLblPos val="ctr"/>
              <c:showVal val="1"/>
            </c:dLbl>
            <c:dLbl>
              <c:idx val="19"/>
              <c:tx>
                <c:strRef>
                  <c:f>PROFILES!$O$119</c:f>
                  <c:strCache>
                    <c:ptCount val="1"/>
                    <c:pt idx="0">
                      <c:v>TEL2</c:v>
                    </c:pt>
                  </c:strCache>
                </c:strRef>
              </c:tx>
              <c:spPr/>
              <c:txPr>
                <a:bodyPr/>
                <a:lstStyle/>
                <a:p>
                  <a:pPr>
                    <a:defRPr sz="1000" b="0" i="0" strike="noStrike">
                      <a:latin typeface="Arial"/>
                    </a:defRPr>
                  </a:pPr>
                  <a:endParaRPr lang="fr-FR"/>
                </a:p>
              </c:txPr>
              <c:dLblPos val="ctr"/>
              <c:showVal val="1"/>
            </c:dLbl>
            <c:dLbl>
              <c:idx val="20"/>
              <c:tx>
                <c:strRef>
                  <c:f>PROFILES!$O$120</c:f>
                  <c:strCache>
                    <c:ptCount val="1"/>
                    <c:pt idx="0">
                      <c:v>SCM</c:v>
                    </c:pt>
                  </c:strCache>
                </c:strRef>
              </c:tx>
              <c:spPr/>
              <c:txPr>
                <a:bodyPr/>
                <a:lstStyle/>
                <a:p>
                  <a:pPr>
                    <a:defRPr sz="1000" b="0" i="0" strike="noStrike">
                      <a:latin typeface="Arial"/>
                    </a:defRPr>
                  </a:pPr>
                  <a:endParaRPr lang="fr-FR"/>
                </a:p>
              </c:txPr>
              <c:dLblPos val="ctr"/>
              <c:showVal val="1"/>
            </c:dLbl>
            <c:dLbl>
              <c:idx val="21"/>
              <c:tx>
                <c:strRef>
                  <c:f>PROFILES!$O$121</c:f>
                  <c:strCache>
                    <c:ptCount val="1"/>
                    <c:pt idx="0">
                      <c:v>SNC</c:v>
                    </c:pt>
                  </c:strCache>
                </c:strRef>
              </c:tx>
              <c:spPr/>
              <c:txPr>
                <a:bodyPr/>
                <a:lstStyle/>
                <a:p>
                  <a:pPr>
                    <a:defRPr sz="1000" b="0" i="0" strike="noStrike">
                      <a:latin typeface="Arial"/>
                    </a:defRPr>
                  </a:pPr>
                  <a:endParaRPr lang="fr-FR"/>
                </a:p>
              </c:txPr>
              <c:dLblPos val="ctr"/>
              <c:showVal val="1"/>
            </c:dLbl>
            <c:showVal val="1"/>
          </c:dLbls>
          <c:xVal>
            <c:numRef>
              <c:f>PROFILES!$J$346:$J$367</c:f>
              <c:numCache>
                <c:formatCode>0%</c:formatCode>
                <c:ptCount val="22"/>
                <c:pt idx="0">
                  <c:v>0.60734824281150157</c:v>
                </c:pt>
                <c:pt idx="1">
                  <c:v>0.5981133158250882</c:v>
                </c:pt>
                <c:pt idx="2">
                  <c:v>0.33871396895787137</c:v>
                </c:pt>
                <c:pt idx="3">
                  <c:v>0.94</c:v>
                </c:pt>
                <c:pt idx="4">
                  <c:v>0.14257620452310718</c:v>
                </c:pt>
                <c:pt idx="5">
                  <c:v>0.28165979767703259</c:v>
                </c:pt>
                <c:pt idx="6">
                  <c:v>0.63960508302071395</c:v>
                </c:pt>
                <c:pt idx="7">
                  <c:v>0.64439999999999997</c:v>
                </c:pt>
                <c:pt idx="8">
                  <c:v>0.32841368754782985</c:v>
                </c:pt>
                <c:pt idx="9">
                  <c:v>0.60484412483227945</c:v>
                </c:pt>
                <c:pt idx="10">
                  <c:v>0.46153846153846151</c:v>
                </c:pt>
                <c:pt idx="11">
                  <c:v>0.34090000000000004</c:v>
                </c:pt>
                <c:pt idx="12">
                  <c:v>0.74956908795771016</c:v>
                </c:pt>
                <c:pt idx="13">
                  <c:v>0.60384301884652736</c:v>
                </c:pt>
                <c:pt idx="14">
                  <c:v>0.51013567438148444</c:v>
                </c:pt>
                <c:pt idx="15">
                  <c:v>0.47118282781144899</c:v>
                </c:pt>
                <c:pt idx="16">
                  <c:v>0</c:v>
                </c:pt>
                <c:pt idx="17">
                  <c:v>0.88549999999999995</c:v>
                </c:pt>
                <c:pt idx="18">
                  <c:v>0.68421052631578949</c:v>
                </c:pt>
                <c:pt idx="19">
                  <c:v>0.70854203330174637</c:v>
                </c:pt>
                <c:pt idx="20">
                  <c:v>0.30985103942866765</c:v>
                </c:pt>
                <c:pt idx="21">
                  <c:v>0.58457772337821301</c:v>
                </c:pt>
              </c:numCache>
            </c:numRef>
          </c:xVal>
          <c:yVal>
            <c:numRef>
              <c:f>PROFILES!$K$346:$K$367</c:f>
              <c:numCache>
                <c:formatCode>0.0</c:formatCode>
                <c:ptCount val="22"/>
                <c:pt idx="0">
                  <c:v>1.4755</c:v>
                </c:pt>
                <c:pt idx="1">
                  <c:v>1.3078000000000001</c:v>
                </c:pt>
                <c:pt idx="2">
                  <c:v>1.2703</c:v>
                </c:pt>
                <c:pt idx="3">
                  <c:v>0.89280000000000004</c:v>
                </c:pt>
                <c:pt idx="4">
                  <c:v>4.9602000000000004</c:v>
                </c:pt>
                <c:pt idx="5">
                  <c:v>2.4035000000000002</c:v>
                </c:pt>
                <c:pt idx="6">
                  <c:v>1.7326999999999999</c:v>
                </c:pt>
                <c:pt idx="7">
                  <c:v>2.2311999999999999</c:v>
                </c:pt>
                <c:pt idx="8">
                  <c:v>3.0099</c:v>
                </c:pt>
                <c:pt idx="9">
                  <c:v>1.21</c:v>
                </c:pt>
                <c:pt idx="10">
                  <c:v>1.1727000000000001</c:v>
                </c:pt>
                <c:pt idx="11">
                  <c:v>1.6389</c:v>
                </c:pt>
                <c:pt idx="12">
                  <c:v>2.2671999999999999</c:v>
                </c:pt>
                <c:pt idx="13">
                  <c:v>1.3995</c:v>
                </c:pt>
                <c:pt idx="14">
                  <c:v>1.075</c:v>
                </c:pt>
                <c:pt idx="15">
                  <c:v>1.7673999999999999</c:v>
                </c:pt>
                <c:pt idx="16">
                  <c:v>1.8414000000000001</c:v>
                </c:pt>
                <c:pt idx="17">
                  <c:v>2.7191000000000001</c:v>
                </c:pt>
                <c:pt idx="18">
                  <c:v>2.548</c:v>
                </c:pt>
                <c:pt idx="19">
                  <c:v>1.19</c:v>
                </c:pt>
                <c:pt idx="20">
                  <c:v>2.6587000000000001</c:v>
                </c:pt>
                <c:pt idx="21">
                  <c:v>1.1364000000000001</c:v>
                </c:pt>
              </c:numCache>
            </c:numRef>
          </c:yVal>
        </c:ser>
        <c:axId val="167461248"/>
        <c:axId val="167462784"/>
      </c:scatterChart>
      <c:valAx>
        <c:axId val="167461248"/>
        <c:scaling>
          <c:orientation val="minMax"/>
          <c:max val="1"/>
        </c:scaling>
        <c:axPos val="b"/>
        <c:numFmt formatCode="0%" sourceLinked="1"/>
        <c:tickLblPos val="nextTo"/>
        <c:txPr>
          <a:bodyPr/>
          <a:lstStyle/>
          <a:p>
            <a:pPr>
              <a:defRPr sz="1200" baseline="0">
                <a:latin typeface="Arial" pitchFamily="34" charset="0"/>
              </a:defRPr>
            </a:pPr>
            <a:endParaRPr lang="fr-FR"/>
          </a:p>
        </c:txPr>
        <c:crossAx val="167462784"/>
        <c:crosses val="autoZero"/>
        <c:crossBetween val="midCat"/>
      </c:valAx>
      <c:valAx>
        <c:axId val="167462784"/>
        <c:scaling>
          <c:orientation val="minMax"/>
        </c:scaling>
        <c:axPos val="l"/>
        <c:majorGridlines>
          <c:spPr>
            <a:ln>
              <a:solidFill>
                <a:schemeClr val="bg1">
                  <a:lumMod val="50000"/>
                </a:schemeClr>
              </a:solidFill>
              <a:prstDash val="sysDash"/>
            </a:ln>
          </c:spPr>
        </c:majorGridlines>
        <c:numFmt formatCode="0.0" sourceLinked="1"/>
        <c:tickLblPos val="nextTo"/>
        <c:txPr>
          <a:bodyPr/>
          <a:lstStyle/>
          <a:p>
            <a:pPr>
              <a:defRPr sz="1200" baseline="0">
                <a:latin typeface="Arial" pitchFamily="34" charset="0"/>
              </a:defRPr>
            </a:pPr>
            <a:endParaRPr lang="fr-FR"/>
          </a:p>
        </c:txPr>
        <c:crossAx val="167461248"/>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353672571910852E-2"/>
          <c:y val="3.9763449225746449E-2"/>
          <c:w val="0.89765555553760068"/>
          <c:h val="0.86820429116133369"/>
        </c:manualLayout>
      </c:layout>
      <c:scatterChart>
        <c:scatterStyle val="lineMarker"/>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dPt>
          <c:dPt>
            <c:idx val="6"/>
            <c:marker>
              <c:spPr>
                <a:solidFill>
                  <a:schemeClr val="bg2">
                    <a:lumMod val="50000"/>
                    <a:alpha val="50000"/>
                  </a:schemeClr>
                </a:solidFill>
                <a:ln>
                  <a:noFill/>
                </a:ln>
              </c:spPr>
            </c:marker>
          </c:dPt>
          <c:dPt>
            <c:idx val="10"/>
            <c:marker>
              <c:spPr>
                <a:solidFill>
                  <a:schemeClr val="bg2">
                    <a:lumMod val="50000"/>
                    <a:alpha val="50000"/>
                  </a:schemeClr>
                </a:solidFill>
                <a:ln>
                  <a:noFill/>
                </a:ln>
              </c:spPr>
            </c:marker>
          </c:dPt>
          <c:dPt>
            <c:idx val="11"/>
            <c:marker>
              <c:spPr>
                <a:solidFill>
                  <a:srgbClr val="558ED5">
                    <a:alpha val="50000"/>
                  </a:srgbClr>
                </a:solidFill>
                <a:ln>
                  <a:noFill/>
                </a:ln>
              </c:spPr>
            </c:marker>
          </c:dPt>
          <c:dPt>
            <c:idx val="12"/>
            <c:marker>
              <c:spPr>
                <a:solidFill>
                  <a:srgbClr val="558ED5">
                    <a:alpha val="50000"/>
                  </a:srgbClr>
                </a:solidFill>
                <a:ln>
                  <a:noFill/>
                </a:ln>
              </c:spPr>
            </c:marker>
          </c:dPt>
          <c:dPt>
            <c:idx val="13"/>
            <c:marker>
              <c:spPr>
                <a:solidFill>
                  <a:schemeClr val="bg2">
                    <a:lumMod val="50000"/>
                    <a:alpha val="50000"/>
                  </a:schemeClr>
                </a:solidFill>
                <a:ln>
                  <a:noFill/>
                </a:ln>
              </c:spPr>
            </c:marker>
          </c:dPt>
          <c:dPt>
            <c:idx val="14"/>
            <c:marker>
              <c:spPr>
                <a:solidFill>
                  <a:srgbClr val="C00000">
                    <a:alpha val="50000"/>
                  </a:srgbClr>
                </a:solidFill>
                <a:ln>
                  <a:noFill/>
                </a:ln>
              </c:spPr>
            </c:marker>
          </c:dPt>
          <c:dPt>
            <c:idx val="15"/>
            <c:marker>
              <c:spPr>
                <a:solidFill>
                  <a:schemeClr val="bg2">
                    <a:lumMod val="50000"/>
                    <a:alpha val="50000"/>
                  </a:schemeClr>
                </a:solidFill>
                <a:ln>
                  <a:noFill/>
                </a:ln>
              </c:spPr>
            </c:marker>
          </c:dPt>
          <c:dPt>
            <c:idx val="16"/>
            <c:marker>
              <c:spPr>
                <a:solidFill>
                  <a:schemeClr val="bg2">
                    <a:lumMod val="50000"/>
                    <a:alpha val="50000"/>
                  </a:schemeClr>
                </a:solidFill>
                <a:ln>
                  <a:noFill/>
                </a:ln>
              </c:spPr>
            </c:marker>
          </c:dPt>
          <c:dPt>
            <c:idx val="17"/>
            <c:marker>
              <c:spPr>
                <a:solidFill>
                  <a:srgbClr val="FFC000">
                    <a:alpha val="50000"/>
                  </a:srgbClr>
                </a:solidFill>
                <a:ln>
                  <a:noFill/>
                </a:ln>
              </c:spPr>
            </c:marker>
          </c:dPt>
          <c:dPt>
            <c:idx val="18"/>
            <c:marker>
              <c:spPr>
                <a:solidFill>
                  <a:srgbClr val="C00000">
                    <a:alpha val="50000"/>
                  </a:srgbClr>
                </a:solidFill>
                <a:ln>
                  <a:noFill/>
                </a:ln>
              </c:spPr>
            </c:marker>
          </c:dPt>
          <c:dPt>
            <c:idx val="19"/>
            <c:marker>
              <c:spPr>
                <a:solidFill>
                  <a:schemeClr val="bg2">
                    <a:lumMod val="50000"/>
                    <a:alpha val="50000"/>
                  </a:schemeClr>
                </a:solidFill>
                <a:ln>
                  <a:noFill/>
                </a:ln>
              </c:spPr>
            </c:marker>
          </c:dPt>
          <c:dLbls>
            <c:dLbl>
              <c:idx val="0"/>
              <c:layout>
                <c:manualLayout>
                  <c:x val="-8.6343296266202879E-2"/>
                  <c:y val="-3.3816930617648292E-3"/>
                </c:manualLayout>
              </c:layout>
              <c:tx>
                <c:strRef>
                  <c:f>'GEARINGS, E&amp;Enot'!$B$36</c:f>
                  <c:strCache>
                    <c:ptCount val="1"/>
                    <c:pt idx="0">
                      <c:v>TELENET</c:v>
                    </c:pt>
                  </c:strCache>
                </c:strRef>
              </c:tx>
              <c:spPr/>
              <c:txPr>
                <a:bodyPr/>
                <a:lstStyle/>
                <a:p>
                  <a:pPr>
                    <a:defRPr sz="1000" b="1" i="0" strike="noStrike">
                      <a:latin typeface="Arial"/>
                    </a:defRPr>
                  </a:pPr>
                  <a:endParaRPr lang="fr-FR"/>
                </a:p>
              </c:txPr>
              <c:dLblPos val="r"/>
              <c:showVal val="1"/>
            </c:dLbl>
            <c:dLbl>
              <c:idx val="1"/>
              <c:layout>
                <c:manualLayout>
                  <c:x val="-5.5764933565185922E-2"/>
                  <c:y val="-3.3814268076855377E-3"/>
                </c:manualLayout>
              </c:layout>
              <c:tx>
                <c:strRef>
                  <c:f>'GEARINGS, E&amp;Enot'!$B$37</c:f>
                  <c:strCache>
                    <c:ptCount val="1"/>
                    <c:pt idx="0">
                      <c:v>PT</c:v>
                    </c:pt>
                  </c:strCache>
                </c:strRef>
              </c:tx>
              <c:spPr/>
              <c:txPr>
                <a:bodyPr/>
                <a:lstStyle/>
                <a:p>
                  <a:pPr>
                    <a:defRPr sz="1000" b="0" i="0" strike="noStrike">
                      <a:latin typeface="Arial"/>
                    </a:defRPr>
                  </a:pPr>
                  <a:endParaRPr lang="fr-FR"/>
                </a:p>
              </c:txPr>
              <c:dLblPos val="r"/>
              <c:showVal val="1"/>
            </c:dLbl>
            <c:dLbl>
              <c:idx val="2"/>
              <c:layout>
                <c:manualLayout>
                  <c:x val="-5.7835829391795372E-2"/>
                  <c:y val="-3.3814268076855377E-3"/>
                </c:manualLayout>
              </c:layout>
              <c:tx>
                <c:strRef>
                  <c:f>'GEARINGS, E&amp;Enot'!$B$38</c:f>
                  <c:strCache>
                    <c:ptCount val="1"/>
                    <c:pt idx="0">
                      <c:v>TIT</c:v>
                    </c:pt>
                  </c:strCache>
                </c:strRef>
              </c:tx>
              <c:spPr/>
              <c:txPr>
                <a:bodyPr/>
                <a:lstStyle/>
                <a:p>
                  <a:pPr>
                    <a:defRPr sz="1000" b="1" i="0" strike="noStrike">
                      <a:latin typeface="Arial"/>
                    </a:defRPr>
                  </a:pPr>
                  <a:endParaRPr lang="fr-FR"/>
                </a:p>
              </c:txPr>
              <c:dLblPos val="r"/>
              <c:showVal val="1"/>
            </c:dLbl>
            <c:dLbl>
              <c:idx val="3"/>
              <c:layout>
                <c:manualLayout>
                  <c:x val="-6.1464634719802534E-2"/>
                  <c:y val="-3.3814268076855091E-3"/>
                </c:manualLayout>
              </c:layout>
              <c:tx>
                <c:strRef>
                  <c:f>'GEARINGS, E&amp;Enot'!$B$39</c:f>
                  <c:strCache>
                    <c:ptCount val="1"/>
                    <c:pt idx="0">
                      <c:v>TEF</c:v>
                    </c:pt>
                  </c:strCache>
                </c:strRef>
              </c:tx>
              <c:spPr/>
              <c:txPr>
                <a:bodyPr/>
                <a:lstStyle/>
                <a:p>
                  <a:pPr>
                    <a:defRPr sz="1000" b="0" i="0" strike="noStrike">
                      <a:latin typeface="Arial"/>
                    </a:defRPr>
                  </a:pPr>
                  <a:endParaRPr lang="fr-FR"/>
                </a:p>
              </c:txPr>
              <c:dLblPos val="r"/>
              <c:showVal val="1"/>
            </c:dLbl>
            <c:dLbl>
              <c:idx val="4"/>
              <c:layout>
                <c:manualLayout>
                  <c:x val="-5.6278066793698747E-2"/>
                  <c:y val="-3.3814268076855377E-3"/>
                </c:manualLayout>
              </c:layout>
              <c:tx>
                <c:strRef>
                  <c:f>'GEARINGS, E&amp;Enot'!$B$40</c:f>
                  <c:strCache>
                    <c:ptCount val="1"/>
                    <c:pt idx="0">
                      <c:v>DT</c:v>
                    </c:pt>
                  </c:strCache>
                </c:strRef>
              </c:tx>
              <c:spPr/>
              <c:txPr>
                <a:bodyPr/>
                <a:lstStyle/>
                <a:p>
                  <a:pPr>
                    <a:defRPr sz="1000" b="0" i="0" strike="noStrike">
                      <a:latin typeface="Arial"/>
                    </a:defRPr>
                  </a:pPr>
                  <a:endParaRPr lang="fr-FR"/>
                </a:p>
              </c:txPr>
              <c:dLblPos val="r"/>
              <c:showVal val="1"/>
            </c:dLbl>
            <c:dLbl>
              <c:idx val="5"/>
              <c:layout>
                <c:manualLayout>
                  <c:x val="-6.3022397317898424E-2"/>
                  <c:y val="-3.3816930617648292E-3"/>
                </c:manualLayout>
              </c:layout>
              <c:tx>
                <c:strRef>
                  <c:f>'GEARINGS, E&amp;Enot'!$B$41</c:f>
                  <c:strCache>
                    <c:ptCount val="1"/>
                    <c:pt idx="0">
                      <c:v>KPN</c:v>
                    </c:pt>
                  </c:strCache>
                </c:strRef>
              </c:tx>
              <c:spPr/>
              <c:txPr>
                <a:bodyPr/>
                <a:lstStyle/>
                <a:p>
                  <a:pPr>
                    <a:defRPr sz="1000" b="1" i="0" strike="noStrike">
                      <a:latin typeface="Arial"/>
                    </a:defRPr>
                  </a:pPr>
                  <a:endParaRPr lang="fr-FR"/>
                </a:p>
              </c:txPr>
              <c:dLblPos val="r"/>
              <c:showVal val="1"/>
            </c:dLbl>
            <c:dLbl>
              <c:idx val="6"/>
              <c:layout>
                <c:manualLayout>
                  <c:x val="-6.3013142409969206E-2"/>
                  <c:y val="-3.3814268076855377E-3"/>
                </c:manualLayout>
              </c:layout>
              <c:tx>
                <c:strRef>
                  <c:f>'GEARINGS, E&amp;Enot'!$B$42</c:f>
                  <c:strCache>
                    <c:ptCount val="1"/>
                    <c:pt idx="0">
                      <c:v>TDC</c:v>
                    </c:pt>
                  </c:strCache>
                </c:strRef>
              </c:tx>
              <c:spPr/>
              <c:txPr>
                <a:bodyPr/>
                <a:lstStyle/>
                <a:p>
                  <a:pPr>
                    <a:defRPr sz="1000" b="1" i="0" strike="noStrike">
                      <a:latin typeface="Arial"/>
                    </a:defRPr>
                  </a:pPr>
                  <a:endParaRPr lang="fr-FR"/>
                </a:p>
              </c:txPr>
              <c:dLblPos val="r"/>
              <c:showVal val="1"/>
            </c:dLbl>
            <c:dLbl>
              <c:idx val="7"/>
              <c:layout>
                <c:manualLayout>
                  <c:x val="-6.4057918682853279E-2"/>
                  <c:y val="-3.3816930617648292E-3"/>
                </c:manualLayout>
              </c:layout>
              <c:tx>
                <c:strRef>
                  <c:f>'GEARINGS, E&amp;Enot'!$B$43</c:f>
                  <c:strCache>
                    <c:ptCount val="1"/>
                    <c:pt idx="0">
                      <c:v>ORA</c:v>
                    </c:pt>
                  </c:strCache>
                </c:strRef>
              </c:tx>
              <c:spPr/>
              <c:txPr>
                <a:bodyPr/>
                <a:lstStyle/>
                <a:p>
                  <a:pPr>
                    <a:defRPr sz="1000" b="0" i="0" strike="noStrike">
                      <a:latin typeface="Arial"/>
                    </a:defRPr>
                  </a:pPr>
                  <a:endParaRPr lang="fr-FR"/>
                </a:p>
              </c:txPr>
              <c:dLblPos val="r"/>
              <c:showVal val="1"/>
            </c:dLbl>
            <c:dLbl>
              <c:idx val="8"/>
              <c:layout>
                <c:manualLayout>
                  <c:x val="-6.1987022856244134E-2"/>
                  <c:y val="-3.3814268076855377E-3"/>
                </c:manualLayout>
              </c:layout>
              <c:tx>
                <c:strRef>
                  <c:f>'GEARINGS, E&amp;Enot'!$B$44</c:f>
                  <c:strCache>
                    <c:ptCount val="1"/>
                    <c:pt idx="0">
                      <c:v>TKA</c:v>
                    </c:pt>
                  </c:strCache>
                </c:strRef>
              </c:tx>
              <c:spPr/>
              <c:txPr>
                <a:bodyPr/>
                <a:lstStyle/>
                <a:p>
                  <a:pPr>
                    <a:defRPr sz="1000" b="1" i="0" strike="noStrike">
                      <a:latin typeface="Arial"/>
                    </a:defRPr>
                  </a:pPr>
                  <a:endParaRPr lang="fr-FR"/>
                </a:p>
              </c:txPr>
              <c:dLblPos val="r"/>
              <c:showVal val="1"/>
            </c:dLbl>
            <c:dLbl>
              <c:idx val="9"/>
              <c:layout>
                <c:manualLayout>
                  <c:x val="-6.3022397317898424E-2"/>
                  <c:y val="-3.3814268076855377E-3"/>
                </c:manualLayout>
              </c:layout>
              <c:tx>
                <c:strRef>
                  <c:f>'GEARINGS, E&amp;Enot'!$B$45</c:f>
                  <c:strCache>
                    <c:ptCount val="1"/>
                    <c:pt idx="0">
                      <c:v>OTE</c:v>
                    </c:pt>
                  </c:strCache>
                </c:strRef>
              </c:tx>
              <c:spPr/>
              <c:txPr>
                <a:bodyPr/>
                <a:lstStyle/>
                <a:p>
                  <a:pPr>
                    <a:defRPr sz="1000" b="0" i="0" strike="noStrike">
                      <a:latin typeface="Arial"/>
                    </a:defRPr>
                  </a:pPr>
                  <a:endParaRPr lang="fr-FR"/>
                </a:p>
              </c:txPr>
              <c:dLblPos val="r"/>
              <c:showVal val="1"/>
            </c:dLbl>
            <c:dLbl>
              <c:idx val="10"/>
              <c:layout>
                <c:manualLayout>
                  <c:x val="-6.4570905008065727E-2"/>
                  <c:y val="-3.3814268076855377E-3"/>
                </c:manualLayout>
              </c:layout>
              <c:tx>
                <c:strRef>
                  <c:f>'GEARINGS, E&amp;Enot'!$B$46</c:f>
                  <c:strCache>
                    <c:ptCount val="1"/>
                    <c:pt idx="0">
                      <c:v>SCM</c:v>
                    </c:pt>
                  </c:strCache>
                </c:strRef>
              </c:tx>
              <c:spPr/>
              <c:txPr>
                <a:bodyPr/>
                <a:lstStyle/>
                <a:p>
                  <a:pPr>
                    <a:defRPr sz="1000" b="0" i="0" strike="noStrike">
                      <a:latin typeface="Arial"/>
                    </a:defRPr>
                  </a:pPr>
                  <a:endParaRPr lang="fr-FR"/>
                </a:p>
              </c:txPr>
              <c:dLblPos val="r"/>
              <c:showVal val="1"/>
            </c:dLbl>
            <c:dLbl>
              <c:idx val="11"/>
              <c:layout>
                <c:manualLayout>
                  <c:x val="-5.5764933565185922E-2"/>
                  <c:y val="-3.3814268076855377E-3"/>
                </c:manualLayout>
              </c:layout>
              <c:tx>
                <c:strRef>
                  <c:f>'GEARINGS, E&amp;Enot'!$B$47</c:f>
                  <c:strCache>
                    <c:ptCount val="1"/>
                    <c:pt idx="0">
                      <c:v>BT</c:v>
                    </c:pt>
                  </c:strCache>
                </c:strRef>
              </c:tx>
              <c:spPr/>
              <c:txPr>
                <a:bodyPr/>
                <a:lstStyle/>
                <a:p>
                  <a:pPr>
                    <a:defRPr sz="1000" b="0" i="0" strike="noStrike">
                      <a:latin typeface="Arial"/>
                    </a:defRPr>
                  </a:pPr>
                  <a:endParaRPr lang="fr-FR"/>
                </a:p>
              </c:txPr>
              <c:dLblPos val="r"/>
              <c:showVal val="1"/>
            </c:dLbl>
            <c:dLbl>
              <c:idx val="12"/>
              <c:layout>
                <c:manualLayout>
                  <c:x val="-6.4057918682853279E-2"/>
                  <c:y val="-3.3814268076855377E-3"/>
                </c:manualLayout>
              </c:layout>
              <c:tx>
                <c:strRef>
                  <c:f>'GEARINGS, E&amp;Enot'!$B$48</c:f>
                  <c:strCache>
                    <c:ptCount val="1"/>
                    <c:pt idx="0">
                      <c:v>VOD</c:v>
                    </c:pt>
                  </c:strCache>
                </c:strRef>
              </c:tx>
              <c:spPr/>
              <c:txPr>
                <a:bodyPr/>
                <a:lstStyle/>
                <a:p>
                  <a:pPr>
                    <a:defRPr sz="1000" b="0" i="0" strike="noStrike">
                      <a:latin typeface="Arial"/>
                    </a:defRPr>
                  </a:pPr>
                  <a:endParaRPr lang="fr-FR"/>
                </a:p>
              </c:txPr>
              <c:dLblPos val="r"/>
              <c:showVal val="1"/>
            </c:dLbl>
            <c:dLbl>
              <c:idx val="13"/>
              <c:layout>
                <c:manualLayout>
                  <c:x val="-6.7686577107559223E-2"/>
                  <c:y val="-3.3816930617648292E-3"/>
                </c:manualLayout>
              </c:layout>
              <c:tx>
                <c:strRef>
                  <c:f>'GEARINGS, E&amp;Enot'!$B$49</c:f>
                  <c:strCache>
                    <c:ptCount val="1"/>
                    <c:pt idx="0">
                      <c:v>TLSN</c:v>
                    </c:pt>
                  </c:strCache>
                </c:strRef>
              </c:tx>
              <c:spPr/>
              <c:txPr>
                <a:bodyPr/>
                <a:lstStyle/>
                <a:p>
                  <a:pPr>
                    <a:defRPr sz="1000" b="0" i="0" strike="noStrike">
                      <a:latin typeface="Arial"/>
                    </a:defRPr>
                  </a:pPr>
                  <a:endParaRPr lang="fr-FR"/>
                </a:p>
              </c:txPr>
              <c:dLblPos val="r"/>
              <c:showVal val="1"/>
            </c:dLbl>
            <c:dLbl>
              <c:idx val="14"/>
              <c:layout>
                <c:manualLayout>
                  <c:x val="-6.3535530546411423E-2"/>
                  <c:y val="-3.3814268076854774E-3"/>
                </c:manualLayout>
              </c:layout>
              <c:tx>
                <c:strRef>
                  <c:f>'GEARINGS, E&amp;Enot'!$B$50</c:f>
                  <c:strCache>
                    <c:ptCount val="1"/>
                    <c:pt idx="0">
                      <c:v>SNC</c:v>
                    </c:pt>
                  </c:strCache>
                </c:strRef>
              </c:tx>
              <c:spPr/>
              <c:txPr>
                <a:bodyPr/>
                <a:lstStyle/>
                <a:p>
                  <a:pPr>
                    <a:defRPr sz="1000" b="0" i="0" strike="noStrike">
                      <a:latin typeface="Arial"/>
                    </a:defRPr>
                  </a:pPr>
                  <a:endParaRPr lang="fr-FR"/>
                </a:p>
              </c:txPr>
              <c:dLblPos val="r"/>
              <c:showVal val="1"/>
            </c:dLbl>
            <c:dLbl>
              <c:idx val="15"/>
              <c:layout>
                <c:manualLayout>
                  <c:x val="-5.7845231203024913E-2"/>
                  <c:y val="-3.3814268076854774E-3"/>
                </c:manualLayout>
              </c:layout>
              <c:tx>
                <c:strRef>
                  <c:f>'GEARINGS, E&amp;Enot'!$B$51</c:f>
                  <c:strCache>
                    <c:ptCount val="1"/>
                    <c:pt idx="0">
                      <c:v>ELI</c:v>
                    </c:pt>
                  </c:strCache>
                </c:strRef>
              </c:tx>
              <c:spPr/>
              <c:txPr>
                <a:bodyPr/>
                <a:lstStyle/>
                <a:p>
                  <a:pPr>
                    <a:defRPr sz="1000" b="0" i="0" strike="noStrike">
                      <a:latin typeface="Arial"/>
                    </a:defRPr>
                  </a:pPr>
                  <a:endParaRPr lang="fr-FR"/>
                </a:p>
              </c:txPr>
              <c:dLblPos val="r"/>
              <c:showVal val="1"/>
            </c:dLbl>
            <c:dLbl>
              <c:idx val="16"/>
              <c:layout>
                <c:manualLayout>
                  <c:x val="-6.6138069417391795E-2"/>
                  <c:y val="-3.3816930617648292E-3"/>
                </c:manualLayout>
              </c:layout>
              <c:tx>
                <c:strRef>
                  <c:f>'GEARINGS, E&amp;Enot'!$B$52</c:f>
                  <c:strCache>
                    <c:ptCount val="1"/>
                    <c:pt idx="0">
                      <c:v>TEL2</c:v>
                    </c:pt>
                  </c:strCache>
                </c:strRef>
              </c:tx>
              <c:spPr/>
              <c:txPr>
                <a:bodyPr/>
                <a:lstStyle/>
                <a:p>
                  <a:pPr>
                    <a:defRPr sz="1000" b="0" i="0" strike="noStrike">
                      <a:latin typeface="Arial"/>
                    </a:defRPr>
                  </a:pPr>
                  <a:endParaRPr lang="fr-FR"/>
                </a:p>
              </c:txPr>
              <c:dLblPos val="r"/>
              <c:showVal val="1"/>
            </c:dLbl>
            <c:dLbl>
              <c:idx val="17"/>
              <c:layout>
                <c:manualLayout>
                  <c:x val="-5.8358217528237534E-2"/>
                  <c:y val="-3.3816930617648292E-3"/>
                </c:manualLayout>
              </c:layout>
              <c:tx>
                <c:strRef>
                  <c:f>'GEARINGS, E&amp;Enot'!$B$53</c:f>
                  <c:strCache>
                    <c:ptCount val="1"/>
                    <c:pt idx="0">
                      <c:v>ILD</c:v>
                    </c:pt>
                  </c:strCache>
                </c:strRef>
              </c:tx>
              <c:spPr/>
              <c:txPr>
                <a:bodyPr/>
                <a:lstStyle/>
                <a:p>
                  <a:pPr>
                    <a:defRPr sz="1000" b="0" i="0" strike="noStrike">
                      <a:latin typeface="Arial"/>
                    </a:defRPr>
                  </a:pPr>
                  <a:endParaRPr lang="fr-FR"/>
                </a:p>
              </c:txPr>
              <c:dLblPos val="r"/>
              <c:showVal val="1"/>
            </c:dLbl>
            <c:dLbl>
              <c:idx val="18"/>
              <c:layout>
                <c:manualLayout>
                  <c:x val="-3.2497213611648652E-2"/>
                  <c:y val="-3.3814268076855377E-3"/>
                </c:manualLayout>
              </c:layout>
              <c:tx>
                <c:strRef>
                  <c:f>'GEARINGS, E&amp;Enot'!$B$54</c:f>
                  <c:strCache>
                    <c:ptCount val="1"/>
                    <c:pt idx="0">
                      <c:v>MOBISTAR</c:v>
                    </c:pt>
                  </c:strCache>
                </c:strRef>
              </c:tx>
              <c:spPr/>
              <c:txPr>
                <a:bodyPr/>
                <a:lstStyle/>
                <a:p>
                  <a:pPr>
                    <a:defRPr sz="1000" b="1" i="0" strike="noStrike">
                      <a:latin typeface="Arial"/>
                    </a:defRPr>
                  </a:pPr>
                  <a:endParaRPr lang="fr-FR"/>
                </a:p>
              </c:txPr>
              <c:dLblPos val="r"/>
              <c:showVal val="1"/>
            </c:dLbl>
            <c:dLbl>
              <c:idx val="19"/>
              <c:layout>
                <c:manualLayout>
                  <c:x val="-6.0951501491288862E-2"/>
                  <c:y val="-3.3814268076855377E-3"/>
                </c:manualLayout>
              </c:layout>
              <c:tx>
                <c:strRef>
                  <c:f>'GEARINGS, E&amp;Enot'!$B$55</c:f>
                  <c:strCache>
                    <c:ptCount val="1"/>
                    <c:pt idx="0">
                      <c:v>TEL</c:v>
                    </c:pt>
                  </c:strCache>
                </c:strRef>
              </c:tx>
              <c:spPr/>
              <c:txPr>
                <a:bodyPr/>
                <a:lstStyle/>
                <a:p>
                  <a:pPr>
                    <a:defRPr sz="1000" b="0" i="0" strike="noStrike">
                      <a:latin typeface="Arial"/>
                    </a:defRPr>
                  </a:pPr>
                  <a:endParaRPr lang="fr-FR"/>
                </a:p>
              </c:txPr>
              <c:dLblPos val="r"/>
              <c:showVal val="1"/>
            </c:dLbl>
            <c:dLbl>
              <c:idx val="20"/>
              <c:layout>
                <c:manualLayout>
                  <c:x val="-9.8255684900647206E-2"/>
                  <c:y val="-3.3814268076855377E-3"/>
                </c:manualLayout>
              </c:layout>
              <c:tx>
                <c:strRef>
                  <c:f>'GEARINGS, E&amp;Enot'!$B$56</c:f>
                  <c:strCache>
                    <c:ptCount val="1"/>
                    <c:pt idx="0">
                      <c:v>BELGACOM</c:v>
                    </c:pt>
                  </c:strCache>
                </c:strRef>
              </c:tx>
              <c:spPr/>
              <c:txPr>
                <a:bodyPr/>
                <a:lstStyle/>
                <a:p>
                  <a:pPr>
                    <a:defRPr sz="1000" b="1" i="0" strike="noStrike">
                      <a:latin typeface="Arial"/>
                    </a:defRPr>
                  </a:pPr>
                  <a:endParaRPr lang="fr-FR"/>
                </a:p>
              </c:txPr>
              <c:dLblPos val="r"/>
              <c:showVal val="1"/>
            </c:dLbl>
            <c:dLbl>
              <c:idx val="21"/>
              <c:layout>
                <c:manualLayout>
                  <c:x val="-6.1987022856244134E-2"/>
                  <c:y val="-3.3814268076855377E-3"/>
                </c:manualLayout>
              </c:layout>
              <c:tx>
                <c:strRef>
                  <c:f>'GEARINGS, E&amp;Enot'!$B$57</c:f>
                  <c:strCache>
                    <c:ptCount val="1"/>
                    <c:pt idx="0">
                      <c:v>TPS</c:v>
                    </c:pt>
                  </c:strCache>
                </c:strRef>
              </c:tx>
              <c:spPr/>
              <c:txPr>
                <a:bodyPr/>
                <a:lstStyle/>
                <a:p>
                  <a:pPr>
                    <a:defRPr sz="1000" b="1" i="0" strike="noStrike">
                      <a:latin typeface="Arial"/>
                    </a:defRPr>
                  </a:pPr>
                  <a:endParaRPr lang="fr-FR"/>
                </a:p>
              </c:txPr>
              <c:dLblPos val="r"/>
              <c:showVal val="1"/>
            </c:dLbl>
            <c:showVal val="1"/>
          </c:dLbls>
          <c:xVal>
            <c:numRef>
              <c:f>'GEARINGS, E&amp;Enot'!$E$36:$E$57</c:f>
              <c:numCache>
                <c:formatCode>0%</c:formatCode>
                <c:ptCount val="22"/>
                <c:pt idx="0">
                  <c:v>0.15462918080465343</c:v>
                </c:pt>
                <c:pt idx="1">
                  <c:v>0.49497857034449522</c:v>
                </c:pt>
                <c:pt idx="2">
                  <c:v>0.3626280111015483</c:v>
                </c:pt>
                <c:pt idx="3">
                  <c:v>0.66127040038880336</c:v>
                </c:pt>
                <c:pt idx="4">
                  <c:v>0.62983042679437373</c:v>
                </c:pt>
                <c:pt idx="5">
                  <c:v>0.6264024463118032</c:v>
                </c:pt>
                <c:pt idx="6">
                  <c:v>0.28165979767703259</c:v>
                </c:pt>
                <c:pt idx="7">
                  <c:v>0.62738172243152124</c:v>
                </c:pt>
                <c:pt idx="8">
                  <c:v>0.6207941242005639</c:v>
                </c:pt>
                <c:pt idx="9">
                  <c:v>0.53987730061349704</c:v>
                </c:pt>
                <c:pt idx="10">
                  <c:v>0.30985103942866765</c:v>
                </c:pt>
                <c:pt idx="11">
                  <c:v>0</c:v>
                </c:pt>
                <c:pt idx="12">
                  <c:v>0.89481420237931208</c:v>
                </c:pt>
                <c:pt idx="13">
                  <c:v>0.7167630057803468</c:v>
                </c:pt>
                <c:pt idx="14">
                  <c:v>0.90138346931536006</c:v>
                </c:pt>
                <c:pt idx="15">
                  <c:v>0.64439999999999997</c:v>
                </c:pt>
                <c:pt idx="16">
                  <c:v>0.63639387890884902</c:v>
                </c:pt>
                <c:pt idx="17">
                  <c:v>0.34976819018989347</c:v>
                </c:pt>
                <c:pt idx="18">
                  <c:v>0.97265268915223335</c:v>
                </c:pt>
                <c:pt idx="19">
                  <c:v>0.74956908795771016</c:v>
                </c:pt>
                <c:pt idx="20">
                  <c:v>0.36037883142173305</c:v>
                </c:pt>
                <c:pt idx="21">
                  <c:v>0.44946685046944856</c:v>
                </c:pt>
              </c:numCache>
            </c:numRef>
          </c:xVal>
          <c:yVal>
            <c:numRef>
              <c:f>'GEARINGS, E&amp;Enot'!$K$36:$K$57</c:f>
              <c:numCache>
                <c:formatCode>0%</c:formatCode>
                <c:ptCount val="22"/>
                <c:pt idx="0">
                  <c:v>0.4832654138496531</c:v>
                </c:pt>
                <c:pt idx="1">
                  <c:v>0.7506672643344422</c:v>
                </c:pt>
                <c:pt idx="2">
                  <c:v>0.75672107111582532</c:v>
                </c:pt>
                <c:pt idx="3">
                  <c:v>0.57929804018594233</c:v>
                </c:pt>
                <c:pt idx="4">
                  <c:v>0.59074959904524027</c:v>
                </c:pt>
                <c:pt idx="5">
                  <c:v>0.63323863537070213</c:v>
                </c:pt>
                <c:pt idx="6">
                  <c:v>0.43916945384982109</c:v>
                </c:pt>
                <c:pt idx="7">
                  <c:v>0.65530118542007598</c:v>
                </c:pt>
                <c:pt idx="8">
                  <c:v>0.62319136029119382</c:v>
                </c:pt>
                <c:pt idx="9">
                  <c:v>0.44527495080222473</c:v>
                </c:pt>
                <c:pt idx="10">
                  <c:v>0.30362227391248225</c:v>
                </c:pt>
                <c:pt idx="11">
                  <c:v>0.37414035756341019</c:v>
                </c:pt>
                <c:pt idx="12">
                  <c:v>0.2718321660431175</c:v>
                </c:pt>
                <c:pt idx="13">
                  <c:v>0.28287599661626001</c:v>
                </c:pt>
                <c:pt idx="14">
                  <c:v>0.46507375880431212</c:v>
                </c:pt>
                <c:pt idx="15">
                  <c:v>0.32061814749302248</c:v>
                </c:pt>
                <c:pt idx="16">
                  <c:v>0.28147528322389997</c:v>
                </c:pt>
                <c:pt idx="17">
                  <c:v>0.12849893093161849</c:v>
                </c:pt>
                <c:pt idx="18">
                  <c:v>0.4561905930983241</c:v>
                </c:pt>
                <c:pt idx="19">
                  <c:v>0.198117589718218</c:v>
                </c:pt>
                <c:pt idx="20">
                  <c:v>0.28756363720088318</c:v>
                </c:pt>
                <c:pt idx="21">
                  <c:v>0.34197601038246805</c:v>
                </c:pt>
              </c:numCache>
            </c:numRef>
          </c:yVal>
        </c:ser>
        <c:axId val="170047744"/>
        <c:axId val="170061824"/>
      </c:scatterChart>
      <c:valAx>
        <c:axId val="170047744"/>
        <c:scaling>
          <c:orientation val="minMax"/>
          <c:max val="1"/>
        </c:scaling>
        <c:axPos val="b"/>
        <c:numFmt formatCode="0%" sourceLinked="1"/>
        <c:tickLblPos val="nextTo"/>
        <c:txPr>
          <a:bodyPr/>
          <a:lstStyle/>
          <a:p>
            <a:pPr>
              <a:defRPr sz="1200" baseline="0">
                <a:latin typeface="Arial" pitchFamily="34" charset="0"/>
              </a:defRPr>
            </a:pPr>
            <a:endParaRPr lang="fr-FR"/>
          </a:p>
        </c:txPr>
        <c:crossAx val="170061824"/>
        <c:crosses val="autoZero"/>
        <c:crossBetween val="midCat"/>
        <c:majorUnit val="0.1"/>
      </c:valAx>
      <c:valAx>
        <c:axId val="170061824"/>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70047744"/>
        <c:crosses val="autoZero"/>
        <c:crossBetween val="midCat"/>
      </c:valAx>
      <c:spPr>
        <a:noFill/>
      </c:spPr>
    </c:plotArea>
    <c:plotVisOnly val="1"/>
  </c:chart>
  <c:spPr>
    <a:noFill/>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353672571910852E-2"/>
          <c:y val="3.9763449225746449E-2"/>
          <c:w val="0.89765555553760068"/>
          <c:h val="0.86820429116133369"/>
        </c:manualLayout>
      </c:layout>
      <c:scatterChart>
        <c:scatterStyle val="lineMarker"/>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dPt>
          <c:dPt>
            <c:idx val="6"/>
            <c:marker>
              <c:spPr>
                <a:solidFill>
                  <a:schemeClr val="bg2">
                    <a:lumMod val="50000"/>
                    <a:alpha val="50000"/>
                  </a:schemeClr>
                </a:solidFill>
                <a:ln>
                  <a:noFill/>
                </a:ln>
              </c:spPr>
            </c:marker>
          </c:dPt>
          <c:dPt>
            <c:idx val="10"/>
            <c:marker>
              <c:spPr>
                <a:solidFill>
                  <a:schemeClr val="bg2">
                    <a:lumMod val="50000"/>
                    <a:alpha val="50000"/>
                  </a:schemeClr>
                </a:solidFill>
                <a:ln>
                  <a:noFill/>
                </a:ln>
              </c:spPr>
            </c:marker>
          </c:dPt>
          <c:dPt>
            <c:idx val="11"/>
            <c:marker>
              <c:spPr>
                <a:solidFill>
                  <a:srgbClr val="558ED5">
                    <a:alpha val="50000"/>
                  </a:srgbClr>
                </a:solidFill>
                <a:ln>
                  <a:noFill/>
                </a:ln>
              </c:spPr>
            </c:marker>
          </c:dPt>
          <c:dPt>
            <c:idx val="12"/>
            <c:marker>
              <c:spPr>
                <a:solidFill>
                  <a:srgbClr val="558ED5">
                    <a:alpha val="50000"/>
                  </a:srgbClr>
                </a:solidFill>
                <a:ln>
                  <a:noFill/>
                </a:ln>
              </c:spPr>
            </c:marker>
          </c:dPt>
          <c:dPt>
            <c:idx val="13"/>
            <c:marker>
              <c:spPr>
                <a:solidFill>
                  <a:schemeClr val="bg2">
                    <a:lumMod val="50000"/>
                    <a:alpha val="50000"/>
                  </a:schemeClr>
                </a:solidFill>
                <a:ln>
                  <a:noFill/>
                </a:ln>
              </c:spPr>
            </c:marker>
          </c:dPt>
          <c:dPt>
            <c:idx val="14"/>
            <c:marker>
              <c:spPr>
                <a:solidFill>
                  <a:srgbClr val="C00000">
                    <a:alpha val="50000"/>
                  </a:srgbClr>
                </a:solidFill>
                <a:ln>
                  <a:noFill/>
                </a:ln>
              </c:spPr>
            </c:marker>
          </c:dPt>
          <c:dPt>
            <c:idx val="15"/>
            <c:marker>
              <c:spPr>
                <a:solidFill>
                  <a:schemeClr val="bg2">
                    <a:lumMod val="50000"/>
                    <a:alpha val="50000"/>
                  </a:schemeClr>
                </a:solidFill>
                <a:ln>
                  <a:noFill/>
                </a:ln>
              </c:spPr>
            </c:marker>
          </c:dPt>
          <c:dPt>
            <c:idx val="16"/>
            <c:marker>
              <c:spPr>
                <a:solidFill>
                  <a:schemeClr val="bg2">
                    <a:lumMod val="50000"/>
                    <a:alpha val="50000"/>
                  </a:schemeClr>
                </a:solidFill>
                <a:ln>
                  <a:noFill/>
                </a:ln>
              </c:spPr>
            </c:marker>
          </c:dPt>
          <c:dPt>
            <c:idx val="17"/>
            <c:marker>
              <c:spPr>
                <a:solidFill>
                  <a:srgbClr val="FFC000">
                    <a:alpha val="50000"/>
                  </a:srgbClr>
                </a:solidFill>
                <a:ln>
                  <a:noFill/>
                </a:ln>
              </c:spPr>
            </c:marker>
          </c:dPt>
          <c:dPt>
            <c:idx val="18"/>
            <c:marker>
              <c:spPr>
                <a:solidFill>
                  <a:srgbClr val="C00000">
                    <a:alpha val="50000"/>
                  </a:srgbClr>
                </a:solidFill>
                <a:ln>
                  <a:noFill/>
                </a:ln>
              </c:spPr>
            </c:marker>
          </c:dPt>
          <c:dPt>
            <c:idx val="19"/>
            <c:marker>
              <c:spPr>
                <a:solidFill>
                  <a:schemeClr val="bg2">
                    <a:lumMod val="50000"/>
                    <a:alpha val="50000"/>
                  </a:schemeClr>
                </a:solidFill>
                <a:ln>
                  <a:noFill/>
                </a:ln>
              </c:spPr>
            </c:marker>
          </c:dPt>
          <c:dLbls>
            <c:dLbl>
              <c:idx val="0"/>
              <c:layout>
                <c:manualLayout>
                  <c:x val="-8.6343296266202879E-2"/>
                  <c:y val="-3.3816930617648292E-3"/>
                </c:manualLayout>
              </c:layout>
              <c:tx>
                <c:strRef>
                  <c:f>'GEARINGS, E&amp;Enot'!$B$36</c:f>
                  <c:strCache>
                    <c:ptCount val="1"/>
                    <c:pt idx="0">
                      <c:v>TELENET</c:v>
                    </c:pt>
                  </c:strCache>
                </c:strRef>
              </c:tx>
              <c:spPr/>
              <c:txPr>
                <a:bodyPr/>
                <a:lstStyle/>
                <a:p>
                  <a:pPr>
                    <a:defRPr sz="1000" b="1" i="0" strike="noStrike">
                      <a:latin typeface="Arial"/>
                    </a:defRPr>
                  </a:pPr>
                  <a:endParaRPr lang="fr-FR"/>
                </a:p>
              </c:txPr>
              <c:dLblPos val="r"/>
              <c:showVal val="1"/>
            </c:dLbl>
            <c:dLbl>
              <c:idx val="1"/>
              <c:layout>
                <c:manualLayout>
                  <c:x val="-5.5764933565185922E-2"/>
                  <c:y val="-3.3814268076855399E-3"/>
                </c:manualLayout>
              </c:layout>
              <c:tx>
                <c:strRef>
                  <c:f>'GEARINGS, E&amp;Enot'!$B$37</c:f>
                  <c:strCache>
                    <c:ptCount val="1"/>
                    <c:pt idx="0">
                      <c:v>PT</c:v>
                    </c:pt>
                  </c:strCache>
                </c:strRef>
              </c:tx>
              <c:spPr/>
              <c:txPr>
                <a:bodyPr/>
                <a:lstStyle/>
                <a:p>
                  <a:pPr>
                    <a:defRPr sz="1000" b="0" i="0" strike="noStrike">
                      <a:latin typeface="Arial"/>
                    </a:defRPr>
                  </a:pPr>
                  <a:endParaRPr lang="fr-FR"/>
                </a:p>
              </c:txPr>
              <c:dLblPos val="r"/>
              <c:showVal val="1"/>
            </c:dLbl>
            <c:dLbl>
              <c:idx val="2"/>
              <c:layout>
                <c:manualLayout>
                  <c:x val="-5.7835829391795372E-2"/>
                  <c:y val="-3.3814268076855399E-3"/>
                </c:manualLayout>
              </c:layout>
              <c:tx>
                <c:strRef>
                  <c:f>'GEARINGS, E&amp;Enot'!$B$38</c:f>
                  <c:strCache>
                    <c:ptCount val="1"/>
                    <c:pt idx="0">
                      <c:v>TIT</c:v>
                    </c:pt>
                  </c:strCache>
                </c:strRef>
              </c:tx>
              <c:spPr/>
              <c:txPr>
                <a:bodyPr/>
                <a:lstStyle/>
                <a:p>
                  <a:pPr>
                    <a:defRPr sz="1000" b="1" i="0" strike="noStrike">
                      <a:latin typeface="Arial"/>
                    </a:defRPr>
                  </a:pPr>
                  <a:endParaRPr lang="fr-FR"/>
                </a:p>
              </c:txPr>
              <c:dLblPos val="r"/>
              <c:showVal val="1"/>
            </c:dLbl>
            <c:dLbl>
              <c:idx val="3"/>
              <c:layout>
                <c:manualLayout>
                  <c:x val="-6.1464634719802534E-2"/>
                  <c:y val="-3.3814268076855099E-3"/>
                </c:manualLayout>
              </c:layout>
              <c:tx>
                <c:strRef>
                  <c:f>'GEARINGS, E&amp;Enot'!$B$39</c:f>
                  <c:strCache>
                    <c:ptCount val="1"/>
                    <c:pt idx="0">
                      <c:v>TEF</c:v>
                    </c:pt>
                  </c:strCache>
                </c:strRef>
              </c:tx>
              <c:spPr/>
              <c:txPr>
                <a:bodyPr/>
                <a:lstStyle/>
                <a:p>
                  <a:pPr>
                    <a:defRPr sz="1000" b="0" i="0" strike="noStrike">
                      <a:latin typeface="Arial"/>
                    </a:defRPr>
                  </a:pPr>
                  <a:endParaRPr lang="fr-FR"/>
                </a:p>
              </c:txPr>
              <c:dLblPos val="r"/>
              <c:showVal val="1"/>
            </c:dLbl>
            <c:dLbl>
              <c:idx val="4"/>
              <c:layout>
                <c:manualLayout>
                  <c:x val="-5.6278066793698747E-2"/>
                  <c:y val="-3.3814268076855399E-3"/>
                </c:manualLayout>
              </c:layout>
              <c:tx>
                <c:strRef>
                  <c:f>'GEARINGS, E&amp;Enot'!$B$40</c:f>
                  <c:strCache>
                    <c:ptCount val="1"/>
                    <c:pt idx="0">
                      <c:v>DT</c:v>
                    </c:pt>
                  </c:strCache>
                </c:strRef>
              </c:tx>
              <c:spPr/>
              <c:txPr>
                <a:bodyPr/>
                <a:lstStyle/>
                <a:p>
                  <a:pPr>
                    <a:defRPr sz="1000" b="0" i="0" strike="noStrike">
                      <a:latin typeface="Arial"/>
                    </a:defRPr>
                  </a:pPr>
                  <a:endParaRPr lang="fr-FR"/>
                </a:p>
              </c:txPr>
              <c:dLblPos val="r"/>
              <c:showVal val="1"/>
            </c:dLbl>
            <c:dLbl>
              <c:idx val="5"/>
              <c:layout>
                <c:manualLayout>
                  <c:x val="-6.3022397317898424E-2"/>
                  <c:y val="-3.3816930617648292E-3"/>
                </c:manualLayout>
              </c:layout>
              <c:tx>
                <c:strRef>
                  <c:f>'GEARINGS, E&amp;Enot'!$B$41</c:f>
                  <c:strCache>
                    <c:ptCount val="1"/>
                    <c:pt idx="0">
                      <c:v>KPN</c:v>
                    </c:pt>
                  </c:strCache>
                </c:strRef>
              </c:tx>
              <c:spPr/>
              <c:txPr>
                <a:bodyPr/>
                <a:lstStyle/>
                <a:p>
                  <a:pPr>
                    <a:defRPr sz="1000" b="0" i="0" strike="noStrike">
                      <a:latin typeface="Arial"/>
                    </a:defRPr>
                  </a:pPr>
                  <a:endParaRPr lang="fr-FR"/>
                </a:p>
              </c:txPr>
              <c:dLblPos val="r"/>
              <c:showVal val="1"/>
            </c:dLbl>
            <c:dLbl>
              <c:idx val="6"/>
              <c:layout>
                <c:manualLayout>
                  <c:x val="-6.3013142409969206E-2"/>
                  <c:y val="-3.3814268076855399E-3"/>
                </c:manualLayout>
              </c:layout>
              <c:tx>
                <c:strRef>
                  <c:f>'GEARINGS, E&amp;Enot'!$B$42</c:f>
                  <c:strCache>
                    <c:ptCount val="1"/>
                    <c:pt idx="0">
                      <c:v>TDC</c:v>
                    </c:pt>
                  </c:strCache>
                </c:strRef>
              </c:tx>
              <c:spPr/>
              <c:txPr>
                <a:bodyPr/>
                <a:lstStyle/>
                <a:p>
                  <a:pPr>
                    <a:defRPr sz="1000" b="1" i="0" strike="noStrike">
                      <a:latin typeface="Arial"/>
                    </a:defRPr>
                  </a:pPr>
                  <a:endParaRPr lang="fr-FR"/>
                </a:p>
              </c:txPr>
              <c:dLblPos val="r"/>
              <c:showVal val="1"/>
            </c:dLbl>
            <c:dLbl>
              <c:idx val="7"/>
              <c:layout>
                <c:manualLayout>
                  <c:x val="-6.4057918682853279E-2"/>
                  <c:y val="-3.3816930617648292E-3"/>
                </c:manualLayout>
              </c:layout>
              <c:tx>
                <c:strRef>
                  <c:f>'GEARINGS, E&amp;Enot'!$B$43</c:f>
                  <c:strCache>
                    <c:ptCount val="1"/>
                    <c:pt idx="0">
                      <c:v>ORA</c:v>
                    </c:pt>
                  </c:strCache>
                </c:strRef>
              </c:tx>
              <c:spPr/>
              <c:txPr>
                <a:bodyPr/>
                <a:lstStyle/>
                <a:p>
                  <a:pPr>
                    <a:defRPr sz="1000" b="0" i="0" strike="noStrike">
                      <a:latin typeface="Arial"/>
                    </a:defRPr>
                  </a:pPr>
                  <a:endParaRPr lang="fr-FR"/>
                </a:p>
              </c:txPr>
              <c:dLblPos val="r"/>
              <c:showVal val="1"/>
            </c:dLbl>
            <c:dLbl>
              <c:idx val="8"/>
              <c:layout>
                <c:manualLayout>
                  <c:x val="-6.1987022856244134E-2"/>
                  <c:y val="-3.3814268076855399E-3"/>
                </c:manualLayout>
              </c:layout>
              <c:tx>
                <c:strRef>
                  <c:f>'GEARINGS, E&amp;Enot'!$B$44</c:f>
                  <c:strCache>
                    <c:ptCount val="1"/>
                    <c:pt idx="0">
                      <c:v>TKA</c:v>
                    </c:pt>
                  </c:strCache>
                </c:strRef>
              </c:tx>
              <c:spPr/>
              <c:txPr>
                <a:bodyPr/>
                <a:lstStyle/>
                <a:p>
                  <a:pPr>
                    <a:defRPr sz="1000" b="1" i="0" strike="noStrike">
                      <a:latin typeface="Arial"/>
                    </a:defRPr>
                  </a:pPr>
                  <a:endParaRPr lang="fr-FR"/>
                </a:p>
              </c:txPr>
              <c:dLblPos val="r"/>
              <c:showVal val="1"/>
            </c:dLbl>
            <c:dLbl>
              <c:idx val="9"/>
              <c:layout>
                <c:manualLayout>
                  <c:x val="-6.3022397317898424E-2"/>
                  <c:y val="-3.3814268076855399E-3"/>
                </c:manualLayout>
              </c:layout>
              <c:tx>
                <c:strRef>
                  <c:f>'GEARINGS, E&amp;Enot'!$B$45</c:f>
                  <c:strCache>
                    <c:ptCount val="1"/>
                    <c:pt idx="0">
                      <c:v>OTE</c:v>
                    </c:pt>
                  </c:strCache>
                </c:strRef>
              </c:tx>
              <c:spPr/>
              <c:txPr>
                <a:bodyPr/>
                <a:lstStyle/>
                <a:p>
                  <a:pPr>
                    <a:defRPr sz="1000" b="0" i="0" strike="noStrike">
                      <a:latin typeface="Arial"/>
                    </a:defRPr>
                  </a:pPr>
                  <a:endParaRPr lang="fr-FR"/>
                </a:p>
              </c:txPr>
              <c:dLblPos val="r"/>
              <c:showVal val="1"/>
            </c:dLbl>
            <c:dLbl>
              <c:idx val="10"/>
              <c:layout>
                <c:manualLayout>
                  <c:x val="-6.4570905008065727E-2"/>
                  <c:y val="-3.3814268076855399E-3"/>
                </c:manualLayout>
              </c:layout>
              <c:tx>
                <c:strRef>
                  <c:f>'GEARINGS, E&amp;Enot'!$B$46</c:f>
                  <c:strCache>
                    <c:ptCount val="1"/>
                    <c:pt idx="0">
                      <c:v>SCM</c:v>
                    </c:pt>
                  </c:strCache>
                </c:strRef>
              </c:tx>
              <c:spPr/>
              <c:txPr>
                <a:bodyPr/>
                <a:lstStyle/>
                <a:p>
                  <a:pPr>
                    <a:defRPr sz="1000" b="1" i="0" strike="noStrike">
                      <a:latin typeface="Arial"/>
                    </a:defRPr>
                  </a:pPr>
                  <a:endParaRPr lang="fr-FR"/>
                </a:p>
              </c:txPr>
              <c:dLblPos val="r"/>
              <c:showVal val="1"/>
            </c:dLbl>
            <c:dLbl>
              <c:idx val="11"/>
              <c:layout>
                <c:manualLayout>
                  <c:x val="-5.5764933565185922E-2"/>
                  <c:y val="-3.3814268076855399E-3"/>
                </c:manualLayout>
              </c:layout>
              <c:tx>
                <c:strRef>
                  <c:f>'GEARINGS, E&amp;Enot'!$B$47</c:f>
                  <c:strCache>
                    <c:ptCount val="1"/>
                    <c:pt idx="0">
                      <c:v>BT</c:v>
                    </c:pt>
                  </c:strCache>
                </c:strRef>
              </c:tx>
              <c:spPr/>
              <c:txPr>
                <a:bodyPr/>
                <a:lstStyle/>
                <a:p>
                  <a:pPr>
                    <a:defRPr sz="1000" b="0" i="0" strike="noStrike">
                      <a:latin typeface="Arial"/>
                    </a:defRPr>
                  </a:pPr>
                  <a:endParaRPr lang="fr-FR"/>
                </a:p>
              </c:txPr>
              <c:dLblPos val="r"/>
              <c:showVal val="1"/>
            </c:dLbl>
            <c:dLbl>
              <c:idx val="12"/>
              <c:layout>
                <c:manualLayout>
                  <c:x val="-6.4057918682853279E-2"/>
                  <c:y val="-3.3814268076855399E-3"/>
                </c:manualLayout>
              </c:layout>
              <c:tx>
                <c:strRef>
                  <c:f>'GEARINGS, E&amp;Enot'!$B$48</c:f>
                  <c:strCache>
                    <c:ptCount val="1"/>
                    <c:pt idx="0">
                      <c:v>VOD</c:v>
                    </c:pt>
                  </c:strCache>
                </c:strRef>
              </c:tx>
              <c:spPr/>
              <c:txPr>
                <a:bodyPr/>
                <a:lstStyle/>
                <a:p>
                  <a:pPr>
                    <a:defRPr sz="1000" b="0" i="0" strike="noStrike">
                      <a:latin typeface="Arial"/>
                    </a:defRPr>
                  </a:pPr>
                  <a:endParaRPr lang="fr-FR"/>
                </a:p>
              </c:txPr>
              <c:dLblPos val="r"/>
              <c:showVal val="1"/>
            </c:dLbl>
            <c:dLbl>
              <c:idx val="13"/>
              <c:layout>
                <c:manualLayout>
                  <c:x val="-6.7686577107559223E-2"/>
                  <c:y val="-3.3816930617648292E-3"/>
                </c:manualLayout>
              </c:layout>
              <c:tx>
                <c:strRef>
                  <c:f>'GEARINGS, E&amp;Enot'!$B$49</c:f>
                  <c:strCache>
                    <c:ptCount val="1"/>
                    <c:pt idx="0">
                      <c:v>TLSN</c:v>
                    </c:pt>
                  </c:strCache>
                </c:strRef>
              </c:tx>
              <c:spPr/>
              <c:txPr>
                <a:bodyPr/>
                <a:lstStyle/>
                <a:p>
                  <a:pPr>
                    <a:defRPr sz="1000" b="0" i="0" strike="noStrike">
                      <a:latin typeface="Arial"/>
                    </a:defRPr>
                  </a:pPr>
                  <a:endParaRPr lang="fr-FR"/>
                </a:p>
              </c:txPr>
              <c:dLblPos val="r"/>
              <c:showVal val="1"/>
            </c:dLbl>
            <c:dLbl>
              <c:idx val="14"/>
              <c:layout>
                <c:manualLayout>
                  <c:x val="-6.3535530546411423E-2"/>
                  <c:y val="-3.3814268076854791E-3"/>
                </c:manualLayout>
              </c:layout>
              <c:tx>
                <c:strRef>
                  <c:f>'GEARINGS, E&amp;Enot'!$B$50</c:f>
                  <c:strCache>
                    <c:ptCount val="1"/>
                    <c:pt idx="0">
                      <c:v>SNC</c:v>
                    </c:pt>
                  </c:strCache>
                </c:strRef>
              </c:tx>
              <c:spPr/>
              <c:txPr>
                <a:bodyPr/>
                <a:lstStyle/>
                <a:p>
                  <a:pPr>
                    <a:defRPr sz="1000" b="0" i="0" strike="noStrike">
                      <a:latin typeface="Arial"/>
                    </a:defRPr>
                  </a:pPr>
                  <a:endParaRPr lang="fr-FR"/>
                </a:p>
              </c:txPr>
              <c:dLblPos val="r"/>
              <c:showVal val="1"/>
            </c:dLbl>
            <c:dLbl>
              <c:idx val="15"/>
              <c:layout>
                <c:manualLayout>
                  <c:x val="-5.7845231203024913E-2"/>
                  <c:y val="-3.3814268076854791E-3"/>
                </c:manualLayout>
              </c:layout>
              <c:tx>
                <c:strRef>
                  <c:f>'GEARINGS, E&amp;Enot'!$B$51</c:f>
                  <c:strCache>
                    <c:ptCount val="1"/>
                    <c:pt idx="0">
                      <c:v>ELI</c:v>
                    </c:pt>
                  </c:strCache>
                </c:strRef>
              </c:tx>
              <c:spPr/>
              <c:txPr>
                <a:bodyPr/>
                <a:lstStyle/>
                <a:p>
                  <a:pPr>
                    <a:defRPr sz="1000" b="0" i="0" strike="noStrike">
                      <a:latin typeface="Arial"/>
                    </a:defRPr>
                  </a:pPr>
                  <a:endParaRPr lang="fr-FR"/>
                </a:p>
              </c:txPr>
              <c:dLblPos val="r"/>
              <c:showVal val="1"/>
            </c:dLbl>
            <c:dLbl>
              <c:idx val="16"/>
              <c:layout>
                <c:manualLayout>
                  <c:x val="-6.6138069417391795E-2"/>
                  <c:y val="-3.3816930617648292E-3"/>
                </c:manualLayout>
              </c:layout>
              <c:tx>
                <c:strRef>
                  <c:f>'GEARINGS, E&amp;Enot'!$B$52</c:f>
                  <c:strCache>
                    <c:ptCount val="1"/>
                    <c:pt idx="0">
                      <c:v>TEL2</c:v>
                    </c:pt>
                  </c:strCache>
                </c:strRef>
              </c:tx>
              <c:spPr/>
              <c:txPr>
                <a:bodyPr/>
                <a:lstStyle/>
                <a:p>
                  <a:pPr>
                    <a:defRPr sz="1000" b="0" i="0" strike="noStrike">
                      <a:latin typeface="Arial"/>
                    </a:defRPr>
                  </a:pPr>
                  <a:endParaRPr lang="fr-FR"/>
                </a:p>
              </c:txPr>
              <c:dLblPos val="r"/>
              <c:showVal val="1"/>
            </c:dLbl>
            <c:dLbl>
              <c:idx val="17"/>
              <c:layout>
                <c:manualLayout>
                  <c:x val="-5.8358217528237534E-2"/>
                  <c:y val="-3.3816930617648292E-3"/>
                </c:manualLayout>
              </c:layout>
              <c:tx>
                <c:strRef>
                  <c:f>'GEARINGS, E&amp;Enot'!$B$53</c:f>
                  <c:strCache>
                    <c:ptCount val="1"/>
                    <c:pt idx="0">
                      <c:v>ILD</c:v>
                    </c:pt>
                  </c:strCache>
                </c:strRef>
              </c:tx>
              <c:spPr/>
              <c:txPr>
                <a:bodyPr/>
                <a:lstStyle/>
                <a:p>
                  <a:pPr>
                    <a:defRPr sz="1000" b="0" i="0" strike="noStrike">
                      <a:latin typeface="Arial"/>
                    </a:defRPr>
                  </a:pPr>
                  <a:endParaRPr lang="fr-FR"/>
                </a:p>
              </c:txPr>
              <c:dLblPos val="r"/>
              <c:showVal val="1"/>
            </c:dLbl>
            <c:dLbl>
              <c:idx val="18"/>
              <c:layout>
                <c:manualLayout>
                  <c:x val="-3.2497213611648652E-2"/>
                  <c:y val="-3.3814268076855399E-3"/>
                </c:manualLayout>
              </c:layout>
              <c:tx>
                <c:strRef>
                  <c:f>'GEARINGS, E&amp;Enot'!$B$54</c:f>
                  <c:strCache>
                    <c:ptCount val="1"/>
                    <c:pt idx="0">
                      <c:v>MOBISTAR</c:v>
                    </c:pt>
                  </c:strCache>
                </c:strRef>
              </c:tx>
              <c:spPr/>
              <c:txPr>
                <a:bodyPr/>
                <a:lstStyle/>
                <a:p>
                  <a:pPr>
                    <a:defRPr sz="1000" b="1" i="0" strike="noStrike">
                      <a:latin typeface="Arial"/>
                    </a:defRPr>
                  </a:pPr>
                  <a:endParaRPr lang="fr-FR"/>
                </a:p>
              </c:txPr>
              <c:dLblPos val="r"/>
              <c:showVal val="1"/>
            </c:dLbl>
            <c:dLbl>
              <c:idx val="19"/>
              <c:layout>
                <c:manualLayout>
                  <c:x val="-6.0951501491288862E-2"/>
                  <c:y val="-3.3814268076855399E-3"/>
                </c:manualLayout>
              </c:layout>
              <c:tx>
                <c:strRef>
                  <c:f>'GEARINGS, E&amp;Enot'!$B$55</c:f>
                  <c:strCache>
                    <c:ptCount val="1"/>
                    <c:pt idx="0">
                      <c:v>TEL</c:v>
                    </c:pt>
                  </c:strCache>
                </c:strRef>
              </c:tx>
              <c:spPr/>
              <c:txPr>
                <a:bodyPr/>
                <a:lstStyle/>
                <a:p>
                  <a:pPr>
                    <a:defRPr sz="1000" b="0" i="0" strike="noStrike">
                      <a:latin typeface="Arial"/>
                    </a:defRPr>
                  </a:pPr>
                  <a:endParaRPr lang="fr-FR"/>
                </a:p>
              </c:txPr>
              <c:dLblPos val="r"/>
              <c:showVal val="1"/>
            </c:dLbl>
            <c:dLbl>
              <c:idx val="20"/>
              <c:layout>
                <c:manualLayout>
                  <c:x val="-9.8255684900647206E-2"/>
                  <c:y val="-3.3814268076855399E-3"/>
                </c:manualLayout>
              </c:layout>
              <c:tx>
                <c:strRef>
                  <c:f>'GEARINGS, E&amp;Enot'!$B$56</c:f>
                  <c:strCache>
                    <c:ptCount val="1"/>
                    <c:pt idx="0">
                      <c:v>BELGACOM</c:v>
                    </c:pt>
                  </c:strCache>
                </c:strRef>
              </c:tx>
              <c:spPr/>
              <c:txPr>
                <a:bodyPr/>
                <a:lstStyle/>
                <a:p>
                  <a:pPr>
                    <a:defRPr sz="1000" b="1" i="0" strike="noStrike">
                      <a:latin typeface="Arial"/>
                    </a:defRPr>
                  </a:pPr>
                  <a:endParaRPr lang="fr-FR"/>
                </a:p>
              </c:txPr>
              <c:dLblPos val="r"/>
              <c:showVal val="1"/>
            </c:dLbl>
            <c:dLbl>
              <c:idx val="21"/>
              <c:layout>
                <c:manualLayout>
                  <c:x val="-6.1987022856244134E-2"/>
                  <c:y val="-3.3814268076855399E-3"/>
                </c:manualLayout>
              </c:layout>
              <c:tx>
                <c:strRef>
                  <c:f>'GEARINGS, E&amp;Enot'!$B$57</c:f>
                  <c:strCache>
                    <c:ptCount val="1"/>
                    <c:pt idx="0">
                      <c:v>TPS</c:v>
                    </c:pt>
                  </c:strCache>
                </c:strRef>
              </c:tx>
              <c:spPr/>
              <c:txPr>
                <a:bodyPr/>
                <a:lstStyle/>
                <a:p>
                  <a:pPr>
                    <a:defRPr sz="1000" b="1" i="0" strike="noStrike">
                      <a:latin typeface="Arial"/>
                    </a:defRPr>
                  </a:pPr>
                  <a:endParaRPr lang="fr-FR"/>
                </a:p>
              </c:txPr>
              <c:dLblPos val="r"/>
              <c:showVal val="1"/>
            </c:dLbl>
            <c:showVal val="1"/>
          </c:dLbls>
          <c:xVal>
            <c:numRef>
              <c:f>'GEARINGS, E&amp;Enot'!$E$36:$E$57</c:f>
              <c:numCache>
                <c:formatCode>0%</c:formatCode>
                <c:ptCount val="22"/>
                <c:pt idx="0">
                  <c:v>0.15462918080465343</c:v>
                </c:pt>
                <c:pt idx="1">
                  <c:v>0.49497857034449522</c:v>
                </c:pt>
                <c:pt idx="2">
                  <c:v>0.3626280111015483</c:v>
                </c:pt>
                <c:pt idx="3">
                  <c:v>0.66127040038880336</c:v>
                </c:pt>
                <c:pt idx="4">
                  <c:v>0.62983042679437373</c:v>
                </c:pt>
                <c:pt idx="5">
                  <c:v>0.6264024463118032</c:v>
                </c:pt>
                <c:pt idx="6">
                  <c:v>0.28165979767703259</c:v>
                </c:pt>
                <c:pt idx="7">
                  <c:v>0.62738172243152124</c:v>
                </c:pt>
                <c:pt idx="8">
                  <c:v>0.6207941242005639</c:v>
                </c:pt>
                <c:pt idx="9">
                  <c:v>0.53987730061349704</c:v>
                </c:pt>
                <c:pt idx="10">
                  <c:v>0.30985103942866765</c:v>
                </c:pt>
                <c:pt idx="11">
                  <c:v>0</c:v>
                </c:pt>
                <c:pt idx="12">
                  <c:v>0.89481420237931208</c:v>
                </c:pt>
                <c:pt idx="13">
                  <c:v>0.7167630057803468</c:v>
                </c:pt>
                <c:pt idx="14">
                  <c:v>0.90138346931536006</c:v>
                </c:pt>
                <c:pt idx="15">
                  <c:v>0.64439999999999997</c:v>
                </c:pt>
                <c:pt idx="16">
                  <c:v>0.63639387890884902</c:v>
                </c:pt>
                <c:pt idx="17">
                  <c:v>0.34976819018989347</c:v>
                </c:pt>
                <c:pt idx="18">
                  <c:v>0.97265268915223335</c:v>
                </c:pt>
                <c:pt idx="19">
                  <c:v>0.74956908795771016</c:v>
                </c:pt>
                <c:pt idx="20">
                  <c:v>0.36037883142173305</c:v>
                </c:pt>
                <c:pt idx="21">
                  <c:v>0.44946685046944856</c:v>
                </c:pt>
              </c:numCache>
            </c:numRef>
          </c:xVal>
          <c:yVal>
            <c:numRef>
              <c:f>'GEARINGS, E&amp;Enot'!$K$36:$K$57</c:f>
              <c:numCache>
                <c:formatCode>0%</c:formatCode>
                <c:ptCount val="22"/>
                <c:pt idx="0">
                  <c:v>0.4832654138496531</c:v>
                </c:pt>
                <c:pt idx="1">
                  <c:v>0.7506672643344422</c:v>
                </c:pt>
                <c:pt idx="2">
                  <c:v>0.75672107111582532</c:v>
                </c:pt>
                <c:pt idx="3">
                  <c:v>0.57929804018594233</c:v>
                </c:pt>
                <c:pt idx="4">
                  <c:v>0.59074959904524027</c:v>
                </c:pt>
                <c:pt idx="5">
                  <c:v>0.63323863537070213</c:v>
                </c:pt>
                <c:pt idx="6">
                  <c:v>0.43916945384982109</c:v>
                </c:pt>
                <c:pt idx="7">
                  <c:v>0.65530118542007598</c:v>
                </c:pt>
                <c:pt idx="8">
                  <c:v>0.62319136029119382</c:v>
                </c:pt>
                <c:pt idx="9">
                  <c:v>0.44527495080222473</c:v>
                </c:pt>
                <c:pt idx="10">
                  <c:v>0.30362227391248225</c:v>
                </c:pt>
                <c:pt idx="11">
                  <c:v>0.37414035756341019</c:v>
                </c:pt>
                <c:pt idx="12">
                  <c:v>0.2718321660431175</c:v>
                </c:pt>
                <c:pt idx="13">
                  <c:v>0.28287599661626001</c:v>
                </c:pt>
                <c:pt idx="14">
                  <c:v>0.46507375880431212</c:v>
                </c:pt>
                <c:pt idx="15">
                  <c:v>0.32061814749302248</c:v>
                </c:pt>
                <c:pt idx="16">
                  <c:v>0.28147528322389997</c:v>
                </c:pt>
                <c:pt idx="17">
                  <c:v>0.12849893093161849</c:v>
                </c:pt>
                <c:pt idx="18">
                  <c:v>0.4561905930983241</c:v>
                </c:pt>
                <c:pt idx="19">
                  <c:v>0.198117589718218</c:v>
                </c:pt>
                <c:pt idx="20">
                  <c:v>0.28756363720088318</c:v>
                </c:pt>
                <c:pt idx="21">
                  <c:v>0.34197601038246805</c:v>
                </c:pt>
              </c:numCache>
            </c:numRef>
          </c:yVal>
        </c:ser>
        <c:axId val="170197760"/>
        <c:axId val="170199296"/>
      </c:scatterChart>
      <c:valAx>
        <c:axId val="170197760"/>
        <c:scaling>
          <c:orientation val="minMax"/>
          <c:max val="1"/>
        </c:scaling>
        <c:axPos val="b"/>
        <c:numFmt formatCode="0%" sourceLinked="1"/>
        <c:tickLblPos val="nextTo"/>
        <c:txPr>
          <a:bodyPr/>
          <a:lstStyle/>
          <a:p>
            <a:pPr>
              <a:defRPr sz="1200" baseline="0">
                <a:latin typeface="Arial" pitchFamily="34" charset="0"/>
              </a:defRPr>
            </a:pPr>
            <a:endParaRPr lang="fr-FR"/>
          </a:p>
        </c:txPr>
        <c:crossAx val="170199296"/>
        <c:crosses val="autoZero"/>
        <c:crossBetween val="midCat"/>
        <c:majorUnit val="0.1"/>
      </c:valAx>
      <c:valAx>
        <c:axId val="170199296"/>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70197760"/>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4536216939771827"/>
        </c:manualLayout>
      </c:layout>
      <c:lineChart>
        <c:grouping val="standard"/>
        <c:ser>
          <c:idx val="2"/>
          <c:order val="0"/>
          <c:tx>
            <c:strRef>
              <c:f>CALCULATIONS!$B$7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CALCULATIONS!$KO$7:$LC$7</c:f>
              <c:numCache>
                <c:formatCode>0.0</c:formatCode>
                <c:ptCount val="15"/>
                <c:pt idx="0">
                  <c:v>0.85780357758060832</c:v>
                </c:pt>
                <c:pt idx="1">
                  <c:v>0.60699163906695064</c:v>
                </c:pt>
                <c:pt idx="2">
                  <c:v>0.73258608367589573</c:v>
                </c:pt>
                <c:pt idx="3">
                  <c:v>0.63774509214022523</c:v>
                </c:pt>
                <c:pt idx="4">
                  <c:v>0.74671139174513146</c:v>
                </c:pt>
                <c:pt idx="5">
                  <c:v>0.7780181563411469</c:v>
                </c:pt>
                <c:pt idx="6">
                  <c:v>0.98612301734551489</c:v>
                </c:pt>
                <c:pt idx="7">
                  <c:v>0.8625256609875307</c:v>
                </c:pt>
                <c:pt idx="8">
                  <c:v>0.96943755578816437</c:v>
                </c:pt>
                <c:pt idx="9">
                  <c:v>0.86104856905117111</c:v>
                </c:pt>
                <c:pt idx="10">
                  <c:v>1.1345061634014335</c:v>
                </c:pt>
                <c:pt idx="11">
                  <c:v>1.00696420705061</c:v>
                </c:pt>
                <c:pt idx="12">
                  <c:v>1.0680698852526918</c:v>
                </c:pt>
                <c:pt idx="13">
                  <c:v>1.0276122349618302</c:v>
                </c:pt>
                <c:pt idx="14">
                  <c:v>1.3109622071604587</c:v>
                </c:pt>
              </c:numCache>
            </c:numRef>
          </c:val>
        </c:ser>
        <c:ser>
          <c:idx val="0"/>
          <c:order val="1"/>
          <c:tx>
            <c:strRef>
              <c:f>CALCULATIONS!$B$10</c:f>
              <c:strCache>
                <c:ptCount val="1"/>
                <c:pt idx="0">
                  <c:v>TDC</c:v>
                </c:pt>
              </c:strCache>
            </c:strRef>
          </c:tx>
          <c:spPr>
            <a:ln w="22225">
              <a:solidFill>
                <a:schemeClr val="bg2">
                  <a:lumMod val="75000"/>
                </a:schemeClr>
              </a:solidFill>
              <a:prstDash val="solid"/>
            </a:ln>
          </c:spPr>
          <c:marker>
            <c:symbol val="square"/>
            <c:size val="5"/>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CALCULATIONS!$KO$10:$LC$10</c:f>
              <c:numCache>
                <c:formatCode>0.0</c:formatCode>
                <c:ptCount val="15"/>
                <c:pt idx="0">
                  <c:v>3.4539648084509533</c:v>
                </c:pt>
                <c:pt idx="1">
                  <c:v>3.5935597625291371</c:v>
                </c:pt>
                <c:pt idx="2">
                  <c:v>3.4952896711363342</c:v>
                </c:pt>
                <c:pt idx="3">
                  <c:v>3.3446915917927194</c:v>
                </c:pt>
                <c:pt idx="4">
                  <c:v>2.5141116078107553</c:v>
                </c:pt>
                <c:pt idx="5">
                  <c:v>2.4171752991787065</c:v>
                </c:pt>
                <c:pt idx="6">
                  <c:v>2.5290151724493271</c:v>
                </c:pt>
                <c:pt idx="7">
                  <c:v>2.5596704962049985</c:v>
                </c:pt>
                <c:pt idx="8">
                  <c:v>2.3823015969248087</c:v>
                </c:pt>
                <c:pt idx="9">
                  <c:v>2.4574897791080925</c:v>
                </c:pt>
                <c:pt idx="10">
                  <c:v>2.5022108978095088</c:v>
                </c:pt>
                <c:pt idx="11">
                  <c:v>2.5858305705752835</c:v>
                </c:pt>
                <c:pt idx="12">
                  <c:v>2.5523585725958045</c:v>
                </c:pt>
                <c:pt idx="13">
                  <c:v>2.6306207985310399</c:v>
                </c:pt>
                <c:pt idx="14">
                  <c:v>2.5933932385229874</c:v>
                </c:pt>
              </c:numCache>
            </c:numRef>
          </c:val>
        </c:ser>
        <c:ser>
          <c:idx val="13"/>
          <c:order val="2"/>
          <c:tx>
            <c:strRef>
              <c:f>CALCULATIONS!$B$18</c:f>
              <c:strCache>
                <c:ptCount val="1"/>
                <c:pt idx="0">
                  <c:v>KPN</c:v>
                </c:pt>
              </c:strCache>
            </c:strRef>
          </c:tx>
          <c:spPr>
            <a:ln w="22225">
              <a:solidFill>
                <a:schemeClr val="accent3">
                  <a:lumMod val="50000"/>
                </a:schemeClr>
              </a:solidFill>
            </a:ln>
          </c:spPr>
          <c:marker>
            <c:symbol val="square"/>
            <c:size val="5"/>
            <c:spPr>
              <a:solidFill>
                <a:srgbClr val="9BBB59">
                  <a:lumMod val="50000"/>
                </a:srgb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CALCULATIONS!$KO$18:$LC$18</c:f>
              <c:numCache>
                <c:formatCode>0.0</c:formatCode>
                <c:ptCount val="15"/>
                <c:pt idx="0">
                  <c:v>2.2460576460396591</c:v>
                </c:pt>
                <c:pt idx="1">
                  <c:v>2.292248334584198</c:v>
                </c:pt>
                <c:pt idx="2">
                  <c:v>2.4759242556130907</c:v>
                </c:pt>
                <c:pt idx="3">
                  <c:v>2.4128009279632687</c:v>
                </c:pt>
                <c:pt idx="4">
                  <c:v>2.3070990266030713</c:v>
                </c:pt>
                <c:pt idx="5">
                  <c:v>2.3269330707749947</c:v>
                </c:pt>
                <c:pt idx="6">
                  <c:v>2.4795219098937151</c:v>
                </c:pt>
                <c:pt idx="7">
                  <c:v>2.6768872413339531</c:v>
                </c:pt>
                <c:pt idx="8">
                  <c:v>2.561497889097454</c:v>
                </c:pt>
                <c:pt idx="9">
                  <c:v>2.6556185999757402</c:v>
                </c:pt>
                <c:pt idx="10">
                  <c:v>2.8775722363857463</c:v>
                </c:pt>
                <c:pt idx="11">
                  <c:v>2.9398714313305048</c:v>
                </c:pt>
                <c:pt idx="12">
                  <c:v>2.9797609965187557</c:v>
                </c:pt>
                <c:pt idx="13">
                  <c:v>3.1263879754075297</c:v>
                </c:pt>
                <c:pt idx="14">
                  <c:v>2.5466878830879209</c:v>
                </c:pt>
              </c:numCache>
            </c:numRef>
          </c:val>
        </c:ser>
        <c:ser>
          <c:idx val="1"/>
          <c:order val="3"/>
          <c:tx>
            <c:strRef>
              <c:f>CALCULATIONS!$B$16</c:f>
              <c:strCache>
                <c:ptCount val="1"/>
                <c:pt idx="0">
                  <c:v>TIT</c:v>
                </c:pt>
              </c:strCache>
            </c:strRef>
          </c:tx>
          <c:spPr>
            <a:ln w="19050">
              <a:solidFill>
                <a:schemeClr val="accent3">
                  <a:lumMod val="75000"/>
                </a:schemeClr>
              </a:solidFill>
            </a:ln>
          </c:spPr>
          <c:marker>
            <c:symbol val="none"/>
          </c:marker>
          <c:val>
            <c:numRef>
              <c:f>CALCULATIONS!$KO$16:$LC$16</c:f>
              <c:numCache>
                <c:formatCode>0.0</c:formatCode>
                <c:ptCount val="15"/>
                <c:pt idx="0">
                  <c:v>3.3039026768017106</c:v>
                </c:pt>
                <c:pt idx="1">
                  <c:v>3.2438939614782232</c:v>
                </c:pt>
                <c:pt idx="2">
                  <c:v>3.3246158214491635</c:v>
                </c:pt>
                <c:pt idx="3">
                  <c:v>3.3436208886516843</c:v>
                </c:pt>
                <c:pt idx="4">
                  <c:v>3.0448688312846666</c:v>
                </c:pt>
                <c:pt idx="5">
                  <c:v>2.8814721783545778</c:v>
                </c:pt>
                <c:pt idx="6">
                  <c:v>2.9076441647069262</c:v>
                </c:pt>
                <c:pt idx="7">
                  <c:v>2.8124980970223183</c:v>
                </c:pt>
                <c:pt idx="8">
                  <c:v>2.8099332494334277</c:v>
                </c:pt>
                <c:pt idx="9">
                  <c:v>2.7708820058519112</c:v>
                </c:pt>
                <c:pt idx="10">
                  <c:v>2.8495396072985759</c:v>
                </c:pt>
                <c:pt idx="11">
                  <c:v>2.8080426296926322</c:v>
                </c:pt>
                <c:pt idx="12">
                  <c:v>2.7063616519310538</c:v>
                </c:pt>
                <c:pt idx="13">
                  <c:v>2.8017058343716195</c:v>
                </c:pt>
                <c:pt idx="14">
                  <c:v>2.8370691340232916</c:v>
                </c:pt>
              </c:numCache>
            </c:numRef>
          </c:val>
        </c:ser>
        <c:ser>
          <c:idx val="3"/>
          <c:order val="4"/>
          <c:tx>
            <c:strRef>
              <c:f>CALCULATIONS!$B$19</c:f>
              <c:strCache>
                <c:ptCount val="1"/>
                <c:pt idx="0">
                  <c:v>TPS</c:v>
                </c:pt>
              </c:strCache>
            </c:strRef>
          </c:tx>
          <c:spPr>
            <a:ln w="19050">
              <a:solidFill>
                <a:schemeClr val="accent3">
                  <a:lumMod val="75000"/>
                </a:schemeClr>
              </a:solidFill>
              <a:prstDash val="sysDash"/>
            </a:ln>
          </c:spPr>
          <c:marker>
            <c:symbol val="none"/>
          </c:marker>
          <c:val>
            <c:numRef>
              <c:f>CALCULATIONS!$KO$19:$LC$19</c:f>
              <c:numCache>
                <c:formatCode>0.0</c:formatCode>
                <c:ptCount val="15"/>
                <c:pt idx="0">
                  <c:v>0.73206368037127345</c:v>
                </c:pt>
                <c:pt idx="1">
                  <c:v>0.64895404163541992</c:v>
                </c:pt>
                <c:pt idx="2">
                  <c:v>0.56816344089016091</c:v>
                </c:pt>
                <c:pt idx="3">
                  <c:v>0.74738387885088764</c:v>
                </c:pt>
                <c:pt idx="4">
                  <c:v>0.66115581837086734</c:v>
                </c:pt>
                <c:pt idx="5">
                  <c:v>0.64277230113855044</c:v>
                </c:pt>
                <c:pt idx="6">
                  <c:v>0.26039207558834759</c:v>
                </c:pt>
                <c:pt idx="7">
                  <c:v>0.58849064180019561</c:v>
                </c:pt>
                <c:pt idx="8">
                  <c:v>0.47391539935842092</c:v>
                </c:pt>
                <c:pt idx="9">
                  <c:v>0.89884142312630078</c:v>
                </c:pt>
                <c:pt idx="10">
                  <c:v>0.78150699322337702</c:v>
                </c:pt>
                <c:pt idx="11">
                  <c:v>1.0708028960781275</c:v>
                </c:pt>
                <c:pt idx="12">
                  <c:v>1.1128540497776005</c:v>
                </c:pt>
                <c:pt idx="13">
                  <c:v>1.1426940239905961</c:v>
                </c:pt>
                <c:pt idx="14">
                  <c:v>1.1762690733772538</c:v>
                </c:pt>
              </c:numCache>
            </c:numRef>
          </c:val>
        </c:ser>
        <c:ser>
          <c:idx val="20"/>
          <c:order val="5"/>
          <c:tx>
            <c:strRef>
              <c:f>CALCULATIONS!$B$25</c:f>
              <c:strCache>
                <c:ptCount val="1"/>
                <c:pt idx="0">
                  <c:v>SCM</c:v>
                </c:pt>
              </c:strCache>
            </c:strRef>
          </c:tx>
          <c:spPr>
            <a:ln w="19050">
              <a:solidFill>
                <a:schemeClr val="bg2">
                  <a:lumMod val="75000"/>
                </a:schemeClr>
              </a:solidFill>
              <a:prstDash val="solid"/>
            </a:ln>
          </c:spPr>
          <c:marker>
            <c:symbol val="none"/>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CALCULATIONS!$KO$25:$LC$25</c:f>
              <c:numCache>
                <c:formatCode>0.0</c:formatCode>
                <c:ptCount val="15"/>
                <c:pt idx="0">
                  <c:v>2.1272863993522848</c:v>
                </c:pt>
                <c:pt idx="1">
                  <c:v>2.0368035982212112</c:v>
                </c:pt>
                <c:pt idx="2">
                  <c:v>2.1705298156337389</c:v>
                </c:pt>
                <c:pt idx="3">
                  <c:v>2.0627591357478918</c:v>
                </c:pt>
                <c:pt idx="4">
                  <c:v>2.203063642218106</c:v>
                </c:pt>
                <c:pt idx="5">
                  <c:v>2.1003623223269217</c:v>
                </c:pt>
                <c:pt idx="6">
                  <c:v>2.3120208512545299</c:v>
                </c:pt>
                <c:pt idx="7">
                  <c:v>2.1887403866475821</c:v>
                </c:pt>
                <c:pt idx="8">
                  <c:v>2.048595397703072</c:v>
                </c:pt>
                <c:pt idx="9">
                  <c:v>2.0640519144596094</c:v>
                </c:pt>
                <c:pt idx="10">
                  <c:v>2.1855526368323117</c:v>
                </c:pt>
                <c:pt idx="11">
                  <c:v>2.2122516700255388</c:v>
                </c:pt>
                <c:pt idx="12">
                  <c:v>2.1013349960436423</c:v>
                </c:pt>
                <c:pt idx="13">
                  <c:v>2.1027353959437862</c:v>
                </c:pt>
                <c:pt idx="14">
                  <c:v>2.3009327536910358</c:v>
                </c:pt>
              </c:numCache>
            </c:numRef>
          </c:val>
        </c:ser>
        <c:ser>
          <c:idx val="4"/>
          <c:order val="6"/>
          <c:tx>
            <c:strRef>
              <c:f>CALCULATIONS!$B$6</c:f>
              <c:strCache>
                <c:ptCount val="1"/>
                <c:pt idx="0">
                  <c:v>TKA</c:v>
                </c:pt>
              </c:strCache>
            </c:strRef>
          </c:tx>
          <c:spPr>
            <a:ln w="19050">
              <a:solidFill>
                <a:schemeClr val="accent3">
                  <a:lumMod val="75000"/>
                </a:schemeClr>
              </a:solidFill>
              <a:prstDash val="dash"/>
            </a:ln>
          </c:spPr>
          <c:marker>
            <c:symbol val="none"/>
          </c:marker>
          <c:val>
            <c:numRef>
              <c:f>CALCULATIONS!$KO$6:$LC$6</c:f>
              <c:numCache>
                <c:formatCode>0.0</c:formatCode>
                <c:ptCount val="15"/>
                <c:pt idx="0">
                  <c:v>1.7911853058493277</c:v>
                </c:pt>
                <c:pt idx="1">
                  <c:v>1.7186836674076666</c:v>
                </c:pt>
                <c:pt idx="2">
                  <c:v>1.8453738896697416</c:v>
                </c:pt>
                <c:pt idx="3">
                  <c:v>1.7220229820381925</c:v>
                </c:pt>
                <c:pt idx="4">
                  <c:v>2.0722113421567632</c:v>
                </c:pt>
                <c:pt idx="5">
                  <c:v>2.0951668585824854</c:v>
                </c:pt>
                <c:pt idx="6">
                  <c:v>2.255278653732411</c:v>
                </c:pt>
                <c:pt idx="7">
                  <c:v>2.2443973009542271</c:v>
                </c:pt>
                <c:pt idx="8">
                  <c:v>2.2141194212351629</c:v>
                </c:pt>
                <c:pt idx="9">
                  <c:v>2.2366266431432265</c:v>
                </c:pt>
                <c:pt idx="10">
                  <c:v>2.3218862758405252</c:v>
                </c:pt>
                <c:pt idx="11">
                  <c:v>2.2173195790648483</c:v>
                </c:pt>
                <c:pt idx="12">
                  <c:v>2.2341589131526653</c:v>
                </c:pt>
                <c:pt idx="13">
                  <c:v>2.4891067083299894</c:v>
                </c:pt>
                <c:pt idx="14">
                  <c:v>2.5252968522290931</c:v>
                </c:pt>
              </c:numCache>
            </c:numRef>
          </c:val>
        </c:ser>
        <c:marker val="1"/>
        <c:axId val="170235008"/>
        <c:axId val="170236544"/>
      </c:lineChart>
      <c:dateAx>
        <c:axId val="170235008"/>
        <c:scaling>
          <c:orientation val="minMax"/>
        </c:scaling>
        <c:axPos val="b"/>
        <c:numFmt formatCode="[$-409]mmm\-yy;@" sourceLinked="0"/>
        <c:tickLblPos val="nextTo"/>
        <c:crossAx val="170236544"/>
        <c:crosses val="autoZero"/>
        <c:auto val="1"/>
        <c:lblOffset val="100"/>
        <c:majorUnit val="6"/>
        <c:majorTimeUnit val="months"/>
      </c:dateAx>
      <c:valAx>
        <c:axId val="170236544"/>
        <c:scaling>
          <c:orientation val="minMax"/>
        </c:scaling>
        <c:axPos val="l"/>
        <c:majorGridlines>
          <c:spPr>
            <a:ln>
              <a:solidFill>
                <a:schemeClr val="bg1">
                  <a:lumMod val="50000"/>
                </a:schemeClr>
              </a:solidFill>
              <a:prstDash val="dash"/>
            </a:ln>
          </c:spPr>
        </c:majorGridlines>
        <c:numFmt formatCode="0.0" sourceLinked="1"/>
        <c:tickLblPos val="nextTo"/>
        <c:crossAx val="170235008"/>
        <c:crosses val="autoZero"/>
        <c:crossBetween val="between"/>
      </c:valAx>
      <c:spPr>
        <a:noFill/>
        <a:ln>
          <a:noFill/>
        </a:ln>
      </c:spPr>
    </c:plotArea>
    <c:legend>
      <c:legendPos val="b"/>
      <c:layout>
        <c:manualLayout>
          <c:xMode val="edge"/>
          <c:yMode val="edge"/>
          <c:x val="1.8161181940709661E-2"/>
          <c:y val="0.87243907844855284"/>
          <c:w val="0.9774531068143385"/>
          <c:h val="9.0786887109525691E-2"/>
        </c:manualLayout>
      </c:layout>
    </c:legend>
    <c:plotVisOnly val="1"/>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fr-FR"/>
  <c:chart>
    <c:plotArea>
      <c:layout/>
      <c:barChart>
        <c:barDir val="bar"/>
        <c:grouping val="stacked"/>
        <c:ser>
          <c:idx val="0"/>
          <c:order val="0"/>
          <c:tx>
            <c:v>Gearing</c:v>
          </c:tx>
          <c:spPr>
            <a:solidFill>
              <a:schemeClr val="bg2">
                <a:lumMod val="75000"/>
              </a:schemeClr>
            </a:solidFill>
          </c:spPr>
          <c:cat>
            <c:strRef>
              <c:f>'GEARINGS, E&amp;Enot'!$AG$196:$AG$217</c:f>
              <c:strCache>
                <c:ptCount val="22"/>
                <c:pt idx="0">
                  <c:v>TELENET</c:v>
                </c:pt>
                <c:pt idx="1">
                  <c:v>TIT</c:v>
                </c:pt>
                <c:pt idx="2">
                  <c:v>TKA</c:v>
                </c:pt>
                <c:pt idx="3">
                  <c:v>PT</c:v>
                </c:pt>
                <c:pt idx="4">
                  <c:v>OTE</c:v>
                </c:pt>
                <c:pt idx="5">
                  <c:v>SCM</c:v>
                </c:pt>
                <c:pt idx="6">
                  <c:v>KPN</c:v>
                </c:pt>
                <c:pt idx="7">
                  <c:v>TEF</c:v>
                </c:pt>
                <c:pt idx="8">
                  <c:v>TLSN</c:v>
                </c:pt>
                <c:pt idx="9">
                  <c:v>ORA</c:v>
                </c:pt>
                <c:pt idx="10">
                  <c:v>ELI</c:v>
                </c:pt>
                <c:pt idx="11">
                  <c:v>BELGACOM</c:v>
                </c:pt>
                <c:pt idx="12">
                  <c:v>VOD</c:v>
                </c:pt>
                <c:pt idx="13">
                  <c:v>TPS</c:v>
                </c:pt>
                <c:pt idx="14">
                  <c:v>DT</c:v>
                </c:pt>
                <c:pt idx="15">
                  <c:v>TDC</c:v>
                </c:pt>
                <c:pt idx="16">
                  <c:v>ILD</c:v>
                </c:pt>
                <c:pt idx="17">
                  <c:v>TEL</c:v>
                </c:pt>
                <c:pt idx="18">
                  <c:v>SNC</c:v>
                </c:pt>
                <c:pt idx="19">
                  <c:v>BT</c:v>
                </c:pt>
                <c:pt idx="20">
                  <c:v>TEL2</c:v>
                </c:pt>
                <c:pt idx="21">
                  <c:v>MOBISTAR</c:v>
                </c:pt>
              </c:strCache>
            </c:strRef>
          </c:cat>
          <c:val>
            <c:numRef>
              <c:f>'GEARINGS, E&amp;Enot'!$AH$196:$AH$217</c:f>
              <c:numCache>
                <c:formatCode>0%</c:formatCode>
                <c:ptCount val="22"/>
                <c:pt idx="0">
                  <c:v>0.42399287000325037</c:v>
                </c:pt>
                <c:pt idx="1">
                  <c:v>0.67997702229572432</c:v>
                </c:pt>
                <c:pt idx="2">
                  <c:v>0.49050145598877937</c:v>
                </c:pt>
                <c:pt idx="3">
                  <c:v>0.56717095077467305</c:v>
                </c:pt>
                <c:pt idx="4">
                  <c:v>0.60887331285954671</c:v>
                </c:pt>
                <c:pt idx="5">
                  <c:v>0.30558583418722468</c:v>
                </c:pt>
                <c:pt idx="6">
                  <c:v>0.51826084585195908</c:v>
                </c:pt>
                <c:pt idx="7">
                  <c:v>0.48384306036910518</c:v>
                </c:pt>
                <c:pt idx="8">
                  <c:v>0.23215418017261674</c:v>
                </c:pt>
                <c:pt idx="9">
                  <c:v>0.50834561454306215</c:v>
                </c:pt>
                <c:pt idx="10">
                  <c:v>0.24190098439360719</c:v>
                </c:pt>
                <c:pt idx="11">
                  <c:v>0.17383796150947908</c:v>
                </c:pt>
                <c:pt idx="12">
                  <c:v>0.24509229252810941</c:v>
                </c:pt>
                <c:pt idx="13">
                  <c:v>0.16307046534988884</c:v>
                </c:pt>
                <c:pt idx="14">
                  <c:v>0.51528895508035288</c:v>
                </c:pt>
                <c:pt idx="15">
                  <c:v>0.3899242463002407</c:v>
                </c:pt>
                <c:pt idx="16">
                  <c:v>0.13477545507373562</c:v>
                </c:pt>
                <c:pt idx="17">
                  <c:v>0.14726898954609682</c:v>
                </c:pt>
                <c:pt idx="18">
                  <c:v>0.38160323267486906</c:v>
                </c:pt>
                <c:pt idx="19">
                  <c:v>0.37025195227815472</c:v>
                </c:pt>
                <c:pt idx="20">
                  <c:v>0.1536920907726812</c:v>
                </c:pt>
                <c:pt idx="21">
                  <c:v>0.16489915086810925</c:v>
                </c:pt>
              </c:numCache>
            </c:numRef>
          </c:val>
        </c:ser>
        <c:ser>
          <c:idx val="1"/>
          <c:order val="1"/>
          <c:tx>
            <c:v>+ Operating Leases (% g excl. OL)</c:v>
          </c:tx>
          <c:spPr>
            <a:solidFill>
              <a:srgbClr val="FFC000"/>
            </a:solidFill>
          </c:spPr>
          <c:dLbls>
            <c:dLbl>
              <c:idx val="0"/>
              <c:layout>
                <c:manualLayout>
                  <c:x val="6.7734365282101083E-2"/>
                  <c:y val="0"/>
                </c:manualLayout>
              </c:layout>
              <c:tx>
                <c:strRef>
                  <c:f>'GEARINGS, E&amp;Enot'!$M$196</c:f>
                  <c:strCache>
                    <c:ptCount val="1"/>
                    <c:pt idx="0">
                      <c:v>1%</c:v>
                    </c:pt>
                  </c:strCache>
                </c:strRef>
              </c:tx>
              <c:spPr/>
              <c:txPr>
                <a:bodyPr/>
                <a:lstStyle/>
                <a:p>
                  <a:pPr>
                    <a:defRPr sz="1200" b="0" i="0" strike="noStrike">
                      <a:latin typeface="Arial"/>
                    </a:defRPr>
                  </a:pPr>
                  <a:endParaRPr lang="fr-FR"/>
                </a:p>
              </c:txPr>
              <c:dLblPos val="ctr"/>
              <c:showVal val="1"/>
            </c:dLbl>
            <c:dLbl>
              <c:idx val="1"/>
              <c:layout>
                <c:manualLayout>
                  <c:x val="6.862358617695935E-2"/>
                  <c:y val="0"/>
                </c:manualLayout>
              </c:layout>
              <c:tx>
                <c:strRef>
                  <c:f>'GEARINGS, E&amp;Enot'!$M$197</c:f>
                  <c:strCache>
                    <c:ptCount val="1"/>
                    <c:pt idx="0">
                      <c:v>1%</c:v>
                    </c:pt>
                  </c:strCache>
                </c:strRef>
              </c:tx>
              <c:spPr/>
              <c:txPr>
                <a:bodyPr/>
                <a:lstStyle/>
                <a:p>
                  <a:pPr>
                    <a:defRPr sz="1000" b="0" i="0" strike="noStrike">
                      <a:latin typeface="Arial"/>
                    </a:defRPr>
                  </a:pPr>
                  <a:endParaRPr lang="fr-FR"/>
                </a:p>
              </c:txPr>
              <c:dLblPos val="ctr"/>
              <c:showVal val="1"/>
            </c:dLbl>
            <c:dLbl>
              <c:idx val="2"/>
              <c:layout>
                <c:manualLayout>
                  <c:x val="6.9567789432492533E-2"/>
                  <c:y val="0"/>
                </c:manualLayout>
              </c:layout>
              <c:tx>
                <c:strRef>
                  <c:f>'GEARINGS, E&amp;Enot'!$M$198</c:f>
                  <c:strCache>
                    <c:ptCount val="1"/>
                    <c:pt idx="0">
                      <c:v>1%</c:v>
                    </c:pt>
                  </c:strCache>
                </c:strRef>
              </c:tx>
              <c:spPr/>
              <c:txPr>
                <a:bodyPr/>
                <a:lstStyle/>
                <a:p>
                  <a:pPr>
                    <a:defRPr sz="1000" b="0" i="0" strike="noStrike">
                      <a:latin typeface="Arial"/>
                    </a:defRPr>
                  </a:pPr>
                  <a:endParaRPr lang="fr-FR"/>
                </a:p>
              </c:txPr>
              <c:dLblPos val="ctr"/>
              <c:showVal val="1"/>
            </c:dLbl>
            <c:dLbl>
              <c:idx val="3"/>
              <c:layout>
                <c:manualLayout>
                  <c:x val="7.0160037700250782E-2"/>
                  <c:y val="0"/>
                </c:manualLayout>
              </c:layout>
              <c:tx>
                <c:strRef>
                  <c:f>'GEARINGS, E&amp;Enot'!$M$199</c:f>
                  <c:strCache>
                    <c:ptCount val="1"/>
                    <c:pt idx="0">
                      <c:v>1%</c:v>
                    </c:pt>
                  </c:strCache>
                </c:strRef>
              </c:tx>
              <c:spPr/>
              <c:txPr>
                <a:bodyPr/>
                <a:lstStyle/>
                <a:p>
                  <a:pPr>
                    <a:defRPr sz="1000" b="0" i="0" strike="noStrike">
                      <a:latin typeface="Arial"/>
                    </a:defRPr>
                  </a:pPr>
                  <a:endParaRPr lang="fr-FR"/>
                </a:p>
              </c:txPr>
              <c:dLblPos val="ctr"/>
              <c:showVal val="1"/>
            </c:dLbl>
            <c:dLbl>
              <c:idx val="4"/>
              <c:layout>
                <c:manualLayout>
                  <c:x val="7.8210201977024024E-2"/>
                  <c:y val="0"/>
                </c:manualLayout>
              </c:layout>
              <c:tx>
                <c:strRef>
                  <c:f>'GEARINGS, E&amp;Enot'!$M$200</c:f>
                  <c:strCache>
                    <c:ptCount val="1"/>
                    <c:pt idx="0">
                      <c:v>4%</c:v>
                    </c:pt>
                  </c:strCache>
                </c:strRef>
              </c:tx>
              <c:spPr/>
              <c:txPr>
                <a:bodyPr/>
                <a:lstStyle/>
                <a:p>
                  <a:pPr>
                    <a:defRPr sz="1000" b="0" i="0" strike="noStrike">
                      <a:latin typeface="Arial"/>
                    </a:defRPr>
                  </a:pPr>
                  <a:endParaRPr lang="fr-FR"/>
                </a:p>
              </c:txPr>
              <c:dLblPos val="ctr"/>
              <c:showVal val="1"/>
            </c:dLbl>
            <c:dLbl>
              <c:idx val="5"/>
              <c:layout>
                <c:manualLayout>
                  <c:x val="7.3143848958703669E-2"/>
                  <c:y val="0"/>
                </c:manualLayout>
              </c:layout>
              <c:tx>
                <c:strRef>
                  <c:f>'GEARINGS, E&amp;Enot'!$M$201</c:f>
                  <c:strCache>
                    <c:ptCount val="1"/>
                    <c:pt idx="0">
                      <c:v>4%</c:v>
                    </c:pt>
                  </c:strCache>
                </c:strRef>
              </c:tx>
              <c:spPr/>
              <c:txPr>
                <a:bodyPr/>
                <a:lstStyle/>
                <a:p>
                  <a:pPr>
                    <a:defRPr sz="1000" b="0" i="0" strike="noStrike">
                      <a:latin typeface="Arial"/>
                    </a:defRPr>
                  </a:pPr>
                  <a:endParaRPr lang="fr-FR"/>
                </a:p>
              </c:txPr>
              <c:dLblPos val="ctr"/>
              <c:showVal val="1"/>
            </c:dLbl>
            <c:dLbl>
              <c:idx val="6"/>
              <c:layout>
                <c:manualLayout>
                  <c:x val="8.1979887656103659E-2"/>
                  <c:y val="0"/>
                </c:manualLayout>
              </c:layout>
              <c:tx>
                <c:strRef>
                  <c:f>'GEARINGS, E&amp;Enot'!$M$202</c:f>
                  <c:strCache>
                    <c:ptCount val="1"/>
                    <c:pt idx="0">
                      <c:v>6%</c:v>
                    </c:pt>
                  </c:strCache>
                </c:strRef>
              </c:tx>
              <c:spPr/>
              <c:txPr>
                <a:bodyPr/>
                <a:lstStyle/>
                <a:p>
                  <a:pPr>
                    <a:defRPr sz="1000" b="0" i="0" strike="noStrike">
                      <a:latin typeface="Arial"/>
                    </a:defRPr>
                  </a:pPr>
                  <a:endParaRPr lang="fr-FR"/>
                </a:p>
              </c:txPr>
              <c:dLblPos val="ctr"/>
              <c:showVal val="1"/>
            </c:dLbl>
            <c:dLbl>
              <c:idx val="7"/>
              <c:layout>
                <c:manualLayout>
                  <c:x val="8.1969366340173766E-2"/>
                  <c:y val="0"/>
                </c:manualLayout>
              </c:layout>
              <c:tx>
                <c:strRef>
                  <c:f>'GEARINGS, E&amp;Enot'!$M$203</c:f>
                  <c:strCache>
                    <c:ptCount val="1"/>
                    <c:pt idx="0">
                      <c:v>6%</c:v>
                    </c:pt>
                  </c:strCache>
                </c:strRef>
              </c:tx>
              <c:spPr/>
              <c:txPr>
                <a:bodyPr/>
                <a:lstStyle/>
                <a:p>
                  <a:pPr>
                    <a:defRPr sz="1000" b="0" i="0" strike="noStrike">
                      <a:latin typeface="Arial"/>
                    </a:defRPr>
                  </a:pPr>
                  <a:endParaRPr lang="fr-FR"/>
                </a:p>
              </c:txPr>
              <c:dLblPos val="ctr"/>
              <c:showVal val="1"/>
            </c:dLbl>
            <c:dLbl>
              <c:idx val="8"/>
              <c:layout>
                <c:manualLayout>
                  <c:x val="7.5314124917549574E-2"/>
                  <c:y val="0"/>
                </c:manualLayout>
              </c:layout>
              <c:tx>
                <c:strRef>
                  <c:f>'GEARINGS, E&amp;Enot'!$M$204</c:f>
                  <c:strCache>
                    <c:ptCount val="1"/>
                    <c:pt idx="0">
                      <c:v>8%</c:v>
                    </c:pt>
                  </c:strCache>
                </c:strRef>
              </c:tx>
              <c:spPr/>
              <c:txPr>
                <a:bodyPr/>
                <a:lstStyle/>
                <a:p>
                  <a:pPr>
                    <a:defRPr sz="1000" b="0" i="0" strike="noStrike">
                      <a:latin typeface="Arial"/>
                    </a:defRPr>
                  </a:pPr>
                  <a:endParaRPr lang="fr-FR"/>
                </a:p>
              </c:txPr>
              <c:dLblPos val="ctr"/>
              <c:showVal val="1"/>
            </c:dLbl>
            <c:dLbl>
              <c:idx val="9"/>
              <c:layout>
                <c:manualLayout>
                  <c:x val="8.6498114054119182E-2"/>
                  <c:y val="0"/>
                </c:manualLayout>
              </c:layout>
              <c:tx>
                <c:strRef>
                  <c:f>'GEARINGS, E&amp;Enot'!$M$205</c:f>
                  <c:strCache>
                    <c:ptCount val="1"/>
                    <c:pt idx="0">
                      <c:v>8%</c:v>
                    </c:pt>
                  </c:strCache>
                </c:strRef>
              </c:tx>
              <c:spPr/>
              <c:txPr>
                <a:bodyPr/>
                <a:lstStyle/>
                <a:p>
                  <a:pPr>
                    <a:defRPr sz="1000" b="0" i="0" strike="noStrike">
                      <a:latin typeface="Arial"/>
                    </a:defRPr>
                  </a:pPr>
                  <a:endParaRPr lang="fr-FR"/>
                </a:p>
              </c:txPr>
              <c:dLblPos val="ctr"/>
              <c:showVal val="1"/>
            </c:dLbl>
            <c:dLbl>
              <c:idx val="10"/>
              <c:layout>
                <c:manualLayout>
                  <c:x val="7.6196388167999618E-2"/>
                  <c:y val="0"/>
                </c:manualLayout>
              </c:layout>
              <c:tx>
                <c:strRef>
                  <c:f>'GEARINGS, E&amp;Enot'!$M$206</c:f>
                  <c:strCache>
                    <c:ptCount val="1"/>
                    <c:pt idx="0">
                      <c:v>8%</c:v>
                    </c:pt>
                  </c:strCache>
                </c:strRef>
              </c:tx>
              <c:spPr/>
              <c:txPr>
                <a:bodyPr/>
                <a:lstStyle/>
                <a:p>
                  <a:pPr>
                    <a:defRPr sz="1000" b="0" i="0" strike="noStrike">
                      <a:latin typeface="Arial"/>
                    </a:defRPr>
                  </a:pPr>
                  <a:endParaRPr lang="fr-FR"/>
                </a:p>
              </c:txPr>
              <c:dLblPos val="ctr"/>
              <c:showVal val="1"/>
            </c:dLbl>
            <c:dLbl>
              <c:idx val="11"/>
              <c:layout>
                <c:manualLayout>
                  <c:x val="7.1927618776747693E-2"/>
                  <c:y val="0"/>
                </c:manualLayout>
              </c:layout>
              <c:tx>
                <c:strRef>
                  <c:f>'GEARINGS, E&amp;Enot'!$M$207</c:f>
                  <c:strCache>
                    <c:ptCount val="1"/>
                    <c:pt idx="0">
                      <c:v>13%</c:v>
                    </c:pt>
                  </c:strCache>
                </c:strRef>
              </c:tx>
              <c:spPr/>
              <c:txPr>
                <a:bodyPr/>
                <a:lstStyle/>
                <a:p>
                  <a:pPr>
                    <a:defRPr sz="1200" b="0" i="0" strike="noStrike">
                      <a:latin typeface="Arial"/>
                    </a:defRPr>
                  </a:pPr>
                  <a:endParaRPr lang="fr-FR"/>
                </a:p>
              </c:txPr>
              <c:dLblPos val="ctr"/>
              <c:showVal val="1"/>
            </c:dLbl>
            <c:dLbl>
              <c:idx val="12"/>
              <c:layout>
                <c:manualLayout>
                  <c:x val="7.7139233834379914E-2"/>
                  <c:y val="0"/>
                </c:manualLayout>
              </c:layout>
              <c:tx>
                <c:strRef>
                  <c:f>'GEARINGS, E&amp;Enot'!$M$208</c:f>
                  <c:strCache>
                    <c:ptCount val="1"/>
                    <c:pt idx="0">
                      <c:v>14%</c:v>
                    </c:pt>
                  </c:strCache>
                </c:strRef>
              </c:tx>
              <c:spPr/>
              <c:txPr>
                <a:bodyPr/>
                <a:lstStyle/>
                <a:p>
                  <a:pPr>
                    <a:defRPr sz="1000" b="0" i="0" strike="noStrike">
                      <a:latin typeface="Arial"/>
                    </a:defRPr>
                  </a:pPr>
                  <a:endParaRPr lang="fr-FR"/>
                </a:p>
              </c:txPr>
              <c:dLblPos val="ctr"/>
              <c:showVal val="1"/>
            </c:dLbl>
            <c:dLbl>
              <c:idx val="13"/>
              <c:layout>
                <c:manualLayout>
                  <c:x val="7.1650500891002736E-2"/>
                  <c:y val="0"/>
                </c:manualLayout>
              </c:layout>
              <c:tx>
                <c:strRef>
                  <c:f>'GEARINGS, E&amp;Enot'!$M$209</c:f>
                  <c:strCache>
                    <c:ptCount val="1"/>
                    <c:pt idx="0">
                      <c:v>14%</c:v>
                    </c:pt>
                  </c:strCache>
                </c:strRef>
              </c:tx>
              <c:spPr/>
              <c:txPr>
                <a:bodyPr/>
                <a:lstStyle/>
                <a:p>
                  <a:pPr>
                    <a:defRPr sz="1000" b="0" i="0" strike="noStrike">
                      <a:latin typeface="Arial"/>
                    </a:defRPr>
                  </a:pPr>
                  <a:endParaRPr lang="fr-FR"/>
                </a:p>
              </c:txPr>
              <c:dLblPos val="ctr"/>
              <c:showVal val="1"/>
            </c:dLbl>
            <c:dLbl>
              <c:idx val="14"/>
              <c:layout>
                <c:manualLayout>
                  <c:x val="9.6734505962279713E-2"/>
                  <c:y val="0"/>
                </c:manualLayout>
              </c:layout>
              <c:tx>
                <c:strRef>
                  <c:f>'GEARINGS, E&amp;Enot'!$M$210</c:f>
                  <c:strCache>
                    <c:ptCount val="1"/>
                    <c:pt idx="0">
                      <c:v>14%</c:v>
                    </c:pt>
                  </c:strCache>
                </c:strRef>
              </c:tx>
              <c:spPr/>
              <c:txPr>
                <a:bodyPr/>
                <a:lstStyle/>
                <a:p>
                  <a:pPr>
                    <a:defRPr sz="1000" b="0" i="0" strike="noStrike">
                      <a:latin typeface="Arial"/>
                    </a:defRPr>
                  </a:pPr>
                  <a:endParaRPr lang="fr-FR"/>
                </a:p>
              </c:txPr>
              <c:dLblPos val="ctr"/>
              <c:showVal val="1"/>
            </c:dLbl>
            <c:dLbl>
              <c:idx val="15"/>
              <c:layout>
                <c:manualLayout>
                  <c:x val="9.0840023560959743E-2"/>
                  <c:y val="0"/>
                </c:manualLayout>
              </c:layout>
              <c:tx>
                <c:strRef>
                  <c:f>'GEARINGS, E&amp;Enot'!$M$211</c:f>
                  <c:strCache>
                    <c:ptCount val="1"/>
                    <c:pt idx="0">
                      <c:v>16%</c:v>
                    </c:pt>
                  </c:strCache>
                </c:strRef>
              </c:tx>
              <c:spPr/>
              <c:txPr>
                <a:bodyPr/>
                <a:lstStyle/>
                <a:p>
                  <a:pPr>
                    <a:defRPr sz="1000" b="0" i="0" strike="noStrike">
                      <a:latin typeface="Arial"/>
                    </a:defRPr>
                  </a:pPr>
                  <a:endParaRPr lang="fr-FR"/>
                </a:p>
              </c:txPr>
              <c:dLblPos val="ctr"/>
              <c:showVal val="1"/>
            </c:dLbl>
            <c:dLbl>
              <c:idx val="16"/>
              <c:layout>
                <c:manualLayout>
                  <c:x val="7.2973301821427194E-2"/>
                  <c:y val="0"/>
                </c:manualLayout>
              </c:layout>
              <c:tx>
                <c:strRef>
                  <c:f>'GEARINGS, E&amp;Enot'!$M$212</c:f>
                  <c:strCache>
                    <c:ptCount val="1"/>
                    <c:pt idx="0">
                      <c:v>19%</c:v>
                    </c:pt>
                  </c:strCache>
                </c:strRef>
              </c:tx>
              <c:spPr/>
              <c:txPr>
                <a:bodyPr/>
                <a:lstStyle/>
                <a:p>
                  <a:pPr>
                    <a:defRPr sz="1000" b="0" i="0" strike="noStrike">
                      <a:latin typeface="Arial"/>
                    </a:defRPr>
                  </a:pPr>
                  <a:endParaRPr lang="fr-FR"/>
                </a:p>
              </c:txPr>
              <c:dLblPos val="ctr"/>
              <c:showVal val="1"/>
            </c:dLbl>
            <c:dLbl>
              <c:idx val="17"/>
              <c:layout>
                <c:manualLayout>
                  <c:x val="7.8915639240367833E-2"/>
                  <c:y val="0"/>
                </c:manualLayout>
              </c:layout>
              <c:tx>
                <c:strRef>
                  <c:f>'GEARINGS, E&amp;Enot'!$M$213</c:f>
                  <c:strCache>
                    <c:ptCount val="1"/>
                    <c:pt idx="0">
                      <c:v>25%</c:v>
                    </c:pt>
                  </c:strCache>
                </c:strRef>
              </c:tx>
              <c:spPr/>
              <c:txPr>
                <a:bodyPr/>
                <a:lstStyle/>
                <a:p>
                  <a:pPr>
                    <a:defRPr sz="1000" b="0" i="0" strike="noStrike">
                      <a:latin typeface="Arial"/>
                    </a:defRPr>
                  </a:pPr>
                  <a:endParaRPr lang="fr-FR"/>
                </a:p>
              </c:txPr>
              <c:dLblPos val="ctr"/>
              <c:showVal val="1"/>
            </c:dLbl>
            <c:dLbl>
              <c:idx val="18"/>
              <c:layout>
                <c:manualLayout>
                  <c:x val="0.10874085472794856"/>
                  <c:y val="0"/>
                </c:manualLayout>
              </c:layout>
              <c:tx>
                <c:strRef>
                  <c:f>'GEARINGS, E&amp;Enot'!$M$214</c:f>
                  <c:strCache>
                    <c:ptCount val="1"/>
                    <c:pt idx="0">
                      <c:v>25%</c:v>
                    </c:pt>
                  </c:strCache>
                </c:strRef>
              </c:tx>
              <c:spPr/>
              <c:txPr>
                <a:bodyPr/>
                <a:lstStyle/>
                <a:p>
                  <a:pPr>
                    <a:defRPr sz="1000" b="0" i="0" strike="noStrike">
                      <a:latin typeface="Arial"/>
                    </a:defRPr>
                  </a:pPr>
                  <a:endParaRPr lang="fr-FR"/>
                </a:p>
              </c:txPr>
              <c:dLblPos val="ctr"/>
              <c:showVal val="1"/>
            </c:dLbl>
            <c:dLbl>
              <c:idx val="19"/>
              <c:layout>
                <c:manualLayout>
                  <c:x val="0.11984440670723709"/>
                  <c:y val="0"/>
                </c:manualLayout>
              </c:layout>
              <c:tx>
                <c:strRef>
                  <c:f>'GEARINGS, E&amp;Enot'!$M$215</c:f>
                  <c:strCache>
                    <c:ptCount val="1"/>
                    <c:pt idx="0">
                      <c:v>32%</c:v>
                    </c:pt>
                  </c:strCache>
                </c:strRef>
              </c:tx>
              <c:spPr/>
              <c:txPr>
                <a:bodyPr/>
                <a:lstStyle/>
                <a:p>
                  <a:pPr>
                    <a:defRPr sz="1000" b="0" i="0" strike="noStrike">
                      <a:latin typeface="Arial"/>
                    </a:defRPr>
                  </a:pPr>
                  <a:endParaRPr lang="fr-FR"/>
                </a:p>
              </c:txPr>
              <c:dLblPos val="ctr"/>
              <c:showVal val="1"/>
            </c:dLbl>
            <c:dLbl>
              <c:idx val="20"/>
              <c:layout>
                <c:manualLayout>
                  <c:x val="8.8372944673660206E-2"/>
                  <c:y val="0"/>
                </c:manualLayout>
              </c:layout>
              <c:tx>
                <c:strRef>
                  <c:f>'GEARINGS, E&amp;Enot'!$M$216</c:f>
                  <c:strCache>
                    <c:ptCount val="1"/>
                    <c:pt idx="0">
                      <c:v>36%</c:v>
                    </c:pt>
                  </c:strCache>
                </c:strRef>
              </c:tx>
              <c:spPr/>
              <c:txPr>
                <a:bodyPr/>
                <a:lstStyle/>
                <a:p>
                  <a:pPr>
                    <a:defRPr sz="1000" b="0" i="0" strike="noStrike">
                      <a:latin typeface="Arial"/>
                    </a:defRPr>
                  </a:pPr>
                  <a:endParaRPr lang="fr-FR"/>
                </a:p>
              </c:txPr>
              <c:dLblPos val="ctr"/>
              <c:showVal val="1"/>
            </c:dLbl>
            <c:dLbl>
              <c:idx val="21"/>
              <c:layout>
                <c:manualLayout>
                  <c:x val="0.11592419833087808"/>
                  <c:y val="0"/>
                </c:manualLayout>
              </c:layout>
              <c:tx>
                <c:strRef>
                  <c:f>'GEARINGS, E&amp;Enot'!$M$217</c:f>
                  <c:strCache>
                    <c:ptCount val="1"/>
                    <c:pt idx="0">
                      <c:v>65%</c:v>
                    </c:pt>
                  </c:strCache>
                </c:strRef>
              </c:tx>
              <c:spPr/>
              <c:txPr>
                <a:bodyPr/>
                <a:lstStyle/>
                <a:p>
                  <a:pPr>
                    <a:defRPr sz="1200" b="0" i="0" strike="noStrike">
                      <a:latin typeface="Arial"/>
                    </a:defRPr>
                  </a:pPr>
                  <a:endParaRPr lang="fr-FR"/>
                </a:p>
              </c:txPr>
              <c:dLblPos val="ctr"/>
              <c:showVal val="1"/>
            </c:dLbl>
            <c:showVal val="1"/>
          </c:dLbls>
          <c:cat>
            <c:strRef>
              <c:f>'GEARINGS, E&amp;Enot'!$AG$196:$AG$217</c:f>
              <c:strCache>
                <c:ptCount val="22"/>
                <c:pt idx="0">
                  <c:v>TELENET</c:v>
                </c:pt>
                <c:pt idx="1">
                  <c:v>TIT</c:v>
                </c:pt>
                <c:pt idx="2">
                  <c:v>TKA</c:v>
                </c:pt>
                <c:pt idx="3">
                  <c:v>PT</c:v>
                </c:pt>
                <c:pt idx="4">
                  <c:v>OTE</c:v>
                </c:pt>
                <c:pt idx="5">
                  <c:v>SCM</c:v>
                </c:pt>
                <c:pt idx="6">
                  <c:v>KPN</c:v>
                </c:pt>
                <c:pt idx="7">
                  <c:v>TEF</c:v>
                </c:pt>
                <c:pt idx="8">
                  <c:v>TLSN</c:v>
                </c:pt>
                <c:pt idx="9">
                  <c:v>ORA</c:v>
                </c:pt>
                <c:pt idx="10">
                  <c:v>ELI</c:v>
                </c:pt>
                <c:pt idx="11">
                  <c:v>BELGACOM</c:v>
                </c:pt>
                <c:pt idx="12">
                  <c:v>VOD</c:v>
                </c:pt>
                <c:pt idx="13">
                  <c:v>TPS</c:v>
                </c:pt>
                <c:pt idx="14">
                  <c:v>DT</c:v>
                </c:pt>
                <c:pt idx="15">
                  <c:v>TDC</c:v>
                </c:pt>
                <c:pt idx="16">
                  <c:v>ILD</c:v>
                </c:pt>
                <c:pt idx="17">
                  <c:v>TEL</c:v>
                </c:pt>
                <c:pt idx="18">
                  <c:v>SNC</c:v>
                </c:pt>
                <c:pt idx="19">
                  <c:v>BT</c:v>
                </c:pt>
                <c:pt idx="20">
                  <c:v>TEL2</c:v>
                </c:pt>
                <c:pt idx="21">
                  <c:v>MOBISTAR</c:v>
                </c:pt>
              </c:strCache>
            </c:strRef>
          </c:cat>
          <c:val>
            <c:numRef>
              <c:f>'GEARINGS, E&amp;Enot'!$AI$196:$AI$217</c:f>
              <c:numCache>
                <c:formatCode>0%</c:formatCode>
                <c:ptCount val="22"/>
                <c:pt idx="0">
                  <c:v>2.9573643390376492E-3</c:v>
                </c:pt>
                <c:pt idx="1">
                  <c:v>4.5961501391620363E-3</c:v>
                </c:pt>
                <c:pt idx="2">
                  <c:v>6.4842828807925579E-3</c:v>
                </c:pt>
                <c:pt idx="3">
                  <c:v>7.6694021962473435E-3</c:v>
                </c:pt>
                <c:pt idx="4">
                  <c:v>2.500940162152776E-2</c:v>
                </c:pt>
                <c:pt idx="5">
                  <c:v>1.3636467231258886E-2</c:v>
                </c:pt>
                <c:pt idx="6">
                  <c:v>3.1308148362253818E-2</c:v>
                </c:pt>
                <c:pt idx="7">
                  <c:v>3.1287048988056343E-2</c:v>
                </c:pt>
                <c:pt idx="8">
                  <c:v>1.7976972508553457E-2</c:v>
                </c:pt>
                <c:pt idx="9">
                  <c:v>4.0640666398684355E-2</c:v>
                </c:pt>
                <c:pt idx="10">
                  <c:v>1.9741500884439211E-2</c:v>
                </c:pt>
                <c:pt idx="11">
                  <c:v>2.3186825311846848E-2</c:v>
                </c:pt>
                <c:pt idx="12">
                  <c:v>3.3609629735961127E-2</c:v>
                </c:pt>
                <c:pt idx="13">
                  <c:v>2.2632461433464091E-2</c:v>
                </c:pt>
                <c:pt idx="14">
                  <c:v>7.2799548070315856E-2</c:v>
                </c:pt>
                <c:pt idx="15">
                  <c:v>6.101092516450346E-2</c:v>
                </c:pt>
                <c:pt idx="16">
                  <c:v>2.5473012549392576E-2</c:v>
                </c:pt>
                <c:pt idx="17">
                  <c:v>3.7162372871396732E-2</c:v>
                </c:pt>
                <c:pt idx="18">
                  <c:v>9.6811952716971572E-2</c:v>
                </c:pt>
                <c:pt idx="19">
                  <c:v>0.11901864524699346</c:v>
                </c:pt>
                <c:pt idx="20">
                  <c:v>5.592232047851195E-2</c:v>
                </c:pt>
                <c:pt idx="21">
                  <c:v>0.10729022798540988</c:v>
                </c:pt>
              </c:numCache>
            </c:numRef>
          </c:val>
        </c:ser>
        <c:overlap val="100"/>
        <c:axId val="170541824"/>
        <c:axId val="170543360"/>
      </c:barChart>
      <c:catAx>
        <c:axId val="170541824"/>
        <c:scaling>
          <c:orientation val="minMax"/>
        </c:scaling>
        <c:axPos val="l"/>
        <c:tickLblPos val="nextTo"/>
        <c:crossAx val="170543360"/>
        <c:crosses val="autoZero"/>
        <c:auto val="1"/>
        <c:lblAlgn val="ctr"/>
        <c:lblOffset val="100"/>
      </c:catAx>
      <c:valAx>
        <c:axId val="170543360"/>
        <c:scaling>
          <c:orientation val="minMax"/>
        </c:scaling>
        <c:axPos val="b"/>
        <c:majorGridlines>
          <c:spPr>
            <a:ln>
              <a:solidFill>
                <a:schemeClr val="bg1">
                  <a:lumMod val="50000"/>
                </a:schemeClr>
              </a:solidFill>
              <a:prstDash val="dash"/>
            </a:ln>
          </c:spPr>
        </c:majorGridlines>
        <c:numFmt formatCode="0%" sourceLinked="1"/>
        <c:tickLblPos val="nextTo"/>
        <c:crossAx val="170541824"/>
        <c:crosses val="autoZero"/>
        <c:crossBetween val="between"/>
      </c:valAx>
    </c:plotArea>
    <c:legend>
      <c:legendPos val="b"/>
      <c:layout/>
      <c:txPr>
        <a:bodyPr/>
        <a:lstStyle/>
        <a:p>
          <a:pPr>
            <a:defRPr sz="1200"/>
          </a:pPr>
          <a:endParaRPr lang="fr-FR"/>
        </a:p>
      </c:txPr>
    </c:legend>
    <c:plotVisOnly val="1"/>
  </c:chart>
  <c:spPr>
    <a:ln>
      <a:noFill/>
    </a:ln>
  </c:spPr>
  <c:txPr>
    <a:bodyPr/>
    <a:lstStyle/>
    <a:p>
      <a:pPr>
        <a:defRPr sz="1000">
          <a:latin typeface="Arial" pitchFamily="34" charset="0"/>
          <a:cs typeface="Arial" pitchFamily="34" charset="0"/>
        </a:defRPr>
      </a:pPr>
      <a:endParaRPr lang="fr-FR"/>
    </a:p>
  </c:txPr>
  <c:printSettings>
    <c:headerFooter/>
    <c:pageMargins b="0.75000000000000855" l="0.70000000000000062" r="0.70000000000000062" t="0.7500000000000085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4536216939771804"/>
        </c:manualLayout>
      </c:layout>
      <c:lineChart>
        <c:grouping val="standard"/>
        <c:ser>
          <c:idx val="2"/>
          <c:order val="0"/>
          <c:tx>
            <c:strRef>
              <c:f>CALCULATIONS!$B$7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CALCULATIONS!$KO$7:$LC$7</c:f>
              <c:numCache>
                <c:formatCode>0.0</c:formatCode>
                <c:ptCount val="15"/>
                <c:pt idx="0">
                  <c:v>0.85780357758060832</c:v>
                </c:pt>
                <c:pt idx="1">
                  <c:v>0.60699163906695064</c:v>
                </c:pt>
                <c:pt idx="2">
                  <c:v>0.73258608367589573</c:v>
                </c:pt>
                <c:pt idx="3">
                  <c:v>0.63774509214022523</c:v>
                </c:pt>
                <c:pt idx="4">
                  <c:v>0.74671139174513146</c:v>
                </c:pt>
                <c:pt idx="5">
                  <c:v>0.7780181563411469</c:v>
                </c:pt>
                <c:pt idx="6">
                  <c:v>0.98612301734551489</c:v>
                </c:pt>
                <c:pt idx="7">
                  <c:v>0.8625256609875307</c:v>
                </c:pt>
                <c:pt idx="8">
                  <c:v>0.96943755578816437</c:v>
                </c:pt>
                <c:pt idx="9">
                  <c:v>0.86104856905117111</c:v>
                </c:pt>
                <c:pt idx="10">
                  <c:v>1.1345061634014335</c:v>
                </c:pt>
                <c:pt idx="11">
                  <c:v>1.00696420705061</c:v>
                </c:pt>
                <c:pt idx="12">
                  <c:v>1.0680698852526918</c:v>
                </c:pt>
                <c:pt idx="13">
                  <c:v>1.0276122349618302</c:v>
                </c:pt>
                <c:pt idx="14">
                  <c:v>1.3109622071604587</c:v>
                </c:pt>
              </c:numCache>
            </c:numRef>
          </c:val>
        </c:ser>
        <c:ser>
          <c:idx val="3"/>
          <c:order val="1"/>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CALCULATIONS!$KO$8:$LC$8</c:f>
              <c:numCache>
                <c:formatCode>0.0</c:formatCode>
                <c:ptCount val="15"/>
                <c:pt idx="0">
                  <c:v>0.99140741026170842</c:v>
                </c:pt>
                <c:pt idx="1">
                  <c:v>1.0341053184541793</c:v>
                </c:pt>
                <c:pt idx="2">
                  <c:v>1.0764088799855431</c:v>
                </c:pt>
                <c:pt idx="3">
                  <c:v>1.0853792994832576</c:v>
                </c:pt>
                <c:pt idx="4">
                  <c:v>1.0923265666380659</c:v>
                </c:pt>
                <c:pt idx="5">
                  <c:v>1.1239733181245217</c:v>
                </c:pt>
                <c:pt idx="6">
                  <c:v>1.1552605915532697</c:v>
                </c:pt>
                <c:pt idx="7">
                  <c:v>1.1393152586964637</c:v>
                </c:pt>
                <c:pt idx="8">
                  <c:v>1.1247741511519036</c:v>
                </c:pt>
                <c:pt idx="9">
                  <c:v>1.2241778689794098</c:v>
                </c:pt>
                <c:pt idx="10">
                  <c:v>1.3331098133770074</c:v>
                </c:pt>
                <c:pt idx="11">
                  <c:v>1.3262016813517561</c:v>
                </c:pt>
                <c:pt idx="12">
                  <c:v>1.3233837800550459</c:v>
                </c:pt>
                <c:pt idx="13">
                  <c:v>1.4917664703296698</c:v>
                </c:pt>
                <c:pt idx="14">
                  <c:v>1.6771658832683087</c:v>
                </c:pt>
              </c:numCache>
            </c:numRef>
          </c:val>
        </c:ser>
        <c:ser>
          <c:idx val="4"/>
          <c:order val="2"/>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CALCULATIONS!$KO$9:$LC$9</c:f>
              <c:numCache>
                <c:formatCode>0.0</c:formatCode>
                <c:ptCount val="15"/>
                <c:pt idx="0">
                  <c:v>3.7134687581369503</c:v>
                </c:pt>
                <c:pt idx="1">
                  <c:v>3.4765583591296414</c:v>
                </c:pt>
                <c:pt idx="2">
                  <c:v>3.3277388955868732</c:v>
                </c:pt>
                <c:pt idx="3">
                  <c:v>3.4846313666092215</c:v>
                </c:pt>
                <c:pt idx="4">
                  <c:v>3.4195292883911859</c:v>
                </c:pt>
                <c:pt idx="5">
                  <c:v>3.3001143745250228</c:v>
                </c:pt>
                <c:pt idx="6">
                  <c:v>3.1558288628331455</c:v>
                </c:pt>
                <c:pt idx="7">
                  <c:v>4.1154037088334867</c:v>
                </c:pt>
                <c:pt idx="8">
                  <c:v>3.8624086839036851</c:v>
                </c:pt>
                <c:pt idx="9">
                  <c:v>3.707629677440206</c:v>
                </c:pt>
                <c:pt idx="10">
                  <c:v>3.7407046780406041</c:v>
                </c:pt>
                <c:pt idx="11">
                  <c:v>3.9844819217170233</c:v>
                </c:pt>
                <c:pt idx="12">
                  <c:v>3.8319373368954697</c:v>
                </c:pt>
                <c:pt idx="13">
                  <c:v>3.8183032363599292</c:v>
                </c:pt>
                <c:pt idx="14">
                  <c:v>4.3704719780651446</c:v>
                </c:pt>
              </c:numCache>
            </c:numRef>
          </c:val>
        </c:ser>
        <c:marker val="1"/>
        <c:axId val="170563456"/>
        <c:axId val="170573824"/>
      </c:lineChart>
      <c:dateAx>
        <c:axId val="170563456"/>
        <c:scaling>
          <c:orientation val="minMax"/>
        </c:scaling>
        <c:axPos val="b"/>
        <c:numFmt formatCode="[$-409]mmm\-yy;@" sourceLinked="0"/>
        <c:tickLblPos val="nextTo"/>
        <c:crossAx val="170573824"/>
        <c:crosses val="autoZero"/>
        <c:auto val="1"/>
        <c:lblOffset val="100"/>
        <c:majorUnit val="6"/>
        <c:majorTimeUnit val="months"/>
      </c:dateAx>
      <c:valAx>
        <c:axId val="170573824"/>
        <c:scaling>
          <c:orientation val="minMax"/>
        </c:scaling>
        <c:axPos val="l"/>
        <c:majorGridlines>
          <c:spPr>
            <a:ln>
              <a:solidFill>
                <a:schemeClr val="bg1">
                  <a:lumMod val="50000"/>
                </a:schemeClr>
              </a:solidFill>
              <a:prstDash val="dash"/>
            </a:ln>
          </c:spPr>
        </c:majorGridlines>
        <c:numFmt formatCode="0.0" sourceLinked="1"/>
        <c:tickLblPos val="nextTo"/>
        <c:crossAx val="170563456"/>
        <c:crosses val="autoZero"/>
        <c:crossBetween val="between"/>
      </c:valAx>
      <c:spPr>
        <a:noFill/>
        <a:ln>
          <a:noFill/>
        </a:ln>
      </c:spPr>
    </c:plotArea>
    <c:legend>
      <c:legendPos val="b"/>
      <c:layout>
        <c:manualLayout>
          <c:xMode val="edge"/>
          <c:yMode val="edge"/>
          <c:x val="1.8161181940709661E-2"/>
          <c:y val="0.87243907844855306"/>
          <c:w val="0.97350564594659084"/>
          <c:h val="0.10978314377370038"/>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453621693977176"/>
        </c:manualLayout>
      </c:layout>
      <c:lineChart>
        <c:grouping val="standard"/>
        <c:ser>
          <c:idx val="16"/>
          <c:order val="0"/>
          <c:tx>
            <c:strRef>
              <c:f>CALCULATIONS!$B$21</c:f>
              <c:strCache>
                <c:ptCount val="1"/>
                <c:pt idx="0">
                  <c:v>BT</c:v>
                </c:pt>
              </c:strCache>
            </c:strRef>
          </c:tx>
          <c:spPr>
            <a:ln w="25400">
              <a:solidFill>
                <a:srgbClr val="FFC000"/>
              </a:solidFill>
            </a:ln>
          </c:spPr>
          <c:marker>
            <c:symbol val="diamond"/>
            <c:size val="7"/>
            <c:spPr>
              <a:solidFill>
                <a:srgbClr val="0070C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CALCULATIONS!$KO$21:$LC$21</c:f>
              <c:numCache>
                <c:formatCode>0.0</c:formatCode>
                <c:ptCount val="15"/>
                <c:pt idx="0">
                  <c:v>3.4540108426122931</c:v>
                </c:pt>
                <c:pt idx="1">
                  <c:v>2.5722102990881019</c:v>
                </c:pt>
                <c:pt idx="2">
                  <c:v>2.4424310935840725</c:v>
                </c:pt>
                <c:pt idx="3">
                  <c:v>2.376254266338083</c:v>
                </c:pt>
                <c:pt idx="4">
                  <c:v>2.2611064846245092</c:v>
                </c:pt>
                <c:pt idx="5">
                  <c:v>2.265634262862521</c:v>
                </c:pt>
                <c:pt idx="6">
                  <c:v>2.2276993525463267</c:v>
                </c:pt>
                <c:pt idx="7">
                  <c:v>2.1883920326349502</c:v>
                </c:pt>
                <c:pt idx="8">
                  <c:v>2.0877591347530133</c:v>
                </c:pt>
                <c:pt idx="9">
                  <c:v>2.3849178401937028</c:v>
                </c:pt>
                <c:pt idx="10">
                  <c:v>2.3747772292440383</c:v>
                </c:pt>
                <c:pt idx="11">
                  <c:v>2.3583562992736709</c:v>
                </c:pt>
                <c:pt idx="12">
                  <c:v>2.2555609744296414</c:v>
                </c:pt>
                <c:pt idx="13">
                  <c:v>2.1053769724534006</c:v>
                </c:pt>
                <c:pt idx="14">
                  <c:v>2.136201464388483</c:v>
                </c:pt>
              </c:numCache>
            </c:numRef>
          </c:val>
        </c:ser>
        <c:ser>
          <c:idx val="17"/>
          <c:order val="1"/>
          <c:tx>
            <c:strRef>
              <c:f>CALCULATIONS!$B$22</c:f>
              <c:strCache>
                <c:ptCount val="1"/>
                <c:pt idx="0">
                  <c:v>VOD</c:v>
                </c:pt>
              </c:strCache>
            </c:strRef>
          </c:tx>
          <c:spPr>
            <a:ln w="25400">
              <a:solidFill>
                <a:srgbClr val="C00000"/>
              </a:solidFill>
            </a:ln>
          </c:spPr>
          <c:marker>
            <c:symbol val="triangle"/>
            <c:size val="7"/>
            <c:spPr>
              <a:solidFill>
                <a:srgbClr val="0070C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CALCULATIONS!$KO$22:$LC$22</c:f>
              <c:numCache>
                <c:formatCode>0.0</c:formatCode>
                <c:ptCount val="15"/>
                <c:pt idx="0">
                  <c:v>2.3938120328410841</c:v>
                </c:pt>
                <c:pt idx="1">
                  <c:v>2.4003526502589283</c:v>
                </c:pt>
                <c:pt idx="2">
                  <c:v>2.4264492409385809</c:v>
                </c:pt>
                <c:pt idx="3">
                  <c:v>2.4523749460305031</c:v>
                </c:pt>
                <c:pt idx="4">
                  <c:v>2.4188855356318548</c:v>
                </c:pt>
                <c:pt idx="5">
                  <c:v>2.3759780500764887</c:v>
                </c:pt>
                <c:pt idx="6">
                  <c:v>2.0698584190065699</c:v>
                </c:pt>
                <c:pt idx="7">
                  <c:v>1.764193856311334</c:v>
                </c:pt>
                <c:pt idx="8">
                  <c:v>1.7064635202406915</c:v>
                </c:pt>
                <c:pt idx="9">
                  <c:v>1.6557234686451092</c:v>
                </c:pt>
                <c:pt idx="10">
                  <c:v>1.742164734609212</c:v>
                </c:pt>
                <c:pt idx="11">
                  <c:v>1.7956009108529667</c:v>
                </c:pt>
                <c:pt idx="12">
                  <c:v>2.0670767647357211</c:v>
                </c:pt>
                <c:pt idx="13">
                  <c:v>2.3348198024327131</c:v>
                </c:pt>
                <c:pt idx="14">
                  <c:v>2.3348198024327131</c:v>
                </c:pt>
              </c:numCache>
            </c:numRef>
          </c:val>
        </c:ser>
        <c:ser>
          <c:idx val="4"/>
          <c:order val="2"/>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CALCULATIONS!$KO$9:$LC$9</c:f>
              <c:numCache>
                <c:formatCode>0.0</c:formatCode>
                <c:ptCount val="15"/>
                <c:pt idx="0">
                  <c:v>3.7134687581369503</c:v>
                </c:pt>
                <c:pt idx="1">
                  <c:v>3.4765583591296414</c:v>
                </c:pt>
                <c:pt idx="2">
                  <c:v>3.3277388955868732</c:v>
                </c:pt>
                <c:pt idx="3">
                  <c:v>3.4846313666092215</c:v>
                </c:pt>
                <c:pt idx="4">
                  <c:v>3.4195292883911859</c:v>
                </c:pt>
                <c:pt idx="5">
                  <c:v>3.3001143745250228</c:v>
                </c:pt>
                <c:pt idx="6">
                  <c:v>3.1558288628331455</c:v>
                </c:pt>
                <c:pt idx="7">
                  <c:v>4.1154037088334867</c:v>
                </c:pt>
                <c:pt idx="8">
                  <c:v>3.8624086839036851</c:v>
                </c:pt>
                <c:pt idx="9">
                  <c:v>3.707629677440206</c:v>
                </c:pt>
                <c:pt idx="10">
                  <c:v>3.7407046780406041</c:v>
                </c:pt>
                <c:pt idx="11">
                  <c:v>3.9844819217170233</c:v>
                </c:pt>
                <c:pt idx="12">
                  <c:v>3.8319373368954697</c:v>
                </c:pt>
                <c:pt idx="13">
                  <c:v>3.8183032363599292</c:v>
                </c:pt>
                <c:pt idx="14">
                  <c:v>4.3704719780651446</c:v>
                </c:pt>
              </c:numCache>
            </c:numRef>
          </c:val>
        </c:ser>
        <c:ser>
          <c:idx val="3"/>
          <c:order val="3"/>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CALCULATIONS!$KO$8:$LC$8</c:f>
              <c:numCache>
                <c:formatCode>0.0</c:formatCode>
                <c:ptCount val="15"/>
                <c:pt idx="0">
                  <c:v>0.99140741026170842</c:v>
                </c:pt>
                <c:pt idx="1">
                  <c:v>1.0341053184541793</c:v>
                </c:pt>
                <c:pt idx="2">
                  <c:v>1.0764088799855431</c:v>
                </c:pt>
                <c:pt idx="3">
                  <c:v>1.0853792994832576</c:v>
                </c:pt>
                <c:pt idx="4">
                  <c:v>1.0923265666380659</c:v>
                </c:pt>
                <c:pt idx="5">
                  <c:v>1.1239733181245217</c:v>
                </c:pt>
                <c:pt idx="6">
                  <c:v>1.1552605915532697</c:v>
                </c:pt>
                <c:pt idx="7">
                  <c:v>1.1393152586964637</c:v>
                </c:pt>
                <c:pt idx="8">
                  <c:v>1.1247741511519036</c:v>
                </c:pt>
                <c:pt idx="9">
                  <c:v>1.2241778689794098</c:v>
                </c:pt>
                <c:pt idx="10">
                  <c:v>1.3331098133770074</c:v>
                </c:pt>
                <c:pt idx="11">
                  <c:v>1.3262016813517561</c:v>
                </c:pt>
                <c:pt idx="12">
                  <c:v>1.3233837800550459</c:v>
                </c:pt>
                <c:pt idx="13">
                  <c:v>1.4917664703296698</c:v>
                </c:pt>
                <c:pt idx="14">
                  <c:v>1.6771658832683087</c:v>
                </c:pt>
              </c:numCache>
            </c:numRef>
          </c:val>
        </c:ser>
        <c:ser>
          <c:idx val="0"/>
          <c:order val="4"/>
          <c:tx>
            <c:strRef>
              <c:f>CALCULATIONS!$B$26</c:f>
              <c:strCache>
                <c:ptCount val="1"/>
                <c:pt idx="0">
                  <c:v>SNC</c:v>
                </c:pt>
              </c:strCache>
            </c:strRef>
          </c:tx>
          <c:spPr>
            <a:ln w="22225">
              <a:solidFill>
                <a:srgbClr val="C00000"/>
              </a:solidFill>
            </a:ln>
          </c:spPr>
          <c:marker>
            <c:symbol val="none"/>
          </c:marker>
          <c:val>
            <c:numRef>
              <c:f>CALCULATIONS!$KO$26:$LC$26</c:f>
              <c:numCache>
                <c:formatCode>0.0</c:formatCode>
                <c:ptCount val="15"/>
                <c:pt idx="0">
                  <c:v>2.1869515319345236</c:v>
                </c:pt>
                <c:pt idx="1">
                  <c:v>2.0650885177422436</c:v>
                </c:pt>
                <c:pt idx="2">
                  <c:v>2.0165632367130932</c:v>
                </c:pt>
                <c:pt idx="3">
                  <c:v>1.9861884467960744</c:v>
                </c:pt>
                <c:pt idx="4">
                  <c:v>2.0490209364315932</c:v>
                </c:pt>
                <c:pt idx="5">
                  <c:v>2.0372990400833859</c:v>
                </c:pt>
                <c:pt idx="6">
                  <c:v>1.9513118537791414</c:v>
                </c:pt>
                <c:pt idx="7">
                  <c:v>1.726534859422175</c:v>
                </c:pt>
                <c:pt idx="8">
                  <c:v>1.5921186719096636</c:v>
                </c:pt>
                <c:pt idx="9">
                  <c:v>1.7722293618262999</c:v>
                </c:pt>
                <c:pt idx="10">
                  <c:v>1.7439624146481147</c:v>
                </c:pt>
                <c:pt idx="11">
                  <c:v>1.604286238773192</c:v>
                </c:pt>
                <c:pt idx="12">
                  <c:v>1.7453361504705158</c:v>
                </c:pt>
                <c:pt idx="13">
                  <c:v>1.7794058770368837</c:v>
                </c:pt>
                <c:pt idx="14">
                  <c:v>1.8160302149559577</c:v>
                </c:pt>
              </c:numCache>
            </c:numRef>
          </c:val>
        </c:ser>
        <c:ser>
          <c:idx val="1"/>
          <c:order val="5"/>
          <c:tx>
            <c:strRef>
              <c:f>CALCULATIONS!$B$13</c:f>
              <c:strCache>
                <c:ptCount val="1"/>
                <c:pt idx="0">
                  <c:v>ILD</c:v>
                </c:pt>
              </c:strCache>
            </c:strRef>
          </c:tx>
          <c:spPr>
            <a:ln w="22225">
              <a:solidFill>
                <a:srgbClr val="FFC000"/>
              </a:solidFill>
            </a:ln>
          </c:spPr>
          <c:marker>
            <c:symbol val="none"/>
          </c:marker>
          <c:val>
            <c:numRef>
              <c:f>CALCULATIONS!$KO$13:$LC$13</c:f>
              <c:numCache>
                <c:formatCode>0.0</c:formatCode>
                <c:ptCount val="15"/>
                <c:pt idx="0">
                  <c:v>1.0316616252605197</c:v>
                </c:pt>
                <c:pt idx="1">
                  <c:v>0.98003453333356261</c:v>
                </c:pt>
                <c:pt idx="2">
                  <c:v>0.90034175824771145</c:v>
                </c:pt>
                <c:pt idx="3">
                  <c:v>0.88870691668831781</c:v>
                </c:pt>
                <c:pt idx="4">
                  <c:v>0.87536636081633512</c:v>
                </c:pt>
                <c:pt idx="5">
                  <c:v>0.9856726829507314</c:v>
                </c:pt>
                <c:pt idx="6">
                  <c:v>1.0939340226663481</c:v>
                </c:pt>
                <c:pt idx="7">
                  <c:v>1.304141904233985</c:v>
                </c:pt>
                <c:pt idx="8">
                  <c:v>1.4922400442931911</c:v>
                </c:pt>
                <c:pt idx="9">
                  <c:v>1.5904173415378409</c:v>
                </c:pt>
                <c:pt idx="10">
                  <c:v>1.6882712052555244</c:v>
                </c:pt>
                <c:pt idx="11">
                  <c:v>1.5816062321690518</c:v>
                </c:pt>
                <c:pt idx="12">
                  <c:v>1.4857004670633451</c:v>
                </c:pt>
                <c:pt idx="13">
                  <c:v>1.3229345277777476</c:v>
                </c:pt>
                <c:pt idx="14">
                  <c:v>1.242834927692577</c:v>
                </c:pt>
              </c:numCache>
            </c:numRef>
          </c:val>
        </c:ser>
        <c:marker val="1"/>
        <c:axId val="170621952"/>
        <c:axId val="170627840"/>
      </c:lineChart>
      <c:dateAx>
        <c:axId val="170621952"/>
        <c:scaling>
          <c:orientation val="minMax"/>
        </c:scaling>
        <c:axPos val="b"/>
        <c:numFmt formatCode="[$-409]mmm\-yy;@" sourceLinked="0"/>
        <c:tickLblPos val="nextTo"/>
        <c:crossAx val="170627840"/>
        <c:crosses val="autoZero"/>
        <c:auto val="1"/>
        <c:lblOffset val="100"/>
        <c:majorUnit val="6"/>
        <c:majorTimeUnit val="months"/>
      </c:dateAx>
      <c:valAx>
        <c:axId val="170627840"/>
        <c:scaling>
          <c:orientation val="minMax"/>
        </c:scaling>
        <c:axPos val="l"/>
        <c:majorGridlines>
          <c:spPr>
            <a:ln>
              <a:solidFill>
                <a:schemeClr val="bg1">
                  <a:lumMod val="50000"/>
                </a:schemeClr>
              </a:solidFill>
              <a:prstDash val="dash"/>
            </a:ln>
          </c:spPr>
        </c:majorGridlines>
        <c:numFmt formatCode="0.0" sourceLinked="1"/>
        <c:tickLblPos val="nextTo"/>
        <c:crossAx val="170621952"/>
        <c:crosses val="autoZero"/>
        <c:crossBetween val="between"/>
      </c:valAx>
      <c:spPr>
        <a:noFill/>
        <a:ln>
          <a:noFill/>
        </a:ln>
      </c:spPr>
    </c:plotArea>
    <c:legend>
      <c:legendPos val="b"/>
      <c:layout>
        <c:manualLayout>
          <c:xMode val="edge"/>
          <c:yMode val="edge"/>
          <c:x val="1.8161181940709661E-2"/>
          <c:y val="0.87243907844855351"/>
          <c:w val="0.83257384982039051"/>
          <c:h val="6.0237189902266314E-2"/>
        </c:manualLayout>
      </c:layout>
    </c:legend>
    <c:plotVisOnly val="1"/>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4536216939771804"/>
        </c:manualLayout>
      </c:layout>
      <c:lineChart>
        <c:grouping val="standard"/>
        <c:ser>
          <c:idx val="2"/>
          <c:order val="0"/>
          <c:tx>
            <c:strRef>
              <c:f>CALCULATIONS!$B$7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CALCULATIONS!$HK$44:$HY$44</c:f>
              <c:numCache>
                <c:formatCode>0%</c:formatCode>
                <c:ptCount val="15"/>
                <c:pt idx="0">
                  <c:v>0.20015860822181847</c:v>
                </c:pt>
                <c:pt idx="1">
                  <c:v>0.15637595741809657</c:v>
                </c:pt>
                <c:pt idx="2">
                  <c:v>0.19166470879994948</c:v>
                </c:pt>
                <c:pt idx="3">
                  <c:v>0.15708151620068025</c:v>
                </c:pt>
                <c:pt idx="4">
                  <c:v>0.18534933727772515</c:v>
                </c:pt>
                <c:pt idx="5">
                  <c:v>0.15107889961592022</c:v>
                </c:pt>
                <c:pt idx="6">
                  <c:v>0.19322451129092647</c:v>
                </c:pt>
                <c:pt idx="7">
                  <c:v>0.18375563588209659</c:v>
                </c:pt>
                <c:pt idx="8">
                  <c:v>0.19729974692710131</c:v>
                </c:pt>
                <c:pt idx="9">
                  <c:v>0.17027869672691731</c:v>
                </c:pt>
                <c:pt idx="10">
                  <c:v>0.21812604513918368</c:v>
                </c:pt>
                <c:pt idx="11">
                  <c:v>0.18869327657203672</c:v>
                </c:pt>
                <c:pt idx="12">
                  <c:v>0.21687899743461636</c:v>
                </c:pt>
                <c:pt idx="13">
                  <c:v>0.2203272196092004</c:v>
                </c:pt>
                <c:pt idx="14">
                  <c:v>0.28756363720088318</c:v>
                </c:pt>
              </c:numCache>
            </c:numRef>
          </c:val>
        </c:ser>
        <c:ser>
          <c:idx val="0"/>
          <c:order val="1"/>
          <c:tx>
            <c:strRef>
              <c:f>CALCULATIONS!$B$10</c:f>
              <c:strCache>
                <c:ptCount val="1"/>
                <c:pt idx="0">
                  <c:v>TDC</c:v>
                </c:pt>
              </c:strCache>
            </c:strRef>
          </c:tx>
          <c:spPr>
            <a:ln w="22225">
              <a:solidFill>
                <a:schemeClr val="bg2">
                  <a:lumMod val="75000"/>
                </a:schemeClr>
              </a:solidFill>
              <a:prstDash val="solid"/>
            </a:ln>
          </c:spPr>
          <c:marker>
            <c:symbol val="square"/>
            <c:size val="5"/>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CALCULATIONS!$HK$47:$HY$47</c:f>
              <c:numCache>
                <c:formatCode>0%</c:formatCode>
                <c:ptCount val="15"/>
                <c:pt idx="0">
                  <c:v>0.45714618790245432</c:v>
                </c:pt>
                <c:pt idx="1">
                  <c:v>0.45759858135370385</c:v>
                </c:pt>
                <c:pt idx="2">
                  <c:v>0.47921904004458188</c:v>
                </c:pt>
                <c:pt idx="3">
                  <c:v>0.45748300479233606</c:v>
                </c:pt>
                <c:pt idx="4">
                  <c:v>0.42956066338194404</c:v>
                </c:pt>
                <c:pt idx="5">
                  <c:v>0.44932069694465154</c:v>
                </c:pt>
                <c:pt idx="6">
                  <c:v>0.42152031213288332</c:v>
                </c:pt>
                <c:pt idx="7">
                  <c:v>0.43261876851622022</c:v>
                </c:pt>
                <c:pt idx="8">
                  <c:v>0.4317184522649169</c:v>
                </c:pt>
                <c:pt idx="9">
                  <c:v>0.46675281832417964</c:v>
                </c:pt>
                <c:pt idx="10">
                  <c:v>0.46890550523374647</c:v>
                </c:pt>
                <c:pt idx="11">
                  <c:v>0.46520914151348258</c:v>
                </c:pt>
                <c:pt idx="12">
                  <c:v>0.47126048466553006</c:v>
                </c:pt>
                <c:pt idx="13">
                  <c:v>0.44941888737738012</c:v>
                </c:pt>
                <c:pt idx="14">
                  <c:v>0.43916945384982109</c:v>
                </c:pt>
              </c:numCache>
            </c:numRef>
          </c:val>
        </c:ser>
        <c:ser>
          <c:idx val="13"/>
          <c:order val="2"/>
          <c:tx>
            <c:strRef>
              <c:f>CALCULATIONS!$B$18</c:f>
              <c:strCache>
                <c:ptCount val="1"/>
                <c:pt idx="0">
                  <c:v>KPN</c:v>
                </c:pt>
              </c:strCache>
            </c:strRef>
          </c:tx>
          <c:spPr>
            <a:ln w="22225">
              <a:solidFill>
                <a:schemeClr val="accent3">
                  <a:lumMod val="50000"/>
                </a:schemeClr>
              </a:solidFill>
            </a:ln>
          </c:spPr>
          <c:marker>
            <c:symbol val="square"/>
            <c:size val="5"/>
            <c:spPr>
              <a:solidFill>
                <a:srgbClr val="9BBB59">
                  <a:lumMod val="50000"/>
                </a:srgb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CALCULATIONS!$HK$55:$HY$55</c:f>
              <c:numCache>
                <c:formatCode>0%</c:formatCode>
                <c:ptCount val="15"/>
                <c:pt idx="0">
                  <c:v>0.38996332556610758</c:v>
                </c:pt>
                <c:pt idx="1">
                  <c:v>0.40174346376663489</c:v>
                </c:pt>
                <c:pt idx="2">
                  <c:v>0.45026142618436604</c:v>
                </c:pt>
                <c:pt idx="3">
                  <c:v>0.4339513333731439</c:v>
                </c:pt>
                <c:pt idx="4">
                  <c:v>0.43382431062497023</c:v>
                </c:pt>
                <c:pt idx="5">
                  <c:v>0.41766769585666652</c:v>
                </c:pt>
                <c:pt idx="6">
                  <c:v>0.47515297084599867</c:v>
                </c:pt>
                <c:pt idx="7">
                  <c:v>0.49914071596366993</c:v>
                </c:pt>
                <c:pt idx="8">
                  <c:v>0.5117706146053288</c:v>
                </c:pt>
                <c:pt idx="9">
                  <c:v>0.54314892676892745</c:v>
                </c:pt>
                <c:pt idx="10">
                  <c:v>0.57822046192688159</c:v>
                </c:pt>
                <c:pt idx="11">
                  <c:v>0.63698100225567456</c:v>
                </c:pt>
                <c:pt idx="12">
                  <c:v>0.73270050902064932</c:v>
                </c:pt>
                <c:pt idx="13">
                  <c:v>0.79833832198778942</c:v>
                </c:pt>
                <c:pt idx="14">
                  <c:v>0.63323863537070213</c:v>
                </c:pt>
              </c:numCache>
            </c:numRef>
          </c:val>
        </c:ser>
        <c:ser>
          <c:idx val="1"/>
          <c:order val="3"/>
          <c:tx>
            <c:strRef>
              <c:f>CALCULATIONS!$B$16</c:f>
              <c:strCache>
                <c:ptCount val="1"/>
                <c:pt idx="0">
                  <c:v>TIT</c:v>
                </c:pt>
              </c:strCache>
            </c:strRef>
          </c:tx>
          <c:spPr>
            <a:ln w="19050">
              <a:solidFill>
                <a:schemeClr val="accent3">
                  <a:lumMod val="75000"/>
                </a:schemeClr>
              </a:solidFill>
            </a:ln>
          </c:spPr>
          <c:marker>
            <c:symbol val="none"/>
          </c:marker>
          <c:val>
            <c:numRef>
              <c:f>CALCULATIONS!$HK$53:$HY$53</c:f>
              <c:numCache>
                <c:formatCode>0%</c:formatCode>
                <c:ptCount val="15"/>
                <c:pt idx="0">
                  <c:v>0.64016098293328672</c:v>
                </c:pt>
                <c:pt idx="1">
                  <c:v>0.64218532663269057</c:v>
                </c:pt>
                <c:pt idx="2">
                  <c:v>0.68467718162589686</c:v>
                </c:pt>
                <c:pt idx="3">
                  <c:v>0.65445337322435859</c:v>
                </c:pt>
                <c:pt idx="4">
                  <c:v>0.6530661065824731</c:v>
                </c:pt>
                <c:pt idx="5">
                  <c:v>0.6157208191922936</c:v>
                </c:pt>
                <c:pt idx="6">
                  <c:v>0.64883597126831172</c:v>
                </c:pt>
                <c:pt idx="7">
                  <c:v>0.6846947076169474</c:v>
                </c:pt>
                <c:pt idx="8">
                  <c:v>0.68312920452585058</c:v>
                </c:pt>
                <c:pt idx="9">
                  <c:v>0.66516963331993406</c:v>
                </c:pt>
                <c:pt idx="10">
                  <c:v>0.69770842791231402</c:v>
                </c:pt>
                <c:pt idx="11">
                  <c:v>0.69133930099356922</c:v>
                </c:pt>
                <c:pt idx="12">
                  <c:v>0.70996682298780567</c:v>
                </c:pt>
                <c:pt idx="13">
                  <c:v>0.75396862128794373</c:v>
                </c:pt>
                <c:pt idx="14">
                  <c:v>0.75672107111582532</c:v>
                </c:pt>
              </c:numCache>
            </c:numRef>
          </c:val>
        </c:ser>
        <c:ser>
          <c:idx val="3"/>
          <c:order val="4"/>
          <c:tx>
            <c:strRef>
              <c:f>CALCULATIONS!$B$19</c:f>
              <c:strCache>
                <c:ptCount val="1"/>
                <c:pt idx="0">
                  <c:v>TPS</c:v>
                </c:pt>
              </c:strCache>
            </c:strRef>
          </c:tx>
          <c:spPr>
            <a:ln w="19050">
              <a:solidFill>
                <a:schemeClr val="accent3">
                  <a:lumMod val="75000"/>
                </a:schemeClr>
              </a:solidFill>
              <a:prstDash val="sysDash"/>
            </a:ln>
          </c:spPr>
          <c:marker>
            <c:symbol val="none"/>
          </c:marker>
          <c:val>
            <c:numRef>
              <c:f>CALCULATIONS!$HK$56:$HY$56</c:f>
              <c:numCache>
                <c:formatCode>0%</c:formatCode>
                <c:ptCount val="15"/>
                <c:pt idx="0">
                  <c:v>0.17989145067424506</c:v>
                </c:pt>
                <c:pt idx="1">
                  <c:v>0.15488420138715034</c:v>
                </c:pt>
                <c:pt idx="2">
                  <c:v>0.15187235711983951</c:v>
                </c:pt>
                <c:pt idx="3">
                  <c:v>0.1549776523010952</c:v>
                </c:pt>
                <c:pt idx="4">
                  <c:v>0.15220419294019369</c:v>
                </c:pt>
                <c:pt idx="5">
                  <c:v>0.13837930974567697</c:v>
                </c:pt>
                <c:pt idx="6">
                  <c:v>5.9079764987643307E-2</c:v>
                </c:pt>
                <c:pt idx="7">
                  <c:v>0.11822574491549286</c:v>
                </c:pt>
                <c:pt idx="8">
                  <c:v>0.10235205409064563</c:v>
                </c:pt>
                <c:pt idx="9">
                  <c:v>0.17447964694034374</c:v>
                </c:pt>
                <c:pt idx="10">
                  <c:v>0.17656458361512248</c:v>
                </c:pt>
                <c:pt idx="11">
                  <c:v>0.21525846386444203</c:v>
                </c:pt>
                <c:pt idx="12">
                  <c:v>0.25122268544148668</c:v>
                </c:pt>
                <c:pt idx="13">
                  <c:v>0.377545581839138</c:v>
                </c:pt>
                <c:pt idx="14">
                  <c:v>0.34197601038246805</c:v>
                </c:pt>
              </c:numCache>
            </c:numRef>
          </c:val>
        </c:ser>
        <c:ser>
          <c:idx val="20"/>
          <c:order val="5"/>
          <c:tx>
            <c:strRef>
              <c:f>CALCULATIONS!$B$25</c:f>
              <c:strCache>
                <c:ptCount val="1"/>
                <c:pt idx="0">
                  <c:v>SCM</c:v>
                </c:pt>
              </c:strCache>
            </c:strRef>
          </c:tx>
          <c:spPr>
            <a:ln w="19050">
              <a:solidFill>
                <a:schemeClr val="bg2">
                  <a:lumMod val="75000"/>
                </a:schemeClr>
              </a:solidFill>
              <a:prstDash val="solid"/>
            </a:ln>
          </c:spPr>
          <c:marker>
            <c:symbol val="none"/>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CALCULATIONS!$HK$62:$HY$62</c:f>
              <c:numCache>
                <c:formatCode>0%</c:formatCode>
                <c:ptCount val="15"/>
                <c:pt idx="0">
                  <c:v>0.33284276625171083</c:v>
                </c:pt>
                <c:pt idx="1">
                  <c:v>0.325236591625295</c:v>
                </c:pt>
                <c:pt idx="2">
                  <c:v>0.35099231121562197</c:v>
                </c:pt>
                <c:pt idx="3">
                  <c:v>0.32670748508644687</c:v>
                </c:pt>
                <c:pt idx="4">
                  <c:v>0.31474148883466341</c:v>
                </c:pt>
                <c:pt idx="5">
                  <c:v>0.30846766308426782</c:v>
                </c:pt>
                <c:pt idx="6">
                  <c:v>0.33825245611310373</c:v>
                </c:pt>
                <c:pt idx="7">
                  <c:v>0.33412860982799336</c:v>
                </c:pt>
                <c:pt idx="8">
                  <c:v>0.32728624048925437</c:v>
                </c:pt>
                <c:pt idx="9">
                  <c:v>0.32215614352162769</c:v>
                </c:pt>
                <c:pt idx="10">
                  <c:v>0.32431194146150577</c:v>
                </c:pt>
                <c:pt idx="11">
                  <c:v>0.32262458264990379</c:v>
                </c:pt>
                <c:pt idx="12">
                  <c:v>0.30107613475000317</c:v>
                </c:pt>
                <c:pt idx="13">
                  <c:v>0.27552258749341224</c:v>
                </c:pt>
                <c:pt idx="14">
                  <c:v>0.30362227391248225</c:v>
                </c:pt>
              </c:numCache>
            </c:numRef>
          </c:val>
        </c:ser>
        <c:ser>
          <c:idx val="4"/>
          <c:order val="6"/>
          <c:tx>
            <c:strRef>
              <c:f>CALCULATIONS!$B$6</c:f>
              <c:strCache>
                <c:ptCount val="1"/>
                <c:pt idx="0">
                  <c:v>TKA</c:v>
                </c:pt>
              </c:strCache>
            </c:strRef>
          </c:tx>
          <c:spPr>
            <a:ln w="19050">
              <a:solidFill>
                <a:schemeClr val="accent3">
                  <a:lumMod val="75000"/>
                </a:schemeClr>
              </a:solidFill>
              <a:prstDash val="dash"/>
            </a:ln>
          </c:spPr>
          <c:marker>
            <c:symbol val="none"/>
          </c:marker>
          <c:val>
            <c:numRef>
              <c:f>CALCULATIONS!$HK$43:$HY$43</c:f>
              <c:numCache>
                <c:formatCode>0%</c:formatCode>
                <c:ptCount val="15"/>
                <c:pt idx="0">
                  <c:v>0.42425875843701322</c:v>
                </c:pt>
                <c:pt idx="1">
                  <c:v>0.40066820400578501</c:v>
                </c:pt>
                <c:pt idx="2">
                  <c:v>0.44187886716513403</c:v>
                </c:pt>
                <c:pt idx="3">
                  <c:v>0.37368331958919732</c:v>
                </c:pt>
                <c:pt idx="4">
                  <c:v>0.4248586569263863</c:v>
                </c:pt>
                <c:pt idx="5">
                  <c:v>0.42790254930033284</c:v>
                </c:pt>
                <c:pt idx="6">
                  <c:v>0.48210950131634289</c:v>
                </c:pt>
                <c:pt idx="7">
                  <c:v>0.51254771371859198</c:v>
                </c:pt>
                <c:pt idx="8">
                  <c:v>0.45491433161360073</c:v>
                </c:pt>
                <c:pt idx="9">
                  <c:v>0.465641871913135</c:v>
                </c:pt>
                <c:pt idx="10">
                  <c:v>0.50177090554661785</c:v>
                </c:pt>
                <c:pt idx="11">
                  <c:v>0.57526092367076309</c:v>
                </c:pt>
                <c:pt idx="12">
                  <c:v>0.56363961733210066</c:v>
                </c:pt>
                <c:pt idx="13">
                  <c:v>0.61341498692103946</c:v>
                </c:pt>
                <c:pt idx="14">
                  <c:v>0.62319136029119382</c:v>
                </c:pt>
              </c:numCache>
            </c:numRef>
          </c:val>
        </c:ser>
        <c:marker val="1"/>
        <c:axId val="170750720"/>
        <c:axId val="170752256"/>
      </c:lineChart>
      <c:dateAx>
        <c:axId val="170750720"/>
        <c:scaling>
          <c:orientation val="minMax"/>
        </c:scaling>
        <c:axPos val="b"/>
        <c:numFmt formatCode="[$-409]mmm\-yy;@" sourceLinked="0"/>
        <c:tickLblPos val="nextTo"/>
        <c:crossAx val="170752256"/>
        <c:crosses val="autoZero"/>
        <c:auto val="1"/>
        <c:lblOffset val="100"/>
        <c:majorUnit val="6"/>
        <c:majorTimeUnit val="months"/>
      </c:dateAx>
      <c:valAx>
        <c:axId val="170752256"/>
        <c:scaling>
          <c:orientation val="minMax"/>
        </c:scaling>
        <c:axPos val="l"/>
        <c:majorGridlines>
          <c:spPr>
            <a:ln>
              <a:solidFill>
                <a:schemeClr val="bg1">
                  <a:lumMod val="50000"/>
                </a:schemeClr>
              </a:solidFill>
              <a:prstDash val="dash"/>
            </a:ln>
          </c:spPr>
        </c:majorGridlines>
        <c:numFmt formatCode="0%" sourceLinked="1"/>
        <c:tickLblPos val="nextTo"/>
        <c:crossAx val="170750720"/>
        <c:crosses val="autoZero"/>
        <c:crossBetween val="between"/>
      </c:valAx>
      <c:spPr>
        <a:noFill/>
        <a:ln>
          <a:noFill/>
        </a:ln>
      </c:spPr>
    </c:plotArea>
    <c:legend>
      <c:legendPos val="b"/>
      <c:layout>
        <c:manualLayout>
          <c:xMode val="edge"/>
          <c:yMode val="edge"/>
          <c:x val="1.8161181940709661E-2"/>
          <c:y val="0.87243907844855306"/>
          <c:w val="0.9774531068143385"/>
          <c:h val="9.0786887109525691E-2"/>
        </c:manualLayout>
      </c:layout>
    </c:legend>
    <c:plotVisOnly val="1"/>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453621693977176"/>
        </c:manualLayout>
      </c:layout>
      <c:lineChart>
        <c:grouping val="standard"/>
        <c:ser>
          <c:idx val="2"/>
          <c:order val="0"/>
          <c:tx>
            <c:strRef>
              <c:f>CALCULATIONS!$B$7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CALCULATIONS!$HK$44:$HY$44</c:f>
              <c:numCache>
                <c:formatCode>0%</c:formatCode>
                <c:ptCount val="15"/>
                <c:pt idx="0">
                  <c:v>0.20015860822181847</c:v>
                </c:pt>
                <c:pt idx="1">
                  <c:v>0.15637595741809657</c:v>
                </c:pt>
                <c:pt idx="2">
                  <c:v>0.19166470879994948</c:v>
                </c:pt>
                <c:pt idx="3">
                  <c:v>0.15708151620068025</c:v>
                </c:pt>
                <c:pt idx="4">
                  <c:v>0.18534933727772515</c:v>
                </c:pt>
                <c:pt idx="5">
                  <c:v>0.15107889961592022</c:v>
                </c:pt>
                <c:pt idx="6">
                  <c:v>0.19322451129092647</c:v>
                </c:pt>
                <c:pt idx="7">
                  <c:v>0.18375563588209659</c:v>
                </c:pt>
                <c:pt idx="8">
                  <c:v>0.19729974692710131</c:v>
                </c:pt>
                <c:pt idx="9">
                  <c:v>0.17027869672691731</c:v>
                </c:pt>
                <c:pt idx="10">
                  <c:v>0.21812604513918368</c:v>
                </c:pt>
                <c:pt idx="11">
                  <c:v>0.18869327657203672</c:v>
                </c:pt>
                <c:pt idx="12">
                  <c:v>0.21687899743461636</c:v>
                </c:pt>
                <c:pt idx="13">
                  <c:v>0.2203272196092004</c:v>
                </c:pt>
                <c:pt idx="14">
                  <c:v>0.28756363720088318</c:v>
                </c:pt>
              </c:numCache>
            </c:numRef>
          </c:val>
        </c:ser>
        <c:ser>
          <c:idx val="3"/>
          <c:order val="1"/>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CALCULATIONS!$HK$45:$HY$45</c:f>
              <c:numCache>
                <c:formatCode>0%</c:formatCode>
                <c:ptCount val="15"/>
                <c:pt idx="0">
                  <c:v>0.17782338342712184</c:v>
                </c:pt>
                <c:pt idx="1">
                  <c:v>0.19133327286441576</c:v>
                </c:pt>
                <c:pt idx="2">
                  <c:v>0.20566035155923143</c:v>
                </c:pt>
                <c:pt idx="3">
                  <c:v>0.19529400485537676</c:v>
                </c:pt>
                <c:pt idx="4">
                  <c:v>0.1857357403879977</c:v>
                </c:pt>
                <c:pt idx="5">
                  <c:v>0.18251603426575017</c:v>
                </c:pt>
                <c:pt idx="6">
                  <c:v>0.17951141684610042</c:v>
                </c:pt>
                <c:pt idx="7">
                  <c:v>0.19461391334390823</c:v>
                </c:pt>
                <c:pt idx="8">
                  <c:v>0.21334564271236822</c:v>
                </c:pt>
                <c:pt idx="9">
                  <c:v>0.25835323631844559</c:v>
                </c:pt>
                <c:pt idx="10">
                  <c:v>0.31687818834722925</c:v>
                </c:pt>
                <c:pt idx="11">
                  <c:v>0.3468208820258078</c:v>
                </c:pt>
                <c:pt idx="12">
                  <c:v>0.38444680732634928</c:v>
                </c:pt>
                <c:pt idx="13">
                  <c:v>0.41909511400886007</c:v>
                </c:pt>
                <c:pt idx="14">
                  <c:v>0.4561905930983241</c:v>
                </c:pt>
              </c:numCache>
            </c:numRef>
          </c:val>
        </c:ser>
        <c:ser>
          <c:idx val="4"/>
          <c:order val="2"/>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CALCULATIONS!$HK$46:$HY$46</c:f>
              <c:numCache>
                <c:formatCode>0%</c:formatCode>
                <c:ptCount val="15"/>
                <c:pt idx="0">
                  <c:v>0.50261617157260619</c:v>
                </c:pt>
                <c:pt idx="1">
                  <c:v>0.46283410666608638</c:v>
                </c:pt>
                <c:pt idx="2">
                  <c:v>0.4640683722500239</c:v>
                </c:pt>
                <c:pt idx="3">
                  <c:v>0.45222436615696288</c:v>
                </c:pt>
                <c:pt idx="4">
                  <c:v>0.40678261884422395</c:v>
                </c:pt>
                <c:pt idx="5">
                  <c:v>0.37178729606389038</c:v>
                </c:pt>
                <c:pt idx="6">
                  <c:v>0.36792052162676608</c:v>
                </c:pt>
                <c:pt idx="7">
                  <c:v>0.46544877279506219</c:v>
                </c:pt>
                <c:pt idx="8">
                  <c:v>0.44138119570523726</c:v>
                </c:pt>
                <c:pt idx="9">
                  <c:v>0.42583131816712549</c:v>
                </c:pt>
                <c:pt idx="10">
                  <c:v>0.40754165826630995</c:v>
                </c:pt>
                <c:pt idx="11">
                  <c:v>0.4363634349502537</c:v>
                </c:pt>
                <c:pt idx="12">
                  <c:v>0.42302270192736452</c:v>
                </c:pt>
                <c:pt idx="13">
                  <c:v>0.40471537584686967</c:v>
                </c:pt>
                <c:pt idx="14">
                  <c:v>0.4832654138496531</c:v>
                </c:pt>
              </c:numCache>
            </c:numRef>
          </c:val>
        </c:ser>
        <c:marker val="1"/>
        <c:axId val="170781696"/>
        <c:axId val="170808448"/>
      </c:lineChart>
      <c:dateAx>
        <c:axId val="170781696"/>
        <c:scaling>
          <c:orientation val="minMax"/>
        </c:scaling>
        <c:axPos val="b"/>
        <c:numFmt formatCode="[$-409]mmm\-yy;@" sourceLinked="0"/>
        <c:tickLblPos val="nextTo"/>
        <c:crossAx val="170808448"/>
        <c:crosses val="autoZero"/>
        <c:auto val="1"/>
        <c:lblOffset val="100"/>
        <c:majorUnit val="6"/>
        <c:majorTimeUnit val="months"/>
      </c:dateAx>
      <c:valAx>
        <c:axId val="170808448"/>
        <c:scaling>
          <c:orientation val="minMax"/>
        </c:scaling>
        <c:axPos val="l"/>
        <c:majorGridlines>
          <c:spPr>
            <a:ln>
              <a:solidFill>
                <a:schemeClr val="bg1">
                  <a:lumMod val="50000"/>
                </a:schemeClr>
              </a:solidFill>
              <a:prstDash val="dash"/>
            </a:ln>
          </c:spPr>
        </c:majorGridlines>
        <c:numFmt formatCode="0%" sourceLinked="1"/>
        <c:tickLblPos val="nextTo"/>
        <c:crossAx val="170781696"/>
        <c:crosses val="autoZero"/>
        <c:crossBetween val="between"/>
      </c:valAx>
      <c:spPr>
        <a:noFill/>
        <a:ln>
          <a:noFill/>
        </a:ln>
      </c:spPr>
    </c:plotArea>
    <c:legend>
      <c:legendPos val="b"/>
      <c:layout>
        <c:manualLayout>
          <c:xMode val="edge"/>
          <c:yMode val="edge"/>
          <c:x val="1.8161181940709661E-2"/>
          <c:y val="0.87243907844855351"/>
          <c:w val="0.97350564594659084"/>
          <c:h val="0.10978314377370045"/>
        </c:manualLayout>
      </c:layout>
    </c:legend>
    <c:plotVisOnly val="1"/>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4536216939771727"/>
        </c:manualLayout>
      </c:layout>
      <c:lineChart>
        <c:grouping val="standard"/>
        <c:ser>
          <c:idx val="16"/>
          <c:order val="0"/>
          <c:tx>
            <c:strRef>
              <c:f>CALCULATIONS!$B$21</c:f>
              <c:strCache>
                <c:ptCount val="1"/>
                <c:pt idx="0">
                  <c:v>BT</c:v>
                </c:pt>
              </c:strCache>
            </c:strRef>
          </c:tx>
          <c:spPr>
            <a:ln w="25400">
              <a:solidFill>
                <a:srgbClr val="FFC000"/>
              </a:solidFill>
            </a:ln>
          </c:spPr>
          <c:marker>
            <c:symbol val="diamond"/>
            <c:size val="7"/>
            <c:spPr>
              <a:solidFill>
                <a:srgbClr val="0070C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CALCULATIONS!$HK$58:$HY$58</c:f>
              <c:numCache>
                <c:formatCode>0%</c:formatCode>
                <c:ptCount val="15"/>
                <c:pt idx="0">
                  <c:v>0.62772176927557632</c:v>
                </c:pt>
                <c:pt idx="1">
                  <c:v>0.62824808062908566</c:v>
                </c:pt>
                <c:pt idx="2">
                  <c:v>0.60530144993751922</c:v>
                </c:pt>
                <c:pt idx="3">
                  <c:v>0.59626489005645689</c:v>
                </c:pt>
                <c:pt idx="4">
                  <c:v>0.52286326585817222</c:v>
                </c:pt>
                <c:pt idx="5">
                  <c:v>0.5044564310802967</c:v>
                </c:pt>
                <c:pt idx="6">
                  <c:v>0.48150713962887542</c:v>
                </c:pt>
                <c:pt idx="7">
                  <c:v>0.52800904261181547</c:v>
                </c:pt>
                <c:pt idx="8">
                  <c:v>0.4945296749708698</c:v>
                </c:pt>
                <c:pt idx="9">
                  <c:v>0.47141483063757739</c:v>
                </c:pt>
                <c:pt idx="10">
                  <c:v>0.4873973499699798</c:v>
                </c:pt>
                <c:pt idx="11">
                  <c:v>0.45752690454446737</c:v>
                </c:pt>
                <c:pt idx="12">
                  <c:v>0.44076573847172978</c:v>
                </c:pt>
                <c:pt idx="13">
                  <c:v>0.39634069249575571</c:v>
                </c:pt>
                <c:pt idx="14">
                  <c:v>0.37414035756341019</c:v>
                </c:pt>
              </c:numCache>
            </c:numRef>
          </c:val>
        </c:ser>
        <c:ser>
          <c:idx val="17"/>
          <c:order val="1"/>
          <c:tx>
            <c:strRef>
              <c:f>CALCULATIONS!$B$22</c:f>
              <c:strCache>
                <c:ptCount val="1"/>
                <c:pt idx="0">
                  <c:v>VOD</c:v>
                </c:pt>
              </c:strCache>
            </c:strRef>
          </c:tx>
          <c:spPr>
            <a:ln w="25400">
              <a:solidFill>
                <a:srgbClr val="C00000"/>
              </a:solidFill>
            </a:ln>
          </c:spPr>
          <c:marker>
            <c:symbol val="triangle"/>
            <c:size val="7"/>
            <c:spPr>
              <a:solidFill>
                <a:srgbClr val="0070C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CALCULATIONS!$HK$59:$HY$59</c:f>
              <c:numCache>
                <c:formatCode>0%</c:formatCode>
                <c:ptCount val="15"/>
                <c:pt idx="0">
                  <c:v>0.31966374358589222</c:v>
                </c:pt>
                <c:pt idx="1">
                  <c:v>0.31998808705892523</c:v>
                </c:pt>
                <c:pt idx="2">
                  <c:v>0.31722493386752887</c:v>
                </c:pt>
                <c:pt idx="3">
                  <c:v>0.31452078253983817</c:v>
                </c:pt>
                <c:pt idx="4">
                  <c:v>0.30104770531086128</c:v>
                </c:pt>
                <c:pt idx="5">
                  <c:v>0.28763634700867102</c:v>
                </c:pt>
                <c:pt idx="6">
                  <c:v>0.28681308861822175</c:v>
                </c:pt>
                <c:pt idx="7">
                  <c:v>0.28591712558949872</c:v>
                </c:pt>
                <c:pt idx="8">
                  <c:v>0.2769012115759335</c:v>
                </c:pt>
                <c:pt idx="9">
                  <c:v>0.26896790044096014</c:v>
                </c:pt>
                <c:pt idx="10">
                  <c:v>0.25189539853148013</c:v>
                </c:pt>
                <c:pt idx="11">
                  <c:v>0.23420588657870867</c:v>
                </c:pt>
                <c:pt idx="12">
                  <c:v>0.25433027728498075</c:v>
                </c:pt>
                <c:pt idx="13">
                  <c:v>0.2718321660431175</c:v>
                </c:pt>
                <c:pt idx="14">
                  <c:v>0.2718321660431175</c:v>
                </c:pt>
              </c:numCache>
            </c:numRef>
          </c:val>
        </c:ser>
        <c:ser>
          <c:idx val="0"/>
          <c:order val="2"/>
          <c:tx>
            <c:strRef>
              <c:f>CALCULATIONS!$B$26</c:f>
              <c:strCache>
                <c:ptCount val="1"/>
                <c:pt idx="0">
                  <c:v>SNC</c:v>
                </c:pt>
              </c:strCache>
            </c:strRef>
          </c:tx>
          <c:spPr>
            <a:ln w="22225">
              <a:solidFill>
                <a:srgbClr val="C00000"/>
              </a:solidFill>
            </a:ln>
          </c:spPr>
          <c:marker>
            <c:symbol val="none"/>
          </c:marker>
          <c:val>
            <c:numRef>
              <c:f>CALCULATIONS!$HK$63:$HY$63</c:f>
              <c:numCache>
                <c:formatCode>0%</c:formatCode>
                <c:ptCount val="15"/>
                <c:pt idx="0">
                  <c:v>0.39366550457914007</c:v>
                </c:pt>
                <c:pt idx="1">
                  <c:v>0.42342148591495099</c:v>
                </c:pt>
                <c:pt idx="2">
                  <c:v>0.45968728767703676</c:v>
                </c:pt>
                <c:pt idx="3">
                  <c:v>0.46655081840303986</c:v>
                </c:pt>
                <c:pt idx="4">
                  <c:v>0.48681364376648956</c:v>
                </c:pt>
                <c:pt idx="5">
                  <c:v>0.46507507193838304</c:v>
                </c:pt>
                <c:pt idx="6">
                  <c:v>0.45829764873845052</c:v>
                </c:pt>
                <c:pt idx="7">
                  <c:v>0.50345733757684008</c:v>
                </c:pt>
                <c:pt idx="8">
                  <c:v>0.49667140647969393</c:v>
                </c:pt>
                <c:pt idx="9">
                  <c:v>0.52364565382593475</c:v>
                </c:pt>
                <c:pt idx="10">
                  <c:v>0.50819822701553052</c:v>
                </c:pt>
                <c:pt idx="11">
                  <c:v>0.48061963670049579</c:v>
                </c:pt>
                <c:pt idx="12">
                  <c:v>0.46528956625070156</c:v>
                </c:pt>
                <c:pt idx="13">
                  <c:v>0.44001735291701949</c:v>
                </c:pt>
                <c:pt idx="14">
                  <c:v>0.46507375880431212</c:v>
                </c:pt>
              </c:numCache>
            </c:numRef>
          </c:val>
        </c:ser>
        <c:ser>
          <c:idx val="1"/>
          <c:order val="3"/>
          <c:tx>
            <c:strRef>
              <c:f>CALCULATIONS!$B$13</c:f>
              <c:strCache>
                <c:ptCount val="1"/>
                <c:pt idx="0">
                  <c:v>ILD</c:v>
                </c:pt>
              </c:strCache>
            </c:strRef>
          </c:tx>
          <c:spPr>
            <a:ln w="22225">
              <a:solidFill>
                <a:srgbClr val="FFC000"/>
              </a:solidFill>
            </a:ln>
          </c:spPr>
          <c:marker>
            <c:symbol val="none"/>
          </c:marker>
          <c:val>
            <c:numRef>
              <c:f>CALCULATIONS!$HK$50:$HY$50</c:f>
              <c:numCache>
                <c:formatCode>0%</c:formatCode>
                <c:ptCount val="15"/>
                <c:pt idx="0">
                  <c:v>0.12941783528588477</c:v>
                </c:pt>
                <c:pt idx="1">
                  <c:v>0.14836250322021755</c:v>
                </c:pt>
                <c:pt idx="2">
                  <c:v>0.17191191489292371</c:v>
                </c:pt>
                <c:pt idx="3">
                  <c:v>0.15137838182597377</c:v>
                </c:pt>
                <c:pt idx="4">
                  <c:v>0.13456596409720589</c:v>
                </c:pt>
                <c:pt idx="5">
                  <c:v>0.13952791063486325</c:v>
                </c:pt>
                <c:pt idx="6">
                  <c:v>0.14383983524363131</c:v>
                </c:pt>
                <c:pt idx="7">
                  <c:v>0.17024272073270599</c:v>
                </c:pt>
                <c:pt idx="8">
                  <c:v>0.19340865762048937</c:v>
                </c:pt>
                <c:pt idx="9">
                  <c:v>0.18878175927414945</c:v>
                </c:pt>
                <c:pt idx="10">
                  <c:v>0.18488503570511355</c:v>
                </c:pt>
                <c:pt idx="11">
                  <c:v>0.17224351757113707</c:v>
                </c:pt>
                <c:pt idx="12">
                  <c:v>0.16091197440640848</c:v>
                </c:pt>
                <c:pt idx="13">
                  <c:v>0.14303347616444623</c:v>
                </c:pt>
                <c:pt idx="14">
                  <c:v>0.12849893093161849</c:v>
                </c:pt>
              </c:numCache>
            </c:numRef>
          </c:val>
        </c:ser>
        <c:marker val="1"/>
        <c:axId val="170843136"/>
        <c:axId val="170656128"/>
      </c:lineChart>
      <c:dateAx>
        <c:axId val="170843136"/>
        <c:scaling>
          <c:orientation val="minMax"/>
        </c:scaling>
        <c:axPos val="b"/>
        <c:numFmt formatCode="[$-409]mmm\-yy;@" sourceLinked="0"/>
        <c:tickLblPos val="nextTo"/>
        <c:crossAx val="170656128"/>
        <c:crosses val="autoZero"/>
        <c:auto val="1"/>
        <c:lblOffset val="100"/>
        <c:majorUnit val="6"/>
        <c:majorTimeUnit val="months"/>
      </c:dateAx>
      <c:valAx>
        <c:axId val="170656128"/>
        <c:scaling>
          <c:orientation val="minMax"/>
        </c:scaling>
        <c:axPos val="l"/>
        <c:majorGridlines>
          <c:spPr>
            <a:ln>
              <a:solidFill>
                <a:schemeClr val="bg1">
                  <a:lumMod val="50000"/>
                </a:schemeClr>
              </a:solidFill>
              <a:prstDash val="dash"/>
            </a:ln>
          </c:spPr>
        </c:majorGridlines>
        <c:numFmt formatCode="0%" sourceLinked="1"/>
        <c:tickLblPos val="nextTo"/>
        <c:crossAx val="170843136"/>
        <c:crosses val="autoZero"/>
        <c:crossBetween val="between"/>
      </c:valAx>
      <c:spPr>
        <a:noFill/>
        <a:ln>
          <a:noFill/>
        </a:ln>
      </c:spPr>
    </c:plotArea>
    <c:legend>
      <c:legendPos val="b"/>
      <c:layout>
        <c:manualLayout>
          <c:xMode val="edge"/>
          <c:yMode val="edge"/>
          <c:x val="1.8161181940709661E-2"/>
          <c:y val="0.87243907844855384"/>
          <c:w val="0.83257384982039051"/>
          <c:h val="6.0237189902266314E-2"/>
        </c:manualLayout>
      </c:layout>
    </c:legend>
    <c:plotVisOnly val="1"/>
  </c:chart>
  <c:spPr>
    <a:noFill/>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178007544818626"/>
          <c:h val="0.83286224585082536"/>
        </c:manualLayout>
      </c:layout>
      <c:lineChart>
        <c:grouping val="standard"/>
        <c:ser>
          <c:idx val="2"/>
          <c:order val="0"/>
          <c:tx>
            <c:strRef>
              <c:f>CALCULATIONS!$B$7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CALCULATIONS!$OP$7:$PD$7</c:f>
              <c:numCache>
                <c:formatCode>0.0</c:formatCode>
                <c:ptCount val="15"/>
                <c:pt idx="0">
                  <c:v>3.2477845879556257</c:v>
                </c:pt>
                <c:pt idx="1">
                  <c:v>2.7319808316130936</c:v>
                </c:pt>
                <c:pt idx="2">
                  <c:v>2.8571949673202619</c:v>
                </c:pt>
                <c:pt idx="3">
                  <c:v>2.9596587389041931</c:v>
                </c:pt>
                <c:pt idx="4">
                  <c:v>2.4168915020945541</c:v>
                </c:pt>
                <c:pt idx="5">
                  <c:v>2.483861786319955</c:v>
                </c:pt>
                <c:pt idx="6">
                  <c:v>2.6193210144927535</c:v>
                </c:pt>
                <c:pt idx="7">
                  <c:v>2.3133936877076411</c:v>
                </c:pt>
                <c:pt idx="8">
                  <c:v>2.3318617201695941</c:v>
                </c:pt>
                <c:pt idx="9">
                  <c:v>2.3212222222222221</c:v>
                </c:pt>
                <c:pt idx="10">
                  <c:v>2.4111672172808132</c:v>
                </c:pt>
                <c:pt idx="11">
                  <c:v>2.4005681818181817</c:v>
                </c:pt>
                <c:pt idx="12">
                  <c:v>2.190372668112798</c:v>
                </c:pt>
                <c:pt idx="13">
                  <c:v>2.0016824427480917</c:v>
                </c:pt>
                <c:pt idx="14">
                  <c:v>2.0327505931612002</c:v>
                </c:pt>
              </c:numCache>
            </c:numRef>
          </c:val>
        </c:ser>
        <c:ser>
          <c:idx val="0"/>
          <c:order val="1"/>
          <c:tx>
            <c:v>Belgacom's peers avg.</c:v>
          </c:tx>
          <c:spPr>
            <a:ln w="22225">
              <a:solidFill>
                <a:schemeClr val="bg2">
                  <a:lumMod val="50000"/>
                </a:schemeClr>
              </a:solidFill>
            </a:ln>
          </c:spPr>
          <c:marker>
            <c:symbol val="none"/>
          </c:marker>
          <c:val>
            <c:numRef>
              <c:f>CALCULATIONS!$OP$28:$PD$28</c:f>
              <c:numCache>
                <c:formatCode>0.0</c:formatCode>
                <c:ptCount val="15"/>
                <c:pt idx="0">
                  <c:v>2.4484533013016803</c:v>
                </c:pt>
                <c:pt idx="1">
                  <c:v>2.3264482596446912</c:v>
                </c:pt>
                <c:pt idx="2">
                  <c:v>2.3732903951182465</c:v>
                </c:pt>
                <c:pt idx="3">
                  <c:v>2.6200721033969279</c:v>
                </c:pt>
                <c:pt idx="4">
                  <c:v>2.6667877724897533</c:v>
                </c:pt>
                <c:pt idx="5">
                  <c:v>2.5423289669066742</c:v>
                </c:pt>
                <c:pt idx="6">
                  <c:v>3.0267502181838695</c:v>
                </c:pt>
                <c:pt idx="7">
                  <c:v>2.9379613776407667</c:v>
                </c:pt>
                <c:pt idx="8">
                  <c:v>2.8868321526873877</c:v>
                </c:pt>
                <c:pt idx="9">
                  <c:v>2.6566681146463722</c:v>
                </c:pt>
                <c:pt idx="10">
                  <c:v>2.8677510237828105</c:v>
                </c:pt>
                <c:pt idx="11">
                  <c:v>2.3914144802048418</c:v>
                </c:pt>
                <c:pt idx="12">
                  <c:v>2.2460737371327757</c:v>
                </c:pt>
                <c:pt idx="13">
                  <c:v>1.8853665381826119</c:v>
                </c:pt>
                <c:pt idx="14">
                  <c:v>1.8609400503853164</c:v>
                </c:pt>
              </c:numCache>
            </c:numRef>
          </c:val>
        </c:ser>
        <c:ser>
          <c:idx val="3"/>
          <c:order val="2"/>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CALCULATIONS!$OP$8:$PD$8</c:f>
              <c:numCache>
                <c:formatCode>0.0</c:formatCode>
                <c:ptCount val="15"/>
                <c:pt idx="0">
                  <c:v>6.5204499724381675</c:v>
                </c:pt>
                <c:pt idx="1">
                  <c:v>7.4147701150201071</c:v>
                </c:pt>
                <c:pt idx="2">
                  <c:v>8.7289049999999992</c:v>
                </c:pt>
                <c:pt idx="3">
                  <c:v>7.5631805188943737</c:v>
                </c:pt>
                <c:pt idx="4">
                  <c:v>6.7520912864995237</c:v>
                </c:pt>
                <c:pt idx="5">
                  <c:v>8.4052003831364441</c:v>
                </c:pt>
                <c:pt idx="6">
                  <c:v>10.869830567081605</c:v>
                </c:pt>
                <c:pt idx="7">
                  <c:v>8.1583241116439194</c:v>
                </c:pt>
                <c:pt idx="8">
                  <c:v>6.1679093945762649</c:v>
                </c:pt>
                <c:pt idx="9">
                  <c:v>6.150145074449294</c:v>
                </c:pt>
                <c:pt idx="10">
                  <c:v>6.1237350943396223</c:v>
                </c:pt>
                <c:pt idx="11">
                  <c:v>4.4741068948408715</c:v>
                </c:pt>
                <c:pt idx="12">
                  <c:v>3.2523274240565234</c:v>
                </c:pt>
                <c:pt idx="13">
                  <c:v>3.1943349290644143</c:v>
                </c:pt>
                <c:pt idx="14">
                  <c:v>3.126768479322696</c:v>
                </c:pt>
              </c:numCache>
            </c:numRef>
          </c:val>
        </c:ser>
        <c:ser>
          <c:idx val="4"/>
          <c:order val="3"/>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CALCULATIONS!$OP$9:$PD$9</c:f>
              <c:numCache>
                <c:formatCode>0.0</c:formatCode>
                <c:ptCount val="15"/>
                <c:pt idx="0">
                  <c:v>6.1862876885817757</c:v>
                </c:pt>
                <c:pt idx="1">
                  <c:v>6.6376591392136035</c:v>
                </c:pt>
                <c:pt idx="2">
                  <c:v>17.496889348440696</c:v>
                </c:pt>
                <c:pt idx="3">
                  <c:v>16.7433219927096</c:v>
                </c:pt>
                <c:pt idx="4">
                  <c:v>15.240484292230724</c:v>
                </c:pt>
                <c:pt idx="5">
                  <c:v>13.551976078289236</c:v>
                </c:pt>
                <c:pt idx="6">
                  <c:v>-17.612323809523811</c:v>
                </c:pt>
                <c:pt idx="7">
                  <c:v>-12.104904263565892</c:v>
                </c:pt>
                <c:pt idx="8">
                  <c:v>-13.485765792622253</c:v>
                </c:pt>
                <c:pt idx="9">
                  <c:v>-12.599129285714286</c:v>
                </c:pt>
                <c:pt idx="10">
                  <c:v>-5.2900028076692562</c:v>
                </c:pt>
                <c:pt idx="11">
                  <c:v>-5.472786496603355</c:v>
                </c:pt>
                <c:pt idx="12">
                  <c:v>-5.6607725113971119</c:v>
                </c:pt>
                <c:pt idx="13">
                  <c:v>-6.5343327375633002</c:v>
                </c:pt>
                <c:pt idx="14">
                  <c:v>-2.7147098893731143</c:v>
                </c:pt>
              </c:numCache>
            </c:numRef>
          </c:val>
        </c:ser>
        <c:marker val="1"/>
        <c:axId val="170706816"/>
        <c:axId val="170717184"/>
      </c:lineChart>
      <c:dateAx>
        <c:axId val="170706816"/>
        <c:scaling>
          <c:orientation val="minMax"/>
        </c:scaling>
        <c:axPos val="b"/>
        <c:numFmt formatCode="[$-409]mmm\-yy;@" sourceLinked="0"/>
        <c:tickLblPos val="nextTo"/>
        <c:crossAx val="170717184"/>
        <c:crosses val="autoZero"/>
        <c:auto val="1"/>
        <c:lblOffset val="100"/>
        <c:majorUnit val="6"/>
        <c:majorTimeUnit val="months"/>
      </c:dateAx>
      <c:valAx>
        <c:axId val="170717184"/>
        <c:scaling>
          <c:orientation val="minMax"/>
        </c:scaling>
        <c:axPos val="l"/>
        <c:majorGridlines>
          <c:spPr>
            <a:ln>
              <a:solidFill>
                <a:schemeClr val="bg1">
                  <a:lumMod val="50000"/>
                </a:schemeClr>
              </a:solidFill>
              <a:prstDash val="dash"/>
            </a:ln>
          </c:spPr>
        </c:majorGridlines>
        <c:numFmt formatCode="0.0" sourceLinked="1"/>
        <c:tickLblPos val="nextTo"/>
        <c:crossAx val="170706816"/>
        <c:crosses val="autoZero"/>
        <c:crossBetween val="between"/>
      </c:valAx>
      <c:spPr>
        <a:noFill/>
        <a:ln>
          <a:noFill/>
        </a:ln>
      </c:spPr>
    </c:plotArea>
    <c:legend>
      <c:legendPos val="b"/>
      <c:layout>
        <c:manualLayout>
          <c:xMode val="edge"/>
          <c:yMode val="edge"/>
          <c:x val="1.1543547363716889E-2"/>
          <c:y val="0.88181400545915223"/>
          <c:w val="0.89999998263083503"/>
          <c:h val="6.4829267181726102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marker>
            <c:symbol val="dash"/>
            <c:size val="20"/>
            <c:spPr>
              <a:solidFill>
                <a:srgbClr val="FFC000">
                  <a:alpha val="67000"/>
                </a:srgbClr>
              </a:solidFill>
              <a:ln>
                <a:noFill/>
              </a:ln>
            </c:spPr>
          </c:marker>
          <c:dLbls>
            <c:dLbl>
              <c:idx val="0"/>
              <c:tx>
                <c:rich>
                  <a:bodyPr/>
                  <a:lstStyle/>
                  <a:p>
                    <a:pPr>
                      <a:defRPr sz="1000" b="0" i="0" strike="noStrike">
                        <a:latin typeface="Arial"/>
                      </a:defRPr>
                    </a:pPr>
                    <a:r>
                      <a:rPr lang="en-US"/>
                      <a:t>DT</a:t>
                    </a:r>
                  </a:p>
                </c:rich>
              </c:tx>
              <c:spPr/>
              <c:dLblPos val="ctr"/>
              <c:showVal val="1"/>
            </c:dLbl>
            <c:dLbl>
              <c:idx val="1"/>
              <c:tx>
                <c:strRef>
                  <c:f>PROFILES!$O$101</c:f>
                  <c:strCache>
                    <c:ptCount val="1"/>
                    <c:pt idx="0">
                      <c:v>TKA</c:v>
                    </c:pt>
                  </c:strCache>
                </c:strRef>
              </c:tx>
              <c:spPr/>
              <c:txPr>
                <a:bodyPr/>
                <a:lstStyle/>
                <a:p>
                  <a:pPr>
                    <a:defRPr sz="1000" b="0" i="0" strike="noStrike">
                      <a:latin typeface="Arial"/>
                    </a:defRPr>
                  </a:pPr>
                  <a:endParaRPr lang="fr-FR"/>
                </a:p>
              </c:txPr>
              <c:dLblPos val="ctr"/>
              <c:showVal val="1"/>
            </c:dLbl>
            <c:dLbl>
              <c:idx val="2"/>
              <c:tx>
                <c:strRef>
                  <c:f>PROFILES!$O$102</c:f>
                  <c:strCache>
                    <c:ptCount val="1"/>
                    <c:pt idx="0">
                      <c:v>BELGACOM</c:v>
                    </c:pt>
                  </c:strCache>
                </c:strRef>
              </c:tx>
              <c:spPr/>
              <c:txPr>
                <a:bodyPr/>
                <a:lstStyle/>
                <a:p>
                  <a:pPr>
                    <a:defRPr sz="1000" b="1" i="0" strike="noStrike">
                      <a:latin typeface="Arial"/>
                    </a:defRPr>
                  </a:pPr>
                  <a:endParaRPr lang="fr-FR"/>
                </a:p>
              </c:txPr>
              <c:dLblPos val="ctr"/>
              <c:showVal val="1"/>
            </c:dLbl>
            <c:dLbl>
              <c:idx val="3"/>
              <c:tx>
                <c:strRef>
                  <c:f>PROFILES!$O$103</c:f>
                  <c:strCache>
                    <c:ptCount val="1"/>
                    <c:pt idx="0">
                      <c:v>MOBISTAR</c:v>
                    </c:pt>
                  </c:strCache>
                </c:strRef>
              </c:tx>
              <c:spPr/>
              <c:txPr>
                <a:bodyPr/>
                <a:lstStyle/>
                <a:p>
                  <a:pPr>
                    <a:defRPr sz="1000" b="1" i="0" strike="noStrike">
                      <a:latin typeface="Arial"/>
                    </a:defRPr>
                  </a:pPr>
                  <a:endParaRPr lang="fr-FR"/>
                </a:p>
              </c:txPr>
              <c:dLblPos val="ctr"/>
              <c:showVal val="1"/>
            </c:dLbl>
            <c:dLbl>
              <c:idx val="4"/>
              <c:tx>
                <c:strRef>
                  <c:f>PROFILES!$O$104</c:f>
                  <c:strCache>
                    <c:ptCount val="1"/>
                    <c:pt idx="0">
                      <c:v>TELENET</c:v>
                    </c:pt>
                  </c:strCache>
                </c:strRef>
              </c:tx>
              <c:spPr/>
              <c:txPr>
                <a:bodyPr/>
                <a:lstStyle/>
                <a:p>
                  <a:pPr>
                    <a:defRPr sz="1000" b="1" i="0" strike="noStrike">
                      <a:latin typeface="Arial"/>
                    </a:defRPr>
                  </a:pPr>
                  <a:endParaRPr lang="fr-FR"/>
                </a:p>
              </c:txPr>
              <c:dLblPos val="ctr"/>
              <c:showVal val="1"/>
            </c:dLbl>
            <c:dLbl>
              <c:idx val="5"/>
              <c:tx>
                <c:strRef>
                  <c:f>PROFILES!$O$105</c:f>
                  <c:strCache>
                    <c:ptCount val="1"/>
                    <c:pt idx="0">
                      <c:v>TDC</c:v>
                    </c:pt>
                  </c:strCache>
                </c:strRef>
              </c:tx>
              <c:spPr/>
              <c:txPr>
                <a:bodyPr/>
                <a:lstStyle/>
                <a:p>
                  <a:pPr>
                    <a:defRPr sz="1000" b="0" i="0" strike="noStrike">
                      <a:latin typeface="Arial"/>
                    </a:defRPr>
                  </a:pPr>
                  <a:endParaRPr lang="fr-FR"/>
                </a:p>
              </c:txPr>
              <c:dLblPos val="ctr"/>
              <c:showVal val="1"/>
            </c:dLbl>
            <c:dLbl>
              <c:idx val="6"/>
              <c:tx>
                <c:strRef>
                  <c:f>PROFILES!$O$106</c:f>
                  <c:strCache>
                    <c:ptCount val="1"/>
                    <c:pt idx="0">
                      <c:v>TEF</c:v>
                    </c:pt>
                  </c:strCache>
                </c:strRef>
              </c:tx>
              <c:spPr/>
              <c:txPr>
                <a:bodyPr/>
                <a:lstStyle/>
                <a:p>
                  <a:pPr>
                    <a:defRPr sz="1000" b="0" i="0" strike="noStrike">
                      <a:latin typeface="Arial"/>
                    </a:defRPr>
                  </a:pPr>
                  <a:endParaRPr lang="fr-FR"/>
                </a:p>
              </c:txPr>
              <c:dLblPos val="ctr"/>
              <c:showVal val="1"/>
            </c:dLbl>
            <c:dLbl>
              <c:idx val="7"/>
              <c:tx>
                <c:strRef>
                  <c:f>PROFILES!$O$107</c:f>
                  <c:strCache>
                    <c:ptCount val="1"/>
                    <c:pt idx="0">
                      <c:v>ELI</c:v>
                    </c:pt>
                  </c:strCache>
                </c:strRef>
              </c:tx>
              <c:spPr/>
              <c:txPr>
                <a:bodyPr/>
                <a:lstStyle/>
                <a:p>
                  <a:pPr>
                    <a:defRPr sz="1000" b="0" i="0" strike="noStrike">
                      <a:latin typeface="Arial"/>
                    </a:defRPr>
                  </a:pPr>
                  <a:endParaRPr lang="fr-FR"/>
                </a:p>
              </c:txPr>
              <c:dLblPos val="ctr"/>
              <c:showVal val="1"/>
            </c:dLbl>
            <c:dLbl>
              <c:idx val="8"/>
              <c:tx>
                <c:strRef>
                  <c:f>PROFILES!$O$108</c:f>
                  <c:strCache>
                    <c:ptCount val="1"/>
                    <c:pt idx="0">
                      <c:v>ILD</c:v>
                    </c:pt>
                  </c:strCache>
                </c:strRef>
              </c:tx>
              <c:spPr/>
              <c:txPr>
                <a:bodyPr/>
                <a:lstStyle/>
                <a:p>
                  <a:pPr>
                    <a:defRPr sz="1000" b="0" i="0" strike="noStrike">
                      <a:latin typeface="Arial"/>
                    </a:defRPr>
                  </a:pPr>
                  <a:endParaRPr lang="fr-FR"/>
                </a:p>
              </c:txPr>
              <c:dLblPos val="ctr"/>
              <c:showVal val="1"/>
            </c:dLbl>
            <c:dLbl>
              <c:idx val="9"/>
              <c:tx>
                <c:strRef>
                  <c:f>PROFILES!$O$109</c:f>
                  <c:strCache>
                    <c:ptCount val="1"/>
                    <c:pt idx="0">
                      <c:v>ORA</c:v>
                    </c:pt>
                  </c:strCache>
                </c:strRef>
              </c:tx>
              <c:spPr/>
              <c:txPr>
                <a:bodyPr/>
                <a:lstStyle/>
                <a:p>
                  <a:pPr>
                    <a:defRPr sz="1000" b="0" i="0" strike="noStrike">
                      <a:latin typeface="Arial"/>
                    </a:defRPr>
                  </a:pPr>
                  <a:endParaRPr lang="fr-FR"/>
                </a:p>
              </c:txPr>
              <c:dLblPos val="ctr"/>
              <c:showVal val="1"/>
            </c:dLbl>
            <c:dLbl>
              <c:idx val="10"/>
              <c:tx>
                <c:strRef>
                  <c:f>PROFILES!$O$110</c:f>
                  <c:strCache>
                    <c:ptCount val="1"/>
                    <c:pt idx="0">
                      <c:v>OTE</c:v>
                    </c:pt>
                  </c:strCache>
                </c:strRef>
              </c:tx>
              <c:spPr/>
              <c:txPr>
                <a:bodyPr/>
                <a:lstStyle/>
                <a:p>
                  <a:pPr>
                    <a:defRPr sz="1000" b="0" i="0" strike="noStrike">
                      <a:latin typeface="Arial"/>
                    </a:defRPr>
                  </a:pPr>
                  <a:endParaRPr lang="fr-FR"/>
                </a:p>
              </c:txPr>
              <c:dLblPos val="ctr"/>
              <c:showVal val="1"/>
            </c:dLbl>
            <c:dLbl>
              <c:idx val="11"/>
              <c:tx>
                <c:strRef>
                  <c:f>PROFILES!$O$111</c:f>
                  <c:strCache>
                    <c:ptCount val="1"/>
                    <c:pt idx="0">
                      <c:v>TIT</c:v>
                    </c:pt>
                  </c:strCache>
                </c:strRef>
              </c:tx>
              <c:spPr/>
              <c:txPr>
                <a:bodyPr/>
                <a:lstStyle/>
                <a:p>
                  <a:pPr>
                    <a:defRPr sz="1000" b="0" i="0" strike="noStrike">
                      <a:latin typeface="Arial"/>
                    </a:defRPr>
                  </a:pPr>
                  <a:endParaRPr lang="fr-FR"/>
                </a:p>
              </c:txPr>
              <c:dLblPos val="ctr"/>
              <c:showVal val="1"/>
            </c:dLbl>
            <c:dLbl>
              <c:idx val="12"/>
              <c:tx>
                <c:strRef>
                  <c:f>PROFILES!$O$112</c:f>
                  <c:strCache>
                    <c:ptCount val="1"/>
                    <c:pt idx="0">
                      <c:v>TEL</c:v>
                    </c:pt>
                  </c:strCache>
                </c:strRef>
              </c:tx>
              <c:spPr/>
              <c:txPr>
                <a:bodyPr/>
                <a:lstStyle/>
                <a:p>
                  <a:pPr>
                    <a:defRPr sz="1000" b="0" i="0" strike="noStrike">
                      <a:latin typeface="Arial"/>
                    </a:defRPr>
                  </a:pPr>
                  <a:endParaRPr lang="fr-FR"/>
                </a:p>
              </c:txPr>
              <c:dLblPos val="ctr"/>
              <c:showVal val="1"/>
            </c:dLbl>
            <c:dLbl>
              <c:idx val="13"/>
              <c:tx>
                <c:strRef>
                  <c:f>PROFILES!$O$113</c:f>
                  <c:strCache>
                    <c:ptCount val="1"/>
                    <c:pt idx="0">
                      <c:v>KPN</c:v>
                    </c:pt>
                  </c:strCache>
                </c:strRef>
              </c:tx>
              <c:spPr/>
              <c:txPr>
                <a:bodyPr/>
                <a:lstStyle/>
                <a:p>
                  <a:pPr>
                    <a:defRPr sz="1000" b="0" i="0" strike="noStrike">
                      <a:latin typeface="Arial"/>
                    </a:defRPr>
                  </a:pPr>
                  <a:endParaRPr lang="fr-FR"/>
                </a:p>
              </c:txPr>
              <c:dLblPos val="ctr"/>
              <c:showVal val="1"/>
            </c:dLbl>
            <c:dLbl>
              <c:idx val="14"/>
              <c:tx>
                <c:strRef>
                  <c:f>PROFILES!$O$114</c:f>
                  <c:strCache>
                    <c:ptCount val="1"/>
                    <c:pt idx="0">
                      <c:v>TPS</c:v>
                    </c:pt>
                  </c:strCache>
                </c:strRef>
              </c:tx>
              <c:spPr/>
              <c:txPr>
                <a:bodyPr/>
                <a:lstStyle/>
                <a:p>
                  <a:pPr>
                    <a:defRPr sz="1000" b="0" i="0" strike="noStrike">
                      <a:latin typeface="Arial"/>
                    </a:defRPr>
                  </a:pPr>
                  <a:endParaRPr lang="fr-FR"/>
                </a:p>
              </c:txPr>
              <c:dLblPos val="ctr"/>
              <c:showVal val="1"/>
            </c:dLbl>
            <c:dLbl>
              <c:idx val="15"/>
              <c:tx>
                <c:strRef>
                  <c:f>PROFILES!$O$115</c:f>
                  <c:strCache>
                    <c:ptCount val="1"/>
                    <c:pt idx="0">
                      <c:v>PT</c:v>
                    </c:pt>
                  </c:strCache>
                </c:strRef>
              </c:tx>
              <c:spPr/>
              <c:txPr>
                <a:bodyPr/>
                <a:lstStyle/>
                <a:p>
                  <a:pPr>
                    <a:defRPr sz="1000" b="0" i="0" strike="noStrike">
                      <a:latin typeface="Arial"/>
                    </a:defRPr>
                  </a:pPr>
                  <a:endParaRPr lang="fr-FR"/>
                </a:p>
              </c:txPr>
              <c:dLblPos val="ctr"/>
              <c:showVal val="1"/>
            </c:dLbl>
            <c:dLbl>
              <c:idx val="16"/>
              <c:tx>
                <c:strRef>
                  <c:f>PROFILES!$O$116</c:f>
                  <c:strCache>
                    <c:ptCount val="1"/>
                    <c:pt idx="0">
                      <c:v>BT</c:v>
                    </c:pt>
                  </c:strCache>
                </c:strRef>
              </c:tx>
              <c:spPr/>
              <c:txPr>
                <a:bodyPr/>
                <a:lstStyle/>
                <a:p>
                  <a:pPr>
                    <a:defRPr sz="1000" b="0" i="0" strike="noStrike">
                      <a:latin typeface="Arial"/>
                    </a:defRPr>
                  </a:pPr>
                  <a:endParaRPr lang="fr-FR"/>
                </a:p>
              </c:txPr>
              <c:dLblPos val="ctr"/>
              <c:showVal val="1"/>
            </c:dLbl>
            <c:dLbl>
              <c:idx val="17"/>
              <c:tx>
                <c:strRef>
                  <c:f>PROFILES!$O$117</c:f>
                  <c:strCache>
                    <c:ptCount val="1"/>
                    <c:pt idx="0">
                      <c:v>VOD</c:v>
                    </c:pt>
                  </c:strCache>
                </c:strRef>
              </c:tx>
              <c:spPr/>
              <c:txPr>
                <a:bodyPr/>
                <a:lstStyle/>
                <a:p>
                  <a:pPr>
                    <a:defRPr sz="1000" b="0" i="0" strike="noStrike">
                      <a:latin typeface="Arial"/>
                    </a:defRPr>
                  </a:pPr>
                  <a:endParaRPr lang="fr-FR"/>
                </a:p>
              </c:txPr>
              <c:dLblPos val="ctr"/>
              <c:showVal val="1"/>
            </c:dLbl>
            <c:dLbl>
              <c:idx val="18"/>
              <c:tx>
                <c:strRef>
                  <c:f>PROFILES!$O$118</c:f>
                  <c:strCache>
                    <c:ptCount val="1"/>
                    <c:pt idx="0">
                      <c:v>TLSN</c:v>
                    </c:pt>
                  </c:strCache>
                </c:strRef>
              </c:tx>
              <c:spPr/>
              <c:txPr>
                <a:bodyPr/>
                <a:lstStyle/>
                <a:p>
                  <a:pPr>
                    <a:defRPr sz="1000" b="0" i="0" strike="noStrike">
                      <a:latin typeface="Arial"/>
                    </a:defRPr>
                  </a:pPr>
                  <a:endParaRPr lang="fr-FR"/>
                </a:p>
              </c:txPr>
              <c:dLblPos val="ctr"/>
              <c:showVal val="1"/>
            </c:dLbl>
            <c:dLbl>
              <c:idx val="19"/>
              <c:tx>
                <c:strRef>
                  <c:f>PROFILES!$O$119</c:f>
                  <c:strCache>
                    <c:ptCount val="1"/>
                    <c:pt idx="0">
                      <c:v>TEL2</c:v>
                    </c:pt>
                  </c:strCache>
                </c:strRef>
              </c:tx>
              <c:spPr/>
              <c:txPr>
                <a:bodyPr/>
                <a:lstStyle/>
                <a:p>
                  <a:pPr>
                    <a:defRPr sz="1000" b="0" i="0" strike="noStrike">
                      <a:latin typeface="Arial"/>
                    </a:defRPr>
                  </a:pPr>
                  <a:endParaRPr lang="fr-FR"/>
                </a:p>
              </c:txPr>
              <c:dLblPos val="ctr"/>
              <c:showVal val="1"/>
            </c:dLbl>
            <c:dLbl>
              <c:idx val="20"/>
              <c:tx>
                <c:strRef>
                  <c:f>PROFILES!$O$120</c:f>
                  <c:strCache>
                    <c:ptCount val="1"/>
                    <c:pt idx="0">
                      <c:v>SCM</c:v>
                    </c:pt>
                  </c:strCache>
                </c:strRef>
              </c:tx>
              <c:spPr/>
              <c:txPr>
                <a:bodyPr/>
                <a:lstStyle/>
                <a:p>
                  <a:pPr>
                    <a:defRPr sz="1000" b="0" i="0" strike="noStrike">
                      <a:latin typeface="Arial"/>
                    </a:defRPr>
                  </a:pPr>
                  <a:endParaRPr lang="fr-FR"/>
                </a:p>
              </c:txPr>
              <c:dLblPos val="ctr"/>
              <c:showVal val="1"/>
            </c:dLbl>
            <c:dLbl>
              <c:idx val="21"/>
              <c:tx>
                <c:strRef>
                  <c:f>PROFILES!$O$121</c:f>
                  <c:strCache>
                    <c:ptCount val="1"/>
                    <c:pt idx="0">
                      <c:v>SNC</c:v>
                    </c:pt>
                  </c:strCache>
                </c:strRef>
              </c:tx>
              <c:spPr/>
              <c:txPr>
                <a:bodyPr/>
                <a:lstStyle/>
                <a:p>
                  <a:pPr>
                    <a:defRPr sz="1000" b="0" i="0" strike="noStrike">
                      <a:latin typeface="Arial"/>
                    </a:defRPr>
                  </a:pPr>
                  <a:endParaRPr lang="fr-FR"/>
                </a:p>
              </c:txPr>
              <c:dLblPos val="ctr"/>
              <c:showVal val="1"/>
            </c:dLbl>
            <c:showVal val="1"/>
          </c:dLbls>
          <c:xVal>
            <c:numRef>
              <c:f>PROFILES!$V$346:$V$367</c:f>
              <c:numCache>
                <c:formatCode>0%</c:formatCode>
                <c:ptCount val="22"/>
                <c:pt idx="0">
                  <c:v>0.60938914027149316</c:v>
                </c:pt>
                <c:pt idx="1">
                  <c:v>0.63280000000000003</c:v>
                </c:pt>
                <c:pt idx="2">
                  <c:v>0.38496530454895916</c:v>
                </c:pt>
                <c:pt idx="3">
                  <c:v>0.94497650196875393</c:v>
                </c:pt>
                <c:pt idx="4">
                  <c:v>5.8479532163742687E-3</c:v>
                </c:pt>
                <c:pt idx="5">
                  <c:v>0.3141425389755011</c:v>
                </c:pt>
                <c:pt idx="6">
                  <c:v>0.58023511894181368</c:v>
                </c:pt>
                <c:pt idx="7">
                  <c:v>0.59929999999999994</c:v>
                </c:pt>
                <c:pt idx="8">
                  <c:v>0</c:v>
                </c:pt>
                <c:pt idx="9">
                  <c:v>0.56769999999999998</c:v>
                </c:pt>
                <c:pt idx="10">
                  <c:v>0.48849999999999999</c:v>
                </c:pt>
                <c:pt idx="11">
                  <c:v>0.36840000000000006</c:v>
                </c:pt>
                <c:pt idx="12">
                  <c:v>0.62585722455497383</c:v>
                </c:pt>
                <c:pt idx="13">
                  <c:v>0.5497633776823857</c:v>
                </c:pt>
                <c:pt idx="14">
                  <c:v>0.4566820303658996</c:v>
                </c:pt>
                <c:pt idx="15">
                  <c:v>0.5101</c:v>
                </c:pt>
                <c:pt idx="16">
                  <c:v>0</c:v>
                </c:pt>
                <c:pt idx="17">
                  <c:v>0.92599999999999993</c:v>
                </c:pt>
                <c:pt idx="18">
                  <c:v>0.60165593376264948</c:v>
                </c:pt>
                <c:pt idx="19">
                  <c:v>0.62427731007201537</c:v>
                </c:pt>
                <c:pt idx="20">
                  <c:v>0.35321659907288117</c:v>
                </c:pt>
                <c:pt idx="21">
                  <c:v>0.60573232366632679</c:v>
                </c:pt>
              </c:numCache>
            </c:numRef>
          </c:xVal>
          <c:yVal>
            <c:numRef>
              <c:f>PROFILES!$W$346:$W$367</c:f>
              <c:numCache>
                <c:formatCode>0.0</c:formatCode>
                <c:ptCount val="22"/>
                <c:pt idx="0">
                  <c:v>1.4647999999999999</c:v>
                </c:pt>
                <c:pt idx="1">
                  <c:v>1.5726</c:v>
                </c:pt>
                <c:pt idx="2">
                  <c:v>1.6858</c:v>
                </c:pt>
                <c:pt idx="3">
                  <c:v>2.0177999999999998</c:v>
                </c:pt>
                <c:pt idx="4">
                  <c:v>3.7174</c:v>
                </c:pt>
                <c:pt idx="5">
                  <c:v>3.1469</c:v>
                </c:pt>
                <c:pt idx="6">
                  <c:v>2.4198</c:v>
                </c:pt>
                <c:pt idx="7">
                  <c:v>2.2391999999999999</c:v>
                </c:pt>
                <c:pt idx="8">
                  <c:v>2.6703000000000001</c:v>
                </c:pt>
                <c:pt idx="9">
                  <c:v>1.823</c:v>
                </c:pt>
                <c:pt idx="10">
                  <c:v>1.7317</c:v>
                </c:pt>
                <c:pt idx="11">
                  <c:v>2.2124000000000001</c:v>
                </c:pt>
                <c:pt idx="12">
                  <c:v>1.8862000000000001</c:v>
                </c:pt>
                <c:pt idx="13">
                  <c:v>2.2279</c:v>
                </c:pt>
                <c:pt idx="14">
                  <c:v>1.5324</c:v>
                </c:pt>
                <c:pt idx="15">
                  <c:v>2.4291</c:v>
                </c:pt>
                <c:pt idx="16">
                  <c:v>1.0441</c:v>
                </c:pt>
                <c:pt idx="17">
                  <c:v>2.5385999999999997</c:v>
                </c:pt>
                <c:pt idx="18">
                  <c:v>2.6501999999999999</c:v>
                </c:pt>
                <c:pt idx="19">
                  <c:v>1.3028999999999999</c:v>
                </c:pt>
                <c:pt idx="20">
                  <c:v>2.5263999999999998</c:v>
                </c:pt>
                <c:pt idx="21">
                  <c:v>1.0457000000000001</c:v>
                </c:pt>
              </c:numCache>
            </c:numRef>
          </c:yVal>
        </c:ser>
        <c:axId val="167692160"/>
        <c:axId val="167693696"/>
      </c:scatterChart>
      <c:valAx>
        <c:axId val="167692160"/>
        <c:scaling>
          <c:orientation val="minMax"/>
          <c:max val="1"/>
        </c:scaling>
        <c:axPos val="b"/>
        <c:numFmt formatCode="0%" sourceLinked="1"/>
        <c:tickLblPos val="nextTo"/>
        <c:txPr>
          <a:bodyPr/>
          <a:lstStyle/>
          <a:p>
            <a:pPr>
              <a:defRPr sz="1200" baseline="0">
                <a:latin typeface="Arial" pitchFamily="34" charset="0"/>
              </a:defRPr>
            </a:pPr>
            <a:endParaRPr lang="fr-FR"/>
          </a:p>
        </c:txPr>
        <c:crossAx val="167693696"/>
        <c:crosses val="autoZero"/>
        <c:crossBetween val="midCat"/>
      </c:valAx>
      <c:valAx>
        <c:axId val="167693696"/>
        <c:scaling>
          <c:orientation val="minMax"/>
        </c:scaling>
        <c:axPos val="l"/>
        <c:majorGridlines>
          <c:spPr>
            <a:ln>
              <a:solidFill>
                <a:schemeClr val="bg1">
                  <a:lumMod val="50000"/>
                </a:schemeClr>
              </a:solidFill>
              <a:prstDash val="sysDash"/>
            </a:ln>
          </c:spPr>
        </c:majorGridlines>
        <c:numFmt formatCode="0.0" sourceLinked="1"/>
        <c:tickLblPos val="nextTo"/>
        <c:txPr>
          <a:bodyPr/>
          <a:lstStyle/>
          <a:p>
            <a:pPr>
              <a:defRPr sz="1200" baseline="0">
                <a:latin typeface="Arial" pitchFamily="34" charset="0"/>
              </a:defRPr>
            </a:pPr>
            <a:endParaRPr lang="fr-FR"/>
          </a:p>
        </c:txPr>
        <c:crossAx val="167692160"/>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0.1173125593482672"/>
          <c:y val="6.3462431083806073E-2"/>
          <c:w val="0.88178007544818626"/>
          <c:h val="0.73589729059632625"/>
        </c:manualLayout>
      </c:layout>
      <c:lineChart>
        <c:grouping val="standard"/>
        <c:ser>
          <c:idx val="2"/>
          <c:order val="0"/>
          <c:tx>
            <c:strRef>
              <c:f>CALCULATIONS!$B$33</c:f>
              <c:strCache>
                <c:ptCount val="1"/>
                <c:pt idx="0">
                  <c:v>E300 Telco</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CALCULATIONS!$OP$33:$PD$33</c:f>
              <c:numCache>
                <c:formatCode>0.0</c:formatCode>
                <c:ptCount val="15"/>
                <c:pt idx="0">
                  <c:v>1.6254999999999999</c:v>
                </c:pt>
                <c:pt idx="1">
                  <c:v>1.522</c:v>
                </c:pt>
                <c:pt idx="2">
                  <c:v>1.4018999999999999</c:v>
                </c:pt>
                <c:pt idx="3">
                  <c:v>1.4748000000000001</c:v>
                </c:pt>
                <c:pt idx="4">
                  <c:v>1.4508000000000001</c:v>
                </c:pt>
                <c:pt idx="5">
                  <c:v>1.5234000000000001</c:v>
                </c:pt>
                <c:pt idx="6">
                  <c:v>1.5146999999999999</c:v>
                </c:pt>
                <c:pt idx="7">
                  <c:v>1.4112</c:v>
                </c:pt>
                <c:pt idx="8">
                  <c:v>1.4157200000000001</c:v>
                </c:pt>
                <c:pt idx="9">
                  <c:v>1.4202399999999999</c:v>
                </c:pt>
                <c:pt idx="10">
                  <c:v>1.42476</c:v>
                </c:pt>
                <c:pt idx="11">
                  <c:v>1.4292799999999999</c:v>
                </c:pt>
                <c:pt idx="12">
                  <c:v>1.4338</c:v>
                </c:pt>
                <c:pt idx="13">
                  <c:v>1.5669</c:v>
                </c:pt>
                <c:pt idx="14">
                  <c:v>1.7</c:v>
                </c:pt>
              </c:numCache>
            </c:numRef>
          </c:val>
        </c:ser>
        <c:ser>
          <c:idx val="3"/>
          <c:order val="1"/>
          <c:tx>
            <c:strRef>
              <c:f>CALCULATIONS!$B$36</c:f>
              <c:strCache>
                <c:ptCount val="1"/>
                <c:pt idx="0">
                  <c:v>E300 Mobile</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CALCULATIONS!$OP$36:$PD$36</c:f>
              <c:numCache>
                <c:formatCode>0.0</c:formatCode>
                <c:ptCount val="15"/>
                <c:pt idx="0">
                  <c:v>1.028</c:v>
                </c:pt>
                <c:pt idx="1">
                  <c:v>1.0049999999999999</c:v>
                </c:pt>
                <c:pt idx="2">
                  <c:v>0.98580000000000001</c:v>
                </c:pt>
                <c:pt idx="3">
                  <c:v>1.0396000000000001</c:v>
                </c:pt>
                <c:pt idx="4">
                  <c:v>1.0711999999999999</c:v>
                </c:pt>
                <c:pt idx="5">
                  <c:v>1.1758999999999999</c:v>
                </c:pt>
                <c:pt idx="6">
                  <c:v>1.1246</c:v>
                </c:pt>
                <c:pt idx="7">
                  <c:v>1.0964</c:v>
                </c:pt>
                <c:pt idx="8">
                  <c:v>1.1269400000000001</c:v>
                </c:pt>
                <c:pt idx="9">
                  <c:v>1.1574800000000001</c:v>
                </c:pt>
                <c:pt idx="10">
                  <c:v>1.1880199999999999</c:v>
                </c:pt>
                <c:pt idx="11">
                  <c:v>1.2185599999999999</c:v>
                </c:pt>
                <c:pt idx="12">
                  <c:v>1.2490999999999999</c:v>
                </c:pt>
                <c:pt idx="13">
                  <c:v>1.3798333333333332</c:v>
                </c:pt>
                <c:pt idx="14">
                  <c:v>1.5105666666666666</c:v>
                </c:pt>
              </c:numCache>
            </c:numRef>
          </c:val>
        </c:ser>
        <c:ser>
          <c:idx val="4"/>
          <c:order val="2"/>
          <c:tx>
            <c:strRef>
              <c:f>CALCULATIONS!$B$37</c:f>
              <c:strCache>
                <c:ptCount val="1"/>
                <c:pt idx="0">
                  <c:v>E300 Fixed</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CALCULATIONS!$OP$37:$PD$37</c:f>
              <c:numCache>
                <c:formatCode>0.0</c:formatCode>
                <c:ptCount val="15"/>
                <c:pt idx="0">
                  <c:v>2.6835</c:v>
                </c:pt>
                <c:pt idx="1">
                  <c:v>2.4567999999999999</c:v>
                </c:pt>
                <c:pt idx="2">
                  <c:v>2.1610999999999998</c:v>
                </c:pt>
                <c:pt idx="3">
                  <c:v>2.19</c:v>
                </c:pt>
                <c:pt idx="4">
                  <c:v>2.0546000000000002</c:v>
                </c:pt>
                <c:pt idx="5">
                  <c:v>2.0670000000000002</c:v>
                </c:pt>
                <c:pt idx="6">
                  <c:v>2.1957</c:v>
                </c:pt>
                <c:pt idx="7">
                  <c:v>1.9914000000000001</c:v>
                </c:pt>
                <c:pt idx="8">
                  <c:v>1.9504600000000001</c:v>
                </c:pt>
                <c:pt idx="9">
                  <c:v>1.9095200000000001</c:v>
                </c:pt>
                <c:pt idx="10">
                  <c:v>1.8685799999999999</c:v>
                </c:pt>
                <c:pt idx="11">
                  <c:v>1.8276399999999999</c:v>
                </c:pt>
                <c:pt idx="12">
                  <c:v>1.7867</c:v>
                </c:pt>
                <c:pt idx="13">
                  <c:v>1.9305333333333332</c:v>
                </c:pt>
                <c:pt idx="14">
                  <c:v>2.0743666666666667</c:v>
                </c:pt>
              </c:numCache>
            </c:numRef>
          </c:val>
        </c:ser>
        <c:marker val="1"/>
        <c:axId val="170885120"/>
        <c:axId val="170887040"/>
      </c:lineChart>
      <c:dateAx>
        <c:axId val="170885120"/>
        <c:scaling>
          <c:orientation val="minMax"/>
        </c:scaling>
        <c:axPos val="b"/>
        <c:numFmt formatCode="[$-409]mmm\-yy;@" sourceLinked="0"/>
        <c:tickLblPos val="nextTo"/>
        <c:crossAx val="170887040"/>
        <c:crosses val="autoZero"/>
        <c:auto val="1"/>
        <c:lblOffset val="100"/>
        <c:majorUnit val="6"/>
        <c:majorTimeUnit val="months"/>
      </c:dateAx>
      <c:valAx>
        <c:axId val="170887040"/>
        <c:scaling>
          <c:orientation val="minMax"/>
        </c:scaling>
        <c:axPos val="l"/>
        <c:majorGridlines>
          <c:spPr>
            <a:ln>
              <a:solidFill>
                <a:schemeClr val="bg1">
                  <a:lumMod val="50000"/>
                </a:schemeClr>
              </a:solidFill>
              <a:prstDash val="dash"/>
            </a:ln>
          </c:spPr>
        </c:majorGridlines>
        <c:numFmt formatCode="0.0" sourceLinked="1"/>
        <c:tickLblPos val="nextTo"/>
        <c:crossAx val="170885120"/>
        <c:crosses val="autoZero"/>
        <c:crossBetween val="between"/>
      </c:valAx>
      <c:spPr>
        <a:noFill/>
        <a:ln>
          <a:noFill/>
        </a:ln>
      </c:spPr>
    </c:plotArea>
    <c:legend>
      <c:legendPos val="b"/>
      <c:layout>
        <c:manualLayout>
          <c:xMode val="edge"/>
          <c:yMode val="edge"/>
          <c:x val="1.1543547363716895E-2"/>
          <c:y val="0.9029408339802597"/>
          <c:w val="0.97350564594659084"/>
          <c:h val="8.8656426749473327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178007544818671"/>
          <c:h val="0.83286224585082536"/>
        </c:manualLayout>
      </c:layout>
      <c:lineChart>
        <c:grouping val="standard"/>
        <c:ser>
          <c:idx val="2"/>
          <c:order val="0"/>
          <c:tx>
            <c:strRef>
              <c:f>CALCULATIONS!$B$7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CALCULATIONS!$PJ$7:$PX$7</c:f>
              <c:numCache>
                <c:formatCode>0.0</c:formatCode>
                <c:ptCount val="15"/>
                <c:pt idx="0">
                  <c:v>0.9474793661159967</c:v>
                </c:pt>
                <c:pt idx="1">
                  <c:v>0.83428795270077216</c:v>
                </c:pt>
                <c:pt idx="2">
                  <c:v>0.92476593922070338</c:v>
                </c:pt>
                <c:pt idx="3">
                  <c:v>0.86483651911821335</c:v>
                </c:pt>
                <c:pt idx="4">
                  <c:v>0.73641733005105026</c:v>
                </c:pt>
                <c:pt idx="5">
                  <c:v>0.56816460972277427</c:v>
                </c:pt>
                <c:pt idx="6">
                  <c:v>0.63616116513524457</c:v>
                </c:pt>
                <c:pt idx="7">
                  <c:v>0.60380679205294374</c:v>
                </c:pt>
                <c:pt idx="8">
                  <c:v>0.59122948056400271</c:v>
                </c:pt>
                <c:pt idx="9">
                  <c:v>0.5532445533019329</c:v>
                </c:pt>
                <c:pt idx="10">
                  <c:v>0.59291337776850173</c:v>
                </c:pt>
                <c:pt idx="11">
                  <c:v>0.55446145797955559</c:v>
                </c:pt>
                <c:pt idx="12">
                  <c:v>0.56794589774142912</c:v>
                </c:pt>
                <c:pt idx="13">
                  <c:v>0.55045484017381863</c:v>
                </c:pt>
                <c:pt idx="14">
                  <c:v>0.62586665658446805</c:v>
                </c:pt>
              </c:numCache>
            </c:numRef>
          </c:val>
        </c:ser>
        <c:ser>
          <c:idx val="0"/>
          <c:order val="1"/>
          <c:tx>
            <c:v>Belgacom's peers avg.</c:v>
          </c:tx>
          <c:spPr>
            <a:ln w="22225">
              <a:solidFill>
                <a:schemeClr val="bg2">
                  <a:lumMod val="50000"/>
                </a:schemeClr>
              </a:solidFill>
            </a:ln>
          </c:spPr>
          <c:marker>
            <c:symbol val="none"/>
          </c:marker>
          <c:val>
            <c:numRef>
              <c:f>CALCULATIONS!$PJ$28:$PX$28</c:f>
              <c:numCache>
                <c:formatCode>0.0</c:formatCode>
                <c:ptCount val="15"/>
                <c:pt idx="0">
                  <c:v>0.75233140924652941</c:v>
                </c:pt>
                <c:pt idx="1">
                  <c:v>0.70917015951279672</c:v>
                </c:pt>
                <c:pt idx="2">
                  <c:v>0.79737570459732077</c:v>
                </c:pt>
                <c:pt idx="3">
                  <c:v>0.79543390776750333</c:v>
                </c:pt>
                <c:pt idx="4">
                  <c:v>0.81834661552186161</c:v>
                </c:pt>
                <c:pt idx="5">
                  <c:v>0.77511287694509712</c:v>
                </c:pt>
                <c:pt idx="6">
                  <c:v>1.0241892570286861</c:v>
                </c:pt>
                <c:pt idx="7">
                  <c:v>1.0467919342121617</c:v>
                </c:pt>
                <c:pt idx="8">
                  <c:v>0.99922423719474451</c:v>
                </c:pt>
                <c:pt idx="9">
                  <c:v>0.95114747695652901</c:v>
                </c:pt>
                <c:pt idx="10">
                  <c:v>1.0660150656054506</c:v>
                </c:pt>
                <c:pt idx="11">
                  <c:v>0.99235456348215301</c:v>
                </c:pt>
                <c:pt idx="12">
                  <c:v>1.0308330810360327</c:v>
                </c:pt>
                <c:pt idx="13">
                  <c:v>0.95192135407173994</c:v>
                </c:pt>
                <c:pt idx="14">
                  <c:v>0.77292800334148326</c:v>
                </c:pt>
              </c:numCache>
            </c:numRef>
          </c:val>
        </c:ser>
        <c:ser>
          <c:idx val="3"/>
          <c:order val="2"/>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CALCULATIONS!$PJ$8:$PX$8</c:f>
              <c:numCache>
                <c:formatCode>0.0</c:formatCode>
                <c:ptCount val="15"/>
                <c:pt idx="0">
                  <c:v>1.4224897799153571</c:v>
                </c:pt>
                <c:pt idx="1">
                  <c:v>1.6964999268835061</c:v>
                </c:pt>
                <c:pt idx="2">
                  <c:v>2.0995529340311432</c:v>
                </c:pt>
                <c:pt idx="3">
                  <c:v>1.6911207040041727</c:v>
                </c:pt>
                <c:pt idx="4">
                  <c:v>1.4099896262900513</c:v>
                </c:pt>
                <c:pt idx="5">
                  <c:v>1.669605438277872</c:v>
                </c:pt>
                <c:pt idx="6">
                  <c:v>2.0585543991162827</c:v>
                </c:pt>
                <c:pt idx="7">
                  <c:v>1.7303214990997846</c:v>
                </c:pt>
                <c:pt idx="8">
                  <c:v>1.4872106375092968</c:v>
                </c:pt>
                <c:pt idx="9">
                  <c:v>1.7500789321423964</c:v>
                </c:pt>
                <c:pt idx="10">
                  <c:v>2.1308096949890425</c:v>
                </c:pt>
                <c:pt idx="11">
                  <c:v>1.7913057841537303</c:v>
                </c:pt>
                <c:pt idx="12">
                  <c:v>1.534896600310492</c:v>
                </c:pt>
                <c:pt idx="13">
                  <c:v>1.5448530591409113</c:v>
                </c:pt>
                <c:pt idx="14">
                  <c:v>1.5639372203564612</c:v>
                </c:pt>
              </c:numCache>
            </c:numRef>
          </c:val>
        </c:ser>
        <c:ser>
          <c:idx val="4"/>
          <c:order val="3"/>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CALCULATIONS!$PJ$9:$PX$9</c:f>
              <c:numCache>
                <c:formatCode>0.0</c:formatCode>
                <c:ptCount val="15"/>
                <c:pt idx="0">
                  <c:v>1.6834302821706963</c:v>
                </c:pt>
                <c:pt idx="1">
                  <c:v>1.6450622918750173</c:v>
                </c:pt>
                <c:pt idx="2">
                  <c:v>4.5528588447314817</c:v>
                </c:pt>
                <c:pt idx="3">
                  <c:v>3.9667610150433581</c:v>
                </c:pt>
                <c:pt idx="4">
                  <c:v>3.0561942936612145</c:v>
                </c:pt>
                <c:pt idx="5">
                  <c:v>2.4303088358520135</c:v>
                </c:pt>
                <c:pt idx="6">
                  <c:v>-3.2485199602104773</c:v>
                </c:pt>
                <c:pt idx="7">
                  <c:v>-2.5611291137120182</c:v>
                </c:pt>
                <c:pt idx="8">
                  <c:v>-2.7587710765525113</c:v>
                </c:pt>
                <c:pt idx="9">
                  <c:v>-2.5202422124564041</c:v>
                </c:pt>
                <c:pt idx="10">
                  <c:v>-0.97278456103455146</c:v>
                </c:pt>
                <c:pt idx="11">
                  <c:v>-1.0633735102481428</c:v>
                </c:pt>
                <c:pt idx="12">
                  <c:v>-1.0830842813621857</c:v>
                </c:pt>
                <c:pt idx="13">
                  <c:v>-1.1634718208764263</c:v>
                </c:pt>
                <c:pt idx="14">
                  <c:v>-0.58091590737417254</c:v>
                </c:pt>
              </c:numCache>
            </c:numRef>
          </c:val>
        </c:ser>
        <c:marker val="1"/>
        <c:axId val="170920960"/>
        <c:axId val="170927232"/>
      </c:lineChart>
      <c:dateAx>
        <c:axId val="170920960"/>
        <c:scaling>
          <c:orientation val="minMax"/>
        </c:scaling>
        <c:axPos val="b"/>
        <c:numFmt formatCode="[$-409]mmm\-yy;@" sourceLinked="0"/>
        <c:tickLblPos val="nextTo"/>
        <c:crossAx val="170927232"/>
        <c:crosses val="autoZero"/>
        <c:auto val="1"/>
        <c:lblOffset val="100"/>
        <c:majorUnit val="6"/>
        <c:majorTimeUnit val="months"/>
      </c:dateAx>
      <c:valAx>
        <c:axId val="170927232"/>
        <c:scaling>
          <c:orientation val="minMax"/>
        </c:scaling>
        <c:axPos val="l"/>
        <c:majorGridlines>
          <c:spPr>
            <a:ln>
              <a:solidFill>
                <a:schemeClr val="bg1">
                  <a:lumMod val="50000"/>
                </a:schemeClr>
              </a:solidFill>
              <a:prstDash val="dash"/>
            </a:ln>
          </c:spPr>
        </c:majorGridlines>
        <c:numFmt formatCode="0.0" sourceLinked="1"/>
        <c:tickLblPos val="nextTo"/>
        <c:crossAx val="170920960"/>
        <c:crosses val="autoZero"/>
        <c:crossBetween val="between"/>
      </c:valAx>
      <c:spPr>
        <a:noFill/>
        <a:ln>
          <a:noFill/>
        </a:ln>
      </c:spPr>
    </c:plotArea>
    <c:legend>
      <c:legendPos val="b"/>
      <c:layout>
        <c:manualLayout>
          <c:xMode val="edge"/>
          <c:yMode val="edge"/>
          <c:x val="1.1543547363716895E-2"/>
          <c:y val="0.88181400545915223"/>
          <c:w val="0.89999998263083492"/>
          <c:h val="6.4829250013572079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marker>
            <c:spPr>
              <a:solidFill>
                <a:srgbClr val="FFD347"/>
              </a:solidFill>
            </c:spPr>
          </c:marker>
          <c:xVal>
            <c:numRef>
              <c:f>RATINGS!$X$208:$X$225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xVal>
          <c:yVal>
            <c:numRef>
              <c:f>RATINGS!$Q$208:$Q$225</c:f>
              <c:numCache>
                <c:formatCode>0.0</c:formatCode>
                <c:ptCount val="18"/>
                <c:pt idx="0">
                  <c:v>1.2613112569345961</c:v>
                </c:pt>
                <c:pt idx="1">
                  <c:v>2.2729979457754066</c:v>
                </c:pt>
                <c:pt idx="2">
                  <c:v>1.4355534634192222</c:v>
                </c:pt>
                <c:pt idx="3">
                  <c:v>2.4050116941532229</c:v>
                </c:pt>
                <c:pt idx="4">
                  <c:v>2.5687264385726105</c:v>
                </c:pt>
                <c:pt idx="5">
                  <c:v>2.8885013855817951</c:v>
                </c:pt>
                <c:pt idx="6">
                  <c:v>3.2915727037840417</c:v>
                </c:pt>
                <c:pt idx="7">
                  <c:v>1.1976201658037882</c:v>
                </c:pt>
                <c:pt idx="8">
                  <c:v>2.0003164984492168</c:v>
                </c:pt>
                <c:pt idx="9">
                  <c:v>2.2938268732747087</c:v>
                </c:pt>
                <c:pt idx="10">
                  <c:v>2.6315156310879719</c:v>
                </c:pt>
                <c:pt idx="11">
                  <c:v>2.7207826156746648</c:v>
                </c:pt>
                <c:pt idx="12">
                  <c:v>3.2461693401813436</c:v>
                </c:pt>
                <c:pt idx="13">
                  <c:v>3.3306037778524682</c:v>
                </c:pt>
                <c:pt idx="14">
                  <c:v>3.3361431745874608</c:v>
                </c:pt>
                <c:pt idx="15">
                  <c:v>5.0282270908831617</c:v>
                </c:pt>
                <c:pt idx="16">
                  <c:v>4.8798132676885455</c:v>
                </c:pt>
                <c:pt idx="17">
                  <c:v>2.7200754995769119</c:v>
                </c:pt>
              </c:numCache>
            </c:numRef>
          </c:yVal>
        </c:ser>
        <c:axId val="171292544"/>
        <c:axId val="171302912"/>
      </c:scatterChart>
      <c:valAx>
        <c:axId val="171292544"/>
        <c:scaling>
          <c:orientation val="minMax"/>
        </c:scaling>
        <c:axPos val="b"/>
        <c:numFmt formatCode="General" sourceLinked="1"/>
        <c:tickLblPos val="nextTo"/>
        <c:crossAx val="171302912"/>
        <c:crosses val="autoZero"/>
        <c:crossBetween val="midCat"/>
      </c:valAx>
      <c:valAx>
        <c:axId val="171302912"/>
        <c:scaling>
          <c:orientation val="minMax"/>
        </c:scaling>
        <c:axPos val="l"/>
        <c:majorGridlines/>
        <c:numFmt formatCode="0.0" sourceLinked="1"/>
        <c:tickLblPos val="nextTo"/>
        <c:crossAx val="171292544"/>
        <c:crosses val="autoZero"/>
        <c:crossBetween val="midCat"/>
      </c:valAx>
    </c:plotArea>
    <c:plotVisOnly val="1"/>
  </c:chart>
  <c:spPr>
    <a:ln>
      <a:noFill/>
    </a:ln>
  </c:spPr>
  <c:txPr>
    <a:bodyPr/>
    <a:lstStyle/>
    <a:p>
      <a:pPr>
        <a:defRPr baseline="0">
          <a:latin typeface="Arial" pitchFamily="34" charset="0"/>
        </a:defRPr>
      </a:pPr>
      <a:endParaRPr lang="fr-FR"/>
    </a:p>
  </c:txPr>
  <c:printSettings>
    <c:headerFooter/>
    <c:pageMargins b="0.75000000000000377" l="0.70000000000000062" r="0.70000000000000062" t="0.75000000000000377"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marker>
            <c:spPr>
              <a:solidFill>
                <a:srgbClr val="FFD347"/>
              </a:solidFill>
            </c:spPr>
          </c:marker>
          <c:xVal>
            <c:numRef>
              <c:f>RATINGS!$Q$208:$Q$225</c:f>
              <c:numCache>
                <c:formatCode>0.0</c:formatCode>
                <c:ptCount val="18"/>
                <c:pt idx="0">
                  <c:v>1.2613112569345961</c:v>
                </c:pt>
                <c:pt idx="1">
                  <c:v>2.2729979457754066</c:v>
                </c:pt>
                <c:pt idx="2">
                  <c:v>1.4355534634192222</c:v>
                </c:pt>
                <c:pt idx="3">
                  <c:v>2.4050116941532229</c:v>
                </c:pt>
                <c:pt idx="4">
                  <c:v>2.5687264385726105</c:v>
                </c:pt>
                <c:pt idx="5">
                  <c:v>2.8885013855817951</c:v>
                </c:pt>
                <c:pt idx="6">
                  <c:v>3.2915727037840417</c:v>
                </c:pt>
                <c:pt idx="7">
                  <c:v>1.1976201658037882</c:v>
                </c:pt>
                <c:pt idx="8">
                  <c:v>2.0003164984492168</c:v>
                </c:pt>
                <c:pt idx="9">
                  <c:v>2.2938268732747087</c:v>
                </c:pt>
                <c:pt idx="10">
                  <c:v>2.6315156310879719</c:v>
                </c:pt>
                <c:pt idx="11">
                  <c:v>2.7207826156746648</c:v>
                </c:pt>
                <c:pt idx="12">
                  <c:v>3.2461693401813436</c:v>
                </c:pt>
                <c:pt idx="13">
                  <c:v>3.3306037778524682</c:v>
                </c:pt>
                <c:pt idx="14">
                  <c:v>3.3361431745874608</c:v>
                </c:pt>
                <c:pt idx="15">
                  <c:v>5.0282270908831617</c:v>
                </c:pt>
                <c:pt idx="16">
                  <c:v>4.8798132676885455</c:v>
                </c:pt>
                <c:pt idx="17">
                  <c:v>2.7200754995769119</c:v>
                </c:pt>
              </c:numCache>
            </c:numRef>
          </c:xVal>
          <c:yVal>
            <c:numRef>
              <c:f>RATINGS!$X$208:$X$225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yVal>
        </c:ser>
        <c:axId val="171403520"/>
        <c:axId val="171409792"/>
      </c:scatterChart>
      <c:valAx>
        <c:axId val="171403520"/>
        <c:scaling>
          <c:orientation val="minMax"/>
        </c:scaling>
        <c:axPos val="b"/>
        <c:numFmt formatCode="0.0" sourceLinked="1"/>
        <c:tickLblPos val="nextTo"/>
        <c:crossAx val="171409792"/>
        <c:crosses val="autoZero"/>
        <c:crossBetween val="midCat"/>
      </c:valAx>
      <c:valAx>
        <c:axId val="171409792"/>
        <c:scaling>
          <c:orientation val="minMax"/>
        </c:scaling>
        <c:axPos val="l"/>
        <c:majorGridlines/>
        <c:numFmt formatCode="General" sourceLinked="1"/>
        <c:tickLblPos val="nextTo"/>
        <c:crossAx val="171403520"/>
        <c:crosses val="autoZero"/>
        <c:crossBetween val="midCat"/>
      </c:valAx>
    </c:plotArea>
    <c:plotVisOnly val="1"/>
  </c:chart>
  <c:spPr>
    <a:ln>
      <a:noFill/>
    </a:ln>
  </c:spPr>
  <c:txPr>
    <a:bodyPr/>
    <a:lstStyle/>
    <a:p>
      <a:pPr>
        <a:defRPr baseline="0">
          <a:latin typeface="Arial" pitchFamily="34" charset="0"/>
        </a:defRPr>
      </a:pPr>
      <a:endParaRPr lang="fr-FR"/>
    </a:p>
  </c:txPr>
  <c:printSettings>
    <c:headerFooter/>
    <c:pageMargins b="0.75000000000000377" l="0.70000000000000062" r="0.70000000000000062" t="0.7500000000000037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xVal>
            <c:numRef>
              <c:f>RATINGS!$X$208:$X$225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xVal>
          <c:yVal>
            <c:numRef>
              <c:f>RATINGS!$K$208:$K$225</c:f>
              <c:numCache>
                <c:formatCode>0%</c:formatCode>
                <c:ptCount val="18"/>
                <c:pt idx="0">
                  <c:v>0.38177126123375654</c:v>
                </c:pt>
                <c:pt idx="1">
                  <c:v>0.66497585026970141</c:v>
                </c:pt>
                <c:pt idx="2">
                  <c:v>0.38421326413854551</c:v>
                </c:pt>
                <c:pt idx="3">
                  <c:v>0.41788808645473879</c:v>
                </c:pt>
                <c:pt idx="4">
                  <c:v>0.31262610830997539</c:v>
                </c:pt>
                <c:pt idx="5">
                  <c:v>0.57903185308242289</c:v>
                </c:pt>
                <c:pt idx="6">
                  <c:v>0.58367484373861944</c:v>
                </c:pt>
                <c:pt idx="7">
                  <c:v>0.29258903968572825</c:v>
                </c:pt>
                <c:pt idx="8">
                  <c:v>0.55184388988303035</c:v>
                </c:pt>
                <c:pt idx="9">
                  <c:v>1.0781347444679739</c:v>
                </c:pt>
                <c:pt idx="10">
                  <c:v>0.55186943572014047</c:v>
                </c:pt>
                <c:pt idx="11">
                  <c:v>0.81344245061522213</c:v>
                </c:pt>
                <c:pt idx="12">
                  <c:v>0.6677972809782533</c:v>
                </c:pt>
                <c:pt idx="13">
                  <c:v>0.58632963497275115</c:v>
                </c:pt>
                <c:pt idx="14">
                  <c:v>0.83163935851267257</c:v>
                </c:pt>
                <c:pt idx="15">
                  <c:v>0.76120820307083403</c:v>
                </c:pt>
                <c:pt idx="16">
                  <c:v>1.3233952515247318</c:v>
                </c:pt>
                <c:pt idx="17">
                  <c:v>0.620597747839015</c:v>
                </c:pt>
              </c:numCache>
            </c:numRef>
          </c:yVal>
        </c:ser>
        <c:axId val="171419520"/>
        <c:axId val="171421056"/>
      </c:scatterChart>
      <c:valAx>
        <c:axId val="171419520"/>
        <c:scaling>
          <c:orientation val="minMax"/>
        </c:scaling>
        <c:axPos val="b"/>
        <c:numFmt formatCode="General" sourceLinked="1"/>
        <c:tickLblPos val="nextTo"/>
        <c:crossAx val="171421056"/>
        <c:crosses val="autoZero"/>
        <c:crossBetween val="midCat"/>
      </c:valAx>
      <c:valAx>
        <c:axId val="171421056"/>
        <c:scaling>
          <c:orientation val="minMax"/>
        </c:scaling>
        <c:axPos val="l"/>
        <c:majorGridlines/>
        <c:numFmt formatCode="0%" sourceLinked="1"/>
        <c:tickLblPos val="nextTo"/>
        <c:crossAx val="171419520"/>
        <c:crosses val="autoZero"/>
        <c:crossBetween val="midCat"/>
      </c:valAx>
    </c:plotArea>
    <c:plotVisOnly val="1"/>
  </c:chart>
  <c:printSettings>
    <c:headerFooter/>
    <c:pageMargins b="0.750000000000004" l="0.70000000000000062" r="0.70000000000000062" t="0.75000000000000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xVal>
            <c:numRef>
              <c:f>RATINGS!$X$208:$X$225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xVal>
          <c:yVal>
            <c:numRef>
              <c:f>RATINGS!$N$208:$N$225</c:f>
              <c:numCache>
                <c:formatCode>0%</c:formatCode>
                <c:ptCount val="18"/>
                <c:pt idx="0">
                  <c:v>0.28756363720088318</c:v>
                </c:pt>
                <c:pt idx="1">
                  <c:v>0.30362227391248225</c:v>
                </c:pt>
                <c:pt idx="2">
                  <c:v>0.198117589718218</c:v>
                </c:pt>
                <c:pt idx="3">
                  <c:v>0.28287599661626001</c:v>
                </c:pt>
                <c:pt idx="4">
                  <c:v>0.2718321660431175</c:v>
                </c:pt>
                <c:pt idx="5">
                  <c:v>0.59074959904524027</c:v>
                </c:pt>
                <c:pt idx="6">
                  <c:v>0.65530118542007598</c:v>
                </c:pt>
                <c:pt idx="7">
                  <c:v>0.34197601038246805</c:v>
                </c:pt>
                <c:pt idx="8">
                  <c:v>0.32061814749302248</c:v>
                </c:pt>
                <c:pt idx="9">
                  <c:v>0.37414035756341019</c:v>
                </c:pt>
                <c:pt idx="10">
                  <c:v>0.43916945384982109</c:v>
                </c:pt>
                <c:pt idx="11">
                  <c:v>0.62319136029119382</c:v>
                </c:pt>
                <c:pt idx="12">
                  <c:v>0.57929804018594233</c:v>
                </c:pt>
                <c:pt idx="13">
                  <c:v>0.75672107111582532</c:v>
                </c:pt>
                <c:pt idx="14">
                  <c:v>0.63323863537070213</c:v>
                </c:pt>
                <c:pt idx="15">
                  <c:v>0.7506672643344422</c:v>
                </c:pt>
                <c:pt idx="16">
                  <c:v>0.4832654138496531</c:v>
                </c:pt>
                <c:pt idx="17">
                  <c:v>0.44527495080222473</c:v>
                </c:pt>
              </c:numCache>
            </c:numRef>
          </c:yVal>
        </c:ser>
        <c:axId val="171452672"/>
        <c:axId val="171454464"/>
      </c:scatterChart>
      <c:valAx>
        <c:axId val="171452672"/>
        <c:scaling>
          <c:orientation val="minMax"/>
        </c:scaling>
        <c:axPos val="b"/>
        <c:numFmt formatCode="General" sourceLinked="1"/>
        <c:tickLblPos val="nextTo"/>
        <c:crossAx val="171454464"/>
        <c:crosses val="autoZero"/>
        <c:crossBetween val="midCat"/>
      </c:valAx>
      <c:valAx>
        <c:axId val="171454464"/>
        <c:scaling>
          <c:orientation val="minMax"/>
        </c:scaling>
        <c:axPos val="l"/>
        <c:majorGridlines/>
        <c:numFmt formatCode="0%" sourceLinked="1"/>
        <c:tickLblPos val="nextTo"/>
        <c:crossAx val="171452672"/>
        <c:crosses val="autoZero"/>
        <c:crossBetween val="midCat"/>
      </c:valAx>
    </c:plotArea>
    <c:plotVisOnly val="1"/>
  </c:chart>
  <c:printSettings>
    <c:headerFooter/>
    <c:pageMargins b="0.75000000000000422" l="0.70000000000000062" r="0.70000000000000062" t="0.7500000000000042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marker>
            <c:spPr>
              <a:solidFill>
                <a:srgbClr val="FFD347"/>
              </a:solidFill>
            </c:spPr>
          </c:marker>
          <c:xVal>
            <c:numRef>
              <c:f>RATINGS!$X$208:$X$225</c:f>
              <c:numCache>
                <c:formatCode>General</c:formatCode>
                <c:ptCount val="18"/>
                <c:pt idx="0">
                  <c:v>1</c:v>
                </c:pt>
                <c:pt idx="1">
                  <c:v>1</c:v>
                </c:pt>
                <c:pt idx="2">
                  <c:v>2</c:v>
                </c:pt>
                <c:pt idx="3">
                  <c:v>2</c:v>
                </c:pt>
                <c:pt idx="4">
                  <c:v>2</c:v>
                </c:pt>
                <c:pt idx="5">
                  <c:v>3</c:v>
                </c:pt>
                <c:pt idx="6">
                  <c:v>3</c:v>
                </c:pt>
                <c:pt idx="7">
                  <c:v>4</c:v>
                </c:pt>
                <c:pt idx="8">
                  <c:v>4</c:v>
                </c:pt>
                <c:pt idx="9">
                  <c:v>4</c:v>
                </c:pt>
                <c:pt idx="10">
                  <c:v>4</c:v>
                </c:pt>
                <c:pt idx="11">
                  <c:v>4</c:v>
                </c:pt>
                <c:pt idx="12">
                  <c:v>4</c:v>
                </c:pt>
                <c:pt idx="13">
                  <c:v>5</c:v>
                </c:pt>
                <c:pt idx="14">
                  <c:v>5</c:v>
                </c:pt>
                <c:pt idx="15">
                  <c:v>5</c:v>
                </c:pt>
                <c:pt idx="16">
                  <c:v>9</c:v>
                </c:pt>
                <c:pt idx="17">
                  <c:v>11</c:v>
                </c:pt>
              </c:numCache>
            </c:numRef>
          </c:xVal>
          <c:yVal>
            <c:numRef>
              <c:f>RATINGS!$F$208:$F$225</c:f>
              <c:numCache>
                <c:formatCode>0.0</c:formatCode>
                <c:ptCount val="18"/>
                <c:pt idx="0">
                  <c:v>1</c:v>
                </c:pt>
                <c:pt idx="1">
                  <c:v>2.4787486502448766</c:v>
                </c:pt>
                <c:pt idx="2">
                  <c:v>3.3410905800320307</c:v>
                </c:pt>
                <c:pt idx="3">
                  <c:v>3.21074760012077</c:v>
                </c:pt>
                <c:pt idx="4">
                  <c:v>15.757401158931856</c:v>
                </c:pt>
                <c:pt idx="5">
                  <c:v>5.5761049905796813</c:v>
                </c:pt>
                <c:pt idx="6">
                  <c:v>3.3354790333643751</c:v>
                </c:pt>
                <c:pt idx="7">
                  <c:v>0.54839031049889286</c:v>
                </c:pt>
                <c:pt idx="8">
                  <c:v>0.36498415767020359</c:v>
                </c:pt>
                <c:pt idx="9">
                  <c:v>3.4819890563900104</c:v>
                </c:pt>
                <c:pt idx="10">
                  <c:v>0.68397944869684923</c:v>
                </c:pt>
                <c:pt idx="11">
                  <c:v>0.39672836457985794</c:v>
                </c:pt>
                <c:pt idx="12">
                  <c:v>6.6992799431837176</c:v>
                </c:pt>
                <c:pt idx="13">
                  <c:v>1.8801137942487018</c:v>
                </c:pt>
                <c:pt idx="14">
                  <c:v>1.1206356925523315</c:v>
                </c:pt>
                <c:pt idx="15">
                  <c:v>0.42973587479602082</c:v>
                </c:pt>
                <c:pt idx="16">
                  <c:v>0.58634366792198345</c:v>
                </c:pt>
                <c:pt idx="17">
                  <c:v>0.3134542881005023</c:v>
                </c:pt>
              </c:numCache>
            </c:numRef>
          </c:yVal>
        </c:ser>
        <c:axId val="171470208"/>
        <c:axId val="171496960"/>
      </c:scatterChart>
      <c:valAx>
        <c:axId val="171470208"/>
        <c:scaling>
          <c:orientation val="minMax"/>
        </c:scaling>
        <c:axPos val="b"/>
        <c:numFmt formatCode="General" sourceLinked="1"/>
        <c:tickLblPos val="nextTo"/>
        <c:crossAx val="171496960"/>
        <c:crosses val="autoZero"/>
        <c:crossBetween val="midCat"/>
      </c:valAx>
      <c:valAx>
        <c:axId val="171496960"/>
        <c:scaling>
          <c:orientation val="minMax"/>
        </c:scaling>
        <c:axPos val="l"/>
        <c:majorGridlines/>
        <c:numFmt formatCode="0.0" sourceLinked="1"/>
        <c:tickLblPos val="nextTo"/>
        <c:crossAx val="171470208"/>
        <c:crosses val="autoZero"/>
        <c:crossBetween val="midCat"/>
      </c:valAx>
    </c:plotArea>
    <c:plotVisOnly val="1"/>
  </c:chart>
  <c:spPr>
    <a:ln>
      <a:noFill/>
    </a:ln>
  </c:spPr>
  <c:txPr>
    <a:bodyPr/>
    <a:lstStyle/>
    <a:p>
      <a:pPr>
        <a:defRPr baseline="0">
          <a:latin typeface="Arial" pitchFamily="34" charset="0"/>
        </a:defRPr>
      </a:pPr>
      <a:endParaRPr lang="fr-FR"/>
    </a:p>
  </c:txPr>
  <c:printSettings>
    <c:headerFooter/>
    <c:pageMargins b="0.750000000000004" l="0.70000000000000062" r="0.70000000000000062" t="0.75000000000000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3110236220472493E-2"/>
          <c:y val="6.0510236412244761E-2"/>
          <c:w val="0.89170519550440863"/>
          <c:h val="0.75367751444863584"/>
        </c:manualLayout>
      </c:layout>
      <c:lineChart>
        <c:grouping val="standard"/>
        <c:ser>
          <c:idx val="2"/>
          <c:order val="0"/>
          <c:tx>
            <c:strRef>
              <c:f>CALCULATIONS!$S$7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CALCULATIONS!$T$7:$AH$7</c:f>
              <c:numCache>
                <c:formatCode>0.00</c:formatCode>
                <c:ptCount val="15"/>
                <c:pt idx="0">
                  <c:v>0.9375949600736202</c:v>
                </c:pt>
                <c:pt idx="1">
                  <c:v>1.0596053311851197</c:v>
                </c:pt>
                <c:pt idx="2">
                  <c:v>1</c:v>
                </c:pt>
                <c:pt idx="3">
                  <c:v>1.1059346610413616</c:v>
                </c:pt>
                <c:pt idx="4">
                  <c:v>0.92385177445505473</c:v>
                </c:pt>
                <c:pt idx="5">
                  <c:v>1.0051339717232151</c:v>
                </c:pt>
                <c:pt idx="6">
                  <c:v>0.95089890370332808</c:v>
                </c:pt>
                <c:pt idx="7">
                  <c:v>0.87608737926907276</c:v>
                </c:pt>
                <c:pt idx="8">
                  <c:v>0.88068086248400801</c:v>
                </c:pt>
                <c:pt idx="9">
                  <c:v>0.93188545472966378</c:v>
                </c:pt>
                <c:pt idx="10">
                  <c:v>0.86816195682391817</c:v>
                </c:pt>
                <c:pt idx="11">
                  <c:v>0.91816135863221393</c:v>
                </c:pt>
                <c:pt idx="12">
                  <c:v>0.80845466998198301</c:v>
                </c:pt>
                <c:pt idx="13">
                  <c:v>0.74979956002828585</c:v>
                </c:pt>
                <c:pt idx="14">
                  <c:v>0.66634474879070904</c:v>
                </c:pt>
              </c:numCache>
            </c:numRef>
          </c:val>
        </c:ser>
        <c:ser>
          <c:idx val="13"/>
          <c:order val="1"/>
          <c:tx>
            <c:strRef>
              <c:f>CALCULATIONS!$S$18</c:f>
              <c:strCache>
                <c:ptCount val="1"/>
                <c:pt idx="0">
                  <c:v>KPN</c:v>
                </c:pt>
              </c:strCache>
            </c:strRef>
          </c:tx>
          <c:spPr>
            <a:ln w="19050">
              <a:solidFill>
                <a:schemeClr val="accent3">
                  <a:lumMod val="50000"/>
                </a:schemeClr>
              </a:solidFill>
            </a:ln>
          </c:spPr>
          <c:marker>
            <c:symbol val="square"/>
            <c:size val="5"/>
            <c:spPr>
              <a:solidFill>
                <a:schemeClr val="accent3">
                  <a:lumMod val="50000"/>
                </a:schemeClr>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CALCULATIONS!$T$18:$AH$18</c:f>
              <c:numCache>
                <c:formatCode>0.00</c:formatCode>
                <c:ptCount val="15"/>
                <c:pt idx="0">
                  <c:v>1.1377925912334799</c:v>
                </c:pt>
                <c:pt idx="1">
                  <c:v>1.1198090684661495</c:v>
                </c:pt>
                <c:pt idx="2">
                  <c:v>1</c:v>
                </c:pt>
                <c:pt idx="3">
                  <c:v>1.0525782423714849</c:v>
                </c:pt>
                <c:pt idx="4">
                  <c:v>1.0131471490800472</c:v>
                </c:pt>
                <c:pt idx="5">
                  <c:v>1.0837476279575495</c:v>
                </c:pt>
                <c:pt idx="6">
                  <c:v>0.90432518360559888</c:v>
                </c:pt>
                <c:pt idx="7">
                  <c:v>0.86306432044025816</c:v>
                </c:pt>
                <c:pt idx="8">
                  <c:v>0.78078951956203091</c:v>
                </c:pt>
                <c:pt idx="9">
                  <c:v>0.69658755679553841</c:v>
                </c:pt>
                <c:pt idx="10">
                  <c:v>0.63814447209758318</c:v>
                </c:pt>
                <c:pt idx="11">
                  <c:v>0.50217139118427645</c:v>
                </c:pt>
                <c:pt idx="12">
                  <c:v>0.31383600230205744</c:v>
                </c:pt>
                <c:pt idx="13">
                  <c:v>0.22161078533373491</c:v>
                </c:pt>
                <c:pt idx="14">
                  <c:v>0.40233478298448</c:v>
                </c:pt>
              </c:numCache>
            </c:numRef>
          </c:val>
        </c:ser>
        <c:ser>
          <c:idx val="5"/>
          <c:order val="2"/>
          <c:tx>
            <c:strRef>
              <c:f>CALCULATIONS!$S$10</c:f>
              <c:strCache>
                <c:ptCount val="1"/>
                <c:pt idx="0">
                  <c:v>TDC</c:v>
                </c:pt>
              </c:strCache>
            </c:strRef>
          </c:tx>
          <c:spPr>
            <a:ln w="19050">
              <a:solidFill>
                <a:schemeClr val="bg2">
                  <a:lumMod val="50000"/>
                </a:schemeClr>
              </a:solidFill>
            </a:ln>
          </c:spPr>
          <c:marker>
            <c:symbol val="square"/>
            <c:size val="5"/>
            <c:spPr>
              <a:solidFill>
                <a:srgbClr val="5D743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CALCULATIONS!$T$10:$AH$10</c:f>
              <c:numCache>
                <c:formatCode>0.00</c:formatCode>
                <c:ptCount val="15"/>
                <c:pt idx="0">
                  <c:v>1.11331594520898</c:v>
                </c:pt>
                <c:pt idx="1">
                  <c:v>1.111087708235821</c:v>
                </c:pt>
                <c:pt idx="2">
                  <c:v>1</c:v>
                </c:pt>
                <c:pt idx="3">
                  <c:v>1.0427831360082092</c:v>
                </c:pt>
                <c:pt idx="4">
                  <c:v>0.90962296214032845</c:v>
                </c:pt>
                <c:pt idx="5">
                  <c:v>0.80900059473824282</c:v>
                </c:pt>
                <c:pt idx="6">
                  <c:v>0.89016614901577873</c:v>
                </c:pt>
                <c:pt idx="7">
                  <c:v>0.86342702949911387</c:v>
                </c:pt>
                <c:pt idx="8">
                  <c:v>0.86461912185568557</c:v>
                </c:pt>
                <c:pt idx="9">
                  <c:v>0.76955565247252455</c:v>
                </c:pt>
                <c:pt idx="10">
                  <c:v>0.7737277136737063</c:v>
                </c:pt>
                <c:pt idx="11">
                  <c:v>0.80141502891791239</c:v>
                </c:pt>
                <c:pt idx="12">
                  <c:v>0.75931513861507838</c:v>
                </c:pt>
                <c:pt idx="13">
                  <c:v>0.84749734127641996</c:v>
                </c:pt>
                <c:pt idx="14">
                  <c:v>0.86680674387051748</c:v>
                </c:pt>
              </c:numCache>
            </c:numRef>
          </c:val>
        </c:ser>
        <c:ser>
          <c:idx val="3"/>
          <c:order val="3"/>
          <c:tx>
            <c:strRef>
              <c:f>CALCULATIONS!$S$8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CALCULATIONS!$T$8:$AH$8</c:f>
              <c:numCache>
                <c:formatCode>0.00</c:formatCode>
                <c:ptCount val="15"/>
                <c:pt idx="0">
                  <c:v>1.0976521491909161</c:v>
                </c:pt>
                <c:pt idx="1">
                  <c:v>1.0488260745954583</c:v>
                </c:pt>
                <c:pt idx="2">
                  <c:v>1</c:v>
                </c:pt>
                <c:pt idx="3">
                  <c:v>1.0558733120973747</c:v>
                </c:pt>
                <c:pt idx="4">
                  <c:v>1.1117466241947491</c:v>
                </c:pt>
                <c:pt idx="5">
                  <c:v>1.1560927363359628</c:v>
                </c:pt>
                <c:pt idx="6">
                  <c:v>1.2004388484771762</c:v>
                </c:pt>
                <c:pt idx="7">
                  <c:v>1.0641920149205428</c:v>
                </c:pt>
                <c:pt idx="8">
                  <c:v>0.92794518136390913</c:v>
                </c:pt>
                <c:pt idx="9">
                  <c:v>0.77382241338785718</c:v>
                </c:pt>
                <c:pt idx="10">
                  <c:v>0.61969964541180522</c:v>
                </c:pt>
                <c:pt idx="11">
                  <c:v>0.53203872650693296</c:v>
                </c:pt>
                <c:pt idx="12">
                  <c:v>0.4443778076020608</c:v>
                </c:pt>
                <c:pt idx="13">
                  <c:v>0.40553198444325683</c:v>
                </c:pt>
                <c:pt idx="14">
                  <c:v>0.36668616128445281</c:v>
                </c:pt>
              </c:numCache>
            </c:numRef>
          </c:val>
        </c:ser>
        <c:ser>
          <c:idx val="17"/>
          <c:order val="4"/>
          <c:tx>
            <c:strRef>
              <c:f>CALCULATIONS!$S$22</c:f>
              <c:strCache>
                <c:ptCount val="1"/>
                <c:pt idx="0">
                  <c:v>VOD</c:v>
                </c:pt>
              </c:strCache>
            </c:strRef>
          </c:tx>
          <c:spPr>
            <a:ln w="19050">
              <a:solidFill>
                <a:srgbClr val="0070C0"/>
              </a:solidFill>
            </a:ln>
          </c:spPr>
          <c:marker>
            <c:symbol val="triangle"/>
            <c:size val="5"/>
            <c:spPr>
              <a:solidFill>
                <a:srgbClr val="C00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CALCULATIONS!$T$22:$AH$22</c:f>
              <c:numCache>
                <c:formatCode>0.00</c:formatCode>
                <c:ptCount val="15"/>
                <c:pt idx="0">
                  <c:v>0.98520496394155388</c:v>
                </c:pt>
                <c:pt idx="1">
                  <c:v>0.98520496394155388</c:v>
                </c:pt>
                <c:pt idx="2">
                  <c:v>1</c:v>
                </c:pt>
                <c:pt idx="3">
                  <c:v>1.0147950360584461</c:v>
                </c:pt>
                <c:pt idx="4">
                  <c:v>1.0676083697816543</c:v>
                </c:pt>
                <c:pt idx="5">
                  <c:v>1.120421703504862</c:v>
                </c:pt>
                <c:pt idx="6">
                  <c:v>1.0762046228931996</c:v>
                </c:pt>
                <c:pt idx="7">
                  <c:v>1.0319875422815368</c:v>
                </c:pt>
                <c:pt idx="8">
                  <c:v>1.0420875776264942</c:v>
                </c:pt>
                <c:pt idx="9">
                  <c:v>1.0521876129714518</c:v>
                </c:pt>
                <c:pt idx="10">
                  <c:v>1.0579816743820289</c:v>
                </c:pt>
                <c:pt idx="11">
                  <c:v>1.0637757357926059</c:v>
                </c:pt>
                <c:pt idx="12">
                  <c:v>1.0936236969428437</c:v>
                </c:pt>
                <c:pt idx="13">
                  <c:v>1.1234716580930815</c:v>
                </c:pt>
                <c:pt idx="14">
                  <c:v>1.1234716580930815</c:v>
                </c:pt>
              </c:numCache>
            </c:numRef>
          </c:val>
        </c:ser>
        <c:ser>
          <c:idx val="4"/>
          <c:order val="5"/>
          <c:tx>
            <c:strRef>
              <c:f>CALCULATIONS!$S$9</c:f>
              <c:strCache>
                <c:ptCount val="1"/>
                <c:pt idx="0">
                  <c:v>Telenet</c:v>
                </c:pt>
              </c:strCache>
            </c:strRef>
          </c:tx>
          <c:spPr>
            <a:ln w="28575">
              <a:solidFill>
                <a:srgbClr val="FFC000"/>
              </a:solidFill>
            </a:ln>
          </c:spPr>
          <c:marker>
            <c:symbol val="diamond"/>
            <c:size val="7"/>
            <c:spPr>
              <a:solidFill>
                <a:srgbClr val="FFC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CALCULATIONS!$T$9:$AH$9</c:f>
              <c:numCache>
                <c:formatCode>0.00</c:formatCode>
                <c:ptCount val="15"/>
                <c:pt idx="0">
                  <c:v>0.92049255428842269</c:v>
                </c:pt>
                <c:pt idx="1">
                  <c:v>1.0324871994707998</c:v>
                </c:pt>
                <c:pt idx="2">
                  <c:v>1</c:v>
                </c:pt>
                <c:pt idx="3">
                  <c:v>1.1389156874509956</c:v>
                </c:pt>
                <c:pt idx="4">
                  <c:v>1.3696898296195521</c:v>
                </c:pt>
                <c:pt idx="5">
                  <c:v>1.5451635036465585</c:v>
                </c:pt>
                <c:pt idx="6">
                  <c:v>1.5284670156731401</c:v>
                </c:pt>
                <c:pt idx="7">
                  <c:v>1.2906282881043631</c:v>
                </c:pt>
                <c:pt idx="8">
                  <c:v>1.3834238028453811</c:v>
                </c:pt>
                <c:pt idx="9">
                  <c:v>1.4578695953797549</c:v>
                </c:pt>
                <c:pt idx="10">
                  <c:v>1.6195464398062602</c:v>
                </c:pt>
                <c:pt idx="11">
                  <c:v>1.6313402545323641</c:v>
                </c:pt>
                <c:pt idx="12">
                  <c:v>1.6708035611008387</c:v>
                </c:pt>
                <c:pt idx="13">
                  <c:v>1.8130204273299517</c:v>
                </c:pt>
                <c:pt idx="14">
                  <c:v>1.6732729777139232</c:v>
                </c:pt>
              </c:numCache>
            </c:numRef>
          </c:val>
        </c:ser>
        <c:ser>
          <c:idx val="16"/>
          <c:order val="6"/>
          <c:tx>
            <c:strRef>
              <c:f>CALCULATIONS!$S$21</c:f>
              <c:strCache>
                <c:ptCount val="1"/>
                <c:pt idx="0">
                  <c:v>BT</c:v>
                </c:pt>
              </c:strCache>
            </c:strRef>
          </c:tx>
          <c:spPr>
            <a:ln w="19050">
              <a:solidFill>
                <a:srgbClr val="0070C0"/>
              </a:solidFill>
            </a:ln>
          </c:spPr>
          <c:marker>
            <c:symbol val="diamond"/>
            <c:size val="5"/>
            <c:spPr>
              <a:solidFill>
                <a:srgbClr val="FFC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CALCULATIONS!$T$21:$AH$21</c:f>
              <c:numCache>
                <c:formatCode>0.00</c:formatCode>
                <c:ptCount val="15"/>
                <c:pt idx="0">
                  <c:v>0.98689333108427757</c:v>
                </c:pt>
                <c:pt idx="1">
                  <c:v>0.95234434837593107</c:v>
                </c:pt>
                <c:pt idx="2">
                  <c:v>1</c:v>
                </c:pt>
                <c:pt idx="3">
                  <c:v>1.024390173064393</c:v>
                </c:pt>
                <c:pt idx="4">
                  <c:v>1.3230699510174049</c:v>
                </c:pt>
                <c:pt idx="5">
                  <c:v>1.4265949254571519</c:v>
                </c:pt>
                <c:pt idx="6">
                  <c:v>1.5488086070591938</c:v>
                </c:pt>
                <c:pt idx="7">
                  <c:v>1.2732817542907013</c:v>
                </c:pt>
                <c:pt idx="8">
                  <c:v>1.3995590785650471</c:v>
                </c:pt>
                <c:pt idx="9">
                  <c:v>1.6618492640238904</c:v>
                </c:pt>
                <c:pt idx="10">
                  <c:v>1.5528689116035814</c:v>
                </c:pt>
                <c:pt idx="11">
                  <c:v>1.7132663728762054</c:v>
                </c:pt>
                <c:pt idx="12">
                  <c:v>1.7157169642453682</c:v>
                </c:pt>
                <c:pt idx="13">
                  <c:v>2.065776047223534</c:v>
                </c:pt>
                <c:pt idx="14">
                  <c:v>2.2980141891936237</c:v>
                </c:pt>
              </c:numCache>
            </c:numRef>
          </c:val>
        </c:ser>
        <c:marker val="1"/>
        <c:axId val="171560320"/>
        <c:axId val="171578880"/>
      </c:lineChart>
      <c:dateAx>
        <c:axId val="171560320"/>
        <c:scaling>
          <c:orientation val="minMax"/>
        </c:scaling>
        <c:axPos val="b"/>
        <c:numFmt formatCode="mm/yyyy;@" sourceLinked="0"/>
        <c:tickLblPos val="nextTo"/>
        <c:crossAx val="171578880"/>
        <c:crosses val="autoZero"/>
        <c:auto val="1"/>
        <c:lblOffset val="100"/>
        <c:majorUnit val="6"/>
        <c:majorTimeUnit val="months"/>
      </c:dateAx>
      <c:valAx>
        <c:axId val="171578880"/>
        <c:scaling>
          <c:orientation val="minMax"/>
          <c:max val="2.5"/>
        </c:scaling>
        <c:axPos val="l"/>
        <c:majorGridlines>
          <c:spPr>
            <a:ln>
              <a:solidFill>
                <a:schemeClr val="bg1">
                  <a:lumMod val="50000"/>
                </a:schemeClr>
              </a:solidFill>
              <a:prstDash val="dash"/>
            </a:ln>
          </c:spPr>
        </c:majorGridlines>
        <c:numFmt formatCode="0.00" sourceLinked="0"/>
        <c:tickLblPos val="nextTo"/>
        <c:crossAx val="171560320"/>
        <c:crosses val="autoZero"/>
        <c:crossBetween val="between"/>
        <c:majorUnit val="0.25"/>
      </c:valAx>
    </c:plotArea>
    <c:legend>
      <c:legendPos val="b"/>
      <c:layout>
        <c:manualLayout>
          <c:xMode val="edge"/>
          <c:yMode val="edge"/>
          <c:x val="2.2946057115994841E-2"/>
          <c:y val="0.90713988337664697"/>
          <c:w val="0.96766169154228865"/>
          <c:h val="7.3155683125816509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0877" l="0.70000000000000062" r="0.70000000000000062" t="0.75000000000000877"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5.2511658592829941E-2"/>
          <c:y val="3.774583723808804E-2"/>
          <c:w val="0.89460482442399814"/>
          <c:h val="0.78340397891458413"/>
        </c:manualLayout>
      </c:layout>
      <c:lineChart>
        <c:grouping val="standard"/>
        <c:ser>
          <c:idx val="2"/>
          <c:order val="0"/>
          <c:tx>
            <c:strRef>
              <c:f>CALCULATIONS!$S$7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CALCULATIONS!$FG$7:$FU$7</c:f>
              <c:numCache>
                <c:formatCode>0.0</c:formatCode>
                <c:ptCount val="15"/>
                <c:pt idx="0">
                  <c:v>4.2885463249133933</c:v>
                </c:pt>
                <c:pt idx="1">
                  <c:v>3.9618557811118289</c:v>
                </c:pt>
                <c:pt idx="2">
                  <c:v>3.9006785302867524</c:v>
                </c:pt>
                <c:pt idx="3">
                  <c:v>4.1410125423515485</c:v>
                </c:pt>
                <c:pt idx="4">
                  <c:v>4.1241559139513644</c:v>
                </c:pt>
                <c:pt idx="5">
                  <c:v>5.2671505229384259</c:v>
                </c:pt>
                <c:pt idx="6">
                  <c:v>5.2223693161108651</c:v>
                </c:pt>
                <c:pt idx="7">
                  <c:v>4.8179225884237669</c:v>
                </c:pt>
                <c:pt idx="8">
                  <c:v>5.0287788436693788</c:v>
                </c:pt>
                <c:pt idx="9">
                  <c:v>5.1741131495120847</c:v>
                </c:pt>
                <c:pt idx="10">
                  <c:v>5.3259826222569435</c:v>
                </c:pt>
                <c:pt idx="11">
                  <c:v>5.4654156252831125</c:v>
                </c:pt>
                <c:pt idx="12">
                  <c:v>5.0403995907375387</c:v>
                </c:pt>
                <c:pt idx="13">
                  <c:v>4.7843999563302617</c:v>
                </c:pt>
                <c:pt idx="14">
                  <c:v>4.6619962755533297</c:v>
                </c:pt>
              </c:numCache>
            </c:numRef>
          </c:val>
        </c:ser>
        <c:ser>
          <c:idx val="3"/>
          <c:order val="1"/>
          <c:tx>
            <c:strRef>
              <c:f>CALCULATIONS!$S$8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CALCULATIONS!$FG$8:$FU$8</c:f>
              <c:numCache>
                <c:formatCode>0.0</c:formatCode>
                <c:ptCount val="15"/>
                <c:pt idx="0">
                  <c:v>5.5752364574033733</c:v>
                </c:pt>
                <c:pt idx="1">
                  <c:v>5.4047333376614315</c:v>
                </c:pt>
                <c:pt idx="2">
                  <c:v>5.2339153941178145</c:v>
                </c:pt>
                <c:pt idx="3">
                  <c:v>5.5576682975344065</c:v>
                </c:pt>
                <c:pt idx="4">
                  <c:v>5.8810790231121963</c:v>
                </c:pt>
                <c:pt idx="5">
                  <c:v>6.1582168528162011</c:v>
                </c:pt>
                <c:pt idx="6">
                  <c:v>6.4355828272677673</c:v>
                </c:pt>
                <c:pt idx="7">
                  <c:v>5.8542333336833154</c:v>
                </c:pt>
                <c:pt idx="8">
                  <c:v>5.2720746336887681</c:v>
                </c:pt>
                <c:pt idx="9">
                  <c:v>4.7383879777317404</c:v>
                </c:pt>
                <c:pt idx="10">
                  <c:v>4.207010335202404</c:v>
                </c:pt>
                <c:pt idx="11">
                  <c:v>3.8238807121569747</c:v>
                </c:pt>
                <c:pt idx="12">
                  <c:v>3.442306594398771</c:v>
                </c:pt>
                <c:pt idx="13">
                  <c:v>3.5594938248269159</c:v>
                </c:pt>
                <c:pt idx="14">
                  <c:v>3.6764587184436395</c:v>
                </c:pt>
              </c:numCache>
            </c:numRef>
          </c:val>
        </c:ser>
        <c:ser>
          <c:idx val="4"/>
          <c:order val="2"/>
          <c:tx>
            <c:strRef>
              <c:f>CALCULATIONS!$S$9</c:f>
              <c:strCache>
                <c:ptCount val="1"/>
                <c:pt idx="0">
                  <c:v>Telenet</c:v>
                </c:pt>
              </c:strCache>
            </c:strRef>
          </c:tx>
          <c:spPr>
            <a:ln w="28575">
              <a:solidFill>
                <a:srgbClr val="FFC000"/>
              </a:solidFill>
            </a:ln>
          </c:spPr>
          <c:marker>
            <c:symbol val="diamond"/>
            <c:size val="7"/>
            <c:spPr>
              <a:solidFill>
                <a:srgbClr val="FFC000"/>
              </a:solidFill>
              <a:ln>
                <a:noFill/>
              </a:ln>
            </c:spPr>
          </c:marker>
          <c:cat>
            <c:numRef>
              <c:f>CALCULATIONS!$T$2:$AH$2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CALCULATIONS!$FG$9:$FU$9</c:f>
              <c:numCache>
                <c:formatCode>0.0</c:formatCode>
                <c:ptCount val="15"/>
                <c:pt idx="0">
                  <c:v>7.3882795026632264</c:v>
                </c:pt>
                <c:pt idx="1">
                  <c:v>7.511456716472753</c:v>
                </c:pt>
                <c:pt idx="2">
                  <c:v>7.1707944229261198</c:v>
                </c:pt>
                <c:pt idx="3">
                  <c:v>7.7055366686292892</c:v>
                </c:pt>
                <c:pt idx="4">
                  <c:v>8.4062817091520898</c:v>
                </c:pt>
                <c:pt idx="5">
                  <c:v>8.8763505624407077</c:v>
                </c:pt>
                <c:pt idx="6">
                  <c:v>8.5774744199633144</c:v>
                </c:pt>
                <c:pt idx="7">
                  <c:v>8.8417973134188603</c:v>
                </c:pt>
                <c:pt idx="8">
                  <c:v>8.7507454377216138</c:v>
                </c:pt>
                <c:pt idx="9">
                  <c:v>8.7120469152324826</c:v>
                </c:pt>
                <c:pt idx="10">
                  <c:v>9.1838724950545316</c:v>
                </c:pt>
                <c:pt idx="11">
                  <c:v>9.135932537020869</c:v>
                </c:pt>
                <c:pt idx="12">
                  <c:v>9.0664383370126806</c:v>
                </c:pt>
                <c:pt idx="13">
                  <c:v>9.4423485403827989</c:v>
                </c:pt>
                <c:pt idx="14">
                  <c:v>9.0506669895995948</c:v>
                </c:pt>
              </c:numCache>
            </c:numRef>
          </c:val>
        </c:ser>
        <c:ser>
          <c:idx val="1"/>
          <c:order val="3"/>
          <c:tx>
            <c:v>Moyenne pondérée par EV</c:v>
          </c:tx>
          <c:spPr>
            <a:ln w="19050">
              <a:solidFill>
                <a:schemeClr val="bg1">
                  <a:lumMod val="65000"/>
                </a:schemeClr>
              </a:solidFill>
            </a:ln>
          </c:spPr>
          <c:marker>
            <c:symbol val="none"/>
          </c:marker>
          <c:val>
            <c:numRef>
              <c:f>CALCULATIONS!$FG$42:$FU$42</c:f>
              <c:numCache>
                <c:formatCode>0.0</c:formatCode>
                <c:ptCount val="15"/>
                <c:pt idx="0">
                  <c:v>5.2967542491987132</c:v>
                </c:pt>
                <c:pt idx="1">
                  <c:v>5.0737318467773678</c:v>
                </c:pt>
                <c:pt idx="2">
                  <c:v>4.9171437546117289</c:v>
                </c:pt>
                <c:pt idx="3">
                  <c:v>5.2716242268817162</c:v>
                </c:pt>
                <c:pt idx="4">
                  <c:v>5.6882436822288636</c:v>
                </c:pt>
                <c:pt idx="5">
                  <c:v>6.4913339947622788</c:v>
                </c:pt>
                <c:pt idx="6">
                  <c:v>6.4227292587138756</c:v>
                </c:pt>
                <c:pt idx="7">
                  <c:v>6.2488976706353814</c:v>
                </c:pt>
                <c:pt idx="8">
                  <c:v>6.2487365146844596</c:v>
                </c:pt>
                <c:pt idx="9">
                  <c:v>6.2603565393348699</c:v>
                </c:pt>
                <c:pt idx="10">
                  <c:v>6.5340810446223898</c:v>
                </c:pt>
                <c:pt idx="11">
                  <c:v>6.6182307194366299</c:v>
                </c:pt>
                <c:pt idx="12">
                  <c:v>6.4302951723889556</c:v>
                </c:pt>
                <c:pt idx="13">
                  <c:v>6.5858108925210557</c:v>
                </c:pt>
                <c:pt idx="14">
                  <c:v>6.4803078290533485</c:v>
                </c:pt>
              </c:numCache>
            </c:numRef>
          </c:val>
        </c:ser>
        <c:marker val="1"/>
        <c:axId val="171617280"/>
        <c:axId val="171627264"/>
      </c:lineChart>
      <c:dateAx>
        <c:axId val="171617280"/>
        <c:scaling>
          <c:orientation val="minMax"/>
        </c:scaling>
        <c:axPos val="b"/>
        <c:numFmt formatCode="mm/yyyy;@" sourceLinked="0"/>
        <c:tickLblPos val="nextTo"/>
        <c:crossAx val="171627264"/>
        <c:crosses val="autoZero"/>
        <c:auto val="1"/>
        <c:lblOffset val="100"/>
        <c:majorUnit val="6"/>
        <c:majorTimeUnit val="months"/>
      </c:dateAx>
      <c:valAx>
        <c:axId val="171627264"/>
        <c:scaling>
          <c:orientation val="minMax"/>
        </c:scaling>
        <c:axPos val="l"/>
        <c:majorGridlines>
          <c:spPr>
            <a:ln>
              <a:solidFill>
                <a:schemeClr val="bg1">
                  <a:lumMod val="50000"/>
                </a:schemeClr>
              </a:solidFill>
              <a:prstDash val="dash"/>
            </a:ln>
          </c:spPr>
        </c:majorGridlines>
        <c:numFmt formatCode="0" sourceLinked="0"/>
        <c:tickLblPos val="nextTo"/>
        <c:crossAx val="171617280"/>
        <c:crosses val="autoZero"/>
        <c:crossBetween val="between"/>
      </c:valAx>
    </c:plotArea>
    <c:legend>
      <c:legendPos val="b"/>
      <c:layout>
        <c:manualLayout>
          <c:xMode val="edge"/>
          <c:yMode val="edge"/>
          <c:x val="4.3640672363555656E-2"/>
          <c:y val="0.9254899289895917"/>
          <c:w val="0.89999988316241963"/>
          <c:h val="7.4280946095610881E-2"/>
        </c:manualLayout>
      </c:layout>
    </c:legend>
    <c:plotVisOnly val="1"/>
  </c:chart>
  <c:spPr>
    <a:noFill/>
    <a:ln>
      <a:noFill/>
    </a:ln>
  </c:spPr>
  <c:txPr>
    <a:bodyPr/>
    <a:lstStyle/>
    <a:p>
      <a:pPr>
        <a:defRPr sz="1200">
          <a:latin typeface="Arial" pitchFamily="34" charset="0"/>
          <a:cs typeface="Arial" pitchFamily="34" charset="0"/>
        </a:defRPr>
      </a:pPr>
      <a:endParaRPr lang="fr-FR"/>
    </a:p>
  </c:txPr>
  <c:printSettings>
    <c:headerFooter/>
    <c:pageMargins b="0.75000000000000899" l="0.70000000000000062" r="0.70000000000000062" t="0.75000000000000899"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lang val="fr-FR"/>
  <c:chart>
    <c:plotArea>
      <c:layout/>
      <c:barChart>
        <c:barDir val="bar"/>
        <c:grouping val="stacked"/>
        <c:ser>
          <c:idx val="0"/>
          <c:order val="0"/>
          <c:tx>
            <c:v>Gearing</c:v>
          </c:tx>
          <c:spPr>
            <a:solidFill>
              <a:schemeClr val="bg2">
                <a:lumMod val="75000"/>
              </a:schemeClr>
            </a:solidFill>
          </c:spPr>
          <c:cat>
            <c:strRef>
              <c:f>'GEARINGS, E&amp;Enot'!$AG$196:$AG$217</c:f>
              <c:strCache>
                <c:ptCount val="22"/>
                <c:pt idx="0">
                  <c:v>TELENET</c:v>
                </c:pt>
                <c:pt idx="1">
                  <c:v>TIT</c:v>
                </c:pt>
                <c:pt idx="2">
                  <c:v>TKA</c:v>
                </c:pt>
                <c:pt idx="3">
                  <c:v>PT</c:v>
                </c:pt>
                <c:pt idx="4">
                  <c:v>OTE</c:v>
                </c:pt>
                <c:pt idx="5">
                  <c:v>SCM</c:v>
                </c:pt>
                <c:pt idx="6">
                  <c:v>KPN</c:v>
                </c:pt>
                <c:pt idx="7">
                  <c:v>TEF</c:v>
                </c:pt>
                <c:pt idx="8">
                  <c:v>TLSN</c:v>
                </c:pt>
                <c:pt idx="9">
                  <c:v>ORA</c:v>
                </c:pt>
                <c:pt idx="10">
                  <c:v>ELI</c:v>
                </c:pt>
                <c:pt idx="11">
                  <c:v>BELGACOM</c:v>
                </c:pt>
                <c:pt idx="12">
                  <c:v>VOD</c:v>
                </c:pt>
                <c:pt idx="13">
                  <c:v>TPS</c:v>
                </c:pt>
                <c:pt idx="14">
                  <c:v>DT</c:v>
                </c:pt>
                <c:pt idx="15">
                  <c:v>TDC</c:v>
                </c:pt>
                <c:pt idx="16">
                  <c:v>ILD</c:v>
                </c:pt>
                <c:pt idx="17">
                  <c:v>TEL</c:v>
                </c:pt>
                <c:pt idx="18">
                  <c:v>SNC</c:v>
                </c:pt>
                <c:pt idx="19">
                  <c:v>BT</c:v>
                </c:pt>
                <c:pt idx="20">
                  <c:v>TEL2</c:v>
                </c:pt>
                <c:pt idx="21">
                  <c:v>MOBISTAR</c:v>
                </c:pt>
              </c:strCache>
            </c:strRef>
          </c:cat>
          <c:val>
            <c:numRef>
              <c:f>'GEARINGS, E&amp;Enot'!$AH$196:$AH$217</c:f>
              <c:numCache>
                <c:formatCode>0%</c:formatCode>
                <c:ptCount val="22"/>
                <c:pt idx="0">
                  <c:v>0.42399287000325037</c:v>
                </c:pt>
                <c:pt idx="1">
                  <c:v>0.67997702229572432</c:v>
                </c:pt>
                <c:pt idx="2">
                  <c:v>0.49050145598877937</c:v>
                </c:pt>
                <c:pt idx="3">
                  <c:v>0.56717095077467305</c:v>
                </c:pt>
                <c:pt idx="4">
                  <c:v>0.60887331285954671</c:v>
                </c:pt>
                <c:pt idx="5">
                  <c:v>0.30558583418722468</c:v>
                </c:pt>
                <c:pt idx="6">
                  <c:v>0.51826084585195908</c:v>
                </c:pt>
                <c:pt idx="7">
                  <c:v>0.48384306036910518</c:v>
                </c:pt>
                <c:pt idx="8">
                  <c:v>0.23215418017261674</c:v>
                </c:pt>
                <c:pt idx="9">
                  <c:v>0.50834561454306215</c:v>
                </c:pt>
                <c:pt idx="10">
                  <c:v>0.24190098439360719</c:v>
                </c:pt>
                <c:pt idx="11">
                  <c:v>0.17383796150947908</c:v>
                </c:pt>
                <c:pt idx="12">
                  <c:v>0.24509229252810941</c:v>
                </c:pt>
                <c:pt idx="13">
                  <c:v>0.16307046534988884</c:v>
                </c:pt>
                <c:pt idx="14">
                  <c:v>0.51528895508035288</c:v>
                </c:pt>
                <c:pt idx="15">
                  <c:v>0.3899242463002407</c:v>
                </c:pt>
                <c:pt idx="16">
                  <c:v>0.13477545507373562</c:v>
                </c:pt>
                <c:pt idx="17">
                  <c:v>0.14726898954609682</c:v>
                </c:pt>
                <c:pt idx="18">
                  <c:v>0.38160323267486906</c:v>
                </c:pt>
                <c:pt idx="19">
                  <c:v>0.37025195227815472</c:v>
                </c:pt>
                <c:pt idx="20">
                  <c:v>0.1536920907726812</c:v>
                </c:pt>
                <c:pt idx="21">
                  <c:v>0.16489915086810925</c:v>
                </c:pt>
              </c:numCache>
            </c:numRef>
          </c:val>
        </c:ser>
        <c:ser>
          <c:idx val="1"/>
          <c:order val="1"/>
          <c:tx>
            <c:v>+ Locations Opérationnelles (% g sans LO)</c:v>
          </c:tx>
          <c:spPr>
            <a:solidFill>
              <a:srgbClr val="FFC000"/>
            </a:solidFill>
          </c:spPr>
          <c:dLbls>
            <c:dLbl>
              <c:idx val="0"/>
              <c:layout>
                <c:manualLayout>
                  <c:x val="6.7734365282101083E-2"/>
                  <c:y val="0"/>
                </c:manualLayout>
              </c:layout>
              <c:tx>
                <c:strRef>
                  <c:f>'GEARINGS, E&amp;Enot'!$M$196</c:f>
                  <c:strCache>
                    <c:ptCount val="1"/>
                    <c:pt idx="0">
                      <c:v>1%</c:v>
                    </c:pt>
                  </c:strCache>
                </c:strRef>
              </c:tx>
              <c:spPr/>
              <c:txPr>
                <a:bodyPr/>
                <a:lstStyle/>
                <a:p>
                  <a:pPr>
                    <a:defRPr sz="1200" b="1" i="0" strike="noStrike">
                      <a:latin typeface="Arial"/>
                    </a:defRPr>
                  </a:pPr>
                  <a:endParaRPr lang="fr-FR"/>
                </a:p>
              </c:txPr>
              <c:dLblPos val="ctr"/>
              <c:showVal val="1"/>
            </c:dLbl>
            <c:dLbl>
              <c:idx val="1"/>
              <c:layout>
                <c:manualLayout>
                  <c:x val="6.862358617695935E-2"/>
                  <c:y val="0"/>
                </c:manualLayout>
              </c:layout>
              <c:tx>
                <c:strRef>
                  <c:f>'GEARINGS, E&amp;Enot'!$M$197</c:f>
                  <c:strCache>
                    <c:ptCount val="1"/>
                    <c:pt idx="0">
                      <c:v>1%</c:v>
                    </c:pt>
                  </c:strCache>
                </c:strRef>
              </c:tx>
              <c:spPr/>
              <c:txPr>
                <a:bodyPr/>
                <a:lstStyle/>
                <a:p>
                  <a:pPr>
                    <a:defRPr sz="1100" b="0" i="0" strike="noStrike">
                      <a:latin typeface="Arial"/>
                    </a:defRPr>
                  </a:pPr>
                  <a:endParaRPr lang="fr-FR"/>
                </a:p>
              </c:txPr>
              <c:dLblPos val="ctr"/>
              <c:showVal val="1"/>
            </c:dLbl>
            <c:dLbl>
              <c:idx val="2"/>
              <c:layout>
                <c:manualLayout>
                  <c:x val="6.9567789432492533E-2"/>
                  <c:y val="0"/>
                </c:manualLayout>
              </c:layout>
              <c:tx>
                <c:strRef>
                  <c:f>'GEARINGS, E&amp;Enot'!$M$198</c:f>
                  <c:strCache>
                    <c:ptCount val="1"/>
                    <c:pt idx="0">
                      <c:v>1%</c:v>
                    </c:pt>
                  </c:strCache>
                </c:strRef>
              </c:tx>
              <c:spPr/>
              <c:txPr>
                <a:bodyPr/>
                <a:lstStyle/>
                <a:p>
                  <a:pPr>
                    <a:defRPr sz="1100" b="0" i="0" strike="noStrike">
                      <a:latin typeface="Arial"/>
                    </a:defRPr>
                  </a:pPr>
                  <a:endParaRPr lang="fr-FR"/>
                </a:p>
              </c:txPr>
              <c:dLblPos val="ctr"/>
              <c:showVal val="1"/>
            </c:dLbl>
            <c:dLbl>
              <c:idx val="3"/>
              <c:layout>
                <c:manualLayout>
                  <c:x val="7.0160037700250782E-2"/>
                  <c:y val="0"/>
                </c:manualLayout>
              </c:layout>
              <c:tx>
                <c:strRef>
                  <c:f>'GEARINGS, E&amp;Enot'!$M$199</c:f>
                  <c:strCache>
                    <c:ptCount val="1"/>
                    <c:pt idx="0">
                      <c:v>1%</c:v>
                    </c:pt>
                  </c:strCache>
                </c:strRef>
              </c:tx>
              <c:spPr/>
              <c:txPr>
                <a:bodyPr/>
                <a:lstStyle/>
                <a:p>
                  <a:pPr>
                    <a:defRPr sz="1100" b="0" i="0" strike="noStrike">
                      <a:latin typeface="Arial"/>
                    </a:defRPr>
                  </a:pPr>
                  <a:endParaRPr lang="fr-FR"/>
                </a:p>
              </c:txPr>
              <c:dLblPos val="ctr"/>
              <c:showVal val="1"/>
            </c:dLbl>
            <c:dLbl>
              <c:idx val="4"/>
              <c:layout>
                <c:manualLayout>
                  <c:x val="7.8210201977024024E-2"/>
                  <c:y val="0"/>
                </c:manualLayout>
              </c:layout>
              <c:tx>
                <c:strRef>
                  <c:f>'GEARINGS, E&amp;Enot'!$M$200</c:f>
                  <c:strCache>
                    <c:ptCount val="1"/>
                    <c:pt idx="0">
                      <c:v>4%</c:v>
                    </c:pt>
                  </c:strCache>
                </c:strRef>
              </c:tx>
              <c:spPr/>
              <c:txPr>
                <a:bodyPr/>
                <a:lstStyle/>
                <a:p>
                  <a:pPr>
                    <a:defRPr sz="1100" b="0" i="0" strike="noStrike">
                      <a:latin typeface="Arial"/>
                    </a:defRPr>
                  </a:pPr>
                  <a:endParaRPr lang="fr-FR"/>
                </a:p>
              </c:txPr>
              <c:dLblPos val="ctr"/>
              <c:showVal val="1"/>
            </c:dLbl>
            <c:dLbl>
              <c:idx val="5"/>
              <c:layout>
                <c:manualLayout>
                  <c:x val="7.3143848958703669E-2"/>
                  <c:y val="0"/>
                </c:manualLayout>
              </c:layout>
              <c:tx>
                <c:strRef>
                  <c:f>'GEARINGS, E&amp;Enot'!$M$201</c:f>
                  <c:strCache>
                    <c:ptCount val="1"/>
                    <c:pt idx="0">
                      <c:v>4%</c:v>
                    </c:pt>
                  </c:strCache>
                </c:strRef>
              </c:tx>
              <c:spPr/>
              <c:txPr>
                <a:bodyPr/>
                <a:lstStyle/>
                <a:p>
                  <a:pPr>
                    <a:defRPr sz="1100" b="0" i="0" strike="noStrike">
                      <a:latin typeface="Arial"/>
                    </a:defRPr>
                  </a:pPr>
                  <a:endParaRPr lang="fr-FR"/>
                </a:p>
              </c:txPr>
              <c:dLblPos val="ctr"/>
              <c:showVal val="1"/>
            </c:dLbl>
            <c:dLbl>
              <c:idx val="6"/>
              <c:layout>
                <c:manualLayout>
                  <c:x val="8.1979887656103659E-2"/>
                  <c:y val="0"/>
                </c:manualLayout>
              </c:layout>
              <c:tx>
                <c:strRef>
                  <c:f>'GEARINGS, E&amp;Enot'!$M$202</c:f>
                  <c:strCache>
                    <c:ptCount val="1"/>
                    <c:pt idx="0">
                      <c:v>6%</c:v>
                    </c:pt>
                  </c:strCache>
                </c:strRef>
              </c:tx>
              <c:spPr/>
              <c:txPr>
                <a:bodyPr/>
                <a:lstStyle/>
                <a:p>
                  <a:pPr>
                    <a:defRPr sz="1100" b="0" i="0" strike="noStrike">
                      <a:latin typeface="Arial"/>
                    </a:defRPr>
                  </a:pPr>
                  <a:endParaRPr lang="fr-FR"/>
                </a:p>
              </c:txPr>
              <c:dLblPos val="ctr"/>
              <c:showVal val="1"/>
            </c:dLbl>
            <c:dLbl>
              <c:idx val="7"/>
              <c:layout>
                <c:manualLayout>
                  <c:x val="8.1969366340173766E-2"/>
                  <c:y val="0"/>
                </c:manualLayout>
              </c:layout>
              <c:tx>
                <c:strRef>
                  <c:f>'GEARINGS, E&amp;Enot'!$M$203</c:f>
                  <c:strCache>
                    <c:ptCount val="1"/>
                    <c:pt idx="0">
                      <c:v>6%</c:v>
                    </c:pt>
                  </c:strCache>
                </c:strRef>
              </c:tx>
              <c:spPr/>
              <c:txPr>
                <a:bodyPr/>
                <a:lstStyle/>
                <a:p>
                  <a:pPr>
                    <a:defRPr sz="1100" b="0" i="0" strike="noStrike">
                      <a:latin typeface="Arial"/>
                    </a:defRPr>
                  </a:pPr>
                  <a:endParaRPr lang="fr-FR"/>
                </a:p>
              </c:txPr>
              <c:dLblPos val="ctr"/>
              <c:showVal val="1"/>
            </c:dLbl>
            <c:dLbl>
              <c:idx val="8"/>
              <c:layout>
                <c:manualLayout>
                  <c:x val="7.5314124917549602E-2"/>
                  <c:y val="0"/>
                </c:manualLayout>
              </c:layout>
              <c:tx>
                <c:strRef>
                  <c:f>'GEARINGS, E&amp;Enot'!$M$204</c:f>
                  <c:strCache>
                    <c:ptCount val="1"/>
                    <c:pt idx="0">
                      <c:v>8%</c:v>
                    </c:pt>
                  </c:strCache>
                </c:strRef>
              </c:tx>
              <c:spPr/>
              <c:txPr>
                <a:bodyPr/>
                <a:lstStyle/>
                <a:p>
                  <a:pPr>
                    <a:defRPr sz="1100" b="0" i="0" strike="noStrike">
                      <a:latin typeface="Arial"/>
                    </a:defRPr>
                  </a:pPr>
                  <a:endParaRPr lang="fr-FR"/>
                </a:p>
              </c:txPr>
              <c:dLblPos val="ctr"/>
              <c:showVal val="1"/>
            </c:dLbl>
            <c:dLbl>
              <c:idx val="9"/>
              <c:layout>
                <c:manualLayout>
                  <c:x val="8.6498114054119182E-2"/>
                  <c:y val="0"/>
                </c:manualLayout>
              </c:layout>
              <c:tx>
                <c:strRef>
                  <c:f>'GEARINGS, E&amp;Enot'!$M$205</c:f>
                  <c:strCache>
                    <c:ptCount val="1"/>
                    <c:pt idx="0">
                      <c:v>8%</c:v>
                    </c:pt>
                  </c:strCache>
                </c:strRef>
              </c:tx>
              <c:spPr/>
              <c:txPr>
                <a:bodyPr/>
                <a:lstStyle/>
                <a:p>
                  <a:pPr>
                    <a:defRPr sz="1100" b="0" i="0" strike="noStrike">
                      <a:latin typeface="Arial"/>
                    </a:defRPr>
                  </a:pPr>
                  <a:endParaRPr lang="fr-FR"/>
                </a:p>
              </c:txPr>
              <c:dLblPos val="ctr"/>
              <c:showVal val="1"/>
            </c:dLbl>
            <c:dLbl>
              <c:idx val="10"/>
              <c:layout>
                <c:manualLayout>
                  <c:x val="7.6196388167999618E-2"/>
                  <c:y val="0"/>
                </c:manualLayout>
              </c:layout>
              <c:tx>
                <c:strRef>
                  <c:f>'GEARINGS, E&amp;Enot'!$M$206</c:f>
                  <c:strCache>
                    <c:ptCount val="1"/>
                    <c:pt idx="0">
                      <c:v>8%</c:v>
                    </c:pt>
                  </c:strCache>
                </c:strRef>
              </c:tx>
              <c:spPr/>
              <c:txPr>
                <a:bodyPr/>
                <a:lstStyle/>
                <a:p>
                  <a:pPr>
                    <a:defRPr sz="1100" b="0" i="0" strike="noStrike">
                      <a:latin typeface="Arial"/>
                    </a:defRPr>
                  </a:pPr>
                  <a:endParaRPr lang="fr-FR"/>
                </a:p>
              </c:txPr>
              <c:dLblPos val="ctr"/>
              <c:showVal val="1"/>
            </c:dLbl>
            <c:dLbl>
              <c:idx val="11"/>
              <c:layout>
                <c:manualLayout>
                  <c:x val="7.1927618776747693E-2"/>
                  <c:y val="0"/>
                </c:manualLayout>
              </c:layout>
              <c:tx>
                <c:strRef>
                  <c:f>'GEARINGS, E&amp;Enot'!$M$207</c:f>
                  <c:strCache>
                    <c:ptCount val="1"/>
                    <c:pt idx="0">
                      <c:v>13%</c:v>
                    </c:pt>
                  </c:strCache>
                </c:strRef>
              </c:tx>
              <c:spPr/>
              <c:txPr>
                <a:bodyPr/>
                <a:lstStyle/>
                <a:p>
                  <a:pPr>
                    <a:defRPr sz="1200" b="1" i="0" strike="noStrike">
                      <a:latin typeface="Arial"/>
                    </a:defRPr>
                  </a:pPr>
                  <a:endParaRPr lang="fr-FR"/>
                </a:p>
              </c:txPr>
              <c:dLblPos val="ctr"/>
              <c:showVal val="1"/>
            </c:dLbl>
            <c:dLbl>
              <c:idx val="12"/>
              <c:layout>
                <c:manualLayout>
                  <c:x val="7.7139233834379914E-2"/>
                  <c:y val="0"/>
                </c:manualLayout>
              </c:layout>
              <c:tx>
                <c:strRef>
                  <c:f>'GEARINGS, E&amp;Enot'!$M$208</c:f>
                  <c:strCache>
                    <c:ptCount val="1"/>
                    <c:pt idx="0">
                      <c:v>14%</c:v>
                    </c:pt>
                  </c:strCache>
                </c:strRef>
              </c:tx>
              <c:spPr/>
              <c:txPr>
                <a:bodyPr/>
                <a:lstStyle/>
                <a:p>
                  <a:pPr>
                    <a:defRPr sz="1100" b="0" i="0" strike="noStrike">
                      <a:latin typeface="Arial"/>
                    </a:defRPr>
                  </a:pPr>
                  <a:endParaRPr lang="fr-FR"/>
                </a:p>
              </c:txPr>
              <c:dLblPos val="ctr"/>
              <c:showVal val="1"/>
            </c:dLbl>
            <c:dLbl>
              <c:idx val="13"/>
              <c:layout>
                <c:manualLayout>
                  <c:x val="7.1650500891002736E-2"/>
                  <c:y val="0"/>
                </c:manualLayout>
              </c:layout>
              <c:tx>
                <c:strRef>
                  <c:f>'GEARINGS, E&amp;Enot'!$M$209</c:f>
                  <c:strCache>
                    <c:ptCount val="1"/>
                    <c:pt idx="0">
                      <c:v>14%</c:v>
                    </c:pt>
                  </c:strCache>
                </c:strRef>
              </c:tx>
              <c:spPr/>
              <c:txPr>
                <a:bodyPr/>
                <a:lstStyle/>
                <a:p>
                  <a:pPr>
                    <a:defRPr sz="1100" b="0" i="0" strike="noStrike">
                      <a:latin typeface="Arial"/>
                    </a:defRPr>
                  </a:pPr>
                  <a:endParaRPr lang="fr-FR"/>
                </a:p>
              </c:txPr>
              <c:dLblPos val="ctr"/>
              <c:showVal val="1"/>
            </c:dLbl>
            <c:dLbl>
              <c:idx val="14"/>
              <c:layout>
                <c:manualLayout>
                  <c:x val="9.6734505962279796E-2"/>
                  <c:y val="0"/>
                </c:manualLayout>
              </c:layout>
              <c:tx>
                <c:strRef>
                  <c:f>'GEARINGS, E&amp;Enot'!$M$210</c:f>
                  <c:strCache>
                    <c:ptCount val="1"/>
                    <c:pt idx="0">
                      <c:v>14%</c:v>
                    </c:pt>
                  </c:strCache>
                </c:strRef>
              </c:tx>
              <c:spPr/>
              <c:txPr>
                <a:bodyPr/>
                <a:lstStyle/>
                <a:p>
                  <a:pPr>
                    <a:defRPr sz="1100" b="0" i="0" strike="noStrike">
                      <a:latin typeface="Arial"/>
                    </a:defRPr>
                  </a:pPr>
                  <a:endParaRPr lang="fr-FR"/>
                </a:p>
              </c:txPr>
              <c:dLblPos val="ctr"/>
              <c:showVal val="1"/>
            </c:dLbl>
            <c:dLbl>
              <c:idx val="15"/>
              <c:layout>
                <c:manualLayout>
                  <c:x val="9.0840023560959743E-2"/>
                  <c:y val="0"/>
                </c:manualLayout>
              </c:layout>
              <c:tx>
                <c:strRef>
                  <c:f>'GEARINGS, E&amp;Enot'!$M$211</c:f>
                  <c:strCache>
                    <c:ptCount val="1"/>
                    <c:pt idx="0">
                      <c:v>16%</c:v>
                    </c:pt>
                  </c:strCache>
                </c:strRef>
              </c:tx>
              <c:spPr/>
              <c:txPr>
                <a:bodyPr/>
                <a:lstStyle/>
                <a:p>
                  <a:pPr>
                    <a:defRPr sz="1100" b="0" i="0" strike="noStrike">
                      <a:latin typeface="Arial"/>
                    </a:defRPr>
                  </a:pPr>
                  <a:endParaRPr lang="fr-FR"/>
                </a:p>
              </c:txPr>
              <c:dLblPos val="ctr"/>
              <c:showVal val="1"/>
            </c:dLbl>
            <c:dLbl>
              <c:idx val="16"/>
              <c:layout>
                <c:manualLayout>
                  <c:x val="7.2973301821427194E-2"/>
                  <c:y val="0"/>
                </c:manualLayout>
              </c:layout>
              <c:tx>
                <c:strRef>
                  <c:f>'GEARINGS, E&amp;Enot'!$M$212</c:f>
                  <c:strCache>
                    <c:ptCount val="1"/>
                    <c:pt idx="0">
                      <c:v>19%</c:v>
                    </c:pt>
                  </c:strCache>
                </c:strRef>
              </c:tx>
              <c:spPr/>
              <c:txPr>
                <a:bodyPr/>
                <a:lstStyle/>
                <a:p>
                  <a:pPr>
                    <a:defRPr sz="1100" b="0" i="0" strike="noStrike">
                      <a:latin typeface="Arial"/>
                    </a:defRPr>
                  </a:pPr>
                  <a:endParaRPr lang="fr-FR"/>
                </a:p>
              </c:txPr>
              <c:dLblPos val="ctr"/>
              <c:showVal val="1"/>
            </c:dLbl>
            <c:dLbl>
              <c:idx val="17"/>
              <c:layout>
                <c:manualLayout>
                  <c:x val="7.8915639240367833E-2"/>
                  <c:y val="0"/>
                </c:manualLayout>
              </c:layout>
              <c:tx>
                <c:strRef>
                  <c:f>'GEARINGS, E&amp;Enot'!$M$213</c:f>
                  <c:strCache>
                    <c:ptCount val="1"/>
                    <c:pt idx="0">
                      <c:v>25%</c:v>
                    </c:pt>
                  </c:strCache>
                </c:strRef>
              </c:tx>
              <c:spPr/>
              <c:txPr>
                <a:bodyPr/>
                <a:lstStyle/>
                <a:p>
                  <a:pPr>
                    <a:defRPr sz="1100" b="0" i="0" strike="noStrike">
                      <a:latin typeface="Arial"/>
                    </a:defRPr>
                  </a:pPr>
                  <a:endParaRPr lang="fr-FR"/>
                </a:p>
              </c:txPr>
              <c:dLblPos val="ctr"/>
              <c:showVal val="1"/>
            </c:dLbl>
            <c:dLbl>
              <c:idx val="18"/>
              <c:layout>
                <c:manualLayout>
                  <c:x val="0.10874085472794856"/>
                  <c:y val="0"/>
                </c:manualLayout>
              </c:layout>
              <c:tx>
                <c:strRef>
                  <c:f>'GEARINGS, E&amp;Enot'!$M$214</c:f>
                  <c:strCache>
                    <c:ptCount val="1"/>
                    <c:pt idx="0">
                      <c:v>25%</c:v>
                    </c:pt>
                  </c:strCache>
                </c:strRef>
              </c:tx>
              <c:spPr/>
              <c:txPr>
                <a:bodyPr/>
                <a:lstStyle/>
                <a:p>
                  <a:pPr>
                    <a:defRPr sz="1100" b="0" i="0" strike="noStrike">
                      <a:latin typeface="Arial"/>
                    </a:defRPr>
                  </a:pPr>
                  <a:endParaRPr lang="fr-FR"/>
                </a:p>
              </c:txPr>
              <c:dLblPos val="ctr"/>
              <c:showVal val="1"/>
            </c:dLbl>
            <c:dLbl>
              <c:idx val="19"/>
              <c:layout>
                <c:manualLayout>
                  <c:x val="0.11984440670723709"/>
                  <c:y val="0"/>
                </c:manualLayout>
              </c:layout>
              <c:tx>
                <c:strRef>
                  <c:f>'GEARINGS, E&amp;Enot'!$M$215</c:f>
                  <c:strCache>
                    <c:ptCount val="1"/>
                    <c:pt idx="0">
                      <c:v>32%</c:v>
                    </c:pt>
                  </c:strCache>
                </c:strRef>
              </c:tx>
              <c:spPr/>
              <c:txPr>
                <a:bodyPr/>
                <a:lstStyle/>
                <a:p>
                  <a:pPr>
                    <a:defRPr sz="1100" b="0" i="0" strike="noStrike">
                      <a:latin typeface="Arial"/>
                    </a:defRPr>
                  </a:pPr>
                  <a:endParaRPr lang="fr-FR"/>
                </a:p>
              </c:txPr>
              <c:dLblPos val="ctr"/>
              <c:showVal val="1"/>
            </c:dLbl>
            <c:dLbl>
              <c:idx val="20"/>
              <c:layout>
                <c:manualLayout>
                  <c:x val="8.8372944673660206E-2"/>
                  <c:y val="0"/>
                </c:manualLayout>
              </c:layout>
              <c:tx>
                <c:strRef>
                  <c:f>'GEARINGS, E&amp;Enot'!$M$216</c:f>
                  <c:strCache>
                    <c:ptCount val="1"/>
                    <c:pt idx="0">
                      <c:v>36%</c:v>
                    </c:pt>
                  </c:strCache>
                </c:strRef>
              </c:tx>
              <c:spPr/>
              <c:txPr>
                <a:bodyPr/>
                <a:lstStyle/>
                <a:p>
                  <a:pPr>
                    <a:defRPr sz="1100" b="0" i="0" strike="noStrike">
                      <a:latin typeface="Arial"/>
                    </a:defRPr>
                  </a:pPr>
                  <a:endParaRPr lang="fr-FR"/>
                </a:p>
              </c:txPr>
              <c:dLblPos val="ctr"/>
              <c:showVal val="1"/>
            </c:dLbl>
            <c:dLbl>
              <c:idx val="21"/>
              <c:layout>
                <c:manualLayout>
                  <c:x val="0.11592419833087808"/>
                  <c:y val="0"/>
                </c:manualLayout>
              </c:layout>
              <c:tx>
                <c:strRef>
                  <c:f>'GEARINGS, E&amp;Enot'!$M$217</c:f>
                  <c:strCache>
                    <c:ptCount val="1"/>
                    <c:pt idx="0">
                      <c:v>65%</c:v>
                    </c:pt>
                  </c:strCache>
                </c:strRef>
              </c:tx>
              <c:spPr/>
              <c:txPr>
                <a:bodyPr/>
                <a:lstStyle/>
                <a:p>
                  <a:pPr>
                    <a:defRPr sz="1200" b="1" i="0" strike="noStrike">
                      <a:latin typeface="Arial"/>
                    </a:defRPr>
                  </a:pPr>
                  <a:endParaRPr lang="fr-FR"/>
                </a:p>
              </c:txPr>
              <c:dLblPos val="ctr"/>
              <c:showVal val="1"/>
            </c:dLbl>
            <c:txPr>
              <a:bodyPr/>
              <a:lstStyle/>
              <a:p>
                <a:pPr>
                  <a:defRPr sz="1100"/>
                </a:pPr>
                <a:endParaRPr lang="fr-FR"/>
              </a:p>
            </c:txPr>
            <c:showVal val="1"/>
          </c:dLbls>
          <c:cat>
            <c:strRef>
              <c:f>'GEARINGS, E&amp;Enot'!$AG$196:$AG$217</c:f>
              <c:strCache>
                <c:ptCount val="22"/>
                <c:pt idx="0">
                  <c:v>TELENET</c:v>
                </c:pt>
                <c:pt idx="1">
                  <c:v>TIT</c:v>
                </c:pt>
                <c:pt idx="2">
                  <c:v>TKA</c:v>
                </c:pt>
                <c:pt idx="3">
                  <c:v>PT</c:v>
                </c:pt>
                <c:pt idx="4">
                  <c:v>OTE</c:v>
                </c:pt>
                <c:pt idx="5">
                  <c:v>SCM</c:v>
                </c:pt>
                <c:pt idx="6">
                  <c:v>KPN</c:v>
                </c:pt>
                <c:pt idx="7">
                  <c:v>TEF</c:v>
                </c:pt>
                <c:pt idx="8">
                  <c:v>TLSN</c:v>
                </c:pt>
                <c:pt idx="9">
                  <c:v>ORA</c:v>
                </c:pt>
                <c:pt idx="10">
                  <c:v>ELI</c:v>
                </c:pt>
                <c:pt idx="11">
                  <c:v>BELGACOM</c:v>
                </c:pt>
                <c:pt idx="12">
                  <c:v>VOD</c:v>
                </c:pt>
                <c:pt idx="13">
                  <c:v>TPS</c:v>
                </c:pt>
                <c:pt idx="14">
                  <c:v>DT</c:v>
                </c:pt>
                <c:pt idx="15">
                  <c:v>TDC</c:v>
                </c:pt>
                <c:pt idx="16">
                  <c:v>ILD</c:v>
                </c:pt>
                <c:pt idx="17">
                  <c:v>TEL</c:v>
                </c:pt>
                <c:pt idx="18">
                  <c:v>SNC</c:v>
                </c:pt>
                <c:pt idx="19">
                  <c:v>BT</c:v>
                </c:pt>
                <c:pt idx="20">
                  <c:v>TEL2</c:v>
                </c:pt>
                <c:pt idx="21">
                  <c:v>MOBISTAR</c:v>
                </c:pt>
              </c:strCache>
            </c:strRef>
          </c:cat>
          <c:val>
            <c:numRef>
              <c:f>'GEARINGS, E&amp;Enot'!$AI$196:$AI$217</c:f>
              <c:numCache>
                <c:formatCode>0%</c:formatCode>
                <c:ptCount val="22"/>
                <c:pt idx="0">
                  <c:v>2.9573643390376492E-3</c:v>
                </c:pt>
                <c:pt idx="1">
                  <c:v>4.5961501391620363E-3</c:v>
                </c:pt>
                <c:pt idx="2">
                  <c:v>6.4842828807925579E-3</c:v>
                </c:pt>
                <c:pt idx="3">
                  <c:v>7.6694021962473435E-3</c:v>
                </c:pt>
                <c:pt idx="4">
                  <c:v>2.500940162152776E-2</c:v>
                </c:pt>
                <c:pt idx="5">
                  <c:v>1.3636467231258886E-2</c:v>
                </c:pt>
                <c:pt idx="6">
                  <c:v>3.1308148362253818E-2</c:v>
                </c:pt>
                <c:pt idx="7">
                  <c:v>3.1287048988056343E-2</c:v>
                </c:pt>
                <c:pt idx="8">
                  <c:v>1.7976972508553457E-2</c:v>
                </c:pt>
                <c:pt idx="9">
                  <c:v>4.0640666398684355E-2</c:v>
                </c:pt>
                <c:pt idx="10">
                  <c:v>1.9741500884439211E-2</c:v>
                </c:pt>
                <c:pt idx="11">
                  <c:v>2.3186825311846848E-2</c:v>
                </c:pt>
                <c:pt idx="12">
                  <c:v>3.3609629735961127E-2</c:v>
                </c:pt>
                <c:pt idx="13">
                  <c:v>2.2632461433464091E-2</c:v>
                </c:pt>
                <c:pt idx="14">
                  <c:v>7.2799548070315856E-2</c:v>
                </c:pt>
                <c:pt idx="15">
                  <c:v>6.101092516450346E-2</c:v>
                </c:pt>
                <c:pt idx="16">
                  <c:v>2.5473012549392576E-2</c:v>
                </c:pt>
                <c:pt idx="17">
                  <c:v>3.7162372871396732E-2</c:v>
                </c:pt>
                <c:pt idx="18">
                  <c:v>9.6811952716971572E-2</c:v>
                </c:pt>
                <c:pt idx="19">
                  <c:v>0.11901864524699346</c:v>
                </c:pt>
                <c:pt idx="20">
                  <c:v>5.592232047851195E-2</c:v>
                </c:pt>
                <c:pt idx="21">
                  <c:v>0.10729022798540988</c:v>
                </c:pt>
              </c:numCache>
            </c:numRef>
          </c:val>
        </c:ser>
        <c:overlap val="100"/>
        <c:axId val="171813504"/>
        <c:axId val="171827584"/>
      </c:barChart>
      <c:catAx>
        <c:axId val="171813504"/>
        <c:scaling>
          <c:orientation val="minMax"/>
        </c:scaling>
        <c:axPos val="l"/>
        <c:tickLblPos val="nextTo"/>
        <c:txPr>
          <a:bodyPr/>
          <a:lstStyle/>
          <a:p>
            <a:pPr>
              <a:defRPr sz="1200"/>
            </a:pPr>
            <a:endParaRPr lang="fr-FR"/>
          </a:p>
        </c:txPr>
        <c:crossAx val="171827584"/>
        <c:crosses val="autoZero"/>
        <c:auto val="1"/>
        <c:lblAlgn val="ctr"/>
        <c:lblOffset val="100"/>
      </c:catAx>
      <c:valAx>
        <c:axId val="171827584"/>
        <c:scaling>
          <c:orientation val="minMax"/>
        </c:scaling>
        <c:axPos val="b"/>
        <c:majorGridlines>
          <c:spPr>
            <a:ln>
              <a:solidFill>
                <a:schemeClr val="bg1">
                  <a:lumMod val="50000"/>
                </a:schemeClr>
              </a:solidFill>
              <a:prstDash val="dash"/>
            </a:ln>
          </c:spPr>
        </c:majorGridlines>
        <c:numFmt formatCode="0%" sourceLinked="1"/>
        <c:tickLblPos val="nextTo"/>
        <c:txPr>
          <a:bodyPr/>
          <a:lstStyle/>
          <a:p>
            <a:pPr>
              <a:defRPr sz="1200"/>
            </a:pPr>
            <a:endParaRPr lang="fr-FR"/>
          </a:p>
        </c:txPr>
        <c:crossAx val="171813504"/>
        <c:crosses val="autoZero"/>
        <c:crossBetween val="between"/>
      </c:valAx>
    </c:plotArea>
    <c:legend>
      <c:legendPos val="b"/>
      <c:txPr>
        <a:bodyPr/>
        <a:lstStyle/>
        <a:p>
          <a:pPr>
            <a:defRPr sz="1200"/>
          </a:pPr>
          <a:endParaRPr lang="fr-FR"/>
        </a:p>
      </c:txPr>
    </c:legend>
    <c:plotVisOnly val="1"/>
  </c:chart>
  <c:spPr>
    <a:ln>
      <a:noFill/>
    </a:ln>
  </c:spPr>
  <c:txPr>
    <a:bodyPr/>
    <a:lstStyle/>
    <a:p>
      <a:pPr>
        <a:defRPr sz="1000">
          <a:latin typeface="Arial" pitchFamily="34" charset="0"/>
          <a:cs typeface="Arial" pitchFamily="34" charset="0"/>
        </a:defRPr>
      </a:pPr>
      <a:endParaRPr lang="fr-FR"/>
    </a:p>
  </c:txPr>
  <c:printSettings>
    <c:headerFooter/>
    <c:pageMargins b="0.75000000000000877" l="0.70000000000000062" r="0.70000000000000062" t="0.750000000000008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marker>
            <c:symbol val="dash"/>
            <c:size val="35"/>
            <c:spPr>
              <a:solidFill>
                <a:srgbClr val="FFC000">
                  <a:alpha val="50000"/>
                </a:srgbClr>
              </a:solidFill>
              <a:ln>
                <a:noFill/>
              </a:ln>
            </c:spPr>
          </c:marker>
          <c:dLbls>
            <c:dLbl>
              <c:idx val="0"/>
              <c:tx>
                <c:rich>
                  <a:bodyPr/>
                  <a:lstStyle/>
                  <a:p>
                    <a:pPr>
                      <a:defRPr sz="1000" b="0" i="0" strike="noStrike">
                        <a:latin typeface="Arial"/>
                      </a:defRPr>
                    </a:pPr>
                    <a:r>
                      <a:rPr lang="en-US"/>
                      <a:t>DT </a:t>
                    </a:r>
                    <a:r>
                      <a:rPr lang="en-US">
                        <a:sym typeface="Symbol"/>
                      </a:rPr>
                      <a:t></a:t>
                    </a:r>
                    <a:endParaRPr lang="en-US"/>
                  </a:p>
                </c:rich>
              </c:tx>
              <c:spPr/>
              <c:dLblPos val="ctr"/>
              <c:showVal val="1"/>
            </c:dLbl>
            <c:dLbl>
              <c:idx val="1"/>
              <c:tx>
                <c:strRef>
                  <c:f>PROFILES!$O$101</c:f>
                  <c:strCache>
                    <c:ptCount val="1"/>
                    <c:pt idx="0">
                      <c:v>TKA</c:v>
                    </c:pt>
                  </c:strCache>
                </c:strRef>
              </c:tx>
              <c:spPr/>
              <c:txPr>
                <a:bodyPr/>
                <a:lstStyle/>
                <a:p>
                  <a:pPr>
                    <a:defRPr sz="1000" b="0" i="0" strike="noStrike">
                      <a:latin typeface="Arial"/>
                    </a:defRPr>
                  </a:pPr>
                  <a:endParaRPr lang="fr-FR"/>
                </a:p>
              </c:txPr>
              <c:dLblPos val="ctr"/>
              <c:showVal val="1"/>
            </c:dLbl>
            <c:dLbl>
              <c:idx val="2"/>
              <c:tx>
                <c:strRef>
                  <c:f>PROFILES!$O$102</c:f>
                  <c:strCache>
                    <c:ptCount val="1"/>
                    <c:pt idx="0">
                      <c:v>BELGACOM</c:v>
                    </c:pt>
                  </c:strCache>
                </c:strRef>
              </c:tx>
              <c:spPr/>
              <c:txPr>
                <a:bodyPr/>
                <a:lstStyle/>
                <a:p>
                  <a:pPr>
                    <a:defRPr sz="1000" b="1" i="0" strike="noStrike">
                      <a:latin typeface="Arial"/>
                    </a:defRPr>
                  </a:pPr>
                  <a:endParaRPr lang="fr-FR"/>
                </a:p>
              </c:txPr>
              <c:dLblPos val="ctr"/>
              <c:showVal val="1"/>
            </c:dLbl>
            <c:dLbl>
              <c:idx val="3"/>
              <c:tx>
                <c:strRef>
                  <c:f>PROFILES!$O$103</c:f>
                  <c:strCache>
                    <c:ptCount val="1"/>
                    <c:pt idx="0">
                      <c:v>MOBISTAR</c:v>
                    </c:pt>
                  </c:strCache>
                </c:strRef>
              </c:tx>
              <c:spPr/>
              <c:txPr>
                <a:bodyPr/>
                <a:lstStyle/>
                <a:p>
                  <a:pPr>
                    <a:defRPr sz="1000" b="1" i="0" strike="noStrike">
                      <a:latin typeface="Arial"/>
                    </a:defRPr>
                  </a:pPr>
                  <a:endParaRPr lang="fr-FR"/>
                </a:p>
              </c:txPr>
              <c:dLblPos val="ctr"/>
              <c:showVal val="1"/>
            </c:dLbl>
            <c:dLbl>
              <c:idx val="4"/>
              <c:tx>
                <c:strRef>
                  <c:f>PROFILES!$O$104</c:f>
                  <c:strCache>
                    <c:ptCount val="1"/>
                    <c:pt idx="0">
                      <c:v>TELENET</c:v>
                    </c:pt>
                  </c:strCache>
                </c:strRef>
              </c:tx>
              <c:spPr/>
              <c:txPr>
                <a:bodyPr/>
                <a:lstStyle/>
                <a:p>
                  <a:pPr>
                    <a:defRPr sz="1000" b="1" i="0" strike="noStrike">
                      <a:latin typeface="Arial"/>
                    </a:defRPr>
                  </a:pPr>
                  <a:endParaRPr lang="fr-FR"/>
                </a:p>
              </c:txPr>
              <c:dLblPos val="ctr"/>
              <c:showVal val="1"/>
            </c:dLbl>
            <c:dLbl>
              <c:idx val="5"/>
              <c:tx>
                <c:strRef>
                  <c:f>PROFILES!$O$105</c:f>
                  <c:strCache>
                    <c:ptCount val="1"/>
                    <c:pt idx="0">
                      <c:v>TDC</c:v>
                    </c:pt>
                  </c:strCache>
                </c:strRef>
              </c:tx>
              <c:spPr/>
              <c:txPr>
                <a:bodyPr/>
                <a:lstStyle/>
                <a:p>
                  <a:pPr>
                    <a:defRPr sz="1000" b="0" i="0" strike="noStrike">
                      <a:latin typeface="Arial"/>
                    </a:defRPr>
                  </a:pPr>
                  <a:endParaRPr lang="fr-FR"/>
                </a:p>
              </c:txPr>
              <c:dLblPos val="ctr"/>
              <c:showVal val="1"/>
            </c:dLbl>
            <c:dLbl>
              <c:idx val="6"/>
              <c:tx>
                <c:strRef>
                  <c:f>PROFILES!$O$106</c:f>
                  <c:strCache>
                    <c:ptCount val="1"/>
                    <c:pt idx="0">
                      <c:v>TEF</c:v>
                    </c:pt>
                  </c:strCache>
                </c:strRef>
              </c:tx>
              <c:spPr/>
              <c:txPr>
                <a:bodyPr/>
                <a:lstStyle/>
                <a:p>
                  <a:pPr>
                    <a:defRPr sz="1000" b="0" i="0" strike="noStrike">
                      <a:latin typeface="Arial"/>
                    </a:defRPr>
                  </a:pPr>
                  <a:endParaRPr lang="fr-FR"/>
                </a:p>
              </c:txPr>
              <c:dLblPos val="ctr"/>
              <c:showVal val="1"/>
            </c:dLbl>
            <c:dLbl>
              <c:idx val="7"/>
              <c:tx>
                <c:strRef>
                  <c:f>PROFILES!$O$107</c:f>
                  <c:strCache>
                    <c:ptCount val="1"/>
                    <c:pt idx="0">
                      <c:v>ELI</c:v>
                    </c:pt>
                  </c:strCache>
                </c:strRef>
              </c:tx>
              <c:spPr/>
              <c:txPr>
                <a:bodyPr/>
                <a:lstStyle/>
                <a:p>
                  <a:pPr>
                    <a:defRPr sz="1000" b="0" i="0" strike="noStrike">
                      <a:latin typeface="Arial"/>
                    </a:defRPr>
                  </a:pPr>
                  <a:endParaRPr lang="fr-FR"/>
                </a:p>
              </c:txPr>
              <c:dLblPos val="ctr"/>
              <c:showVal val="1"/>
            </c:dLbl>
            <c:dLbl>
              <c:idx val="8"/>
              <c:tx>
                <c:strRef>
                  <c:f>PROFILES!$O$108</c:f>
                  <c:strCache>
                    <c:ptCount val="1"/>
                    <c:pt idx="0">
                      <c:v>ILD</c:v>
                    </c:pt>
                  </c:strCache>
                </c:strRef>
              </c:tx>
              <c:spPr/>
              <c:txPr>
                <a:bodyPr/>
                <a:lstStyle/>
                <a:p>
                  <a:pPr>
                    <a:defRPr sz="1000" b="0" i="0" strike="noStrike">
                      <a:latin typeface="Arial"/>
                    </a:defRPr>
                  </a:pPr>
                  <a:endParaRPr lang="fr-FR"/>
                </a:p>
              </c:txPr>
              <c:dLblPos val="ctr"/>
              <c:showVal val="1"/>
            </c:dLbl>
            <c:dLbl>
              <c:idx val="9"/>
              <c:tx>
                <c:strRef>
                  <c:f>PROFILES!$O$109</c:f>
                  <c:strCache>
                    <c:ptCount val="1"/>
                    <c:pt idx="0">
                      <c:v>ORA</c:v>
                    </c:pt>
                  </c:strCache>
                </c:strRef>
              </c:tx>
              <c:spPr/>
              <c:txPr>
                <a:bodyPr/>
                <a:lstStyle/>
                <a:p>
                  <a:pPr>
                    <a:defRPr sz="1000" b="0" i="0" strike="noStrike">
                      <a:latin typeface="Arial"/>
                    </a:defRPr>
                  </a:pPr>
                  <a:endParaRPr lang="fr-FR"/>
                </a:p>
              </c:txPr>
              <c:dLblPos val="ctr"/>
              <c:showVal val="1"/>
            </c:dLbl>
            <c:dLbl>
              <c:idx val="10"/>
              <c:tx>
                <c:strRef>
                  <c:f>PROFILES!$O$110</c:f>
                  <c:strCache>
                    <c:ptCount val="1"/>
                    <c:pt idx="0">
                      <c:v>OTE</c:v>
                    </c:pt>
                  </c:strCache>
                </c:strRef>
              </c:tx>
              <c:spPr/>
              <c:txPr>
                <a:bodyPr/>
                <a:lstStyle/>
                <a:p>
                  <a:pPr>
                    <a:defRPr sz="1000" b="0" i="0" strike="noStrike">
                      <a:latin typeface="Arial"/>
                    </a:defRPr>
                  </a:pPr>
                  <a:endParaRPr lang="fr-FR"/>
                </a:p>
              </c:txPr>
              <c:dLblPos val="ctr"/>
              <c:showVal val="1"/>
            </c:dLbl>
            <c:dLbl>
              <c:idx val="11"/>
              <c:tx>
                <c:strRef>
                  <c:f>PROFILES!$O$111</c:f>
                  <c:strCache>
                    <c:ptCount val="1"/>
                    <c:pt idx="0">
                      <c:v>TIT</c:v>
                    </c:pt>
                  </c:strCache>
                </c:strRef>
              </c:tx>
              <c:spPr/>
              <c:txPr>
                <a:bodyPr/>
                <a:lstStyle/>
                <a:p>
                  <a:pPr>
                    <a:defRPr sz="1000" b="0" i="0" strike="noStrike">
                      <a:latin typeface="Arial"/>
                    </a:defRPr>
                  </a:pPr>
                  <a:endParaRPr lang="fr-FR"/>
                </a:p>
              </c:txPr>
              <c:dLblPos val="ctr"/>
              <c:showVal val="1"/>
            </c:dLbl>
            <c:dLbl>
              <c:idx val="12"/>
              <c:tx>
                <c:strRef>
                  <c:f>PROFILES!$O$112</c:f>
                  <c:strCache>
                    <c:ptCount val="1"/>
                    <c:pt idx="0">
                      <c:v>TEL</c:v>
                    </c:pt>
                  </c:strCache>
                </c:strRef>
              </c:tx>
              <c:spPr/>
              <c:txPr>
                <a:bodyPr/>
                <a:lstStyle/>
                <a:p>
                  <a:pPr>
                    <a:defRPr sz="1000" b="0" i="0" strike="noStrike">
                      <a:latin typeface="Arial"/>
                    </a:defRPr>
                  </a:pPr>
                  <a:endParaRPr lang="fr-FR"/>
                </a:p>
              </c:txPr>
              <c:dLblPos val="ctr"/>
              <c:showVal val="1"/>
            </c:dLbl>
            <c:dLbl>
              <c:idx val="13"/>
              <c:layout>
                <c:manualLayout>
                  <c:x val="-5.3696215911547322E-2"/>
                  <c:y val="-3.3407557736545896E-3"/>
                </c:manualLayout>
              </c:layout>
              <c:tx>
                <c:rich>
                  <a:bodyPr/>
                  <a:lstStyle/>
                  <a:p>
                    <a:pPr>
                      <a:defRPr sz="1000" b="0" i="0" strike="noStrike">
                        <a:latin typeface="Arial"/>
                      </a:defRPr>
                    </a:pPr>
                    <a:r>
                      <a:rPr lang="en-US"/>
                      <a:t>KPN</a:t>
                    </a:r>
                  </a:p>
                </c:rich>
              </c:tx>
              <c:spPr/>
              <c:dLblPos val="r"/>
              <c:showVal val="1"/>
            </c:dLbl>
            <c:dLbl>
              <c:idx val="14"/>
              <c:tx>
                <c:strRef>
                  <c:f>PROFILES!$O$114</c:f>
                  <c:strCache>
                    <c:ptCount val="1"/>
                    <c:pt idx="0">
                      <c:v>TPS</c:v>
                    </c:pt>
                  </c:strCache>
                </c:strRef>
              </c:tx>
              <c:spPr/>
              <c:txPr>
                <a:bodyPr/>
                <a:lstStyle/>
                <a:p>
                  <a:pPr>
                    <a:defRPr sz="1000" b="0" i="0" strike="noStrike">
                      <a:latin typeface="Arial"/>
                    </a:defRPr>
                  </a:pPr>
                  <a:endParaRPr lang="fr-FR"/>
                </a:p>
              </c:txPr>
              <c:dLblPos val="ctr"/>
              <c:showVal val="1"/>
            </c:dLbl>
            <c:dLbl>
              <c:idx val="15"/>
              <c:tx>
                <c:strRef>
                  <c:f>PROFILES!$O$115</c:f>
                  <c:strCache>
                    <c:ptCount val="1"/>
                    <c:pt idx="0">
                      <c:v>PT</c:v>
                    </c:pt>
                  </c:strCache>
                </c:strRef>
              </c:tx>
              <c:spPr/>
              <c:txPr>
                <a:bodyPr/>
                <a:lstStyle/>
                <a:p>
                  <a:pPr>
                    <a:defRPr sz="1000" b="0" i="0" strike="noStrike">
                      <a:solidFill>
                        <a:schemeClr val="bg1">
                          <a:lumMod val="50000"/>
                        </a:schemeClr>
                      </a:solidFill>
                      <a:latin typeface="Arial"/>
                    </a:defRPr>
                  </a:pPr>
                  <a:endParaRPr lang="fr-FR"/>
                </a:p>
              </c:txPr>
              <c:dLblPos val="ctr"/>
              <c:showVal val="1"/>
            </c:dLbl>
            <c:dLbl>
              <c:idx val="16"/>
              <c:tx>
                <c:strRef>
                  <c:f>PROFILES!$O$116</c:f>
                  <c:strCache>
                    <c:ptCount val="1"/>
                    <c:pt idx="0">
                      <c:v>BT</c:v>
                    </c:pt>
                  </c:strCache>
                </c:strRef>
              </c:tx>
              <c:spPr/>
              <c:txPr>
                <a:bodyPr/>
                <a:lstStyle/>
                <a:p>
                  <a:pPr>
                    <a:defRPr sz="1000" b="0" i="0" strike="noStrike">
                      <a:latin typeface="Arial"/>
                    </a:defRPr>
                  </a:pPr>
                  <a:endParaRPr lang="fr-FR"/>
                </a:p>
              </c:txPr>
              <c:dLblPos val="ctr"/>
              <c:showVal val="1"/>
            </c:dLbl>
            <c:dLbl>
              <c:idx val="17"/>
              <c:tx>
                <c:strRef>
                  <c:f>PROFILES!$O$117</c:f>
                  <c:strCache>
                    <c:ptCount val="1"/>
                    <c:pt idx="0">
                      <c:v>VOD</c:v>
                    </c:pt>
                  </c:strCache>
                </c:strRef>
              </c:tx>
              <c:spPr/>
              <c:txPr>
                <a:bodyPr/>
                <a:lstStyle/>
                <a:p>
                  <a:pPr>
                    <a:defRPr sz="1000" b="0" i="0" strike="noStrike">
                      <a:latin typeface="Arial"/>
                    </a:defRPr>
                  </a:pPr>
                  <a:endParaRPr lang="fr-FR"/>
                </a:p>
              </c:txPr>
              <c:dLblPos val="ctr"/>
              <c:showVal val="1"/>
            </c:dLbl>
            <c:dLbl>
              <c:idx val="18"/>
              <c:tx>
                <c:strRef>
                  <c:f>PROFILES!$O$118</c:f>
                  <c:strCache>
                    <c:ptCount val="1"/>
                    <c:pt idx="0">
                      <c:v>TLSN</c:v>
                    </c:pt>
                  </c:strCache>
                </c:strRef>
              </c:tx>
              <c:spPr/>
              <c:txPr>
                <a:bodyPr/>
                <a:lstStyle/>
                <a:p>
                  <a:pPr>
                    <a:defRPr sz="1000" b="0" i="0" strike="noStrike">
                      <a:latin typeface="Arial"/>
                    </a:defRPr>
                  </a:pPr>
                  <a:endParaRPr lang="fr-FR"/>
                </a:p>
              </c:txPr>
              <c:dLblPos val="ctr"/>
              <c:showVal val="1"/>
            </c:dLbl>
            <c:dLbl>
              <c:idx val="19"/>
              <c:tx>
                <c:strRef>
                  <c:f>PROFILES!$O$119</c:f>
                  <c:strCache>
                    <c:ptCount val="1"/>
                    <c:pt idx="0">
                      <c:v>TEL2</c:v>
                    </c:pt>
                  </c:strCache>
                </c:strRef>
              </c:tx>
              <c:spPr/>
              <c:txPr>
                <a:bodyPr/>
                <a:lstStyle/>
                <a:p>
                  <a:pPr>
                    <a:defRPr sz="1000" b="0" i="0" strike="noStrike">
                      <a:latin typeface="Arial"/>
                    </a:defRPr>
                  </a:pPr>
                  <a:endParaRPr lang="fr-FR"/>
                </a:p>
              </c:txPr>
              <c:dLblPos val="ctr"/>
              <c:showVal val="1"/>
            </c:dLbl>
            <c:dLbl>
              <c:idx val="20"/>
              <c:tx>
                <c:strRef>
                  <c:f>PROFILES!$O$120</c:f>
                  <c:strCache>
                    <c:ptCount val="1"/>
                    <c:pt idx="0">
                      <c:v>SCM</c:v>
                    </c:pt>
                  </c:strCache>
                </c:strRef>
              </c:tx>
              <c:spPr/>
              <c:txPr>
                <a:bodyPr/>
                <a:lstStyle/>
                <a:p>
                  <a:pPr>
                    <a:defRPr sz="1000" b="0" i="0" strike="noStrike">
                      <a:latin typeface="Arial"/>
                    </a:defRPr>
                  </a:pPr>
                  <a:endParaRPr lang="fr-FR"/>
                </a:p>
              </c:txPr>
              <c:dLblPos val="ctr"/>
              <c:showVal val="1"/>
            </c:dLbl>
            <c:dLbl>
              <c:idx val="21"/>
              <c:tx>
                <c:strRef>
                  <c:f>PROFILES!$O$121</c:f>
                  <c:strCache>
                    <c:ptCount val="1"/>
                    <c:pt idx="0">
                      <c:v>SNC</c:v>
                    </c:pt>
                  </c:strCache>
                </c:strRef>
              </c:tx>
              <c:spPr/>
              <c:txPr>
                <a:bodyPr/>
                <a:lstStyle/>
                <a:p>
                  <a:pPr>
                    <a:defRPr sz="1000" b="0" i="0" strike="noStrike">
                      <a:latin typeface="Arial"/>
                    </a:defRPr>
                  </a:pPr>
                  <a:endParaRPr lang="fr-FR"/>
                </a:p>
              </c:txPr>
              <c:dLblPos val="ctr"/>
              <c:showVal val="1"/>
            </c:dLbl>
            <c:showVal val="1"/>
          </c:dLbls>
          <c:trendline>
            <c:spPr>
              <a:ln>
                <a:solidFill>
                  <a:schemeClr val="bg1">
                    <a:lumMod val="65000"/>
                  </a:schemeClr>
                </a:solidFill>
                <a:prstDash val="dash"/>
              </a:ln>
            </c:spPr>
            <c:trendlineType val="poly"/>
            <c:order val="2"/>
            <c:dispRSqr val="1"/>
            <c:trendlineLbl>
              <c:numFmt formatCode="General" sourceLinked="0"/>
            </c:trendlineLbl>
          </c:trendline>
          <c:xVal>
            <c:numRef>
              <c:f>PROFILES!$D$204:$D$225</c:f>
              <c:numCache>
                <c:formatCode>0%</c:formatCode>
                <c:ptCount val="22"/>
                <c:pt idx="0">
                  <c:v>0.61</c:v>
                </c:pt>
                <c:pt idx="1">
                  <c:v>0.60910298289809772</c:v>
                </c:pt>
                <c:pt idx="2">
                  <c:v>0.37158673775730477</c:v>
                </c:pt>
                <c:pt idx="3">
                  <c:v>0.95644485424869818</c:v>
                </c:pt>
                <c:pt idx="4">
                  <c:v>6.4385445236561381E-2</c:v>
                </c:pt>
                <c:pt idx="5">
                  <c:v>0.31054928118178421</c:v>
                </c:pt>
                <c:pt idx="6">
                  <c:v>0.6158872479982318</c:v>
                </c:pt>
                <c:pt idx="7">
                  <c:v>0.62657499999999999</c:v>
                </c:pt>
                <c:pt idx="8">
                  <c:v>9.1630231095150338E-2</c:v>
                </c:pt>
                <c:pt idx="9">
                  <c:v>0.60741568747204655</c:v>
                </c:pt>
                <c:pt idx="10">
                  <c:v>0.56323171407839789</c:v>
                </c:pt>
                <c:pt idx="11">
                  <c:v>0.34534166666666666</c:v>
                </c:pt>
                <c:pt idx="12">
                  <c:v>0.7344324868237998</c:v>
                </c:pt>
                <c:pt idx="13">
                  <c:v>0.5805147103617575</c:v>
                </c:pt>
                <c:pt idx="14">
                  <c:v>0.42290073595624156</c:v>
                </c:pt>
                <c:pt idx="15">
                  <c:v>0.48460704112825509</c:v>
                </c:pt>
                <c:pt idx="16">
                  <c:v>0</c:v>
                </c:pt>
                <c:pt idx="17">
                  <c:v>0.91487499999999988</c:v>
                </c:pt>
                <c:pt idx="18">
                  <c:v>0.67984865616162071</c:v>
                </c:pt>
                <c:pt idx="19">
                  <c:v>0.67083419702973635</c:v>
                </c:pt>
                <c:pt idx="20">
                  <c:v>0.32615050588405037</c:v>
                </c:pt>
                <c:pt idx="21">
                  <c:v>0.90539538726018864</c:v>
                </c:pt>
              </c:numCache>
            </c:numRef>
          </c:xVal>
          <c:yVal>
            <c:numRef>
              <c:f>PROFILES!$E$204:$E$225</c:f>
              <c:numCache>
                <c:formatCode>0.0</c:formatCode>
                <c:ptCount val="22"/>
                <c:pt idx="0">
                  <c:v>4.9905713850513198</c:v>
                </c:pt>
                <c:pt idx="1">
                  <c:v>4.4503654862327</c:v>
                </c:pt>
                <c:pt idx="2">
                  <c:v>4.8426442674927213</c:v>
                </c:pt>
                <c:pt idx="3">
                  <c:v>4.9107929634600707</c:v>
                </c:pt>
                <c:pt idx="4">
                  <c:v>8.6861758729657641</c:v>
                </c:pt>
                <c:pt idx="5">
                  <c:v>5.8927844479191869</c:v>
                </c:pt>
                <c:pt idx="6">
                  <c:v>5.6943354572509941</c:v>
                </c:pt>
                <c:pt idx="7">
                  <c:v>6.7052926466266065</c:v>
                </c:pt>
                <c:pt idx="8">
                  <c:v>7.8889454092528393</c:v>
                </c:pt>
                <c:pt idx="9">
                  <c:v>4.7838493303826084</c:v>
                </c:pt>
                <c:pt idx="10">
                  <c:v>3.7488610975650749</c:v>
                </c:pt>
                <c:pt idx="11">
                  <c:v>4.5606838408134944</c:v>
                </c:pt>
                <c:pt idx="12">
                  <c:v>5.8033589040079683</c:v>
                </c:pt>
                <c:pt idx="13">
                  <c:v>4.9270605931091591</c:v>
                </c:pt>
                <c:pt idx="14">
                  <c:v>4.3871958272574467</c:v>
                </c:pt>
                <c:pt idx="15">
                  <c:v>6.4063105209788551</c:v>
                </c:pt>
                <c:pt idx="16">
                  <c:v>4.6985221679038922</c:v>
                </c:pt>
                <c:pt idx="17">
                  <c:v>7.5360879751187033</c:v>
                </c:pt>
                <c:pt idx="18">
                  <c:v>7.5421176018870622</c:v>
                </c:pt>
                <c:pt idx="19">
                  <c:v>6.6837223425180285</c:v>
                </c:pt>
                <c:pt idx="20">
                  <c:v>6.7995363362554677</c:v>
                </c:pt>
                <c:pt idx="21">
                  <c:v>3.8552632920912293</c:v>
                </c:pt>
              </c:numCache>
            </c:numRef>
          </c:yVal>
        </c:ser>
        <c:axId val="167739776"/>
        <c:axId val="167741312"/>
      </c:scatterChart>
      <c:valAx>
        <c:axId val="167739776"/>
        <c:scaling>
          <c:orientation val="minMax"/>
          <c:max val="1"/>
        </c:scaling>
        <c:axPos val="b"/>
        <c:numFmt formatCode="0%" sourceLinked="1"/>
        <c:tickLblPos val="nextTo"/>
        <c:txPr>
          <a:bodyPr/>
          <a:lstStyle/>
          <a:p>
            <a:pPr>
              <a:defRPr sz="1200" baseline="0">
                <a:latin typeface="Arial" pitchFamily="34" charset="0"/>
              </a:defRPr>
            </a:pPr>
            <a:endParaRPr lang="fr-FR"/>
          </a:p>
        </c:txPr>
        <c:crossAx val="167741312"/>
        <c:crosses val="autoZero"/>
        <c:crossBetween val="midCat"/>
        <c:majorUnit val="0.1"/>
      </c:valAx>
      <c:valAx>
        <c:axId val="167741312"/>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67739776"/>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4536216939771804"/>
        </c:manualLayout>
      </c:layout>
      <c:lineChart>
        <c:grouping val="standard"/>
        <c:ser>
          <c:idx val="2"/>
          <c:order val="0"/>
          <c:tx>
            <c:strRef>
              <c:f>CALCULATIONS!$B$7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CALCULATIONS!$KO$7:$LC$7</c:f>
              <c:numCache>
                <c:formatCode>0.0</c:formatCode>
                <c:ptCount val="15"/>
                <c:pt idx="0">
                  <c:v>0.85780357758060832</c:v>
                </c:pt>
                <c:pt idx="1">
                  <c:v>0.60699163906695064</c:v>
                </c:pt>
                <c:pt idx="2">
                  <c:v>0.73258608367589573</c:v>
                </c:pt>
                <c:pt idx="3">
                  <c:v>0.63774509214022523</c:v>
                </c:pt>
                <c:pt idx="4">
                  <c:v>0.74671139174513146</c:v>
                </c:pt>
                <c:pt idx="5">
                  <c:v>0.7780181563411469</c:v>
                </c:pt>
                <c:pt idx="6">
                  <c:v>0.98612301734551489</c:v>
                </c:pt>
                <c:pt idx="7">
                  <c:v>0.8625256609875307</c:v>
                </c:pt>
                <c:pt idx="8">
                  <c:v>0.96943755578816437</c:v>
                </c:pt>
                <c:pt idx="9">
                  <c:v>0.86104856905117111</c:v>
                </c:pt>
                <c:pt idx="10">
                  <c:v>1.1345061634014335</c:v>
                </c:pt>
                <c:pt idx="11">
                  <c:v>1.00696420705061</c:v>
                </c:pt>
                <c:pt idx="12">
                  <c:v>1.0680698852526918</c:v>
                </c:pt>
                <c:pt idx="13">
                  <c:v>1.0276122349618302</c:v>
                </c:pt>
                <c:pt idx="14">
                  <c:v>1.3109622071604587</c:v>
                </c:pt>
              </c:numCache>
            </c:numRef>
          </c:val>
        </c:ser>
        <c:ser>
          <c:idx val="0"/>
          <c:order val="1"/>
          <c:tx>
            <c:strRef>
              <c:f>CALCULATIONS!$B$10</c:f>
              <c:strCache>
                <c:ptCount val="1"/>
                <c:pt idx="0">
                  <c:v>TDC</c:v>
                </c:pt>
              </c:strCache>
            </c:strRef>
          </c:tx>
          <c:spPr>
            <a:ln w="22225">
              <a:solidFill>
                <a:schemeClr val="bg2">
                  <a:lumMod val="75000"/>
                </a:schemeClr>
              </a:solidFill>
              <a:prstDash val="solid"/>
            </a:ln>
          </c:spPr>
          <c:marker>
            <c:symbol val="square"/>
            <c:size val="5"/>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CALCULATIONS!$KO$10:$LC$10</c:f>
              <c:numCache>
                <c:formatCode>0.0</c:formatCode>
                <c:ptCount val="15"/>
                <c:pt idx="0">
                  <c:v>3.4539648084509533</c:v>
                </c:pt>
                <c:pt idx="1">
                  <c:v>3.5935597625291371</c:v>
                </c:pt>
                <c:pt idx="2">
                  <c:v>3.4952896711363342</c:v>
                </c:pt>
                <c:pt idx="3">
                  <c:v>3.3446915917927194</c:v>
                </c:pt>
                <c:pt idx="4">
                  <c:v>2.5141116078107553</c:v>
                </c:pt>
                <c:pt idx="5">
                  <c:v>2.4171752991787065</c:v>
                </c:pt>
                <c:pt idx="6">
                  <c:v>2.5290151724493271</c:v>
                </c:pt>
                <c:pt idx="7">
                  <c:v>2.5596704962049985</c:v>
                </c:pt>
                <c:pt idx="8">
                  <c:v>2.3823015969248087</c:v>
                </c:pt>
                <c:pt idx="9">
                  <c:v>2.4574897791080925</c:v>
                </c:pt>
                <c:pt idx="10">
                  <c:v>2.5022108978095088</c:v>
                </c:pt>
                <c:pt idx="11">
                  <c:v>2.5858305705752835</c:v>
                </c:pt>
                <c:pt idx="12">
                  <c:v>2.5523585725958045</c:v>
                </c:pt>
                <c:pt idx="13">
                  <c:v>2.6306207985310399</c:v>
                </c:pt>
                <c:pt idx="14">
                  <c:v>2.5933932385229874</c:v>
                </c:pt>
              </c:numCache>
            </c:numRef>
          </c:val>
        </c:ser>
        <c:ser>
          <c:idx val="13"/>
          <c:order val="2"/>
          <c:tx>
            <c:strRef>
              <c:f>CALCULATIONS!$B$18</c:f>
              <c:strCache>
                <c:ptCount val="1"/>
                <c:pt idx="0">
                  <c:v>KPN</c:v>
                </c:pt>
              </c:strCache>
            </c:strRef>
          </c:tx>
          <c:spPr>
            <a:ln w="22225">
              <a:solidFill>
                <a:schemeClr val="accent3">
                  <a:lumMod val="50000"/>
                </a:schemeClr>
              </a:solidFill>
            </a:ln>
          </c:spPr>
          <c:marker>
            <c:symbol val="square"/>
            <c:size val="5"/>
            <c:spPr>
              <a:solidFill>
                <a:srgbClr val="9BBB59">
                  <a:lumMod val="50000"/>
                </a:srgb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CALCULATIONS!$KO$18:$LC$18</c:f>
              <c:numCache>
                <c:formatCode>0.0</c:formatCode>
                <c:ptCount val="15"/>
                <c:pt idx="0">
                  <c:v>2.2460576460396591</c:v>
                </c:pt>
                <c:pt idx="1">
                  <c:v>2.292248334584198</c:v>
                </c:pt>
                <c:pt idx="2">
                  <c:v>2.4759242556130907</c:v>
                </c:pt>
                <c:pt idx="3">
                  <c:v>2.4128009279632687</c:v>
                </c:pt>
                <c:pt idx="4">
                  <c:v>2.3070990266030713</c:v>
                </c:pt>
                <c:pt idx="5">
                  <c:v>2.3269330707749947</c:v>
                </c:pt>
                <c:pt idx="6">
                  <c:v>2.4795219098937151</c:v>
                </c:pt>
                <c:pt idx="7">
                  <c:v>2.6768872413339531</c:v>
                </c:pt>
                <c:pt idx="8">
                  <c:v>2.561497889097454</c:v>
                </c:pt>
                <c:pt idx="9">
                  <c:v>2.6556185999757402</c:v>
                </c:pt>
                <c:pt idx="10">
                  <c:v>2.8775722363857463</c:v>
                </c:pt>
                <c:pt idx="11">
                  <c:v>2.9398714313305048</c:v>
                </c:pt>
                <c:pt idx="12">
                  <c:v>2.9797609965187557</c:v>
                </c:pt>
                <c:pt idx="13">
                  <c:v>3.1263879754075297</c:v>
                </c:pt>
                <c:pt idx="14">
                  <c:v>2.5466878830879209</c:v>
                </c:pt>
              </c:numCache>
            </c:numRef>
          </c:val>
        </c:ser>
        <c:ser>
          <c:idx val="1"/>
          <c:order val="3"/>
          <c:tx>
            <c:strRef>
              <c:f>CALCULATIONS!$B$16</c:f>
              <c:strCache>
                <c:ptCount val="1"/>
                <c:pt idx="0">
                  <c:v>TIT</c:v>
                </c:pt>
              </c:strCache>
            </c:strRef>
          </c:tx>
          <c:spPr>
            <a:ln w="19050">
              <a:solidFill>
                <a:schemeClr val="accent3">
                  <a:lumMod val="75000"/>
                </a:schemeClr>
              </a:solidFill>
            </a:ln>
          </c:spPr>
          <c:marker>
            <c:symbol val="none"/>
          </c:marker>
          <c:val>
            <c:numRef>
              <c:f>CALCULATIONS!$KO$16:$LC$16</c:f>
              <c:numCache>
                <c:formatCode>0.0</c:formatCode>
                <c:ptCount val="15"/>
                <c:pt idx="0">
                  <c:v>3.3039026768017106</c:v>
                </c:pt>
                <c:pt idx="1">
                  <c:v>3.2438939614782232</c:v>
                </c:pt>
                <c:pt idx="2">
                  <c:v>3.3246158214491635</c:v>
                </c:pt>
                <c:pt idx="3">
                  <c:v>3.3436208886516843</c:v>
                </c:pt>
                <c:pt idx="4">
                  <c:v>3.0448688312846666</c:v>
                </c:pt>
                <c:pt idx="5">
                  <c:v>2.8814721783545778</c:v>
                </c:pt>
                <c:pt idx="6">
                  <c:v>2.9076441647069262</c:v>
                </c:pt>
                <c:pt idx="7">
                  <c:v>2.8124980970223183</c:v>
                </c:pt>
                <c:pt idx="8">
                  <c:v>2.8099332494334277</c:v>
                </c:pt>
                <c:pt idx="9">
                  <c:v>2.7708820058519112</c:v>
                </c:pt>
                <c:pt idx="10">
                  <c:v>2.8495396072985759</c:v>
                </c:pt>
                <c:pt idx="11">
                  <c:v>2.8080426296926322</c:v>
                </c:pt>
                <c:pt idx="12">
                  <c:v>2.7063616519310538</c:v>
                </c:pt>
                <c:pt idx="13">
                  <c:v>2.8017058343716195</c:v>
                </c:pt>
                <c:pt idx="14">
                  <c:v>2.8370691340232916</c:v>
                </c:pt>
              </c:numCache>
            </c:numRef>
          </c:val>
        </c:ser>
        <c:ser>
          <c:idx val="3"/>
          <c:order val="4"/>
          <c:tx>
            <c:strRef>
              <c:f>CALCULATIONS!$B$19</c:f>
              <c:strCache>
                <c:ptCount val="1"/>
                <c:pt idx="0">
                  <c:v>TPS</c:v>
                </c:pt>
              </c:strCache>
            </c:strRef>
          </c:tx>
          <c:spPr>
            <a:ln w="19050">
              <a:solidFill>
                <a:schemeClr val="accent3">
                  <a:lumMod val="75000"/>
                </a:schemeClr>
              </a:solidFill>
              <a:prstDash val="sysDash"/>
            </a:ln>
          </c:spPr>
          <c:marker>
            <c:symbol val="none"/>
          </c:marker>
          <c:val>
            <c:numRef>
              <c:f>CALCULATIONS!$KO$19:$LC$19</c:f>
              <c:numCache>
                <c:formatCode>0.0</c:formatCode>
                <c:ptCount val="15"/>
                <c:pt idx="0">
                  <c:v>0.73206368037127345</c:v>
                </c:pt>
                <c:pt idx="1">
                  <c:v>0.64895404163541992</c:v>
                </c:pt>
                <c:pt idx="2">
                  <c:v>0.56816344089016091</c:v>
                </c:pt>
                <c:pt idx="3">
                  <c:v>0.74738387885088764</c:v>
                </c:pt>
                <c:pt idx="4">
                  <c:v>0.66115581837086734</c:v>
                </c:pt>
                <c:pt idx="5">
                  <c:v>0.64277230113855044</c:v>
                </c:pt>
                <c:pt idx="6">
                  <c:v>0.26039207558834759</c:v>
                </c:pt>
                <c:pt idx="7">
                  <c:v>0.58849064180019561</c:v>
                </c:pt>
                <c:pt idx="8">
                  <c:v>0.47391539935842092</c:v>
                </c:pt>
                <c:pt idx="9">
                  <c:v>0.89884142312630078</c:v>
                </c:pt>
                <c:pt idx="10">
                  <c:v>0.78150699322337702</c:v>
                </c:pt>
                <c:pt idx="11">
                  <c:v>1.0708028960781275</c:v>
                </c:pt>
                <c:pt idx="12">
                  <c:v>1.1128540497776005</c:v>
                </c:pt>
                <c:pt idx="13">
                  <c:v>1.1426940239905961</c:v>
                </c:pt>
                <c:pt idx="14">
                  <c:v>1.1762690733772538</c:v>
                </c:pt>
              </c:numCache>
            </c:numRef>
          </c:val>
        </c:ser>
        <c:ser>
          <c:idx val="20"/>
          <c:order val="5"/>
          <c:tx>
            <c:strRef>
              <c:f>CALCULATIONS!$B$25</c:f>
              <c:strCache>
                <c:ptCount val="1"/>
                <c:pt idx="0">
                  <c:v>SCM</c:v>
                </c:pt>
              </c:strCache>
            </c:strRef>
          </c:tx>
          <c:spPr>
            <a:ln w="19050">
              <a:solidFill>
                <a:schemeClr val="bg2">
                  <a:lumMod val="75000"/>
                </a:schemeClr>
              </a:solidFill>
              <a:prstDash val="solid"/>
            </a:ln>
          </c:spPr>
          <c:marker>
            <c:symbol val="none"/>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CALCULATIONS!$KO$25:$LC$25</c:f>
              <c:numCache>
                <c:formatCode>0.0</c:formatCode>
                <c:ptCount val="15"/>
                <c:pt idx="0">
                  <c:v>2.1272863993522848</c:v>
                </c:pt>
                <c:pt idx="1">
                  <c:v>2.0368035982212112</c:v>
                </c:pt>
                <c:pt idx="2">
                  <c:v>2.1705298156337389</c:v>
                </c:pt>
                <c:pt idx="3">
                  <c:v>2.0627591357478918</c:v>
                </c:pt>
                <c:pt idx="4">
                  <c:v>2.203063642218106</c:v>
                </c:pt>
                <c:pt idx="5">
                  <c:v>2.1003623223269217</c:v>
                </c:pt>
                <c:pt idx="6">
                  <c:v>2.3120208512545299</c:v>
                </c:pt>
                <c:pt idx="7">
                  <c:v>2.1887403866475821</c:v>
                </c:pt>
                <c:pt idx="8">
                  <c:v>2.048595397703072</c:v>
                </c:pt>
                <c:pt idx="9">
                  <c:v>2.0640519144596094</c:v>
                </c:pt>
                <c:pt idx="10">
                  <c:v>2.1855526368323117</c:v>
                </c:pt>
                <c:pt idx="11">
                  <c:v>2.2122516700255388</c:v>
                </c:pt>
                <c:pt idx="12">
                  <c:v>2.1013349960436423</c:v>
                </c:pt>
                <c:pt idx="13">
                  <c:v>2.1027353959437862</c:v>
                </c:pt>
                <c:pt idx="14">
                  <c:v>2.3009327536910358</c:v>
                </c:pt>
              </c:numCache>
            </c:numRef>
          </c:val>
        </c:ser>
        <c:ser>
          <c:idx val="4"/>
          <c:order val="6"/>
          <c:tx>
            <c:strRef>
              <c:f>CALCULATIONS!$B$6</c:f>
              <c:strCache>
                <c:ptCount val="1"/>
                <c:pt idx="0">
                  <c:v>TKA</c:v>
                </c:pt>
              </c:strCache>
            </c:strRef>
          </c:tx>
          <c:spPr>
            <a:ln w="19050">
              <a:solidFill>
                <a:schemeClr val="accent3">
                  <a:lumMod val="75000"/>
                </a:schemeClr>
              </a:solidFill>
              <a:prstDash val="dash"/>
            </a:ln>
          </c:spPr>
          <c:marker>
            <c:symbol val="none"/>
          </c:marker>
          <c:val>
            <c:numRef>
              <c:f>CALCULATIONS!$KO$6:$LC$6</c:f>
              <c:numCache>
                <c:formatCode>0.0</c:formatCode>
                <c:ptCount val="15"/>
                <c:pt idx="0">
                  <c:v>1.7911853058493277</c:v>
                </c:pt>
                <c:pt idx="1">
                  <c:v>1.7186836674076666</c:v>
                </c:pt>
                <c:pt idx="2">
                  <c:v>1.8453738896697416</c:v>
                </c:pt>
                <c:pt idx="3">
                  <c:v>1.7220229820381925</c:v>
                </c:pt>
                <c:pt idx="4">
                  <c:v>2.0722113421567632</c:v>
                </c:pt>
                <c:pt idx="5">
                  <c:v>2.0951668585824854</c:v>
                </c:pt>
                <c:pt idx="6">
                  <c:v>2.255278653732411</c:v>
                </c:pt>
                <c:pt idx="7">
                  <c:v>2.2443973009542271</c:v>
                </c:pt>
                <c:pt idx="8">
                  <c:v>2.2141194212351629</c:v>
                </c:pt>
                <c:pt idx="9">
                  <c:v>2.2366266431432265</c:v>
                </c:pt>
                <c:pt idx="10">
                  <c:v>2.3218862758405252</c:v>
                </c:pt>
                <c:pt idx="11">
                  <c:v>2.2173195790648483</c:v>
                </c:pt>
                <c:pt idx="12">
                  <c:v>2.2341589131526653</c:v>
                </c:pt>
                <c:pt idx="13">
                  <c:v>2.4891067083299894</c:v>
                </c:pt>
                <c:pt idx="14">
                  <c:v>2.5252968522290931</c:v>
                </c:pt>
              </c:numCache>
            </c:numRef>
          </c:val>
        </c:ser>
        <c:marker val="1"/>
        <c:axId val="171855232"/>
        <c:axId val="171865216"/>
      </c:lineChart>
      <c:dateAx>
        <c:axId val="171855232"/>
        <c:scaling>
          <c:orientation val="minMax"/>
        </c:scaling>
        <c:axPos val="b"/>
        <c:numFmt formatCode="[$-409]mmm\-yy;@" sourceLinked="0"/>
        <c:tickLblPos val="nextTo"/>
        <c:crossAx val="171865216"/>
        <c:crosses val="autoZero"/>
        <c:auto val="1"/>
        <c:lblOffset val="100"/>
        <c:majorUnit val="6"/>
        <c:majorTimeUnit val="months"/>
      </c:dateAx>
      <c:valAx>
        <c:axId val="171865216"/>
        <c:scaling>
          <c:orientation val="minMax"/>
        </c:scaling>
        <c:axPos val="l"/>
        <c:majorGridlines>
          <c:spPr>
            <a:ln>
              <a:solidFill>
                <a:schemeClr val="bg1">
                  <a:lumMod val="50000"/>
                </a:schemeClr>
              </a:solidFill>
              <a:prstDash val="dash"/>
            </a:ln>
          </c:spPr>
        </c:majorGridlines>
        <c:numFmt formatCode="0.0" sourceLinked="1"/>
        <c:tickLblPos val="nextTo"/>
        <c:crossAx val="171855232"/>
        <c:crosses val="autoZero"/>
        <c:crossBetween val="between"/>
      </c:valAx>
      <c:spPr>
        <a:noFill/>
        <a:ln>
          <a:noFill/>
        </a:ln>
      </c:spPr>
    </c:plotArea>
    <c:legend>
      <c:legendPos val="b"/>
      <c:layout>
        <c:manualLayout>
          <c:xMode val="edge"/>
          <c:yMode val="edge"/>
          <c:x val="1.8161181940709661E-2"/>
          <c:y val="0.87243907844855306"/>
          <c:w val="0.9774531068143385"/>
          <c:h val="9.0786887109525691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8716614648520788"/>
        </c:manualLayout>
      </c:layout>
      <c:lineChart>
        <c:grouping val="standard"/>
        <c:ser>
          <c:idx val="2"/>
          <c:order val="0"/>
          <c:tx>
            <c:strRef>
              <c:f>CALCULATIONS!$B$7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CALCULATIONS!$KO$7:$LC$7</c:f>
              <c:numCache>
                <c:formatCode>0.0</c:formatCode>
                <c:ptCount val="15"/>
                <c:pt idx="0">
                  <c:v>0.85780357758060832</c:v>
                </c:pt>
                <c:pt idx="1">
                  <c:v>0.60699163906695064</c:v>
                </c:pt>
                <c:pt idx="2">
                  <c:v>0.73258608367589573</c:v>
                </c:pt>
                <c:pt idx="3">
                  <c:v>0.63774509214022523</c:v>
                </c:pt>
                <c:pt idx="4">
                  <c:v>0.74671139174513146</c:v>
                </c:pt>
                <c:pt idx="5">
                  <c:v>0.7780181563411469</c:v>
                </c:pt>
                <c:pt idx="6">
                  <c:v>0.98612301734551489</c:v>
                </c:pt>
                <c:pt idx="7">
                  <c:v>0.8625256609875307</c:v>
                </c:pt>
                <c:pt idx="8">
                  <c:v>0.96943755578816437</c:v>
                </c:pt>
                <c:pt idx="9">
                  <c:v>0.86104856905117111</c:v>
                </c:pt>
                <c:pt idx="10">
                  <c:v>1.1345061634014335</c:v>
                </c:pt>
                <c:pt idx="11">
                  <c:v>1.00696420705061</c:v>
                </c:pt>
                <c:pt idx="12">
                  <c:v>1.0680698852526918</c:v>
                </c:pt>
                <c:pt idx="13">
                  <c:v>1.0276122349618302</c:v>
                </c:pt>
                <c:pt idx="14">
                  <c:v>1.3109622071604587</c:v>
                </c:pt>
              </c:numCache>
            </c:numRef>
          </c:val>
        </c:ser>
        <c:ser>
          <c:idx val="3"/>
          <c:order val="1"/>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CALCULATIONS!$KO$8:$LC$8</c:f>
              <c:numCache>
                <c:formatCode>0.0</c:formatCode>
                <c:ptCount val="15"/>
                <c:pt idx="0">
                  <c:v>0.99140741026170842</c:v>
                </c:pt>
                <c:pt idx="1">
                  <c:v>1.0341053184541793</c:v>
                </c:pt>
                <c:pt idx="2">
                  <c:v>1.0764088799855431</c:v>
                </c:pt>
                <c:pt idx="3">
                  <c:v>1.0853792994832576</c:v>
                </c:pt>
                <c:pt idx="4">
                  <c:v>1.0923265666380659</c:v>
                </c:pt>
                <c:pt idx="5">
                  <c:v>1.1239733181245217</c:v>
                </c:pt>
                <c:pt idx="6">
                  <c:v>1.1552605915532697</c:v>
                </c:pt>
                <c:pt idx="7">
                  <c:v>1.1393152586964637</c:v>
                </c:pt>
                <c:pt idx="8">
                  <c:v>1.1247741511519036</c:v>
                </c:pt>
                <c:pt idx="9">
                  <c:v>1.2241778689794098</c:v>
                </c:pt>
                <c:pt idx="10">
                  <c:v>1.3331098133770074</c:v>
                </c:pt>
                <c:pt idx="11">
                  <c:v>1.3262016813517561</c:v>
                </c:pt>
                <c:pt idx="12">
                  <c:v>1.3233837800550459</c:v>
                </c:pt>
                <c:pt idx="13">
                  <c:v>1.4917664703296698</c:v>
                </c:pt>
                <c:pt idx="14">
                  <c:v>1.6771658832683087</c:v>
                </c:pt>
              </c:numCache>
            </c:numRef>
          </c:val>
        </c:ser>
        <c:ser>
          <c:idx val="4"/>
          <c:order val="2"/>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CALCULATIONS!$KO$9:$LC$9</c:f>
              <c:numCache>
                <c:formatCode>0.0</c:formatCode>
                <c:ptCount val="15"/>
                <c:pt idx="0">
                  <c:v>3.7134687581369503</c:v>
                </c:pt>
                <c:pt idx="1">
                  <c:v>3.4765583591296414</c:v>
                </c:pt>
                <c:pt idx="2">
                  <c:v>3.3277388955868732</c:v>
                </c:pt>
                <c:pt idx="3">
                  <c:v>3.4846313666092215</c:v>
                </c:pt>
                <c:pt idx="4">
                  <c:v>3.4195292883911859</c:v>
                </c:pt>
                <c:pt idx="5">
                  <c:v>3.3001143745250228</c:v>
                </c:pt>
                <c:pt idx="6">
                  <c:v>3.1558288628331455</c:v>
                </c:pt>
                <c:pt idx="7">
                  <c:v>4.1154037088334867</c:v>
                </c:pt>
                <c:pt idx="8">
                  <c:v>3.8624086839036851</c:v>
                </c:pt>
                <c:pt idx="9">
                  <c:v>3.707629677440206</c:v>
                </c:pt>
                <c:pt idx="10">
                  <c:v>3.7407046780406041</c:v>
                </c:pt>
                <c:pt idx="11">
                  <c:v>3.9844819217170233</c:v>
                </c:pt>
                <c:pt idx="12">
                  <c:v>3.8319373368954697</c:v>
                </c:pt>
                <c:pt idx="13">
                  <c:v>3.8183032363599292</c:v>
                </c:pt>
                <c:pt idx="14">
                  <c:v>4.3704719780651446</c:v>
                </c:pt>
              </c:numCache>
            </c:numRef>
          </c:val>
        </c:ser>
        <c:marker val="1"/>
        <c:axId val="171718144"/>
        <c:axId val="171720064"/>
      </c:lineChart>
      <c:dateAx>
        <c:axId val="171718144"/>
        <c:scaling>
          <c:orientation val="minMax"/>
        </c:scaling>
        <c:axPos val="b"/>
        <c:numFmt formatCode="[$-409]mmm\-yy;@" sourceLinked="0"/>
        <c:tickLblPos val="nextTo"/>
        <c:crossAx val="171720064"/>
        <c:crosses val="autoZero"/>
        <c:auto val="1"/>
        <c:lblOffset val="100"/>
        <c:majorUnit val="6"/>
        <c:majorTimeUnit val="months"/>
      </c:dateAx>
      <c:valAx>
        <c:axId val="171720064"/>
        <c:scaling>
          <c:orientation val="minMax"/>
        </c:scaling>
        <c:axPos val="l"/>
        <c:majorGridlines>
          <c:spPr>
            <a:ln>
              <a:solidFill>
                <a:schemeClr val="bg1">
                  <a:lumMod val="50000"/>
                </a:schemeClr>
              </a:solidFill>
              <a:prstDash val="dash"/>
            </a:ln>
          </c:spPr>
        </c:majorGridlines>
        <c:numFmt formatCode="0.0" sourceLinked="1"/>
        <c:tickLblPos val="nextTo"/>
        <c:crossAx val="171718144"/>
        <c:crosses val="autoZero"/>
        <c:crossBetween val="between"/>
      </c:valAx>
      <c:spPr>
        <a:noFill/>
        <a:ln>
          <a:noFill/>
        </a:ln>
      </c:spPr>
    </c:plotArea>
    <c:legend>
      <c:legendPos val="b"/>
      <c:layout>
        <c:manualLayout>
          <c:xMode val="edge"/>
          <c:yMode val="edge"/>
          <c:x val="2.0396128464584249E-2"/>
          <c:y val="0.92756918402044786"/>
          <c:w val="0.97350564594659084"/>
          <c:h val="6.6904052766757566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6269431991414505"/>
        </c:manualLayout>
      </c:layout>
      <c:lineChart>
        <c:grouping val="standard"/>
        <c:ser>
          <c:idx val="2"/>
          <c:order val="0"/>
          <c:tx>
            <c:strRef>
              <c:f>CALCULATIONS!$B$7</c:f>
              <c:strCache>
                <c:ptCount val="1"/>
                <c:pt idx="0">
                  <c:v>Belgacom</c:v>
                </c:pt>
              </c:strCache>
            </c:strRef>
          </c:tx>
          <c:spPr>
            <a:ln>
              <a:solidFill>
                <a:schemeClr val="tx1"/>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CALCULATIONS!$HK$7:$HY$7</c:f>
              <c:numCache>
                <c:formatCode>0%</c:formatCode>
                <c:ptCount val="15"/>
                <c:pt idx="0">
                  <c:v>0.20015860822181847</c:v>
                </c:pt>
                <c:pt idx="1">
                  <c:v>0.15637595741809657</c:v>
                </c:pt>
                <c:pt idx="2">
                  <c:v>0.19166470879994948</c:v>
                </c:pt>
                <c:pt idx="3">
                  <c:v>0.15708151620068025</c:v>
                </c:pt>
                <c:pt idx="4">
                  <c:v>0.18534933727772515</c:v>
                </c:pt>
                <c:pt idx="5">
                  <c:v>0.15107889961592022</c:v>
                </c:pt>
                <c:pt idx="6">
                  <c:v>0.19322451129092647</c:v>
                </c:pt>
                <c:pt idx="7">
                  <c:v>0.18375563588209659</c:v>
                </c:pt>
                <c:pt idx="8">
                  <c:v>0.19729974692710131</c:v>
                </c:pt>
                <c:pt idx="9">
                  <c:v>0.17027869672691731</c:v>
                </c:pt>
                <c:pt idx="10">
                  <c:v>0.21812604513918368</c:v>
                </c:pt>
                <c:pt idx="11">
                  <c:v>0.18869327657203672</c:v>
                </c:pt>
                <c:pt idx="12">
                  <c:v>0.21687899743461636</c:v>
                </c:pt>
                <c:pt idx="13">
                  <c:v>0.2203272196092004</c:v>
                </c:pt>
                <c:pt idx="14">
                  <c:v>0.28756363720088318</c:v>
                </c:pt>
              </c:numCache>
            </c:numRef>
          </c:val>
        </c:ser>
        <c:ser>
          <c:idx val="3"/>
          <c:order val="1"/>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CALCULATIONS!$HK$8:$HY$8</c:f>
              <c:numCache>
                <c:formatCode>0%</c:formatCode>
                <c:ptCount val="15"/>
                <c:pt idx="0">
                  <c:v>0.17782338342712184</c:v>
                </c:pt>
                <c:pt idx="1">
                  <c:v>0.19133327286441576</c:v>
                </c:pt>
                <c:pt idx="2">
                  <c:v>0.20566035155923143</c:v>
                </c:pt>
                <c:pt idx="3">
                  <c:v>0.19529400485537676</c:v>
                </c:pt>
                <c:pt idx="4">
                  <c:v>0.1857357403879977</c:v>
                </c:pt>
                <c:pt idx="5">
                  <c:v>0.18251603426575017</c:v>
                </c:pt>
                <c:pt idx="6">
                  <c:v>0.17951141684610042</c:v>
                </c:pt>
                <c:pt idx="7">
                  <c:v>0.19461391334390823</c:v>
                </c:pt>
                <c:pt idx="8">
                  <c:v>0.21334564271236822</c:v>
                </c:pt>
                <c:pt idx="9">
                  <c:v>0.25835323631844559</c:v>
                </c:pt>
                <c:pt idx="10">
                  <c:v>0.31687818834722925</c:v>
                </c:pt>
                <c:pt idx="11">
                  <c:v>0.3468208820258078</c:v>
                </c:pt>
                <c:pt idx="12">
                  <c:v>0.38444680732634928</c:v>
                </c:pt>
                <c:pt idx="13">
                  <c:v>0.41909511400886007</c:v>
                </c:pt>
                <c:pt idx="14">
                  <c:v>0.4561905930983241</c:v>
                </c:pt>
              </c:numCache>
            </c:numRef>
          </c:val>
        </c:ser>
        <c:ser>
          <c:idx val="4"/>
          <c:order val="2"/>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CALCULATIONS!$HK$9:$HY$9</c:f>
              <c:numCache>
                <c:formatCode>0%</c:formatCode>
                <c:ptCount val="15"/>
                <c:pt idx="0">
                  <c:v>0.50261617157260619</c:v>
                </c:pt>
                <c:pt idx="1">
                  <c:v>0.46283410666608638</c:v>
                </c:pt>
                <c:pt idx="2">
                  <c:v>0.4640683722500239</c:v>
                </c:pt>
                <c:pt idx="3">
                  <c:v>0.45222436615696288</c:v>
                </c:pt>
                <c:pt idx="4">
                  <c:v>0.40678261884422395</c:v>
                </c:pt>
                <c:pt idx="5">
                  <c:v>0.37178729606389038</c:v>
                </c:pt>
                <c:pt idx="6">
                  <c:v>0.36792052162676608</c:v>
                </c:pt>
                <c:pt idx="7">
                  <c:v>0.46544877279506219</c:v>
                </c:pt>
                <c:pt idx="8">
                  <c:v>0.44138119570523726</c:v>
                </c:pt>
                <c:pt idx="9">
                  <c:v>0.42583131816712549</c:v>
                </c:pt>
                <c:pt idx="10">
                  <c:v>0.40754165826630995</c:v>
                </c:pt>
                <c:pt idx="11">
                  <c:v>0.4363634349502537</c:v>
                </c:pt>
                <c:pt idx="12">
                  <c:v>0.42302270192736452</c:v>
                </c:pt>
                <c:pt idx="13">
                  <c:v>0.40471537584686967</c:v>
                </c:pt>
                <c:pt idx="14">
                  <c:v>0.4832654138496531</c:v>
                </c:pt>
              </c:numCache>
            </c:numRef>
          </c:val>
        </c:ser>
        <c:marker val="1"/>
        <c:axId val="171737088"/>
        <c:axId val="171739008"/>
      </c:lineChart>
      <c:dateAx>
        <c:axId val="171737088"/>
        <c:scaling>
          <c:orientation val="minMax"/>
        </c:scaling>
        <c:axPos val="b"/>
        <c:numFmt formatCode="[$-409]mmm\-yy;@" sourceLinked="0"/>
        <c:tickLblPos val="nextTo"/>
        <c:crossAx val="171739008"/>
        <c:crosses val="autoZero"/>
        <c:auto val="1"/>
        <c:lblOffset val="100"/>
        <c:majorUnit val="6"/>
        <c:majorTimeUnit val="months"/>
      </c:dateAx>
      <c:valAx>
        <c:axId val="171739008"/>
        <c:scaling>
          <c:orientation val="minMax"/>
        </c:scaling>
        <c:axPos val="l"/>
        <c:majorGridlines>
          <c:spPr>
            <a:ln>
              <a:solidFill>
                <a:schemeClr val="bg1">
                  <a:lumMod val="50000"/>
                </a:schemeClr>
              </a:solidFill>
              <a:prstDash val="dash"/>
            </a:ln>
          </c:spPr>
        </c:majorGridlines>
        <c:numFmt formatCode="0%" sourceLinked="1"/>
        <c:tickLblPos val="nextTo"/>
        <c:crossAx val="171737088"/>
        <c:crosses val="autoZero"/>
        <c:crossBetween val="between"/>
      </c:valAx>
      <c:spPr>
        <a:noFill/>
        <a:ln>
          <a:noFill/>
        </a:ln>
      </c:spPr>
    </c:plotArea>
    <c:legend>
      <c:legendPos val="b"/>
      <c:layout>
        <c:manualLayout>
          <c:xMode val="edge"/>
          <c:yMode val="edge"/>
          <c:x val="1.8161181940709661E-2"/>
          <c:y val="0.91844449317333965"/>
          <c:w val="0.97350564594659084"/>
          <c:h val="6.3055807249957976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353672571910852E-2"/>
          <c:y val="3.9763449225746449E-2"/>
          <c:w val="0.89765555553760068"/>
          <c:h val="0.86820429116133369"/>
        </c:manualLayout>
      </c:layout>
      <c:scatterChart>
        <c:scatterStyle val="lineMarker"/>
        <c:ser>
          <c:idx val="0"/>
          <c:order val="0"/>
          <c:spPr>
            <a:ln w="28575">
              <a:noFill/>
            </a:ln>
          </c:spPr>
          <c:marker>
            <c:symbol val="dash"/>
            <c:size val="35"/>
            <c:spPr>
              <a:solidFill>
                <a:schemeClr val="accent3">
                  <a:lumMod val="50000"/>
                  <a:alpha val="50000"/>
                </a:schemeClr>
              </a:solidFill>
              <a:ln>
                <a:noFill/>
              </a:ln>
            </c:spPr>
          </c:marker>
          <c:dPt>
            <c:idx val="0"/>
            <c:marker>
              <c:spPr>
                <a:solidFill>
                  <a:srgbClr val="FFC000">
                    <a:alpha val="50000"/>
                  </a:srgbClr>
                </a:solidFill>
                <a:ln>
                  <a:noFill/>
                </a:ln>
              </c:spPr>
            </c:marker>
          </c:dPt>
          <c:dPt>
            <c:idx val="6"/>
            <c:marker>
              <c:spPr>
                <a:solidFill>
                  <a:schemeClr val="bg2">
                    <a:lumMod val="50000"/>
                    <a:alpha val="50000"/>
                  </a:schemeClr>
                </a:solidFill>
                <a:ln>
                  <a:noFill/>
                </a:ln>
              </c:spPr>
            </c:marker>
          </c:dPt>
          <c:dPt>
            <c:idx val="10"/>
            <c:marker>
              <c:spPr>
                <a:solidFill>
                  <a:schemeClr val="bg2">
                    <a:lumMod val="50000"/>
                    <a:alpha val="50000"/>
                  </a:schemeClr>
                </a:solidFill>
                <a:ln>
                  <a:noFill/>
                </a:ln>
              </c:spPr>
            </c:marker>
          </c:dPt>
          <c:dPt>
            <c:idx val="11"/>
            <c:marker>
              <c:spPr>
                <a:solidFill>
                  <a:srgbClr val="558ED5">
                    <a:alpha val="50000"/>
                  </a:srgbClr>
                </a:solidFill>
                <a:ln>
                  <a:noFill/>
                </a:ln>
              </c:spPr>
            </c:marker>
          </c:dPt>
          <c:dPt>
            <c:idx val="12"/>
            <c:marker>
              <c:spPr>
                <a:solidFill>
                  <a:srgbClr val="558ED5">
                    <a:alpha val="50000"/>
                  </a:srgbClr>
                </a:solidFill>
                <a:ln>
                  <a:noFill/>
                </a:ln>
              </c:spPr>
            </c:marker>
          </c:dPt>
          <c:dPt>
            <c:idx val="13"/>
            <c:marker>
              <c:spPr>
                <a:solidFill>
                  <a:schemeClr val="bg2">
                    <a:lumMod val="50000"/>
                    <a:alpha val="50000"/>
                  </a:schemeClr>
                </a:solidFill>
                <a:ln>
                  <a:noFill/>
                </a:ln>
              </c:spPr>
            </c:marker>
          </c:dPt>
          <c:dPt>
            <c:idx val="14"/>
            <c:marker>
              <c:spPr>
                <a:solidFill>
                  <a:srgbClr val="C00000">
                    <a:alpha val="50000"/>
                  </a:srgbClr>
                </a:solidFill>
                <a:ln>
                  <a:noFill/>
                </a:ln>
              </c:spPr>
            </c:marker>
          </c:dPt>
          <c:dPt>
            <c:idx val="15"/>
            <c:marker>
              <c:spPr>
                <a:solidFill>
                  <a:schemeClr val="bg2">
                    <a:lumMod val="50000"/>
                    <a:alpha val="50000"/>
                  </a:schemeClr>
                </a:solidFill>
                <a:ln>
                  <a:noFill/>
                </a:ln>
              </c:spPr>
            </c:marker>
          </c:dPt>
          <c:dPt>
            <c:idx val="16"/>
            <c:marker>
              <c:spPr>
                <a:solidFill>
                  <a:schemeClr val="bg2">
                    <a:lumMod val="50000"/>
                    <a:alpha val="50000"/>
                  </a:schemeClr>
                </a:solidFill>
                <a:ln>
                  <a:noFill/>
                </a:ln>
              </c:spPr>
            </c:marker>
          </c:dPt>
          <c:dPt>
            <c:idx val="17"/>
            <c:marker>
              <c:spPr>
                <a:solidFill>
                  <a:srgbClr val="FFC000">
                    <a:alpha val="50000"/>
                  </a:srgbClr>
                </a:solidFill>
                <a:ln>
                  <a:noFill/>
                </a:ln>
              </c:spPr>
            </c:marker>
          </c:dPt>
          <c:dPt>
            <c:idx val="18"/>
            <c:marker>
              <c:spPr>
                <a:solidFill>
                  <a:srgbClr val="C00000">
                    <a:alpha val="50000"/>
                  </a:srgbClr>
                </a:solidFill>
                <a:ln>
                  <a:noFill/>
                </a:ln>
              </c:spPr>
            </c:marker>
          </c:dPt>
          <c:dPt>
            <c:idx val="19"/>
            <c:marker>
              <c:spPr>
                <a:solidFill>
                  <a:schemeClr val="bg2">
                    <a:lumMod val="50000"/>
                    <a:alpha val="50000"/>
                  </a:schemeClr>
                </a:solidFill>
                <a:ln>
                  <a:noFill/>
                </a:ln>
              </c:spPr>
            </c:marker>
          </c:dPt>
          <c:dLbls>
            <c:dLbl>
              <c:idx val="0"/>
              <c:layout>
                <c:manualLayout>
                  <c:x val="-8.6343296266202879E-2"/>
                  <c:y val="-3.3816930617648292E-3"/>
                </c:manualLayout>
              </c:layout>
              <c:tx>
                <c:strRef>
                  <c:f>'GEARINGS, E&amp;Enot'!$B$36</c:f>
                  <c:strCache>
                    <c:ptCount val="1"/>
                    <c:pt idx="0">
                      <c:v>TELENET</c:v>
                    </c:pt>
                  </c:strCache>
                </c:strRef>
              </c:tx>
              <c:spPr/>
              <c:txPr>
                <a:bodyPr/>
                <a:lstStyle/>
                <a:p>
                  <a:pPr>
                    <a:defRPr sz="1000" b="1" i="0" strike="noStrike">
                      <a:latin typeface="Arial"/>
                    </a:defRPr>
                  </a:pPr>
                  <a:endParaRPr lang="fr-FR"/>
                </a:p>
              </c:txPr>
              <c:dLblPos val="r"/>
              <c:showVal val="1"/>
            </c:dLbl>
            <c:dLbl>
              <c:idx val="1"/>
              <c:layout>
                <c:manualLayout>
                  <c:x val="-5.5764933565185922E-2"/>
                  <c:y val="-3.3814268076855416E-3"/>
                </c:manualLayout>
              </c:layout>
              <c:tx>
                <c:strRef>
                  <c:f>'GEARINGS, E&amp;Enot'!$B$37</c:f>
                  <c:strCache>
                    <c:ptCount val="1"/>
                    <c:pt idx="0">
                      <c:v>PT</c:v>
                    </c:pt>
                  </c:strCache>
                </c:strRef>
              </c:tx>
              <c:spPr/>
              <c:txPr>
                <a:bodyPr/>
                <a:lstStyle/>
                <a:p>
                  <a:pPr>
                    <a:defRPr sz="1000" b="0" i="0" strike="noStrike">
                      <a:latin typeface="Arial"/>
                    </a:defRPr>
                  </a:pPr>
                  <a:endParaRPr lang="fr-FR"/>
                </a:p>
              </c:txPr>
              <c:dLblPos val="r"/>
              <c:showVal val="1"/>
            </c:dLbl>
            <c:dLbl>
              <c:idx val="2"/>
              <c:layout>
                <c:manualLayout>
                  <c:x val="-5.7835829391795372E-2"/>
                  <c:y val="-3.3814268076855416E-3"/>
                </c:manualLayout>
              </c:layout>
              <c:tx>
                <c:strRef>
                  <c:f>'GEARINGS, E&amp;Enot'!$B$38</c:f>
                  <c:strCache>
                    <c:ptCount val="1"/>
                    <c:pt idx="0">
                      <c:v>TIT</c:v>
                    </c:pt>
                  </c:strCache>
                </c:strRef>
              </c:tx>
              <c:spPr/>
              <c:txPr>
                <a:bodyPr/>
                <a:lstStyle/>
                <a:p>
                  <a:pPr>
                    <a:defRPr sz="1000" b="1" i="0" strike="noStrike">
                      <a:latin typeface="Arial"/>
                    </a:defRPr>
                  </a:pPr>
                  <a:endParaRPr lang="fr-FR"/>
                </a:p>
              </c:txPr>
              <c:dLblPos val="r"/>
              <c:showVal val="1"/>
            </c:dLbl>
            <c:dLbl>
              <c:idx val="3"/>
              <c:layout>
                <c:manualLayout>
                  <c:x val="-6.1464634719802534E-2"/>
                  <c:y val="-3.3814268076855112E-3"/>
                </c:manualLayout>
              </c:layout>
              <c:tx>
                <c:strRef>
                  <c:f>'GEARINGS, E&amp;Enot'!$B$39</c:f>
                  <c:strCache>
                    <c:ptCount val="1"/>
                    <c:pt idx="0">
                      <c:v>TEF</c:v>
                    </c:pt>
                  </c:strCache>
                </c:strRef>
              </c:tx>
              <c:spPr/>
              <c:txPr>
                <a:bodyPr/>
                <a:lstStyle/>
                <a:p>
                  <a:pPr>
                    <a:defRPr sz="1000" b="0" i="0" strike="noStrike">
                      <a:latin typeface="Arial"/>
                    </a:defRPr>
                  </a:pPr>
                  <a:endParaRPr lang="fr-FR"/>
                </a:p>
              </c:txPr>
              <c:dLblPos val="r"/>
              <c:showVal val="1"/>
            </c:dLbl>
            <c:dLbl>
              <c:idx val="4"/>
              <c:layout>
                <c:manualLayout>
                  <c:x val="-5.6278066793698747E-2"/>
                  <c:y val="-3.3814268076855416E-3"/>
                </c:manualLayout>
              </c:layout>
              <c:tx>
                <c:strRef>
                  <c:f>'GEARINGS, E&amp;Enot'!$B$40</c:f>
                  <c:strCache>
                    <c:ptCount val="1"/>
                    <c:pt idx="0">
                      <c:v>DT</c:v>
                    </c:pt>
                  </c:strCache>
                </c:strRef>
              </c:tx>
              <c:spPr/>
              <c:txPr>
                <a:bodyPr/>
                <a:lstStyle/>
                <a:p>
                  <a:pPr>
                    <a:defRPr sz="1000" b="0" i="0" strike="noStrike">
                      <a:latin typeface="Arial"/>
                    </a:defRPr>
                  </a:pPr>
                  <a:endParaRPr lang="fr-FR"/>
                </a:p>
              </c:txPr>
              <c:dLblPos val="r"/>
              <c:showVal val="1"/>
            </c:dLbl>
            <c:dLbl>
              <c:idx val="5"/>
              <c:layout>
                <c:manualLayout>
                  <c:x val="-6.3022397317898424E-2"/>
                  <c:y val="-3.3816930617648292E-3"/>
                </c:manualLayout>
              </c:layout>
              <c:tx>
                <c:strRef>
                  <c:f>'GEARINGS, E&amp;Enot'!$B$41</c:f>
                  <c:strCache>
                    <c:ptCount val="1"/>
                    <c:pt idx="0">
                      <c:v>KPN</c:v>
                    </c:pt>
                  </c:strCache>
                </c:strRef>
              </c:tx>
              <c:spPr/>
              <c:txPr>
                <a:bodyPr/>
                <a:lstStyle/>
                <a:p>
                  <a:pPr>
                    <a:defRPr sz="1000" b="0" i="0" strike="noStrike">
                      <a:latin typeface="Arial"/>
                    </a:defRPr>
                  </a:pPr>
                  <a:endParaRPr lang="fr-FR"/>
                </a:p>
              </c:txPr>
              <c:dLblPos val="r"/>
              <c:showVal val="1"/>
            </c:dLbl>
            <c:dLbl>
              <c:idx val="6"/>
              <c:layout>
                <c:manualLayout>
                  <c:x val="-6.3013142409969206E-2"/>
                  <c:y val="-3.3814268076855416E-3"/>
                </c:manualLayout>
              </c:layout>
              <c:tx>
                <c:strRef>
                  <c:f>'GEARINGS, E&amp;Enot'!$B$42</c:f>
                  <c:strCache>
                    <c:ptCount val="1"/>
                    <c:pt idx="0">
                      <c:v>TDC</c:v>
                    </c:pt>
                  </c:strCache>
                </c:strRef>
              </c:tx>
              <c:spPr/>
              <c:txPr>
                <a:bodyPr/>
                <a:lstStyle/>
                <a:p>
                  <a:pPr>
                    <a:defRPr sz="1000" b="1" i="0" strike="noStrike">
                      <a:latin typeface="Arial"/>
                    </a:defRPr>
                  </a:pPr>
                  <a:endParaRPr lang="fr-FR"/>
                </a:p>
              </c:txPr>
              <c:dLblPos val="r"/>
              <c:showVal val="1"/>
            </c:dLbl>
            <c:dLbl>
              <c:idx val="7"/>
              <c:layout>
                <c:manualLayout>
                  <c:x val="-6.4057918682853279E-2"/>
                  <c:y val="-3.3816930617648292E-3"/>
                </c:manualLayout>
              </c:layout>
              <c:tx>
                <c:strRef>
                  <c:f>'GEARINGS, E&amp;Enot'!$B$43</c:f>
                  <c:strCache>
                    <c:ptCount val="1"/>
                    <c:pt idx="0">
                      <c:v>ORA</c:v>
                    </c:pt>
                  </c:strCache>
                </c:strRef>
              </c:tx>
              <c:spPr/>
              <c:txPr>
                <a:bodyPr/>
                <a:lstStyle/>
                <a:p>
                  <a:pPr>
                    <a:defRPr sz="1000" b="0" i="0" strike="noStrike">
                      <a:latin typeface="Arial"/>
                    </a:defRPr>
                  </a:pPr>
                  <a:endParaRPr lang="fr-FR"/>
                </a:p>
              </c:txPr>
              <c:dLblPos val="r"/>
              <c:showVal val="1"/>
            </c:dLbl>
            <c:dLbl>
              <c:idx val="8"/>
              <c:layout>
                <c:manualLayout>
                  <c:x val="-6.1987022856244134E-2"/>
                  <c:y val="-3.3814268076855416E-3"/>
                </c:manualLayout>
              </c:layout>
              <c:tx>
                <c:strRef>
                  <c:f>'GEARINGS, E&amp;Enot'!$B$44</c:f>
                  <c:strCache>
                    <c:ptCount val="1"/>
                    <c:pt idx="0">
                      <c:v>TKA</c:v>
                    </c:pt>
                  </c:strCache>
                </c:strRef>
              </c:tx>
              <c:spPr/>
              <c:txPr>
                <a:bodyPr/>
                <a:lstStyle/>
                <a:p>
                  <a:pPr>
                    <a:defRPr sz="1000" b="1" i="0" strike="noStrike">
                      <a:latin typeface="Arial"/>
                    </a:defRPr>
                  </a:pPr>
                  <a:endParaRPr lang="fr-FR"/>
                </a:p>
              </c:txPr>
              <c:dLblPos val="r"/>
              <c:showVal val="1"/>
            </c:dLbl>
            <c:dLbl>
              <c:idx val="9"/>
              <c:layout>
                <c:manualLayout>
                  <c:x val="-6.3022397317898424E-2"/>
                  <c:y val="-3.3814268076855416E-3"/>
                </c:manualLayout>
              </c:layout>
              <c:tx>
                <c:strRef>
                  <c:f>'GEARINGS, E&amp;Enot'!$B$45</c:f>
                  <c:strCache>
                    <c:ptCount val="1"/>
                    <c:pt idx="0">
                      <c:v>OTE</c:v>
                    </c:pt>
                  </c:strCache>
                </c:strRef>
              </c:tx>
              <c:spPr/>
              <c:txPr>
                <a:bodyPr/>
                <a:lstStyle/>
                <a:p>
                  <a:pPr>
                    <a:defRPr sz="1000" b="0" i="0" strike="noStrike">
                      <a:latin typeface="Arial"/>
                    </a:defRPr>
                  </a:pPr>
                  <a:endParaRPr lang="fr-FR"/>
                </a:p>
              </c:txPr>
              <c:dLblPos val="r"/>
              <c:showVal val="1"/>
            </c:dLbl>
            <c:dLbl>
              <c:idx val="10"/>
              <c:layout>
                <c:manualLayout>
                  <c:x val="-6.4570905008065727E-2"/>
                  <c:y val="-3.3814268076855416E-3"/>
                </c:manualLayout>
              </c:layout>
              <c:tx>
                <c:strRef>
                  <c:f>'GEARINGS, E&amp;Enot'!$B$46</c:f>
                  <c:strCache>
                    <c:ptCount val="1"/>
                    <c:pt idx="0">
                      <c:v>SCM</c:v>
                    </c:pt>
                  </c:strCache>
                </c:strRef>
              </c:tx>
              <c:spPr/>
              <c:txPr>
                <a:bodyPr/>
                <a:lstStyle/>
                <a:p>
                  <a:pPr>
                    <a:defRPr sz="1000" b="1" i="0" strike="noStrike">
                      <a:latin typeface="Arial"/>
                    </a:defRPr>
                  </a:pPr>
                  <a:endParaRPr lang="fr-FR"/>
                </a:p>
              </c:txPr>
              <c:dLblPos val="r"/>
              <c:showVal val="1"/>
            </c:dLbl>
            <c:dLbl>
              <c:idx val="11"/>
              <c:layout>
                <c:manualLayout>
                  <c:x val="-5.5764933565185922E-2"/>
                  <c:y val="-3.3814268076855416E-3"/>
                </c:manualLayout>
              </c:layout>
              <c:tx>
                <c:strRef>
                  <c:f>'GEARINGS, E&amp;Enot'!$B$47</c:f>
                  <c:strCache>
                    <c:ptCount val="1"/>
                    <c:pt idx="0">
                      <c:v>BT</c:v>
                    </c:pt>
                  </c:strCache>
                </c:strRef>
              </c:tx>
              <c:spPr/>
              <c:txPr>
                <a:bodyPr/>
                <a:lstStyle/>
                <a:p>
                  <a:pPr>
                    <a:defRPr sz="1000" b="0" i="0" strike="noStrike">
                      <a:latin typeface="Arial"/>
                    </a:defRPr>
                  </a:pPr>
                  <a:endParaRPr lang="fr-FR"/>
                </a:p>
              </c:txPr>
              <c:dLblPos val="r"/>
              <c:showVal val="1"/>
            </c:dLbl>
            <c:dLbl>
              <c:idx val="12"/>
              <c:layout>
                <c:manualLayout>
                  <c:x val="-6.4057918682853279E-2"/>
                  <c:y val="-3.3814268076855416E-3"/>
                </c:manualLayout>
              </c:layout>
              <c:tx>
                <c:strRef>
                  <c:f>'GEARINGS, E&amp;Enot'!$B$48</c:f>
                  <c:strCache>
                    <c:ptCount val="1"/>
                    <c:pt idx="0">
                      <c:v>VOD</c:v>
                    </c:pt>
                  </c:strCache>
                </c:strRef>
              </c:tx>
              <c:spPr/>
              <c:txPr>
                <a:bodyPr/>
                <a:lstStyle/>
                <a:p>
                  <a:pPr>
                    <a:defRPr sz="1000" b="0" i="0" strike="noStrike">
                      <a:latin typeface="Arial"/>
                    </a:defRPr>
                  </a:pPr>
                  <a:endParaRPr lang="fr-FR"/>
                </a:p>
              </c:txPr>
              <c:dLblPos val="r"/>
              <c:showVal val="1"/>
            </c:dLbl>
            <c:dLbl>
              <c:idx val="13"/>
              <c:layout>
                <c:manualLayout>
                  <c:x val="-6.7686577107559223E-2"/>
                  <c:y val="-3.3816930617648292E-3"/>
                </c:manualLayout>
              </c:layout>
              <c:tx>
                <c:strRef>
                  <c:f>'GEARINGS, E&amp;Enot'!$B$49</c:f>
                  <c:strCache>
                    <c:ptCount val="1"/>
                    <c:pt idx="0">
                      <c:v>TLSN</c:v>
                    </c:pt>
                  </c:strCache>
                </c:strRef>
              </c:tx>
              <c:spPr/>
              <c:txPr>
                <a:bodyPr/>
                <a:lstStyle/>
                <a:p>
                  <a:pPr>
                    <a:defRPr sz="1000" b="0" i="0" strike="noStrike">
                      <a:latin typeface="Arial"/>
                    </a:defRPr>
                  </a:pPr>
                  <a:endParaRPr lang="fr-FR"/>
                </a:p>
              </c:txPr>
              <c:dLblPos val="r"/>
              <c:showVal val="1"/>
            </c:dLbl>
            <c:dLbl>
              <c:idx val="14"/>
              <c:layout>
                <c:manualLayout>
                  <c:x val="-6.3535530546411423E-2"/>
                  <c:y val="-3.38142680768548E-3"/>
                </c:manualLayout>
              </c:layout>
              <c:tx>
                <c:strRef>
                  <c:f>'GEARINGS, E&amp;Enot'!$B$50</c:f>
                  <c:strCache>
                    <c:ptCount val="1"/>
                    <c:pt idx="0">
                      <c:v>SNC</c:v>
                    </c:pt>
                  </c:strCache>
                </c:strRef>
              </c:tx>
              <c:spPr/>
              <c:txPr>
                <a:bodyPr/>
                <a:lstStyle/>
                <a:p>
                  <a:pPr>
                    <a:defRPr sz="1000" b="0" i="0" strike="noStrike">
                      <a:latin typeface="Arial"/>
                    </a:defRPr>
                  </a:pPr>
                  <a:endParaRPr lang="fr-FR"/>
                </a:p>
              </c:txPr>
              <c:dLblPos val="r"/>
              <c:showVal val="1"/>
            </c:dLbl>
            <c:dLbl>
              <c:idx val="15"/>
              <c:layout>
                <c:manualLayout>
                  <c:x val="-5.7845231203024913E-2"/>
                  <c:y val="-3.38142680768548E-3"/>
                </c:manualLayout>
              </c:layout>
              <c:tx>
                <c:strRef>
                  <c:f>'GEARINGS, E&amp;Enot'!$B$51</c:f>
                  <c:strCache>
                    <c:ptCount val="1"/>
                    <c:pt idx="0">
                      <c:v>ELI</c:v>
                    </c:pt>
                  </c:strCache>
                </c:strRef>
              </c:tx>
              <c:spPr/>
              <c:txPr>
                <a:bodyPr/>
                <a:lstStyle/>
                <a:p>
                  <a:pPr>
                    <a:defRPr sz="1000" b="0" i="0" strike="noStrike">
                      <a:latin typeface="Arial"/>
                    </a:defRPr>
                  </a:pPr>
                  <a:endParaRPr lang="fr-FR"/>
                </a:p>
              </c:txPr>
              <c:dLblPos val="r"/>
              <c:showVal val="1"/>
            </c:dLbl>
            <c:dLbl>
              <c:idx val="16"/>
              <c:layout>
                <c:manualLayout>
                  <c:x val="-6.6138069417391795E-2"/>
                  <c:y val="-3.3816930617648292E-3"/>
                </c:manualLayout>
              </c:layout>
              <c:tx>
                <c:strRef>
                  <c:f>'GEARINGS, E&amp;Enot'!$B$52</c:f>
                  <c:strCache>
                    <c:ptCount val="1"/>
                    <c:pt idx="0">
                      <c:v>TEL2</c:v>
                    </c:pt>
                  </c:strCache>
                </c:strRef>
              </c:tx>
              <c:spPr/>
              <c:txPr>
                <a:bodyPr/>
                <a:lstStyle/>
                <a:p>
                  <a:pPr>
                    <a:defRPr sz="1000" b="0" i="0" strike="noStrike">
                      <a:latin typeface="Arial"/>
                    </a:defRPr>
                  </a:pPr>
                  <a:endParaRPr lang="fr-FR"/>
                </a:p>
              </c:txPr>
              <c:dLblPos val="r"/>
              <c:showVal val="1"/>
            </c:dLbl>
            <c:dLbl>
              <c:idx val="17"/>
              <c:layout>
                <c:manualLayout>
                  <c:x val="-5.8358217528237534E-2"/>
                  <c:y val="-3.3816930617648292E-3"/>
                </c:manualLayout>
              </c:layout>
              <c:tx>
                <c:strRef>
                  <c:f>'GEARINGS, E&amp;Enot'!$B$53</c:f>
                  <c:strCache>
                    <c:ptCount val="1"/>
                    <c:pt idx="0">
                      <c:v>ILD</c:v>
                    </c:pt>
                  </c:strCache>
                </c:strRef>
              </c:tx>
              <c:spPr/>
              <c:txPr>
                <a:bodyPr/>
                <a:lstStyle/>
                <a:p>
                  <a:pPr>
                    <a:defRPr sz="1000" b="0" i="0" strike="noStrike">
                      <a:latin typeface="Arial"/>
                    </a:defRPr>
                  </a:pPr>
                  <a:endParaRPr lang="fr-FR"/>
                </a:p>
              </c:txPr>
              <c:dLblPos val="r"/>
              <c:showVal val="1"/>
            </c:dLbl>
            <c:dLbl>
              <c:idx val="18"/>
              <c:layout>
                <c:manualLayout>
                  <c:x val="-3.2497213611648652E-2"/>
                  <c:y val="-3.3814268076855416E-3"/>
                </c:manualLayout>
              </c:layout>
              <c:tx>
                <c:strRef>
                  <c:f>'GEARINGS, E&amp;Enot'!$B$54</c:f>
                  <c:strCache>
                    <c:ptCount val="1"/>
                    <c:pt idx="0">
                      <c:v>MOBISTAR</c:v>
                    </c:pt>
                  </c:strCache>
                </c:strRef>
              </c:tx>
              <c:spPr/>
              <c:txPr>
                <a:bodyPr/>
                <a:lstStyle/>
                <a:p>
                  <a:pPr>
                    <a:defRPr sz="1000" b="1" i="0" strike="noStrike">
                      <a:latin typeface="Arial"/>
                    </a:defRPr>
                  </a:pPr>
                  <a:endParaRPr lang="fr-FR"/>
                </a:p>
              </c:txPr>
              <c:dLblPos val="r"/>
              <c:showVal val="1"/>
            </c:dLbl>
            <c:dLbl>
              <c:idx val="19"/>
              <c:layout>
                <c:manualLayout>
                  <c:x val="-6.0951501491288862E-2"/>
                  <c:y val="-3.3814268076855416E-3"/>
                </c:manualLayout>
              </c:layout>
              <c:tx>
                <c:strRef>
                  <c:f>'GEARINGS, E&amp;Enot'!$B$55</c:f>
                  <c:strCache>
                    <c:ptCount val="1"/>
                    <c:pt idx="0">
                      <c:v>TEL</c:v>
                    </c:pt>
                  </c:strCache>
                </c:strRef>
              </c:tx>
              <c:spPr/>
              <c:txPr>
                <a:bodyPr/>
                <a:lstStyle/>
                <a:p>
                  <a:pPr>
                    <a:defRPr sz="1000" b="0" i="0" strike="noStrike">
                      <a:latin typeface="Arial"/>
                    </a:defRPr>
                  </a:pPr>
                  <a:endParaRPr lang="fr-FR"/>
                </a:p>
              </c:txPr>
              <c:dLblPos val="r"/>
              <c:showVal val="1"/>
            </c:dLbl>
            <c:dLbl>
              <c:idx val="20"/>
              <c:layout>
                <c:manualLayout>
                  <c:x val="-9.8255684900647206E-2"/>
                  <c:y val="-3.3814268076855416E-3"/>
                </c:manualLayout>
              </c:layout>
              <c:tx>
                <c:strRef>
                  <c:f>'GEARINGS, E&amp;Enot'!$B$56</c:f>
                  <c:strCache>
                    <c:ptCount val="1"/>
                    <c:pt idx="0">
                      <c:v>BELGACOM</c:v>
                    </c:pt>
                  </c:strCache>
                </c:strRef>
              </c:tx>
              <c:spPr/>
              <c:txPr>
                <a:bodyPr/>
                <a:lstStyle/>
                <a:p>
                  <a:pPr>
                    <a:defRPr sz="1000" b="1" i="0" strike="noStrike">
                      <a:latin typeface="Arial"/>
                    </a:defRPr>
                  </a:pPr>
                  <a:endParaRPr lang="fr-FR"/>
                </a:p>
              </c:txPr>
              <c:dLblPos val="r"/>
              <c:showVal val="1"/>
            </c:dLbl>
            <c:dLbl>
              <c:idx val="21"/>
              <c:layout>
                <c:manualLayout>
                  <c:x val="-6.1987022856244134E-2"/>
                  <c:y val="-3.3814268076855416E-3"/>
                </c:manualLayout>
              </c:layout>
              <c:tx>
                <c:strRef>
                  <c:f>'GEARINGS, E&amp;Enot'!$B$57</c:f>
                  <c:strCache>
                    <c:ptCount val="1"/>
                    <c:pt idx="0">
                      <c:v>TPS</c:v>
                    </c:pt>
                  </c:strCache>
                </c:strRef>
              </c:tx>
              <c:spPr/>
              <c:txPr>
                <a:bodyPr/>
                <a:lstStyle/>
                <a:p>
                  <a:pPr>
                    <a:defRPr sz="1000" b="1" i="0" strike="noStrike">
                      <a:latin typeface="Arial"/>
                    </a:defRPr>
                  </a:pPr>
                  <a:endParaRPr lang="fr-FR"/>
                </a:p>
              </c:txPr>
              <c:dLblPos val="r"/>
              <c:showVal val="1"/>
            </c:dLbl>
            <c:showVal val="1"/>
          </c:dLbls>
          <c:xVal>
            <c:numRef>
              <c:f>'GEARINGS, E&amp;Enot'!$E$36:$E$57</c:f>
              <c:numCache>
                <c:formatCode>0%</c:formatCode>
                <c:ptCount val="22"/>
                <c:pt idx="0">
                  <c:v>0.15462918080465343</c:v>
                </c:pt>
                <c:pt idx="1">
                  <c:v>0.49497857034449522</c:v>
                </c:pt>
                <c:pt idx="2">
                  <c:v>0.3626280111015483</c:v>
                </c:pt>
                <c:pt idx="3">
                  <c:v>0.66127040038880336</c:v>
                </c:pt>
                <c:pt idx="4">
                  <c:v>0.62983042679437373</c:v>
                </c:pt>
                <c:pt idx="5">
                  <c:v>0.6264024463118032</c:v>
                </c:pt>
                <c:pt idx="6">
                  <c:v>0.28165979767703259</c:v>
                </c:pt>
                <c:pt idx="7">
                  <c:v>0.62738172243152124</c:v>
                </c:pt>
                <c:pt idx="8">
                  <c:v>0.6207941242005639</c:v>
                </c:pt>
                <c:pt idx="9">
                  <c:v>0.53987730061349704</c:v>
                </c:pt>
                <c:pt idx="10">
                  <c:v>0.30985103942866765</c:v>
                </c:pt>
                <c:pt idx="11">
                  <c:v>0</c:v>
                </c:pt>
                <c:pt idx="12">
                  <c:v>0.89481420237931208</c:v>
                </c:pt>
                <c:pt idx="13">
                  <c:v>0.7167630057803468</c:v>
                </c:pt>
                <c:pt idx="14">
                  <c:v>0.90138346931536006</c:v>
                </c:pt>
                <c:pt idx="15">
                  <c:v>0.64439999999999997</c:v>
                </c:pt>
                <c:pt idx="16">
                  <c:v>0.63639387890884902</c:v>
                </c:pt>
                <c:pt idx="17">
                  <c:v>0.34976819018989347</c:v>
                </c:pt>
                <c:pt idx="18">
                  <c:v>0.97265268915223335</c:v>
                </c:pt>
                <c:pt idx="19">
                  <c:v>0.74956908795771016</c:v>
                </c:pt>
                <c:pt idx="20">
                  <c:v>0.36037883142173305</c:v>
                </c:pt>
                <c:pt idx="21">
                  <c:v>0.44946685046944856</c:v>
                </c:pt>
              </c:numCache>
            </c:numRef>
          </c:xVal>
          <c:yVal>
            <c:numRef>
              <c:f>'GEARINGS, E&amp;Enot'!$K$36:$K$57</c:f>
              <c:numCache>
                <c:formatCode>0%</c:formatCode>
                <c:ptCount val="22"/>
                <c:pt idx="0">
                  <c:v>0.4832654138496531</c:v>
                </c:pt>
                <c:pt idx="1">
                  <c:v>0.7506672643344422</c:v>
                </c:pt>
                <c:pt idx="2">
                  <c:v>0.75672107111582532</c:v>
                </c:pt>
                <c:pt idx="3">
                  <c:v>0.57929804018594233</c:v>
                </c:pt>
                <c:pt idx="4">
                  <c:v>0.59074959904524027</c:v>
                </c:pt>
                <c:pt idx="5">
                  <c:v>0.63323863537070213</c:v>
                </c:pt>
                <c:pt idx="6">
                  <c:v>0.43916945384982109</c:v>
                </c:pt>
                <c:pt idx="7">
                  <c:v>0.65530118542007598</c:v>
                </c:pt>
                <c:pt idx="8">
                  <c:v>0.62319136029119382</c:v>
                </c:pt>
                <c:pt idx="9">
                  <c:v>0.44527495080222473</c:v>
                </c:pt>
                <c:pt idx="10">
                  <c:v>0.30362227391248225</c:v>
                </c:pt>
                <c:pt idx="11">
                  <c:v>0.37414035756341019</c:v>
                </c:pt>
                <c:pt idx="12">
                  <c:v>0.2718321660431175</c:v>
                </c:pt>
                <c:pt idx="13">
                  <c:v>0.28287599661626001</c:v>
                </c:pt>
                <c:pt idx="14">
                  <c:v>0.46507375880431212</c:v>
                </c:pt>
                <c:pt idx="15">
                  <c:v>0.32061814749302248</c:v>
                </c:pt>
                <c:pt idx="16">
                  <c:v>0.28147528322389997</c:v>
                </c:pt>
                <c:pt idx="17">
                  <c:v>0.12849893093161849</c:v>
                </c:pt>
                <c:pt idx="18">
                  <c:v>0.4561905930983241</c:v>
                </c:pt>
                <c:pt idx="19">
                  <c:v>0.198117589718218</c:v>
                </c:pt>
                <c:pt idx="20">
                  <c:v>0.28756363720088318</c:v>
                </c:pt>
                <c:pt idx="21">
                  <c:v>0.34197601038246805</c:v>
                </c:pt>
              </c:numCache>
            </c:numRef>
          </c:yVal>
        </c:ser>
        <c:axId val="172003328"/>
        <c:axId val="172004864"/>
      </c:scatterChart>
      <c:valAx>
        <c:axId val="172003328"/>
        <c:scaling>
          <c:orientation val="minMax"/>
          <c:max val="1"/>
        </c:scaling>
        <c:axPos val="b"/>
        <c:numFmt formatCode="0%" sourceLinked="1"/>
        <c:tickLblPos val="nextTo"/>
        <c:txPr>
          <a:bodyPr/>
          <a:lstStyle/>
          <a:p>
            <a:pPr>
              <a:defRPr sz="1200" baseline="0">
                <a:latin typeface="Arial" pitchFamily="34" charset="0"/>
              </a:defRPr>
            </a:pPr>
            <a:endParaRPr lang="fr-FR"/>
          </a:p>
        </c:txPr>
        <c:crossAx val="172004864"/>
        <c:crosses val="autoZero"/>
        <c:crossBetween val="midCat"/>
        <c:majorUnit val="0.1"/>
      </c:valAx>
      <c:valAx>
        <c:axId val="172004864"/>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72003328"/>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178007544818671"/>
          <c:h val="0.83846880162343962"/>
        </c:manualLayout>
      </c:layout>
      <c:lineChart>
        <c:grouping val="standard"/>
        <c:ser>
          <c:idx val="2"/>
          <c:order val="0"/>
          <c:tx>
            <c:strRef>
              <c:f>CALCULATIONS!$B$7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CALCULATIONS!$OP$7:$PD$7</c:f>
              <c:numCache>
                <c:formatCode>0.0</c:formatCode>
                <c:ptCount val="15"/>
                <c:pt idx="0">
                  <c:v>3.2477845879556257</c:v>
                </c:pt>
                <c:pt idx="1">
                  <c:v>2.7319808316130936</c:v>
                </c:pt>
                <c:pt idx="2">
                  <c:v>2.8571949673202619</c:v>
                </c:pt>
                <c:pt idx="3">
                  <c:v>2.9596587389041931</c:v>
                </c:pt>
                <c:pt idx="4">
                  <c:v>2.4168915020945541</c:v>
                </c:pt>
                <c:pt idx="5">
                  <c:v>2.483861786319955</c:v>
                </c:pt>
                <c:pt idx="6">
                  <c:v>2.6193210144927535</c:v>
                </c:pt>
                <c:pt idx="7">
                  <c:v>2.3133936877076411</c:v>
                </c:pt>
                <c:pt idx="8">
                  <c:v>2.3318617201695941</c:v>
                </c:pt>
                <c:pt idx="9">
                  <c:v>2.3212222222222221</c:v>
                </c:pt>
                <c:pt idx="10">
                  <c:v>2.4111672172808132</c:v>
                </c:pt>
                <c:pt idx="11">
                  <c:v>2.4005681818181817</c:v>
                </c:pt>
                <c:pt idx="12">
                  <c:v>2.190372668112798</c:v>
                </c:pt>
                <c:pt idx="13">
                  <c:v>2.0016824427480917</c:v>
                </c:pt>
                <c:pt idx="14">
                  <c:v>2.0327505931612002</c:v>
                </c:pt>
              </c:numCache>
            </c:numRef>
          </c:val>
        </c:ser>
        <c:ser>
          <c:idx val="3"/>
          <c:order val="1"/>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CALCULATIONS!$OP$8:$PD$8</c:f>
              <c:numCache>
                <c:formatCode>0.0</c:formatCode>
                <c:ptCount val="15"/>
                <c:pt idx="0">
                  <c:v>6.5204499724381675</c:v>
                </c:pt>
                <c:pt idx="1">
                  <c:v>7.4147701150201071</c:v>
                </c:pt>
                <c:pt idx="2">
                  <c:v>8.7289049999999992</c:v>
                </c:pt>
                <c:pt idx="3">
                  <c:v>7.5631805188943737</c:v>
                </c:pt>
                <c:pt idx="4">
                  <c:v>6.7520912864995237</c:v>
                </c:pt>
                <c:pt idx="5">
                  <c:v>8.4052003831364441</c:v>
                </c:pt>
                <c:pt idx="6">
                  <c:v>10.869830567081605</c:v>
                </c:pt>
                <c:pt idx="7">
                  <c:v>8.1583241116439194</c:v>
                </c:pt>
                <c:pt idx="8">
                  <c:v>6.1679093945762649</c:v>
                </c:pt>
                <c:pt idx="9">
                  <c:v>6.150145074449294</c:v>
                </c:pt>
                <c:pt idx="10">
                  <c:v>6.1237350943396223</c:v>
                </c:pt>
                <c:pt idx="11">
                  <c:v>4.4741068948408715</c:v>
                </c:pt>
                <c:pt idx="12">
                  <c:v>3.2523274240565234</c:v>
                </c:pt>
                <c:pt idx="13">
                  <c:v>3.1943349290644143</c:v>
                </c:pt>
                <c:pt idx="14">
                  <c:v>3.126768479322696</c:v>
                </c:pt>
              </c:numCache>
            </c:numRef>
          </c:val>
        </c:ser>
        <c:ser>
          <c:idx val="4"/>
          <c:order val="2"/>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CALCULATIONS!$OP$9:$PD$9</c:f>
              <c:numCache>
                <c:formatCode>0.0</c:formatCode>
                <c:ptCount val="15"/>
                <c:pt idx="0">
                  <c:v>6.1862876885817757</c:v>
                </c:pt>
                <c:pt idx="1">
                  <c:v>6.6376591392136035</c:v>
                </c:pt>
                <c:pt idx="2">
                  <c:v>17.496889348440696</c:v>
                </c:pt>
                <c:pt idx="3">
                  <c:v>16.7433219927096</c:v>
                </c:pt>
                <c:pt idx="4">
                  <c:v>15.240484292230724</c:v>
                </c:pt>
                <c:pt idx="5">
                  <c:v>13.551976078289236</c:v>
                </c:pt>
                <c:pt idx="6">
                  <c:v>-17.612323809523811</c:v>
                </c:pt>
                <c:pt idx="7">
                  <c:v>-12.104904263565892</c:v>
                </c:pt>
                <c:pt idx="8">
                  <c:v>-13.485765792622253</c:v>
                </c:pt>
                <c:pt idx="9">
                  <c:v>-12.599129285714286</c:v>
                </c:pt>
                <c:pt idx="10">
                  <c:v>-5.2900028076692562</c:v>
                </c:pt>
                <c:pt idx="11">
                  <c:v>-5.472786496603355</c:v>
                </c:pt>
                <c:pt idx="12">
                  <c:v>-5.6607725113971119</c:v>
                </c:pt>
                <c:pt idx="13">
                  <c:v>-6.5343327375633002</c:v>
                </c:pt>
                <c:pt idx="14">
                  <c:v>-2.7147098893731143</c:v>
                </c:pt>
              </c:numCache>
            </c:numRef>
          </c:val>
        </c:ser>
        <c:marker val="1"/>
        <c:axId val="172114688"/>
        <c:axId val="172116608"/>
      </c:lineChart>
      <c:dateAx>
        <c:axId val="172114688"/>
        <c:scaling>
          <c:orientation val="minMax"/>
        </c:scaling>
        <c:axPos val="b"/>
        <c:numFmt formatCode="[$-409]mmm\-yy;@" sourceLinked="0"/>
        <c:tickLblPos val="nextTo"/>
        <c:crossAx val="172116608"/>
        <c:crosses val="autoZero"/>
        <c:auto val="1"/>
        <c:lblOffset val="100"/>
        <c:majorUnit val="6"/>
        <c:majorTimeUnit val="months"/>
      </c:dateAx>
      <c:valAx>
        <c:axId val="172116608"/>
        <c:scaling>
          <c:orientation val="minMax"/>
        </c:scaling>
        <c:axPos val="l"/>
        <c:majorGridlines>
          <c:spPr>
            <a:ln>
              <a:solidFill>
                <a:schemeClr val="bg1">
                  <a:lumMod val="50000"/>
                </a:schemeClr>
              </a:solidFill>
              <a:prstDash val="dash"/>
            </a:ln>
          </c:spPr>
        </c:majorGridlines>
        <c:numFmt formatCode="0" sourceLinked="0"/>
        <c:tickLblPos val="nextTo"/>
        <c:crossAx val="172114688"/>
        <c:crosses val="autoZero"/>
        <c:crossBetween val="between"/>
      </c:valAx>
      <c:spPr>
        <a:noFill/>
        <a:ln>
          <a:noFill/>
        </a:ln>
      </c:spPr>
    </c:plotArea>
    <c:legend>
      <c:legendPos val="b"/>
      <c:layout>
        <c:manualLayout>
          <c:xMode val="edge"/>
          <c:yMode val="edge"/>
          <c:x val="1.1543547363716895E-2"/>
          <c:y val="0.91880955495753081"/>
          <c:w val="0.97350564594659084"/>
          <c:h val="7.217699371897289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marker>
            <c:symbol val="dash"/>
            <c:size val="35"/>
            <c:spPr>
              <a:solidFill>
                <a:srgbClr val="FFC000">
                  <a:alpha val="50000"/>
                </a:srgbClr>
              </a:solidFill>
              <a:ln>
                <a:noFill/>
              </a:ln>
            </c:spPr>
          </c:marker>
          <c:dPt>
            <c:idx val="0"/>
            <c:marker>
              <c:spPr>
                <a:solidFill>
                  <a:schemeClr val="accent3">
                    <a:lumMod val="50000"/>
                    <a:alpha val="50000"/>
                  </a:schemeClr>
                </a:solidFill>
                <a:ln>
                  <a:noFill/>
                </a:ln>
              </c:spPr>
            </c:marker>
          </c:dPt>
          <c:dPt>
            <c:idx val="1"/>
            <c:marker>
              <c:spPr>
                <a:solidFill>
                  <a:schemeClr val="accent3">
                    <a:lumMod val="50000"/>
                    <a:alpha val="50000"/>
                  </a:schemeClr>
                </a:solidFill>
                <a:ln>
                  <a:noFill/>
                </a:ln>
              </c:spPr>
            </c:marker>
          </c:dPt>
          <c:dPt>
            <c:idx val="2"/>
            <c:marker>
              <c:spPr>
                <a:solidFill>
                  <a:schemeClr val="accent3">
                    <a:lumMod val="50000"/>
                    <a:alpha val="50000"/>
                  </a:schemeClr>
                </a:solidFill>
                <a:ln>
                  <a:noFill/>
                </a:ln>
              </c:spPr>
            </c:marker>
          </c:dPt>
          <c:dPt>
            <c:idx val="3"/>
            <c:marker>
              <c:spPr>
                <a:solidFill>
                  <a:srgbClr val="C00000">
                    <a:alpha val="50000"/>
                  </a:srgbClr>
                </a:solidFill>
                <a:ln>
                  <a:noFill/>
                </a:ln>
              </c:spPr>
            </c:marker>
          </c:dPt>
          <c:dPt>
            <c:idx val="5"/>
            <c:marker>
              <c:spPr>
                <a:solidFill>
                  <a:schemeClr val="bg2">
                    <a:lumMod val="50000"/>
                    <a:alpha val="50000"/>
                  </a:schemeClr>
                </a:solidFill>
                <a:ln>
                  <a:noFill/>
                </a:ln>
              </c:spPr>
            </c:marker>
          </c:dPt>
          <c:dPt>
            <c:idx val="6"/>
            <c:marker>
              <c:spPr>
                <a:solidFill>
                  <a:schemeClr val="accent3">
                    <a:lumMod val="50000"/>
                    <a:alpha val="50000"/>
                  </a:schemeClr>
                </a:solidFill>
                <a:ln>
                  <a:noFill/>
                </a:ln>
              </c:spPr>
            </c:marker>
          </c:dPt>
          <c:dPt>
            <c:idx val="7"/>
            <c:marker>
              <c:spPr>
                <a:solidFill>
                  <a:schemeClr val="bg2">
                    <a:lumMod val="50000"/>
                    <a:alpha val="50000"/>
                  </a:schemeClr>
                </a:solidFill>
                <a:ln>
                  <a:noFill/>
                </a:ln>
              </c:spPr>
            </c:marker>
          </c:dPt>
          <c:dPt>
            <c:idx val="9"/>
            <c:marker>
              <c:spPr>
                <a:solidFill>
                  <a:schemeClr val="accent3">
                    <a:lumMod val="50000"/>
                    <a:alpha val="50000"/>
                  </a:schemeClr>
                </a:solidFill>
                <a:ln>
                  <a:noFill/>
                </a:ln>
              </c:spPr>
            </c:marker>
          </c:dPt>
          <c:dPt>
            <c:idx val="10"/>
            <c:marker>
              <c:spPr>
                <a:solidFill>
                  <a:schemeClr val="accent3">
                    <a:lumMod val="50000"/>
                    <a:alpha val="50000"/>
                  </a:schemeClr>
                </a:solidFill>
                <a:ln>
                  <a:noFill/>
                </a:ln>
              </c:spPr>
            </c:marker>
          </c:dPt>
          <c:dPt>
            <c:idx val="11"/>
            <c:marker>
              <c:spPr>
                <a:solidFill>
                  <a:schemeClr val="accent3">
                    <a:lumMod val="50000"/>
                    <a:alpha val="50000"/>
                  </a:schemeClr>
                </a:solidFill>
                <a:ln>
                  <a:noFill/>
                </a:ln>
              </c:spPr>
            </c:marker>
          </c:dPt>
          <c:dPt>
            <c:idx val="12"/>
            <c:marker>
              <c:spPr>
                <a:solidFill>
                  <a:schemeClr val="bg2">
                    <a:lumMod val="50000"/>
                    <a:alpha val="50000"/>
                  </a:schemeClr>
                </a:solidFill>
                <a:ln>
                  <a:noFill/>
                </a:ln>
              </c:spPr>
            </c:marker>
          </c:dPt>
          <c:dPt>
            <c:idx val="13"/>
            <c:marker>
              <c:spPr>
                <a:solidFill>
                  <a:schemeClr val="accent3">
                    <a:lumMod val="50000"/>
                    <a:alpha val="50000"/>
                  </a:schemeClr>
                </a:solidFill>
                <a:ln>
                  <a:noFill/>
                </a:ln>
              </c:spPr>
            </c:marker>
          </c:dPt>
          <c:dPt>
            <c:idx val="14"/>
            <c:marker>
              <c:spPr>
                <a:solidFill>
                  <a:schemeClr val="accent3">
                    <a:lumMod val="50000"/>
                    <a:alpha val="50000"/>
                  </a:schemeClr>
                </a:solidFill>
                <a:ln>
                  <a:noFill/>
                </a:ln>
              </c:spPr>
            </c:marker>
          </c:dPt>
          <c:dPt>
            <c:idx val="15"/>
            <c:marker>
              <c:spPr>
                <a:solidFill>
                  <a:schemeClr val="accent3">
                    <a:lumMod val="50000"/>
                    <a:alpha val="50000"/>
                  </a:schemeClr>
                </a:solidFill>
                <a:ln>
                  <a:noFill/>
                </a:ln>
              </c:spPr>
            </c:marker>
          </c:dPt>
          <c:dPt>
            <c:idx val="16"/>
            <c:marker>
              <c:spPr>
                <a:solidFill>
                  <a:srgbClr val="0070C0">
                    <a:alpha val="50000"/>
                  </a:srgbClr>
                </a:solidFill>
                <a:ln>
                  <a:noFill/>
                </a:ln>
              </c:spPr>
            </c:marker>
          </c:dPt>
          <c:dPt>
            <c:idx val="17"/>
            <c:marker>
              <c:spPr>
                <a:solidFill>
                  <a:srgbClr val="0070C0">
                    <a:alpha val="50000"/>
                  </a:srgbClr>
                </a:solidFill>
                <a:ln>
                  <a:noFill/>
                </a:ln>
              </c:spPr>
            </c:marker>
          </c:dPt>
          <c:dPt>
            <c:idx val="18"/>
            <c:marker>
              <c:spPr>
                <a:solidFill>
                  <a:schemeClr val="bg2">
                    <a:lumMod val="50000"/>
                    <a:alpha val="50000"/>
                  </a:schemeClr>
                </a:solidFill>
                <a:ln>
                  <a:noFill/>
                </a:ln>
              </c:spPr>
            </c:marker>
          </c:dPt>
          <c:dPt>
            <c:idx val="19"/>
            <c:marker>
              <c:spPr>
                <a:solidFill>
                  <a:schemeClr val="bg2">
                    <a:lumMod val="50000"/>
                    <a:alpha val="50000"/>
                  </a:schemeClr>
                </a:solidFill>
                <a:ln>
                  <a:noFill/>
                </a:ln>
              </c:spPr>
            </c:marker>
          </c:dPt>
          <c:dPt>
            <c:idx val="20"/>
            <c:marker>
              <c:spPr>
                <a:solidFill>
                  <a:schemeClr val="bg2">
                    <a:lumMod val="50000"/>
                    <a:alpha val="50000"/>
                  </a:schemeClr>
                </a:solidFill>
                <a:ln>
                  <a:noFill/>
                </a:ln>
              </c:spPr>
            </c:marker>
          </c:dPt>
          <c:dPt>
            <c:idx val="21"/>
            <c:marker>
              <c:spPr>
                <a:solidFill>
                  <a:srgbClr val="C00000">
                    <a:alpha val="50000"/>
                  </a:srgbClr>
                </a:solidFill>
                <a:ln>
                  <a:noFill/>
                </a:ln>
              </c:spPr>
            </c:marker>
          </c:dPt>
          <c:dLbls>
            <c:dLbl>
              <c:idx val="0"/>
              <c:layout>
                <c:manualLayout>
                  <c:x val="-7.7438706650607883E-2"/>
                  <c:y val="-3.3353523117302638E-3"/>
                </c:manualLayout>
              </c:layout>
              <c:tx>
                <c:rich>
                  <a:bodyPr/>
                  <a:lstStyle/>
                  <a:p>
                    <a:pPr>
                      <a:defRPr sz="1200" b="0" i="0" strike="noStrike">
                        <a:latin typeface="Arial"/>
                      </a:defRPr>
                    </a:pPr>
                    <a:r>
                      <a:rPr lang="en-US" sz="1200"/>
                      <a:t>D</a:t>
                    </a:r>
                    <a:r>
                      <a:rPr lang="en-US"/>
                      <a:t>T </a:t>
                    </a:r>
                    <a:r>
                      <a:rPr lang="en-US">
                        <a:sym typeface="Symbol"/>
                      </a:rPr>
                      <a:t></a:t>
                    </a:r>
                    <a:endParaRPr lang="en-US"/>
                  </a:p>
                </c:rich>
              </c:tx>
              <c:spPr/>
              <c:dLblPos val="r"/>
              <c:showVal val="1"/>
            </c:dLbl>
            <c:dLbl>
              <c:idx val="1"/>
              <c:layout>
                <c:manualLayout>
                  <c:x val="-6.9874175829075319E-2"/>
                  <c:y val="-3.3353523117302638E-3"/>
                </c:manualLayout>
              </c:layout>
              <c:tx>
                <c:strRef>
                  <c:f>PROFILES!$O$101</c:f>
                  <c:strCache>
                    <c:ptCount val="1"/>
                    <c:pt idx="0">
                      <c:v>TKA</c:v>
                    </c:pt>
                  </c:strCache>
                </c:strRef>
              </c:tx>
              <c:spPr/>
              <c:txPr>
                <a:bodyPr/>
                <a:lstStyle/>
                <a:p>
                  <a:pPr>
                    <a:defRPr sz="1200" b="0" i="0" strike="noStrike">
                      <a:latin typeface="Arial"/>
                    </a:defRPr>
                  </a:pPr>
                  <a:endParaRPr lang="fr-FR"/>
                </a:p>
              </c:txPr>
              <c:dLblPos val="r"/>
              <c:showVal val="1"/>
            </c:dLbl>
            <c:dLbl>
              <c:idx val="2"/>
              <c:layout>
                <c:manualLayout>
                  <c:x val="-0.11622016562654057"/>
                  <c:y val="-3.3353523117301996E-3"/>
                </c:manualLayout>
              </c:layout>
              <c:tx>
                <c:strRef>
                  <c:f>PROFILES!$O$102</c:f>
                  <c:strCache>
                    <c:ptCount val="1"/>
                    <c:pt idx="0">
                      <c:v>BELGACOM</c:v>
                    </c:pt>
                  </c:strCache>
                </c:strRef>
              </c:tx>
              <c:spPr/>
              <c:txPr>
                <a:bodyPr/>
                <a:lstStyle/>
                <a:p>
                  <a:pPr>
                    <a:defRPr sz="1200" b="1" i="0" strike="noStrike">
                      <a:latin typeface="Arial"/>
                    </a:defRPr>
                  </a:pPr>
                  <a:endParaRPr lang="fr-FR"/>
                </a:p>
              </c:txPr>
              <c:dLblPos val="r"/>
              <c:showVal val="1"/>
            </c:dLbl>
            <c:dLbl>
              <c:idx val="3"/>
              <c:layout>
                <c:manualLayout>
                  <c:x val="-2.2357721351500305E-2"/>
                  <c:y val="-3.3353523117302638E-3"/>
                </c:manualLayout>
              </c:layout>
              <c:tx>
                <c:strRef>
                  <c:f>PROFILES!$O$103</c:f>
                  <c:strCache>
                    <c:ptCount val="1"/>
                    <c:pt idx="0">
                      <c:v>MOBISTAR</c:v>
                    </c:pt>
                  </c:strCache>
                </c:strRef>
              </c:tx>
              <c:spPr/>
              <c:txPr>
                <a:bodyPr/>
                <a:lstStyle/>
                <a:p>
                  <a:pPr>
                    <a:defRPr sz="1200" b="1" i="0" strike="noStrike">
                      <a:latin typeface="Arial"/>
                    </a:defRPr>
                  </a:pPr>
                  <a:endParaRPr lang="fr-FR"/>
                </a:p>
              </c:txPr>
              <c:dLblPos val="r"/>
              <c:showVal val="1"/>
            </c:dLbl>
            <c:dLbl>
              <c:idx val="4"/>
              <c:layout>
                <c:manualLayout>
                  <c:x val="-0.10099677222697923"/>
                  <c:y val="-3.3353523117302477E-3"/>
                </c:manualLayout>
              </c:layout>
              <c:tx>
                <c:strRef>
                  <c:f>PROFILES!$O$104</c:f>
                  <c:strCache>
                    <c:ptCount val="1"/>
                    <c:pt idx="0">
                      <c:v>TELENET</c:v>
                    </c:pt>
                  </c:strCache>
                </c:strRef>
              </c:tx>
              <c:spPr/>
              <c:txPr>
                <a:bodyPr/>
                <a:lstStyle/>
                <a:p>
                  <a:pPr>
                    <a:defRPr sz="1200" b="1" i="0" strike="noStrike">
                      <a:latin typeface="Arial"/>
                    </a:defRPr>
                  </a:pPr>
                  <a:endParaRPr lang="fr-FR"/>
                </a:p>
              </c:txPr>
              <c:dLblPos val="r"/>
              <c:showVal val="1"/>
            </c:dLbl>
            <c:dLbl>
              <c:idx val="5"/>
              <c:layout>
                <c:manualLayout>
                  <c:x val="-7.1185434175597542E-2"/>
                  <c:y val="-3.3356307915091516E-3"/>
                </c:manualLayout>
              </c:layout>
              <c:tx>
                <c:strRef>
                  <c:f>PROFILES!$O$105</c:f>
                  <c:strCache>
                    <c:ptCount val="1"/>
                    <c:pt idx="0">
                      <c:v>TDC</c:v>
                    </c:pt>
                  </c:strCache>
                </c:strRef>
              </c:tx>
              <c:spPr/>
              <c:txPr>
                <a:bodyPr/>
                <a:lstStyle/>
                <a:p>
                  <a:pPr>
                    <a:defRPr sz="1200" b="0" i="0" strike="noStrike">
                      <a:latin typeface="Arial"/>
                    </a:defRPr>
                  </a:pPr>
                  <a:endParaRPr lang="fr-FR"/>
                </a:p>
              </c:txPr>
              <c:dLblPos val="r"/>
              <c:showVal val="1"/>
            </c:dLbl>
            <c:dLbl>
              <c:idx val="6"/>
              <c:layout>
                <c:manualLayout>
                  <c:x val="-6.9203685102137383E-2"/>
                  <c:y val="-3.3353523117302638E-3"/>
                </c:manualLayout>
              </c:layout>
              <c:tx>
                <c:strRef>
                  <c:f>PROFILES!$O$106</c:f>
                  <c:strCache>
                    <c:ptCount val="1"/>
                    <c:pt idx="0">
                      <c:v>TEF</c:v>
                    </c:pt>
                  </c:strCache>
                </c:strRef>
              </c:tx>
              <c:spPr/>
              <c:txPr>
                <a:bodyPr/>
                <a:lstStyle/>
                <a:p>
                  <a:pPr>
                    <a:defRPr sz="1200" b="0" i="0" strike="noStrike">
                      <a:latin typeface="Arial"/>
                    </a:defRPr>
                  </a:pPr>
                  <a:endParaRPr lang="fr-FR"/>
                </a:p>
              </c:txPr>
              <c:dLblPos val="r"/>
              <c:showVal val="1"/>
            </c:dLbl>
            <c:dLbl>
              <c:idx val="7"/>
              <c:layout>
                <c:manualLayout>
                  <c:x val="-6.4584401344548487E-2"/>
                  <c:y val="-3.3356307915091516E-3"/>
                </c:manualLayout>
              </c:layout>
              <c:tx>
                <c:strRef>
                  <c:f>PROFILES!$O$107</c:f>
                  <c:strCache>
                    <c:ptCount val="1"/>
                    <c:pt idx="0">
                      <c:v>ELI</c:v>
                    </c:pt>
                  </c:strCache>
                </c:strRef>
              </c:tx>
              <c:spPr/>
              <c:txPr>
                <a:bodyPr/>
                <a:lstStyle/>
                <a:p>
                  <a:pPr>
                    <a:defRPr sz="1200" b="0" i="0" strike="noStrike">
                      <a:latin typeface="Arial"/>
                    </a:defRPr>
                  </a:pPr>
                  <a:endParaRPr lang="fr-FR"/>
                </a:p>
              </c:txPr>
              <c:dLblPos val="r"/>
              <c:showVal val="1"/>
            </c:dLbl>
            <c:dLbl>
              <c:idx val="8"/>
              <c:layout>
                <c:manualLayout>
                  <c:x val="-6.5240030517809383E-2"/>
                  <c:y val="-3.3353523117302638E-3"/>
                </c:manualLayout>
              </c:layout>
              <c:tx>
                <c:strRef>
                  <c:f>PROFILES!$O$108</c:f>
                  <c:strCache>
                    <c:ptCount val="1"/>
                    <c:pt idx="0">
                      <c:v>ILD</c:v>
                    </c:pt>
                  </c:strCache>
                </c:strRef>
              </c:tx>
              <c:spPr/>
              <c:txPr>
                <a:bodyPr/>
                <a:lstStyle/>
                <a:p>
                  <a:pPr>
                    <a:defRPr sz="1200" b="0" i="0" strike="noStrike">
                      <a:latin typeface="Arial"/>
                    </a:defRPr>
                  </a:pPr>
                  <a:endParaRPr lang="fr-FR"/>
                </a:p>
              </c:txPr>
              <c:dLblPos val="r"/>
              <c:showVal val="1"/>
            </c:dLbl>
            <c:dLbl>
              <c:idx val="9"/>
              <c:layout>
                <c:manualLayout>
                  <c:x val="-7.2521566069852744E-2"/>
                  <c:y val="-3.3353523117302638E-3"/>
                </c:manualLayout>
              </c:layout>
              <c:tx>
                <c:strRef>
                  <c:f>PROFILES!$O$109</c:f>
                  <c:strCache>
                    <c:ptCount val="1"/>
                    <c:pt idx="0">
                      <c:v>ORA</c:v>
                    </c:pt>
                  </c:strCache>
                </c:strRef>
              </c:tx>
              <c:spPr/>
              <c:txPr>
                <a:bodyPr/>
                <a:lstStyle/>
                <a:p>
                  <a:pPr>
                    <a:defRPr sz="1200" b="0" i="0" strike="noStrike">
                      <a:latin typeface="Arial"/>
                    </a:defRPr>
                  </a:pPr>
                  <a:endParaRPr lang="fr-FR"/>
                </a:p>
              </c:txPr>
              <c:dLblPos val="r"/>
              <c:showVal val="1"/>
            </c:dLbl>
            <c:dLbl>
              <c:idx val="10"/>
              <c:layout>
                <c:manualLayout>
                  <c:x val="-7.1195446169653551E-2"/>
                  <c:y val="-3.3361877510669391E-3"/>
                </c:manualLayout>
              </c:layout>
              <c:tx>
                <c:strRef>
                  <c:f>PROFILES!$O$110</c:f>
                  <c:strCache>
                    <c:ptCount val="1"/>
                    <c:pt idx="0">
                      <c:v>OTE</c:v>
                    </c:pt>
                  </c:strCache>
                </c:strRef>
              </c:tx>
              <c:spPr/>
              <c:txPr>
                <a:bodyPr/>
                <a:lstStyle/>
                <a:p>
                  <a:pPr>
                    <a:defRPr sz="1200" b="0" i="0" strike="noStrike">
                      <a:latin typeface="Arial"/>
                    </a:defRPr>
                  </a:pPr>
                  <a:endParaRPr lang="fr-FR"/>
                </a:p>
              </c:txPr>
              <c:dLblPos val="r"/>
              <c:showVal val="1"/>
            </c:dLbl>
            <c:dLbl>
              <c:idx val="11"/>
              <c:layout>
                <c:manualLayout>
                  <c:x val="-6.4564533793843512E-2"/>
                  <c:y val="-3.3353523117302638E-3"/>
                </c:manualLayout>
              </c:layout>
              <c:tx>
                <c:strRef>
                  <c:f>PROFILES!$O$111</c:f>
                  <c:strCache>
                    <c:ptCount val="1"/>
                    <c:pt idx="0">
                      <c:v>TIT</c:v>
                    </c:pt>
                  </c:strCache>
                </c:strRef>
              </c:tx>
              <c:spPr/>
              <c:txPr>
                <a:bodyPr/>
                <a:lstStyle/>
                <a:p>
                  <a:pPr>
                    <a:defRPr sz="1200" b="0" i="0" strike="noStrike">
                      <a:latin typeface="Arial"/>
                    </a:defRPr>
                  </a:pPr>
                  <a:endParaRPr lang="fr-FR"/>
                </a:p>
              </c:txPr>
              <c:dLblPos val="r"/>
              <c:showVal val="1"/>
            </c:dLbl>
            <c:dLbl>
              <c:idx val="12"/>
              <c:layout>
                <c:manualLayout>
                  <c:x val="-6.8553061925904074E-2"/>
                  <c:y val="-3.3353523117302638E-3"/>
                </c:manualLayout>
              </c:layout>
              <c:tx>
                <c:strRef>
                  <c:f>PROFILES!$O$112</c:f>
                  <c:strCache>
                    <c:ptCount val="1"/>
                    <c:pt idx="0">
                      <c:v>TEL</c:v>
                    </c:pt>
                  </c:strCache>
                </c:strRef>
              </c:tx>
              <c:spPr/>
              <c:txPr>
                <a:bodyPr/>
                <a:lstStyle/>
                <a:p>
                  <a:pPr>
                    <a:defRPr sz="1200" b="0" i="0" strike="noStrike">
                      <a:latin typeface="Arial"/>
                    </a:defRPr>
                  </a:pPr>
                  <a:endParaRPr lang="fr-FR"/>
                </a:p>
              </c:txPr>
              <c:dLblPos val="r"/>
              <c:showVal val="1"/>
            </c:dLbl>
            <c:dLbl>
              <c:idx val="13"/>
              <c:layout>
                <c:manualLayout>
                  <c:x val="-5.369621591154735E-2"/>
                  <c:y val="-6.6759957392593834E-3"/>
                </c:manualLayout>
              </c:layout>
              <c:tx>
                <c:rich>
                  <a:bodyPr/>
                  <a:lstStyle/>
                  <a:p>
                    <a:pPr>
                      <a:defRPr sz="1200" b="0" i="0" strike="noStrike">
                        <a:latin typeface="Arial"/>
                      </a:defRPr>
                    </a:pPr>
                    <a:r>
                      <a:rPr lang="en-US" sz="1200"/>
                      <a:t>K</a:t>
                    </a:r>
                    <a:r>
                      <a:rPr lang="en-US"/>
                      <a:t>PN</a:t>
                    </a:r>
                  </a:p>
                </c:rich>
              </c:tx>
              <c:spPr/>
              <c:dLblPos val="r"/>
              <c:showVal val="1"/>
            </c:dLbl>
            <c:dLbl>
              <c:idx val="14"/>
              <c:layout>
                <c:manualLayout>
                  <c:x val="-6.9874175829075319E-2"/>
                  <c:y val="-3.3353523117302638E-3"/>
                </c:manualLayout>
              </c:layout>
              <c:tx>
                <c:strRef>
                  <c:f>PROFILES!$O$114</c:f>
                  <c:strCache>
                    <c:ptCount val="1"/>
                    <c:pt idx="0">
                      <c:v>TPS</c:v>
                    </c:pt>
                  </c:strCache>
                </c:strRef>
              </c:tx>
              <c:spPr/>
              <c:txPr>
                <a:bodyPr/>
                <a:lstStyle/>
                <a:p>
                  <a:pPr>
                    <a:defRPr sz="1200" b="0" i="0" strike="noStrike">
                      <a:latin typeface="Arial"/>
                    </a:defRPr>
                  </a:pPr>
                  <a:endParaRPr lang="fr-FR"/>
                </a:p>
              </c:txPr>
              <c:dLblPos val="r"/>
              <c:showVal val="1"/>
            </c:dLbl>
            <c:dLbl>
              <c:idx val="15"/>
              <c:layout>
                <c:manualLayout>
                  <c:x val="-6.1922149550093841E-2"/>
                  <c:y val="-3.3359092712880391E-3"/>
                </c:manualLayout>
              </c:layout>
              <c:tx>
                <c:strRef>
                  <c:f>PROFILES!$O$115</c:f>
                  <c:strCache>
                    <c:ptCount val="1"/>
                    <c:pt idx="0">
                      <c:v>PT</c:v>
                    </c:pt>
                  </c:strCache>
                </c:strRef>
              </c:tx>
              <c:spPr/>
              <c:txPr>
                <a:bodyPr/>
                <a:lstStyle/>
                <a:p>
                  <a:pPr>
                    <a:defRPr sz="1200" b="0" i="0" strike="noStrike">
                      <a:solidFill>
                        <a:schemeClr val="bg1">
                          <a:lumMod val="50000"/>
                        </a:schemeClr>
                      </a:solidFill>
                      <a:latin typeface="Arial"/>
                    </a:defRPr>
                  </a:pPr>
                  <a:endParaRPr lang="fr-FR"/>
                </a:p>
              </c:txPr>
              <c:dLblPos val="r"/>
              <c:showVal val="1"/>
            </c:dLbl>
            <c:dLbl>
              <c:idx val="16"/>
              <c:layout>
                <c:manualLayout>
                  <c:x val="-6.1922149550093841E-2"/>
                  <c:y val="-3.3359092712880391E-3"/>
                </c:manualLayout>
              </c:layout>
              <c:tx>
                <c:strRef>
                  <c:f>PROFILES!$O$116</c:f>
                  <c:strCache>
                    <c:ptCount val="1"/>
                    <c:pt idx="0">
                      <c:v>BT</c:v>
                    </c:pt>
                  </c:strCache>
                </c:strRef>
              </c:tx>
              <c:spPr/>
              <c:txPr>
                <a:bodyPr/>
                <a:lstStyle/>
                <a:p>
                  <a:pPr>
                    <a:defRPr sz="1200" b="0" i="0" strike="noStrike">
                      <a:latin typeface="Arial"/>
                    </a:defRPr>
                  </a:pPr>
                  <a:endParaRPr lang="fr-FR"/>
                </a:p>
              </c:txPr>
              <c:dLblPos val="r"/>
              <c:showVal val="1"/>
            </c:dLbl>
            <c:dLbl>
              <c:idx val="17"/>
              <c:layout>
                <c:manualLayout>
                  <c:x val="-7.2521566069852744E-2"/>
                  <c:y val="-3.3353523117302638E-3"/>
                </c:manualLayout>
              </c:layout>
              <c:tx>
                <c:strRef>
                  <c:f>PROFILES!$O$117</c:f>
                  <c:strCache>
                    <c:ptCount val="1"/>
                    <c:pt idx="0">
                      <c:v>VOD</c:v>
                    </c:pt>
                  </c:strCache>
                </c:strRef>
              </c:tx>
              <c:spPr/>
              <c:txPr>
                <a:bodyPr/>
                <a:lstStyle/>
                <a:p>
                  <a:pPr>
                    <a:defRPr sz="1200" b="0" i="0" strike="noStrike">
                      <a:latin typeface="Arial"/>
                    </a:defRPr>
                  </a:pPr>
                  <a:endParaRPr lang="fr-FR"/>
                </a:p>
              </c:txPr>
              <c:dLblPos val="r"/>
              <c:showVal val="1"/>
            </c:dLbl>
            <c:dLbl>
              <c:idx val="18"/>
              <c:layout>
                <c:manualLayout>
                  <c:x val="-7.7160560940739642E-2"/>
                  <c:y val="-3.3353523117302638E-3"/>
                </c:manualLayout>
              </c:layout>
              <c:tx>
                <c:strRef>
                  <c:f>PROFILES!$O$118</c:f>
                  <c:strCache>
                    <c:ptCount val="1"/>
                    <c:pt idx="0">
                      <c:v>TLSN</c:v>
                    </c:pt>
                  </c:strCache>
                </c:strRef>
              </c:tx>
              <c:spPr/>
              <c:txPr>
                <a:bodyPr/>
                <a:lstStyle/>
                <a:p>
                  <a:pPr>
                    <a:defRPr sz="1200" b="0" i="0" strike="noStrike">
                      <a:latin typeface="Arial"/>
                    </a:defRPr>
                  </a:pPr>
                  <a:endParaRPr lang="fr-FR"/>
                </a:p>
              </c:txPr>
              <c:dLblPos val="r"/>
              <c:showVal val="1"/>
            </c:dLbl>
            <c:dLbl>
              <c:idx val="19"/>
              <c:layout>
                <c:manualLayout>
                  <c:x val="-7.5183817864307126E-2"/>
                  <c:y val="-3.3356307915091516E-3"/>
                </c:manualLayout>
              </c:layout>
              <c:tx>
                <c:strRef>
                  <c:f>PROFILES!$O$119</c:f>
                  <c:strCache>
                    <c:ptCount val="1"/>
                    <c:pt idx="0">
                      <c:v>TEL2</c:v>
                    </c:pt>
                  </c:strCache>
                </c:strRef>
              </c:tx>
              <c:spPr/>
              <c:txPr>
                <a:bodyPr/>
                <a:lstStyle/>
                <a:p>
                  <a:pPr>
                    <a:defRPr sz="1200" b="0" i="0" strike="noStrike">
                      <a:latin typeface="Arial"/>
                    </a:defRPr>
                  </a:pPr>
                  <a:endParaRPr lang="fr-FR"/>
                </a:p>
              </c:txPr>
              <c:dLblPos val="r"/>
              <c:showVal val="1"/>
            </c:dLbl>
            <c:dLbl>
              <c:idx val="20"/>
              <c:layout>
                <c:manualLayout>
                  <c:x val="-7.3177195243113904E-2"/>
                  <c:y val="-3.3356307915091516E-3"/>
                </c:manualLayout>
              </c:layout>
              <c:tx>
                <c:strRef>
                  <c:f>PROFILES!$O$120</c:f>
                  <c:strCache>
                    <c:ptCount val="1"/>
                    <c:pt idx="0">
                      <c:v>SCM</c:v>
                    </c:pt>
                  </c:strCache>
                </c:strRef>
              </c:tx>
              <c:spPr/>
              <c:txPr>
                <a:bodyPr/>
                <a:lstStyle/>
                <a:p>
                  <a:pPr>
                    <a:defRPr sz="1200" b="0" i="0" strike="noStrike">
                      <a:latin typeface="Arial"/>
                    </a:defRPr>
                  </a:pPr>
                  <a:endParaRPr lang="fr-FR"/>
                </a:p>
              </c:txPr>
              <c:dLblPos val="r"/>
              <c:showVal val="1"/>
            </c:dLbl>
            <c:dLbl>
              <c:idx val="21"/>
              <c:layout>
                <c:manualLayout>
                  <c:x val="-7.1855924902535756E-2"/>
                  <c:y val="-3.3353523117301996E-3"/>
                </c:manualLayout>
              </c:layout>
              <c:tx>
                <c:strRef>
                  <c:f>PROFILES!$O$121</c:f>
                  <c:strCache>
                    <c:ptCount val="1"/>
                    <c:pt idx="0">
                      <c:v>SNC</c:v>
                    </c:pt>
                  </c:strCache>
                </c:strRef>
              </c:tx>
              <c:spPr/>
              <c:txPr>
                <a:bodyPr/>
                <a:lstStyle/>
                <a:p>
                  <a:pPr>
                    <a:defRPr sz="1200" b="0" i="0" strike="noStrike">
                      <a:latin typeface="Arial"/>
                    </a:defRPr>
                  </a:pPr>
                  <a:endParaRPr lang="fr-FR"/>
                </a:p>
              </c:txPr>
              <c:dLblPos val="r"/>
              <c:showVal val="1"/>
            </c:dLbl>
            <c:txPr>
              <a:bodyPr/>
              <a:lstStyle/>
              <a:p>
                <a:pPr>
                  <a:defRPr sz="1200"/>
                </a:pPr>
                <a:endParaRPr lang="fr-FR"/>
              </a:p>
            </c:txPr>
            <c:showVal val="1"/>
          </c:dLbls>
          <c:trendline>
            <c:spPr>
              <a:ln>
                <a:solidFill>
                  <a:schemeClr val="bg1">
                    <a:lumMod val="65000"/>
                  </a:schemeClr>
                </a:solidFill>
                <a:prstDash val="dash"/>
              </a:ln>
            </c:spPr>
            <c:trendlineType val="poly"/>
            <c:order val="2"/>
            <c:dispRSqr val="1"/>
            <c:trendlineLbl>
              <c:numFmt formatCode="General" sourceLinked="0"/>
            </c:trendlineLbl>
          </c:trendline>
          <c:xVal>
            <c:numRef>
              <c:f>PROFILES!$D$204:$D$225</c:f>
              <c:numCache>
                <c:formatCode>0%</c:formatCode>
                <c:ptCount val="22"/>
                <c:pt idx="0">
                  <c:v>0.61</c:v>
                </c:pt>
                <c:pt idx="1">
                  <c:v>0.60910298289809772</c:v>
                </c:pt>
                <c:pt idx="2">
                  <c:v>0.37158673775730477</c:v>
                </c:pt>
                <c:pt idx="3">
                  <c:v>0.95644485424869818</c:v>
                </c:pt>
                <c:pt idx="4">
                  <c:v>6.4385445236561381E-2</c:v>
                </c:pt>
                <c:pt idx="5">
                  <c:v>0.31054928118178421</c:v>
                </c:pt>
                <c:pt idx="6">
                  <c:v>0.6158872479982318</c:v>
                </c:pt>
                <c:pt idx="7">
                  <c:v>0.62657499999999999</c:v>
                </c:pt>
                <c:pt idx="8">
                  <c:v>9.1630231095150338E-2</c:v>
                </c:pt>
                <c:pt idx="9">
                  <c:v>0.60741568747204655</c:v>
                </c:pt>
                <c:pt idx="10">
                  <c:v>0.56323171407839789</c:v>
                </c:pt>
                <c:pt idx="11">
                  <c:v>0.34534166666666666</c:v>
                </c:pt>
                <c:pt idx="12">
                  <c:v>0.7344324868237998</c:v>
                </c:pt>
                <c:pt idx="13">
                  <c:v>0.5805147103617575</c:v>
                </c:pt>
                <c:pt idx="14">
                  <c:v>0.42290073595624156</c:v>
                </c:pt>
                <c:pt idx="15">
                  <c:v>0.48460704112825509</c:v>
                </c:pt>
                <c:pt idx="16">
                  <c:v>0</c:v>
                </c:pt>
                <c:pt idx="17">
                  <c:v>0.91487499999999988</c:v>
                </c:pt>
                <c:pt idx="18">
                  <c:v>0.67984865616162071</c:v>
                </c:pt>
                <c:pt idx="19">
                  <c:v>0.67083419702973635</c:v>
                </c:pt>
                <c:pt idx="20">
                  <c:v>0.32615050588405037</c:v>
                </c:pt>
                <c:pt idx="21">
                  <c:v>0.90539538726018864</c:v>
                </c:pt>
              </c:numCache>
            </c:numRef>
          </c:xVal>
          <c:yVal>
            <c:numRef>
              <c:f>PROFILES!$E$204:$E$225</c:f>
              <c:numCache>
                <c:formatCode>0.0</c:formatCode>
                <c:ptCount val="22"/>
                <c:pt idx="0">
                  <c:v>4.9905713850513198</c:v>
                </c:pt>
                <c:pt idx="1">
                  <c:v>4.4503654862327</c:v>
                </c:pt>
                <c:pt idx="2">
                  <c:v>4.8426442674927213</c:v>
                </c:pt>
                <c:pt idx="3">
                  <c:v>4.9107929634600707</c:v>
                </c:pt>
                <c:pt idx="4">
                  <c:v>8.6861758729657641</c:v>
                </c:pt>
                <c:pt idx="5">
                  <c:v>5.8927844479191869</c:v>
                </c:pt>
                <c:pt idx="6">
                  <c:v>5.6943354572509941</c:v>
                </c:pt>
                <c:pt idx="7">
                  <c:v>6.7052926466266065</c:v>
                </c:pt>
                <c:pt idx="8">
                  <c:v>7.8889454092528393</c:v>
                </c:pt>
                <c:pt idx="9">
                  <c:v>4.7838493303826084</c:v>
                </c:pt>
                <c:pt idx="10">
                  <c:v>3.7488610975650749</c:v>
                </c:pt>
                <c:pt idx="11">
                  <c:v>4.5606838408134944</c:v>
                </c:pt>
                <c:pt idx="12">
                  <c:v>5.8033589040079683</c:v>
                </c:pt>
                <c:pt idx="13">
                  <c:v>4.9270605931091591</c:v>
                </c:pt>
                <c:pt idx="14">
                  <c:v>4.3871958272574467</c:v>
                </c:pt>
                <c:pt idx="15">
                  <c:v>6.4063105209788551</c:v>
                </c:pt>
                <c:pt idx="16">
                  <c:v>4.6985221679038922</c:v>
                </c:pt>
                <c:pt idx="17">
                  <c:v>7.5360879751187033</c:v>
                </c:pt>
                <c:pt idx="18">
                  <c:v>7.5421176018870622</c:v>
                </c:pt>
                <c:pt idx="19">
                  <c:v>6.6837223425180285</c:v>
                </c:pt>
                <c:pt idx="20">
                  <c:v>6.7995363362554677</c:v>
                </c:pt>
                <c:pt idx="21">
                  <c:v>3.8552632920912293</c:v>
                </c:pt>
              </c:numCache>
            </c:numRef>
          </c:yVal>
        </c:ser>
        <c:axId val="172262528"/>
        <c:axId val="172264064"/>
      </c:scatterChart>
      <c:valAx>
        <c:axId val="172262528"/>
        <c:scaling>
          <c:orientation val="minMax"/>
          <c:max val="1"/>
        </c:scaling>
        <c:axPos val="b"/>
        <c:numFmt formatCode="0%" sourceLinked="1"/>
        <c:tickLblPos val="nextTo"/>
        <c:txPr>
          <a:bodyPr/>
          <a:lstStyle/>
          <a:p>
            <a:pPr>
              <a:defRPr sz="1200" baseline="0">
                <a:latin typeface="Arial" pitchFamily="34" charset="0"/>
              </a:defRPr>
            </a:pPr>
            <a:endParaRPr lang="fr-FR"/>
          </a:p>
        </c:txPr>
        <c:crossAx val="172264064"/>
        <c:crosses val="autoZero"/>
        <c:crossBetween val="midCat"/>
        <c:majorUnit val="0.1"/>
      </c:valAx>
      <c:valAx>
        <c:axId val="172264064"/>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72262528"/>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4536216939771727"/>
        </c:manualLayout>
      </c:layout>
      <c:lineChart>
        <c:grouping val="standard"/>
        <c:ser>
          <c:idx val="3"/>
          <c:order val="0"/>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CALCULATIONS!$KO$8:$LC$8</c:f>
              <c:numCache>
                <c:formatCode>0.0</c:formatCode>
                <c:ptCount val="15"/>
                <c:pt idx="0">
                  <c:v>0.99140741026170842</c:v>
                </c:pt>
                <c:pt idx="1">
                  <c:v>1.0341053184541793</c:v>
                </c:pt>
                <c:pt idx="2">
                  <c:v>1.0764088799855431</c:v>
                </c:pt>
                <c:pt idx="3">
                  <c:v>1.0853792994832576</c:v>
                </c:pt>
                <c:pt idx="4">
                  <c:v>1.0923265666380659</c:v>
                </c:pt>
                <c:pt idx="5">
                  <c:v>1.1239733181245217</c:v>
                </c:pt>
                <c:pt idx="6">
                  <c:v>1.1552605915532697</c:v>
                </c:pt>
                <c:pt idx="7">
                  <c:v>1.1393152586964637</c:v>
                </c:pt>
                <c:pt idx="8">
                  <c:v>1.1247741511519036</c:v>
                </c:pt>
                <c:pt idx="9">
                  <c:v>1.2241778689794098</c:v>
                </c:pt>
                <c:pt idx="10">
                  <c:v>1.3331098133770074</c:v>
                </c:pt>
                <c:pt idx="11">
                  <c:v>1.3262016813517561</c:v>
                </c:pt>
                <c:pt idx="12">
                  <c:v>1.3233837800550459</c:v>
                </c:pt>
                <c:pt idx="13">
                  <c:v>1.4917664703296698</c:v>
                </c:pt>
                <c:pt idx="14">
                  <c:v>1.6771658832683087</c:v>
                </c:pt>
              </c:numCache>
            </c:numRef>
          </c:val>
        </c:ser>
        <c:ser>
          <c:idx val="0"/>
          <c:order val="1"/>
          <c:tx>
            <c:strRef>
              <c:f>CALCULATIONS!$B$26</c:f>
              <c:strCache>
                <c:ptCount val="1"/>
                <c:pt idx="0">
                  <c:v>SNC</c:v>
                </c:pt>
              </c:strCache>
            </c:strRef>
          </c:tx>
          <c:spPr>
            <a:ln w="22225">
              <a:solidFill>
                <a:srgbClr val="C00000"/>
              </a:solidFill>
            </a:ln>
          </c:spPr>
          <c:marker>
            <c:symbol val="none"/>
          </c:marker>
          <c:val>
            <c:numRef>
              <c:f>CALCULATIONS!$KO$26:$LC$26</c:f>
              <c:numCache>
                <c:formatCode>0.0</c:formatCode>
                <c:ptCount val="15"/>
                <c:pt idx="0">
                  <c:v>2.1869515319345236</c:v>
                </c:pt>
                <c:pt idx="1">
                  <c:v>2.0650885177422436</c:v>
                </c:pt>
                <c:pt idx="2">
                  <c:v>2.0165632367130932</c:v>
                </c:pt>
                <c:pt idx="3">
                  <c:v>1.9861884467960744</c:v>
                </c:pt>
                <c:pt idx="4">
                  <c:v>2.0490209364315932</c:v>
                </c:pt>
                <c:pt idx="5">
                  <c:v>2.0372990400833859</c:v>
                </c:pt>
                <c:pt idx="6">
                  <c:v>1.9513118537791414</c:v>
                </c:pt>
                <c:pt idx="7">
                  <c:v>1.726534859422175</c:v>
                </c:pt>
                <c:pt idx="8">
                  <c:v>1.5921186719096636</c:v>
                </c:pt>
                <c:pt idx="9">
                  <c:v>1.7722293618262999</c:v>
                </c:pt>
                <c:pt idx="10">
                  <c:v>1.7439624146481147</c:v>
                </c:pt>
                <c:pt idx="11">
                  <c:v>1.604286238773192</c:v>
                </c:pt>
                <c:pt idx="12">
                  <c:v>1.7453361504705158</c:v>
                </c:pt>
                <c:pt idx="13">
                  <c:v>1.7794058770368837</c:v>
                </c:pt>
                <c:pt idx="14">
                  <c:v>1.8160302149559577</c:v>
                </c:pt>
              </c:numCache>
            </c:numRef>
          </c:val>
        </c:ser>
        <c:ser>
          <c:idx val="17"/>
          <c:order val="2"/>
          <c:tx>
            <c:strRef>
              <c:f>CALCULATIONS!$B$22</c:f>
              <c:strCache>
                <c:ptCount val="1"/>
                <c:pt idx="0">
                  <c:v>VOD</c:v>
                </c:pt>
              </c:strCache>
            </c:strRef>
          </c:tx>
          <c:spPr>
            <a:ln w="22225">
              <a:solidFill>
                <a:srgbClr val="C00000"/>
              </a:solidFill>
              <a:prstDash val="dash"/>
            </a:ln>
          </c:spPr>
          <c:marker>
            <c:symbol val="none"/>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CALCULATIONS!$KO$22:$LC$22</c:f>
              <c:numCache>
                <c:formatCode>0.0</c:formatCode>
                <c:ptCount val="15"/>
                <c:pt idx="0">
                  <c:v>2.3938120328410841</c:v>
                </c:pt>
                <c:pt idx="1">
                  <c:v>2.4003526502589283</c:v>
                </c:pt>
                <c:pt idx="2">
                  <c:v>2.4264492409385809</c:v>
                </c:pt>
                <c:pt idx="3">
                  <c:v>2.4523749460305031</c:v>
                </c:pt>
                <c:pt idx="4">
                  <c:v>2.4188855356318548</c:v>
                </c:pt>
                <c:pt idx="5">
                  <c:v>2.3759780500764887</c:v>
                </c:pt>
                <c:pt idx="6">
                  <c:v>2.0698584190065699</c:v>
                </c:pt>
                <c:pt idx="7">
                  <c:v>1.764193856311334</c:v>
                </c:pt>
                <c:pt idx="8">
                  <c:v>1.7064635202406915</c:v>
                </c:pt>
                <c:pt idx="9">
                  <c:v>1.6557234686451092</c:v>
                </c:pt>
                <c:pt idx="10">
                  <c:v>1.742164734609212</c:v>
                </c:pt>
                <c:pt idx="11">
                  <c:v>1.7956009108529667</c:v>
                </c:pt>
                <c:pt idx="12">
                  <c:v>2.0670767647357211</c:v>
                </c:pt>
                <c:pt idx="13">
                  <c:v>2.3348198024327131</c:v>
                </c:pt>
                <c:pt idx="14">
                  <c:v>2.3348198024327131</c:v>
                </c:pt>
              </c:numCache>
            </c:numRef>
          </c:val>
        </c:ser>
        <c:ser>
          <c:idx val="4"/>
          <c:order val="3"/>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CALCULATIONS!$KO$9:$LC$9</c:f>
              <c:numCache>
                <c:formatCode>0.0</c:formatCode>
                <c:ptCount val="15"/>
                <c:pt idx="0">
                  <c:v>3.7134687581369503</c:v>
                </c:pt>
                <c:pt idx="1">
                  <c:v>3.4765583591296414</c:v>
                </c:pt>
                <c:pt idx="2">
                  <c:v>3.3277388955868732</c:v>
                </c:pt>
                <c:pt idx="3">
                  <c:v>3.4846313666092215</c:v>
                </c:pt>
                <c:pt idx="4">
                  <c:v>3.4195292883911859</c:v>
                </c:pt>
                <c:pt idx="5">
                  <c:v>3.3001143745250228</c:v>
                </c:pt>
                <c:pt idx="6">
                  <c:v>3.1558288628331455</c:v>
                </c:pt>
                <c:pt idx="7">
                  <c:v>4.1154037088334867</c:v>
                </c:pt>
                <c:pt idx="8">
                  <c:v>3.8624086839036851</c:v>
                </c:pt>
                <c:pt idx="9">
                  <c:v>3.707629677440206</c:v>
                </c:pt>
                <c:pt idx="10">
                  <c:v>3.7407046780406041</c:v>
                </c:pt>
                <c:pt idx="11">
                  <c:v>3.9844819217170233</c:v>
                </c:pt>
                <c:pt idx="12">
                  <c:v>3.8319373368954697</c:v>
                </c:pt>
                <c:pt idx="13">
                  <c:v>3.8183032363599292</c:v>
                </c:pt>
                <c:pt idx="14">
                  <c:v>4.3704719780651446</c:v>
                </c:pt>
              </c:numCache>
            </c:numRef>
          </c:val>
        </c:ser>
        <c:ser>
          <c:idx val="1"/>
          <c:order val="4"/>
          <c:tx>
            <c:strRef>
              <c:f>CALCULATIONS!$B$13</c:f>
              <c:strCache>
                <c:ptCount val="1"/>
                <c:pt idx="0">
                  <c:v>ILD</c:v>
                </c:pt>
              </c:strCache>
            </c:strRef>
          </c:tx>
          <c:spPr>
            <a:ln w="22225">
              <a:solidFill>
                <a:srgbClr val="FFC000"/>
              </a:solidFill>
            </a:ln>
          </c:spPr>
          <c:marker>
            <c:symbol val="none"/>
          </c:marker>
          <c:val>
            <c:numRef>
              <c:f>CALCULATIONS!$KO$13:$LC$13</c:f>
              <c:numCache>
                <c:formatCode>0.0</c:formatCode>
                <c:ptCount val="15"/>
                <c:pt idx="0">
                  <c:v>1.0316616252605197</c:v>
                </c:pt>
                <c:pt idx="1">
                  <c:v>0.98003453333356261</c:v>
                </c:pt>
                <c:pt idx="2">
                  <c:v>0.90034175824771145</c:v>
                </c:pt>
                <c:pt idx="3">
                  <c:v>0.88870691668831781</c:v>
                </c:pt>
                <c:pt idx="4">
                  <c:v>0.87536636081633512</c:v>
                </c:pt>
                <c:pt idx="5">
                  <c:v>0.9856726829507314</c:v>
                </c:pt>
                <c:pt idx="6">
                  <c:v>1.0939340226663481</c:v>
                </c:pt>
                <c:pt idx="7">
                  <c:v>1.304141904233985</c:v>
                </c:pt>
                <c:pt idx="8">
                  <c:v>1.4922400442931911</c:v>
                </c:pt>
                <c:pt idx="9">
                  <c:v>1.5904173415378409</c:v>
                </c:pt>
                <c:pt idx="10">
                  <c:v>1.6882712052555244</c:v>
                </c:pt>
                <c:pt idx="11">
                  <c:v>1.5816062321690518</c:v>
                </c:pt>
                <c:pt idx="12">
                  <c:v>1.4857004670633451</c:v>
                </c:pt>
                <c:pt idx="13">
                  <c:v>1.3229345277777476</c:v>
                </c:pt>
                <c:pt idx="14">
                  <c:v>1.242834927692577</c:v>
                </c:pt>
              </c:numCache>
            </c:numRef>
          </c:val>
        </c:ser>
        <c:ser>
          <c:idx val="16"/>
          <c:order val="5"/>
          <c:tx>
            <c:strRef>
              <c:f>CALCULATIONS!$B$21</c:f>
              <c:strCache>
                <c:ptCount val="1"/>
                <c:pt idx="0">
                  <c:v>BT</c:v>
                </c:pt>
              </c:strCache>
            </c:strRef>
          </c:tx>
          <c:spPr>
            <a:ln w="22225">
              <a:solidFill>
                <a:srgbClr val="FFC000"/>
              </a:solidFill>
              <a:prstDash val="dash"/>
            </a:ln>
          </c:spPr>
          <c:marker>
            <c:symbol val="none"/>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CALCULATIONS!$KO$21:$LC$21</c:f>
              <c:numCache>
                <c:formatCode>0.0</c:formatCode>
                <c:ptCount val="15"/>
                <c:pt idx="0">
                  <c:v>3.4540108426122931</c:v>
                </c:pt>
                <c:pt idx="1">
                  <c:v>2.5722102990881019</c:v>
                </c:pt>
                <c:pt idx="2">
                  <c:v>2.4424310935840725</c:v>
                </c:pt>
                <c:pt idx="3">
                  <c:v>2.376254266338083</c:v>
                </c:pt>
                <c:pt idx="4">
                  <c:v>2.2611064846245092</c:v>
                </c:pt>
                <c:pt idx="5">
                  <c:v>2.265634262862521</c:v>
                </c:pt>
                <c:pt idx="6">
                  <c:v>2.2276993525463267</c:v>
                </c:pt>
                <c:pt idx="7">
                  <c:v>2.1883920326349502</c:v>
                </c:pt>
                <c:pt idx="8">
                  <c:v>2.0877591347530133</c:v>
                </c:pt>
                <c:pt idx="9">
                  <c:v>2.3849178401937028</c:v>
                </c:pt>
                <c:pt idx="10">
                  <c:v>2.3747772292440383</c:v>
                </c:pt>
                <c:pt idx="11">
                  <c:v>2.3583562992736709</c:v>
                </c:pt>
                <c:pt idx="12">
                  <c:v>2.2555609744296414</c:v>
                </c:pt>
                <c:pt idx="13">
                  <c:v>2.1053769724534006</c:v>
                </c:pt>
                <c:pt idx="14">
                  <c:v>2.136201464388483</c:v>
                </c:pt>
              </c:numCache>
            </c:numRef>
          </c:val>
        </c:ser>
        <c:marker val="1"/>
        <c:axId val="172471040"/>
        <c:axId val="172472576"/>
      </c:lineChart>
      <c:dateAx>
        <c:axId val="172471040"/>
        <c:scaling>
          <c:orientation val="minMax"/>
        </c:scaling>
        <c:axPos val="b"/>
        <c:numFmt formatCode="[$-409]mmm\-yy;@" sourceLinked="0"/>
        <c:tickLblPos val="nextTo"/>
        <c:crossAx val="172472576"/>
        <c:crosses val="autoZero"/>
        <c:auto val="1"/>
        <c:lblOffset val="100"/>
        <c:majorUnit val="6"/>
        <c:majorTimeUnit val="months"/>
      </c:dateAx>
      <c:valAx>
        <c:axId val="172472576"/>
        <c:scaling>
          <c:orientation val="minMax"/>
        </c:scaling>
        <c:axPos val="l"/>
        <c:majorGridlines>
          <c:spPr>
            <a:ln>
              <a:solidFill>
                <a:schemeClr val="bg1">
                  <a:lumMod val="50000"/>
                </a:schemeClr>
              </a:solidFill>
              <a:prstDash val="dash"/>
            </a:ln>
          </c:spPr>
        </c:majorGridlines>
        <c:numFmt formatCode="0.0" sourceLinked="1"/>
        <c:tickLblPos val="nextTo"/>
        <c:crossAx val="172471040"/>
        <c:crosses val="autoZero"/>
        <c:crossBetween val="between"/>
      </c:valAx>
      <c:spPr>
        <a:noFill/>
        <a:ln>
          <a:noFill/>
        </a:ln>
      </c:spPr>
    </c:plotArea>
    <c:legend>
      <c:legendPos val="b"/>
      <c:layout>
        <c:manualLayout>
          <c:xMode val="edge"/>
          <c:yMode val="edge"/>
          <c:x val="0.12893655130217804"/>
          <c:y val="0.88790787100137514"/>
          <c:w val="0.83257384982039051"/>
          <c:h val="6.0237189902266314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706306300770801"/>
        </c:manualLayout>
      </c:layout>
      <c:lineChart>
        <c:grouping val="standard"/>
        <c:ser>
          <c:idx val="3"/>
          <c:order val="0"/>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CALCULATIONS!$KO$8:$LC$8</c:f>
              <c:numCache>
                <c:formatCode>0.0</c:formatCode>
                <c:ptCount val="15"/>
                <c:pt idx="0">
                  <c:v>0.99140741026170842</c:v>
                </c:pt>
                <c:pt idx="1">
                  <c:v>1.0341053184541793</c:v>
                </c:pt>
                <c:pt idx="2">
                  <c:v>1.0764088799855431</c:v>
                </c:pt>
                <c:pt idx="3">
                  <c:v>1.0853792994832576</c:v>
                </c:pt>
                <c:pt idx="4">
                  <c:v>1.0923265666380659</c:v>
                </c:pt>
                <c:pt idx="5">
                  <c:v>1.1239733181245217</c:v>
                </c:pt>
                <c:pt idx="6">
                  <c:v>1.1552605915532697</c:v>
                </c:pt>
                <c:pt idx="7">
                  <c:v>1.1393152586964637</c:v>
                </c:pt>
                <c:pt idx="8">
                  <c:v>1.1247741511519036</c:v>
                </c:pt>
                <c:pt idx="9">
                  <c:v>1.2241778689794098</c:v>
                </c:pt>
                <c:pt idx="10">
                  <c:v>1.3331098133770074</c:v>
                </c:pt>
                <c:pt idx="11">
                  <c:v>1.3262016813517561</c:v>
                </c:pt>
                <c:pt idx="12">
                  <c:v>1.3233837800550459</c:v>
                </c:pt>
                <c:pt idx="13">
                  <c:v>1.4917664703296698</c:v>
                </c:pt>
                <c:pt idx="14">
                  <c:v>1.6771658832683087</c:v>
                </c:pt>
              </c:numCache>
            </c:numRef>
          </c:val>
        </c:ser>
        <c:ser>
          <c:idx val="0"/>
          <c:order val="1"/>
          <c:tx>
            <c:strRef>
              <c:f>CALCULATIONS!$B$26</c:f>
              <c:strCache>
                <c:ptCount val="1"/>
                <c:pt idx="0">
                  <c:v>SNC</c:v>
                </c:pt>
              </c:strCache>
            </c:strRef>
          </c:tx>
          <c:spPr>
            <a:ln w="19050">
              <a:solidFill>
                <a:srgbClr val="C00000"/>
              </a:solidFill>
            </a:ln>
          </c:spPr>
          <c:marker>
            <c:symbol val="none"/>
          </c:marker>
          <c:val>
            <c:numRef>
              <c:f>CALCULATIONS!$KO$26:$LC$26</c:f>
              <c:numCache>
                <c:formatCode>0.0</c:formatCode>
                <c:ptCount val="15"/>
                <c:pt idx="0">
                  <c:v>2.1869515319345236</c:v>
                </c:pt>
                <c:pt idx="1">
                  <c:v>2.0650885177422436</c:v>
                </c:pt>
                <c:pt idx="2">
                  <c:v>2.0165632367130932</c:v>
                </c:pt>
                <c:pt idx="3">
                  <c:v>1.9861884467960744</c:v>
                </c:pt>
                <c:pt idx="4">
                  <c:v>2.0490209364315932</c:v>
                </c:pt>
                <c:pt idx="5">
                  <c:v>2.0372990400833859</c:v>
                </c:pt>
                <c:pt idx="6">
                  <c:v>1.9513118537791414</c:v>
                </c:pt>
                <c:pt idx="7">
                  <c:v>1.726534859422175</c:v>
                </c:pt>
                <c:pt idx="8">
                  <c:v>1.5921186719096636</c:v>
                </c:pt>
                <c:pt idx="9">
                  <c:v>1.7722293618262999</c:v>
                </c:pt>
                <c:pt idx="10">
                  <c:v>1.7439624146481147</c:v>
                </c:pt>
                <c:pt idx="11">
                  <c:v>1.604286238773192</c:v>
                </c:pt>
                <c:pt idx="12">
                  <c:v>1.7453361504705158</c:v>
                </c:pt>
                <c:pt idx="13">
                  <c:v>1.7794058770368837</c:v>
                </c:pt>
                <c:pt idx="14">
                  <c:v>1.8160302149559577</c:v>
                </c:pt>
              </c:numCache>
            </c:numRef>
          </c:val>
        </c:ser>
        <c:ser>
          <c:idx val="17"/>
          <c:order val="2"/>
          <c:tx>
            <c:strRef>
              <c:f>CALCULATIONS!$B$22</c:f>
              <c:strCache>
                <c:ptCount val="1"/>
                <c:pt idx="0">
                  <c:v>VOD</c:v>
                </c:pt>
              </c:strCache>
            </c:strRef>
          </c:tx>
          <c:spPr>
            <a:ln w="19050">
              <a:solidFill>
                <a:srgbClr val="C00000"/>
              </a:solidFill>
              <a:prstDash val="sysDash"/>
            </a:ln>
          </c:spPr>
          <c:marker>
            <c:symbol val="none"/>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CALCULATIONS!$KO$22:$LC$22</c:f>
              <c:numCache>
                <c:formatCode>0.0</c:formatCode>
                <c:ptCount val="15"/>
                <c:pt idx="0">
                  <c:v>2.3938120328410841</c:v>
                </c:pt>
                <c:pt idx="1">
                  <c:v>2.4003526502589283</c:v>
                </c:pt>
                <c:pt idx="2">
                  <c:v>2.4264492409385809</c:v>
                </c:pt>
                <c:pt idx="3">
                  <c:v>2.4523749460305031</c:v>
                </c:pt>
                <c:pt idx="4">
                  <c:v>2.4188855356318548</c:v>
                </c:pt>
                <c:pt idx="5">
                  <c:v>2.3759780500764887</c:v>
                </c:pt>
                <c:pt idx="6">
                  <c:v>2.0698584190065699</c:v>
                </c:pt>
                <c:pt idx="7">
                  <c:v>1.764193856311334</c:v>
                </c:pt>
                <c:pt idx="8">
                  <c:v>1.7064635202406915</c:v>
                </c:pt>
                <c:pt idx="9">
                  <c:v>1.6557234686451092</c:v>
                </c:pt>
                <c:pt idx="10">
                  <c:v>1.742164734609212</c:v>
                </c:pt>
                <c:pt idx="11">
                  <c:v>1.7956009108529667</c:v>
                </c:pt>
                <c:pt idx="12">
                  <c:v>2.0670767647357211</c:v>
                </c:pt>
                <c:pt idx="13">
                  <c:v>2.3348198024327131</c:v>
                </c:pt>
                <c:pt idx="14">
                  <c:v>2.3348198024327131</c:v>
                </c:pt>
              </c:numCache>
            </c:numRef>
          </c:val>
        </c:ser>
        <c:marker val="1"/>
        <c:axId val="172461056"/>
        <c:axId val="172303104"/>
      </c:lineChart>
      <c:dateAx>
        <c:axId val="172461056"/>
        <c:scaling>
          <c:orientation val="minMax"/>
        </c:scaling>
        <c:axPos val="b"/>
        <c:numFmt formatCode="[$-409]mmm\-yy;@" sourceLinked="0"/>
        <c:tickLblPos val="nextTo"/>
        <c:crossAx val="172303104"/>
        <c:crosses val="autoZero"/>
        <c:auto val="1"/>
        <c:lblOffset val="100"/>
        <c:majorUnit val="6"/>
        <c:majorTimeUnit val="months"/>
      </c:dateAx>
      <c:valAx>
        <c:axId val="172303104"/>
        <c:scaling>
          <c:orientation val="minMax"/>
        </c:scaling>
        <c:axPos val="l"/>
        <c:majorGridlines>
          <c:spPr>
            <a:ln>
              <a:solidFill>
                <a:schemeClr val="bg1">
                  <a:lumMod val="50000"/>
                </a:schemeClr>
              </a:solidFill>
              <a:prstDash val="dash"/>
            </a:ln>
          </c:spPr>
        </c:majorGridlines>
        <c:numFmt formatCode="0.0" sourceLinked="1"/>
        <c:tickLblPos val="nextTo"/>
        <c:crossAx val="172461056"/>
        <c:crosses val="autoZero"/>
        <c:crossBetween val="between"/>
      </c:valAx>
      <c:spPr>
        <a:noFill/>
        <a:ln>
          <a:noFill/>
        </a:ln>
      </c:spPr>
    </c:plotArea>
    <c:legend>
      <c:legendPos val="b"/>
      <c:layout>
        <c:manualLayout>
          <c:xMode val="edge"/>
          <c:yMode val="edge"/>
          <c:x val="0.12070801537776105"/>
          <c:y val="0.92754125183432545"/>
          <c:w val="0.63389693758872334"/>
          <c:h val="7.2458914881103065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6108702350922164"/>
        </c:manualLayout>
      </c:layout>
      <c:lineChart>
        <c:grouping val="standard"/>
        <c:ser>
          <c:idx val="4"/>
          <c:order val="0"/>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CALCULATIONS!$KO$9:$LC$9</c:f>
              <c:numCache>
                <c:formatCode>0.0</c:formatCode>
                <c:ptCount val="15"/>
                <c:pt idx="0">
                  <c:v>3.7134687581369503</c:v>
                </c:pt>
                <c:pt idx="1">
                  <c:v>3.4765583591296414</c:v>
                </c:pt>
                <c:pt idx="2">
                  <c:v>3.3277388955868732</c:v>
                </c:pt>
                <c:pt idx="3">
                  <c:v>3.4846313666092215</c:v>
                </c:pt>
                <c:pt idx="4">
                  <c:v>3.4195292883911859</c:v>
                </c:pt>
                <c:pt idx="5">
                  <c:v>3.3001143745250228</c:v>
                </c:pt>
                <c:pt idx="6">
                  <c:v>3.1558288628331455</c:v>
                </c:pt>
                <c:pt idx="7">
                  <c:v>4.1154037088334867</c:v>
                </c:pt>
                <c:pt idx="8">
                  <c:v>3.8624086839036851</c:v>
                </c:pt>
                <c:pt idx="9">
                  <c:v>3.707629677440206</c:v>
                </c:pt>
                <c:pt idx="10">
                  <c:v>3.7407046780406041</c:v>
                </c:pt>
                <c:pt idx="11">
                  <c:v>3.9844819217170233</c:v>
                </c:pt>
                <c:pt idx="12">
                  <c:v>3.8319373368954697</c:v>
                </c:pt>
                <c:pt idx="13">
                  <c:v>3.8183032363599292</c:v>
                </c:pt>
                <c:pt idx="14">
                  <c:v>4.3704719780651446</c:v>
                </c:pt>
              </c:numCache>
            </c:numRef>
          </c:val>
        </c:ser>
        <c:ser>
          <c:idx val="1"/>
          <c:order val="1"/>
          <c:tx>
            <c:strRef>
              <c:f>CALCULATIONS!$B$13</c:f>
              <c:strCache>
                <c:ptCount val="1"/>
                <c:pt idx="0">
                  <c:v>ILD</c:v>
                </c:pt>
              </c:strCache>
            </c:strRef>
          </c:tx>
          <c:spPr>
            <a:ln w="19050">
              <a:solidFill>
                <a:srgbClr val="FFC000"/>
              </a:solidFill>
            </a:ln>
          </c:spPr>
          <c:marker>
            <c:symbol val="none"/>
          </c:marker>
          <c:val>
            <c:numRef>
              <c:f>CALCULATIONS!$KO$13:$LC$13</c:f>
              <c:numCache>
                <c:formatCode>0.0</c:formatCode>
                <c:ptCount val="15"/>
                <c:pt idx="0">
                  <c:v>1.0316616252605197</c:v>
                </c:pt>
                <c:pt idx="1">
                  <c:v>0.98003453333356261</c:v>
                </c:pt>
                <c:pt idx="2">
                  <c:v>0.90034175824771145</c:v>
                </c:pt>
                <c:pt idx="3">
                  <c:v>0.88870691668831781</c:v>
                </c:pt>
                <c:pt idx="4">
                  <c:v>0.87536636081633512</c:v>
                </c:pt>
                <c:pt idx="5">
                  <c:v>0.9856726829507314</c:v>
                </c:pt>
                <c:pt idx="6">
                  <c:v>1.0939340226663481</c:v>
                </c:pt>
                <c:pt idx="7">
                  <c:v>1.304141904233985</c:v>
                </c:pt>
                <c:pt idx="8">
                  <c:v>1.4922400442931911</c:v>
                </c:pt>
                <c:pt idx="9">
                  <c:v>1.5904173415378409</c:v>
                </c:pt>
                <c:pt idx="10">
                  <c:v>1.6882712052555244</c:v>
                </c:pt>
                <c:pt idx="11">
                  <c:v>1.5816062321690518</c:v>
                </c:pt>
                <c:pt idx="12">
                  <c:v>1.4857004670633451</c:v>
                </c:pt>
                <c:pt idx="13">
                  <c:v>1.3229345277777476</c:v>
                </c:pt>
                <c:pt idx="14">
                  <c:v>1.242834927692577</c:v>
                </c:pt>
              </c:numCache>
            </c:numRef>
          </c:val>
        </c:ser>
        <c:ser>
          <c:idx val="16"/>
          <c:order val="2"/>
          <c:tx>
            <c:strRef>
              <c:f>CALCULATIONS!$B$21</c:f>
              <c:strCache>
                <c:ptCount val="1"/>
                <c:pt idx="0">
                  <c:v>BT</c:v>
                </c:pt>
              </c:strCache>
            </c:strRef>
          </c:tx>
          <c:spPr>
            <a:ln w="19050">
              <a:solidFill>
                <a:srgbClr val="FFC000"/>
              </a:solidFill>
              <a:prstDash val="sysDash"/>
            </a:ln>
          </c:spPr>
          <c:marker>
            <c:symbol val="none"/>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CALCULATIONS!$KO$21:$LC$21</c:f>
              <c:numCache>
                <c:formatCode>0.0</c:formatCode>
                <c:ptCount val="15"/>
                <c:pt idx="0">
                  <c:v>3.4540108426122931</c:v>
                </c:pt>
                <c:pt idx="1">
                  <c:v>2.5722102990881019</c:v>
                </c:pt>
                <c:pt idx="2">
                  <c:v>2.4424310935840725</c:v>
                </c:pt>
                <c:pt idx="3">
                  <c:v>2.376254266338083</c:v>
                </c:pt>
                <c:pt idx="4">
                  <c:v>2.2611064846245092</c:v>
                </c:pt>
                <c:pt idx="5">
                  <c:v>2.265634262862521</c:v>
                </c:pt>
                <c:pt idx="6">
                  <c:v>2.2276993525463267</c:v>
                </c:pt>
                <c:pt idx="7">
                  <c:v>2.1883920326349502</c:v>
                </c:pt>
                <c:pt idx="8">
                  <c:v>2.0877591347530133</c:v>
                </c:pt>
                <c:pt idx="9">
                  <c:v>2.3849178401937028</c:v>
                </c:pt>
                <c:pt idx="10">
                  <c:v>2.3747772292440383</c:v>
                </c:pt>
                <c:pt idx="11">
                  <c:v>2.3583562992736709</c:v>
                </c:pt>
                <c:pt idx="12">
                  <c:v>2.2555609744296414</c:v>
                </c:pt>
                <c:pt idx="13">
                  <c:v>2.1053769724534006</c:v>
                </c:pt>
                <c:pt idx="14">
                  <c:v>2.136201464388483</c:v>
                </c:pt>
              </c:numCache>
            </c:numRef>
          </c:val>
        </c:ser>
        <c:marker val="1"/>
        <c:axId val="172320256"/>
        <c:axId val="172321792"/>
      </c:lineChart>
      <c:dateAx>
        <c:axId val="172320256"/>
        <c:scaling>
          <c:orientation val="minMax"/>
        </c:scaling>
        <c:axPos val="b"/>
        <c:numFmt formatCode="[$-409]mmm\-yy;@" sourceLinked="0"/>
        <c:tickLblPos val="nextTo"/>
        <c:crossAx val="172321792"/>
        <c:crosses val="autoZero"/>
        <c:auto val="1"/>
        <c:lblOffset val="100"/>
        <c:majorUnit val="6"/>
        <c:majorTimeUnit val="months"/>
      </c:dateAx>
      <c:valAx>
        <c:axId val="172321792"/>
        <c:scaling>
          <c:orientation val="minMax"/>
        </c:scaling>
        <c:axPos val="l"/>
        <c:majorGridlines>
          <c:spPr>
            <a:ln>
              <a:solidFill>
                <a:schemeClr val="bg1">
                  <a:lumMod val="50000"/>
                </a:schemeClr>
              </a:solidFill>
              <a:prstDash val="dash"/>
            </a:ln>
          </c:spPr>
        </c:majorGridlines>
        <c:numFmt formatCode="0.0" sourceLinked="1"/>
        <c:tickLblPos val="nextTo"/>
        <c:crossAx val="172320256"/>
        <c:crosses val="autoZero"/>
        <c:crossBetween val="between"/>
        <c:majorUnit val="0.5"/>
      </c:valAx>
      <c:spPr>
        <a:noFill/>
        <a:ln>
          <a:noFill/>
        </a:ln>
      </c:spPr>
    </c:plotArea>
    <c:legend>
      <c:legendPos val="b"/>
      <c:layout>
        <c:manualLayout>
          <c:xMode val="edge"/>
          <c:yMode val="edge"/>
          <c:x val="0.12112213314410269"/>
          <c:y val="0.91278149371070094"/>
          <c:w val="0.83257384982039051"/>
          <c:h val="6.0237189902266314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8.6430183163060503E-2"/>
          <c:y val="3.6736259024775092E-2"/>
          <c:w val="0.88178007544818671"/>
          <c:h val="0.72446492444130239"/>
        </c:manualLayout>
      </c:layout>
      <c:lineChart>
        <c:grouping val="standard"/>
        <c:ser>
          <c:idx val="2"/>
          <c:order val="0"/>
          <c:tx>
            <c:v>E300 Telecom</c:v>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CALCULATIONS!$OP$33:$PD$33</c:f>
              <c:numCache>
                <c:formatCode>0.0</c:formatCode>
                <c:ptCount val="15"/>
                <c:pt idx="0">
                  <c:v>1.6254999999999999</c:v>
                </c:pt>
                <c:pt idx="1">
                  <c:v>1.522</c:v>
                </c:pt>
                <c:pt idx="2">
                  <c:v>1.4018999999999999</c:v>
                </c:pt>
                <c:pt idx="3">
                  <c:v>1.4748000000000001</c:v>
                </c:pt>
                <c:pt idx="4">
                  <c:v>1.4508000000000001</c:v>
                </c:pt>
                <c:pt idx="5">
                  <c:v>1.5234000000000001</c:v>
                </c:pt>
                <c:pt idx="6">
                  <c:v>1.5146999999999999</c:v>
                </c:pt>
                <c:pt idx="7">
                  <c:v>1.4112</c:v>
                </c:pt>
                <c:pt idx="8">
                  <c:v>1.4157200000000001</c:v>
                </c:pt>
                <c:pt idx="9">
                  <c:v>1.4202399999999999</c:v>
                </c:pt>
                <c:pt idx="10">
                  <c:v>1.42476</c:v>
                </c:pt>
                <c:pt idx="11">
                  <c:v>1.4292799999999999</c:v>
                </c:pt>
                <c:pt idx="12">
                  <c:v>1.4338</c:v>
                </c:pt>
                <c:pt idx="13">
                  <c:v>1.5669</c:v>
                </c:pt>
                <c:pt idx="14">
                  <c:v>1.7</c:v>
                </c:pt>
              </c:numCache>
            </c:numRef>
          </c:val>
        </c:ser>
        <c:ser>
          <c:idx val="3"/>
          <c:order val="1"/>
          <c:tx>
            <c:strRef>
              <c:f>CALCULATIONS!$B$36</c:f>
              <c:strCache>
                <c:ptCount val="1"/>
                <c:pt idx="0">
                  <c:v>E300 Mobile</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CALCULATIONS!$OP$36:$PD$36</c:f>
              <c:numCache>
                <c:formatCode>0.0</c:formatCode>
                <c:ptCount val="15"/>
                <c:pt idx="0">
                  <c:v>1.028</c:v>
                </c:pt>
                <c:pt idx="1">
                  <c:v>1.0049999999999999</c:v>
                </c:pt>
                <c:pt idx="2">
                  <c:v>0.98580000000000001</c:v>
                </c:pt>
                <c:pt idx="3">
                  <c:v>1.0396000000000001</c:v>
                </c:pt>
                <c:pt idx="4">
                  <c:v>1.0711999999999999</c:v>
                </c:pt>
                <c:pt idx="5">
                  <c:v>1.1758999999999999</c:v>
                </c:pt>
                <c:pt idx="6">
                  <c:v>1.1246</c:v>
                </c:pt>
                <c:pt idx="7">
                  <c:v>1.0964</c:v>
                </c:pt>
                <c:pt idx="8">
                  <c:v>1.1269400000000001</c:v>
                </c:pt>
                <c:pt idx="9">
                  <c:v>1.1574800000000001</c:v>
                </c:pt>
                <c:pt idx="10">
                  <c:v>1.1880199999999999</c:v>
                </c:pt>
                <c:pt idx="11">
                  <c:v>1.2185599999999999</c:v>
                </c:pt>
                <c:pt idx="12">
                  <c:v>1.2490999999999999</c:v>
                </c:pt>
                <c:pt idx="13">
                  <c:v>1.3798333333333332</c:v>
                </c:pt>
                <c:pt idx="14">
                  <c:v>1.5105666666666666</c:v>
                </c:pt>
              </c:numCache>
            </c:numRef>
          </c:val>
        </c:ser>
        <c:ser>
          <c:idx val="4"/>
          <c:order val="2"/>
          <c:tx>
            <c:v>E300 Fixe</c:v>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CALCULATIONS!$OP$37:$PD$37</c:f>
              <c:numCache>
                <c:formatCode>0.0</c:formatCode>
                <c:ptCount val="15"/>
                <c:pt idx="0">
                  <c:v>2.6835</c:v>
                </c:pt>
                <c:pt idx="1">
                  <c:v>2.4567999999999999</c:v>
                </c:pt>
                <c:pt idx="2">
                  <c:v>2.1610999999999998</c:v>
                </c:pt>
                <c:pt idx="3">
                  <c:v>2.19</c:v>
                </c:pt>
                <c:pt idx="4">
                  <c:v>2.0546000000000002</c:v>
                </c:pt>
                <c:pt idx="5">
                  <c:v>2.0670000000000002</c:v>
                </c:pt>
                <c:pt idx="6">
                  <c:v>2.1957</c:v>
                </c:pt>
                <c:pt idx="7">
                  <c:v>1.9914000000000001</c:v>
                </c:pt>
                <c:pt idx="8">
                  <c:v>1.9504600000000001</c:v>
                </c:pt>
                <c:pt idx="9">
                  <c:v>1.9095200000000001</c:v>
                </c:pt>
                <c:pt idx="10">
                  <c:v>1.8685799999999999</c:v>
                </c:pt>
                <c:pt idx="11">
                  <c:v>1.8276399999999999</c:v>
                </c:pt>
                <c:pt idx="12">
                  <c:v>1.7867</c:v>
                </c:pt>
                <c:pt idx="13">
                  <c:v>1.9305333333333332</c:v>
                </c:pt>
                <c:pt idx="14">
                  <c:v>2.0743666666666667</c:v>
                </c:pt>
              </c:numCache>
            </c:numRef>
          </c:val>
        </c:ser>
        <c:marker val="1"/>
        <c:axId val="172354944"/>
        <c:axId val="172496384"/>
      </c:lineChart>
      <c:dateAx>
        <c:axId val="172354944"/>
        <c:scaling>
          <c:orientation val="minMax"/>
        </c:scaling>
        <c:axPos val="b"/>
        <c:numFmt formatCode="[$-409]mmm\-yy;@" sourceLinked="0"/>
        <c:tickLblPos val="nextTo"/>
        <c:crossAx val="172496384"/>
        <c:crosses val="autoZero"/>
        <c:auto val="1"/>
        <c:lblOffset val="100"/>
        <c:majorUnit val="6"/>
        <c:majorTimeUnit val="months"/>
      </c:dateAx>
      <c:valAx>
        <c:axId val="172496384"/>
        <c:scaling>
          <c:orientation val="minMax"/>
        </c:scaling>
        <c:axPos val="l"/>
        <c:majorGridlines>
          <c:spPr>
            <a:ln>
              <a:solidFill>
                <a:schemeClr val="bg1">
                  <a:lumMod val="50000"/>
                </a:schemeClr>
              </a:solidFill>
              <a:prstDash val="dash"/>
            </a:ln>
          </c:spPr>
        </c:majorGridlines>
        <c:numFmt formatCode="0.0" sourceLinked="1"/>
        <c:tickLblPos val="nextTo"/>
        <c:crossAx val="172354944"/>
        <c:crosses val="autoZero"/>
        <c:crossBetween val="between"/>
      </c:valAx>
      <c:spPr>
        <a:noFill/>
        <a:ln>
          <a:noFill/>
        </a:ln>
      </c:spPr>
    </c:plotArea>
    <c:legend>
      <c:legendPos val="b"/>
      <c:layout>
        <c:manualLayout>
          <c:xMode val="edge"/>
          <c:yMode val="edge"/>
          <c:x val="1.1543547363716903E-2"/>
          <c:y val="0.88181400545915223"/>
          <c:w val="0.97350564594659084"/>
          <c:h val="0.10978314377370064"/>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6.011294351929973E-2"/>
          <c:y val="4.7180492466197634E-2"/>
          <c:w val="0.88740704699423456"/>
          <c:h val="0.8661169820325485"/>
        </c:manualLayout>
      </c:layout>
      <c:scatterChart>
        <c:scatterStyle val="lineMarker"/>
        <c:ser>
          <c:idx val="0"/>
          <c:order val="0"/>
          <c:spPr>
            <a:ln w="28575">
              <a:noFill/>
            </a:ln>
          </c:spPr>
          <c:marker>
            <c:symbol val="dash"/>
            <c:size val="30"/>
            <c:spPr>
              <a:solidFill>
                <a:srgbClr val="FFC000">
                  <a:alpha val="50196"/>
                </a:srgbClr>
              </a:solidFill>
              <a:ln>
                <a:noFill/>
              </a:ln>
            </c:spPr>
          </c:marker>
          <c:dLbls>
            <c:dLbl>
              <c:idx val="0"/>
              <c:tx>
                <c:rich>
                  <a:bodyPr/>
                  <a:lstStyle/>
                  <a:p>
                    <a:pPr>
                      <a:defRPr sz="1000" b="0" i="0" strike="noStrike">
                        <a:latin typeface="Arial"/>
                      </a:defRPr>
                    </a:pPr>
                    <a:r>
                      <a:rPr lang="en-US"/>
                      <a:t>DT </a:t>
                    </a:r>
                    <a:r>
                      <a:rPr lang="en-US">
                        <a:sym typeface="Symbol"/>
                      </a:rPr>
                      <a:t></a:t>
                    </a:r>
                    <a:endParaRPr lang="en-US"/>
                  </a:p>
                </c:rich>
              </c:tx>
              <c:spPr/>
              <c:dLblPos val="ctr"/>
              <c:showVal val="1"/>
            </c:dLbl>
            <c:dLbl>
              <c:idx val="1"/>
              <c:tx>
                <c:strRef>
                  <c:f>PROFILES!$O$101</c:f>
                  <c:strCache>
                    <c:ptCount val="1"/>
                    <c:pt idx="0">
                      <c:v>TKA</c:v>
                    </c:pt>
                  </c:strCache>
                </c:strRef>
              </c:tx>
              <c:spPr/>
              <c:txPr>
                <a:bodyPr/>
                <a:lstStyle/>
                <a:p>
                  <a:pPr>
                    <a:defRPr sz="1000" b="0" i="0" strike="noStrike">
                      <a:latin typeface="Arial"/>
                    </a:defRPr>
                  </a:pPr>
                  <a:endParaRPr lang="fr-FR"/>
                </a:p>
              </c:txPr>
              <c:dLblPos val="ctr"/>
              <c:showVal val="1"/>
            </c:dLbl>
            <c:dLbl>
              <c:idx val="2"/>
              <c:tx>
                <c:strRef>
                  <c:f>PROFILES!$O$102</c:f>
                  <c:strCache>
                    <c:ptCount val="1"/>
                    <c:pt idx="0">
                      <c:v>BELGACOM</c:v>
                    </c:pt>
                  </c:strCache>
                </c:strRef>
              </c:tx>
              <c:spPr/>
              <c:txPr>
                <a:bodyPr/>
                <a:lstStyle/>
                <a:p>
                  <a:pPr>
                    <a:defRPr sz="1000" b="1" i="0" strike="noStrike">
                      <a:latin typeface="Arial"/>
                    </a:defRPr>
                  </a:pPr>
                  <a:endParaRPr lang="fr-FR"/>
                </a:p>
              </c:txPr>
              <c:dLblPos val="ctr"/>
              <c:showVal val="1"/>
            </c:dLbl>
            <c:dLbl>
              <c:idx val="3"/>
              <c:tx>
                <c:strRef>
                  <c:f>PROFILES!$O$103</c:f>
                  <c:strCache>
                    <c:ptCount val="1"/>
                    <c:pt idx="0">
                      <c:v>MOBISTAR</c:v>
                    </c:pt>
                  </c:strCache>
                </c:strRef>
              </c:tx>
              <c:spPr/>
              <c:txPr>
                <a:bodyPr/>
                <a:lstStyle/>
                <a:p>
                  <a:pPr>
                    <a:defRPr sz="1000" b="1" i="0" strike="noStrike">
                      <a:latin typeface="Arial"/>
                    </a:defRPr>
                  </a:pPr>
                  <a:endParaRPr lang="fr-FR"/>
                </a:p>
              </c:txPr>
              <c:dLblPos val="ctr"/>
              <c:showVal val="1"/>
            </c:dLbl>
            <c:dLbl>
              <c:idx val="4"/>
              <c:tx>
                <c:strRef>
                  <c:f>PROFILES!$O$104</c:f>
                  <c:strCache>
                    <c:ptCount val="1"/>
                    <c:pt idx="0">
                      <c:v>TELENET</c:v>
                    </c:pt>
                  </c:strCache>
                </c:strRef>
              </c:tx>
              <c:spPr/>
              <c:txPr>
                <a:bodyPr/>
                <a:lstStyle/>
                <a:p>
                  <a:pPr>
                    <a:defRPr sz="1000" b="1" i="0" strike="noStrike">
                      <a:latin typeface="Arial"/>
                    </a:defRPr>
                  </a:pPr>
                  <a:endParaRPr lang="fr-FR"/>
                </a:p>
              </c:txPr>
              <c:dLblPos val="ctr"/>
              <c:showVal val="1"/>
            </c:dLbl>
            <c:dLbl>
              <c:idx val="5"/>
              <c:tx>
                <c:strRef>
                  <c:f>PROFILES!$O$105</c:f>
                  <c:strCache>
                    <c:ptCount val="1"/>
                    <c:pt idx="0">
                      <c:v>TDC</c:v>
                    </c:pt>
                  </c:strCache>
                </c:strRef>
              </c:tx>
              <c:spPr/>
              <c:txPr>
                <a:bodyPr/>
                <a:lstStyle/>
                <a:p>
                  <a:pPr>
                    <a:defRPr sz="1000" b="0" i="0" strike="noStrike">
                      <a:latin typeface="Arial"/>
                    </a:defRPr>
                  </a:pPr>
                  <a:endParaRPr lang="fr-FR"/>
                </a:p>
              </c:txPr>
              <c:dLblPos val="ctr"/>
              <c:showVal val="1"/>
            </c:dLbl>
            <c:dLbl>
              <c:idx val="6"/>
              <c:tx>
                <c:strRef>
                  <c:f>PROFILES!$O$106</c:f>
                  <c:strCache>
                    <c:ptCount val="1"/>
                    <c:pt idx="0">
                      <c:v>TEF</c:v>
                    </c:pt>
                  </c:strCache>
                </c:strRef>
              </c:tx>
              <c:spPr/>
              <c:txPr>
                <a:bodyPr/>
                <a:lstStyle/>
                <a:p>
                  <a:pPr>
                    <a:defRPr sz="1000" b="0" i="0" strike="noStrike">
                      <a:latin typeface="Arial"/>
                    </a:defRPr>
                  </a:pPr>
                  <a:endParaRPr lang="fr-FR"/>
                </a:p>
              </c:txPr>
              <c:dLblPos val="ctr"/>
              <c:showVal val="1"/>
            </c:dLbl>
            <c:dLbl>
              <c:idx val="7"/>
              <c:tx>
                <c:strRef>
                  <c:f>PROFILES!$O$107</c:f>
                  <c:strCache>
                    <c:ptCount val="1"/>
                    <c:pt idx="0">
                      <c:v>ELI</c:v>
                    </c:pt>
                  </c:strCache>
                </c:strRef>
              </c:tx>
              <c:spPr/>
              <c:txPr>
                <a:bodyPr/>
                <a:lstStyle/>
                <a:p>
                  <a:pPr>
                    <a:defRPr sz="1000" b="0" i="0" strike="noStrike">
                      <a:latin typeface="Arial"/>
                    </a:defRPr>
                  </a:pPr>
                  <a:endParaRPr lang="fr-FR"/>
                </a:p>
              </c:txPr>
              <c:dLblPos val="ctr"/>
              <c:showVal val="1"/>
            </c:dLbl>
            <c:dLbl>
              <c:idx val="8"/>
              <c:tx>
                <c:strRef>
                  <c:f>PROFILES!$O$108</c:f>
                  <c:strCache>
                    <c:ptCount val="1"/>
                    <c:pt idx="0">
                      <c:v>ILD</c:v>
                    </c:pt>
                  </c:strCache>
                </c:strRef>
              </c:tx>
              <c:spPr/>
              <c:txPr>
                <a:bodyPr/>
                <a:lstStyle/>
                <a:p>
                  <a:pPr>
                    <a:defRPr sz="1000" b="0" i="0" strike="noStrike">
                      <a:latin typeface="Arial"/>
                    </a:defRPr>
                  </a:pPr>
                  <a:endParaRPr lang="fr-FR"/>
                </a:p>
              </c:txPr>
              <c:dLblPos val="ctr"/>
              <c:showVal val="1"/>
            </c:dLbl>
            <c:dLbl>
              <c:idx val="9"/>
              <c:tx>
                <c:strRef>
                  <c:f>PROFILES!$O$109</c:f>
                  <c:strCache>
                    <c:ptCount val="1"/>
                    <c:pt idx="0">
                      <c:v>ORA</c:v>
                    </c:pt>
                  </c:strCache>
                </c:strRef>
              </c:tx>
              <c:spPr/>
              <c:txPr>
                <a:bodyPr/>
                <a:lstStyle/>
                <a:p>
                  <a:pPr>
                    <a:defRPr sz="1000" b="0" i="0" strike="noStrike">
                      <a:latin typeface="Arial"/>
                    </a:defRPr>
                  </a:pPr>
                  <a:endParaRPr lang="fr-FR"/>
                </a:p>
              </c:txPr>
              <c:dLblPos val="ctr"/>
              <c:showVal val="1"/>
            </c:dLbl>
            <c:dLbl>
              <c:idx val="10"/>
              <c:tx>
                <c:strRef>
                  <c:f>PROFILES!$O$110</c:f>
                  <c:strCache>
                    <c:ptCount val="1"/>
                    <c:pt idx="0">
                      <c:v>OTE</c:v>
                    </c:pt>
                  </c:strCache>
                </c:strRef>
              </c:tx>
              <c:spPr/>
              <c:txPr>
                <a:bodyPr/>
                <a:lstStyle/>
                <a:p>
                  <a:pPr>
                    <a:defRPr sz="1000" b="0" i="0" strike="noStrike">
                      <a:latin typeface="Arial"/>
                    </a:defRPr>
                  </a:pPr>
                  <a:endParaRPr lang="fr-FR"/>
                </a:p>
              </c:txPr>
              <c:dLblPos val="ctr"/>
              <c:showVal val="1"/>
            </c:dLbl>
            <c:dLbl>
              <c:idx val="11"/>
              <c:tx>
                <c:strRef>
                  <c:f>PROFILES!$O$111</c:f>
                  <c:strCache>
                    <c:ptCount val="1"/>
                    <c:pt idx="0">
                      <c:v>TIT</c:v>
                    </c:pt>
                  </c:strCache>
                </c:strRef>
              </c:tx>
              <c:spPr/>
              <c:txPr>
                <a:bodyPr/>
                <a:lstStyle/>
                <a:p>
                  <a:pPr>
                    <a:defRPr sz="1000" b="0" i="0" strike="noStrike">
                      <a:latin typeface="Arial"/>
                    </a:defRPr>
                  </a:pPr>
                  <a:endParaRPr lang="fr-FR"/>
                </a:p>
              </c:txPr>
              <c:dLblPos val="ctr"/>
              <c:showVal val="1"/>
            </c:dLbl>
            <c:dLbl>
              <c:idx val="12"/>
              <c:tx>
                <c:strRef>
                  <c:f>PROFILES!$O$112</c:f>
                  <c:strCache>
                    <c:ptCount val="1"/>
                    <c:pt idx="0">
                      <c:v>TEL</c:v>
                    </c:pt>
                  </c:strCache>
                </c:strRef>
              </c:tx>
              <c:spPr/>
              <c:txPr>
                <a:bodyPr/>
                <a:lstStyle/>
                <a:p>
                  <a:pPr>
                    <a:defRPr sz="1000" b="0" i="0" strike="noStrike">
                      <a:latin typeface="Arial"/>
                    </a:defRPr>
                  </a:pPr>
                  <a:endParaRPr lang="fr-FR"/>
                </a:p>
              </c:txPr>
              <c:dLblPos val="ctr"/>
              <c:showVal val="1"/>
            </c:dLbl>
            <c:dLbl>
              <c:idx val="13"/>
              <c:tx>
                <c:strRef>
                  <c:f>PROFILES!$O$113</c:f>
                  <c:strCache>
                    <c:ptCount val="1"/>
                    <c:pt idx="0">
                      <c:v>KPN</c:v>
                    </c:pt>
                  </c:strCache>
                </c:strRef>
              </c:tx>
              <c:spPr/>
              <c:txPr>
                <a:bodyPr/>
                <a:lstStyle/>
                <a:p>
                  <a:pPr>
                    <a:defRPr sz="1000" b="0" i="0" strike="noStrike">
                      <a:latin typeface="Arial"/>
                    </a:defRPr>
                  </a:pPr>
                  <a:endParaRPr lang="fr-FR"/>
                </a:p>
              </c:txPr>
              <c:dLblPos val="ctr"/>
              <c:showVal val="1"/>
            </c:dLbl>
            <c:dLbl>
              <c:idx val="14"/>
              <c:tx>
                <c:strRef>
                  <c:f>PROFILES!$O$114</c:f>
                  <c:strCache>
                    <c:ptCount val="1"/>
                    <c:pt idx="0">
                      <c:v>TPS</c:v>
                    </c:pt>
                  </c:strCache>
                </c:strRef>
              </c:tx>
              <c:spPr/>
              <c:txPr>
                <a:bodyPr/>
                <a:lstStyle/>
                <a:p>
                  <a:pPr>
                    <a:defRPr sz="1000" b="0" i="0" strike="noStrike">
                      <a:latin typeface="Arial"/>
                    </a:defRPr>
                  </a:pPr>
                  <a:endParaRPr lang="fr-FR"/>
                </a:p>
              </c:txPr>
              <c:dLblPos val="ctr"/>
              <c:showVal val="1"/>
            </c:dLbl>
            <c:dLbl>
              <c:idx val="15"/>
              <c:layout>
                <c:manualLayout>
                  <c:x val="-4.7845489219099736E-2"/>
                  <c:y val="-3.2751094518370227E-3"/>
                </c:manualLayout>
              </c:layout>
              <c:tx>
                <c:strRef>
                  <c:f>PROFILES!$O$115</c:f>
                  <c:strCache>
                    <c:ptCount val="1"/>
                    <c:pt idx="0">
                      <c:v>PT</c:v>
                    </c:pt>
                  </c:strCache>
                </c:strRef>
              </c:tx>
              <c:spPr/>
              <c:txPr>
                <a:bodyPr/>
                <a:lstStyle/>
                <a:p>
                  <a:pPr>
                    <a:defRPr sz="1000" b="0" i="0" strike="noStrike">
                      <a:latin typeface="Arial"/>
                    </a:defRPr>
                  </a:pPr>
                  <a:endParaRPr lang="fr-FR"/>
                </a:p>
              </c:txPr>
              <c:dLblPos val="r"/>
              <c:showVal val="1"/>
            </c:dLbl>
            <c:dLbl>
              <c:idx val="16"/>
              <c:tx>
                <c:strRef>
                  <c:f>PROFILES!$O$116</c:f>
                  <c:strCache>
                    <c:ptCount val="1"/>
                    <c:pt idx="0">
                      <c:v>BT</c:v>
                    </c:pt>
                  </c:strCache>
                </c:strRef>
              </c:tx>
              <c:spPr/>
              <c:txPr>
                <a:bodyPr/>
                <a:lstStyle/>
                <a:p>
                  <a:pPr>
                    <a:defRPr sz="1000" b="0" i="0" strike="noStrike">
                      <a:latin typeface="Arial"/>
                    </a:defRPr>
                  </a:pPr>
                  <a:endParaRPr lang="fr-FR"/>
                </a:p>
              </c:txPr>
              <c:dLblPos val="ctr"/>
              <c:showVal val="1"/>
            </c:dLbl>
            <c:dLbl>
              <c:idx val="17"/>
              <c:tx>
                <c:strRef>
                  <c:f>PROFILES!$O$117</c:f>
                  <c:strCache>
                    <c:ptCount val="1"/>
                    <c:pt idx="0">
                      <c:v>VOD</c:v>
                    </c:pt>
                  </c:strCache>
                </c:strRef>
              </c:tx>
              <c:spPr/>
              <c:txPr>
                <a:bodyPr/>
                <a:lstStyle/>
                <a:p>
                  <a:pPr>
                    <a:defRPr sz="1000" b="0" i="0" strike="noStrike">
                      <a:latin typeface="Arial"/>
                    </a:defRPr>
                  </a:pPr>
                  <a:endParaRPr lang="fr-FR"/>
                </a:p>
              </c:txPr>
              <c:dLblPos val="ctr"/>
              <c:showVal val="1"/>
            </c:dLbl>
            <c:dLbl>
              <c:idx val="18"/>
              <c:tx>
                <c:strRef>
                  <c:f>PROFILES!$O$118</c:f>
                  <c:strCache>
                    <c:ptCount val="1"/>
                    <c:pt idx="0">
                      <c:v>TLSN</c:v>
                    </c:pt>
                  </c:strCache>
                </c:strRef>
              </c:tx>
              <c:spPr/>
              <c:txPr>
                <a:bodyPr/>
                <a:lstStyle/>
                <a:p>
                  <a:pPr>
                    <a:defRPr sz="1000" b="0" i="0" strike="noStrike">
                      <a:latin typeface="Arial"/>
                    </a:defRPr>
                  </a:pPr>
                  <a:endParaRPr lang="fr-FR"/>
                </a:p>
              </c:txPr>
              <c:dLblPos val="ctr"/>
              <c:showVal val="1"/>
            </c:dLbl>
            <c:dLbl>
              <c:idx val="19"/>
              <c:tx>
                <c:strRef>
                  <c:f>PROFILES!$O$119</c:f>
                  <c:strCache>
                    <c:ptCount val="1"/>
                    <c:pt idx="0">
                      <c:v>TEL2</c:v>
                    </c:pt>
                  </c:strCache>
                </c:strRef>
              </c:tx>
              <c:spPr/>
              <c:txPr>
                <a:bodyPr/>
                <a:lstStyle/>
                <a:p>
                  <a:pPr>
                    <a:defRPr sz="1000" b="0" i="0" strike="noStrike">
                      <a:latin typeface="Arial"/>
                    </a:defRPr>
                  </a:pPr>
                  <a:endParaRPr lang="fr-FR"/>
                </a:p>
              </c:txPr>
              <c:dLblPos val="ctr"/>
              <c:showVal val="1"/>
            </c:dLbl>
            <c:dLbl>
              <c:idx val="20"/>
              <c:tx>
                <c:strRef>
                  <c:f>PROFILES!$O$120</c:f>
                  <c:strCache>
                    <c:ptCount val="1"/>
                    <c:pt idx="0">
                      <c:v>SCM</c:v>
                    </c:pt>
                  </c:strCache>
                </c:strRef>
              </c:tx>
              <c:spPr/>
              <c:txPr>
                <a:bodyPr/>
                <a:lstStyle/>
                <a:p>
                  <a:pPr>
                    <a:defRPr sz="1000" b="0" i="0" strike="noStrike">
                      <a:latin typeface="Arial"/>
                    </a:defRPr>
                  </a:pPr>
                  <a:endParaRPr lang="fr-FR"/>
                </a:p>
              </c:txPr>
              <c:dLblPos val="ctr"/>
              <c:showVal val="1"/>
            </c:dLbl>
            <c:dLbl>
              <c:idx val="21"/>
              <c:tx>
                <c:strRef>
                  <c:f>PROFILES!$O$121</c:f>
                  <c:strCache>
                    <c:ptCount val="1"/>
                    <c:pt idx="0">
                      <c:v>SNC</c:v>
                    </c:pt>
                  </c:strCache>
                </c:strRef>
              </c:tx>
              <c:spPr/>
              <c:txPr>
                <a:bodyPr/>
                <a:lstStyle/>
                <a:p>
                  <a:pPr>
                    <a:defRPr sz="1000" b="0" i="0" strike="noStrike">
                      <a:latin typeface="Arial"/>
                    </a:defRPr>
                  </a:pPr>
                  <a:endParaRPr lang="fr-FR"/>
                </a:p>
              </c:txPr>
              <c:dLblPos val="ctr"/>
              <c:showVal val="1"/>
            </c:dLbl>
            <c:showVal val="1"/>
          </c:dLbls>
          <c:trendline>
            <c:spPr>
              <a:ln>
                <a:solidFill>
                  <a:schemeClr val="bg1">
                    <a:lumMod val="50000"/>
                  </a:schemeClr>
                </a:solidFill>
                <a:prstDash val="dash"/>
              </a:ln>
            </c:spPr>
            <c:trendlineType val="poly"/>
            <c:order val="2"/>
            <c:dispRSqr val="1"/>
            <c:trendlineLbl>
              <c:numFmt formatCode="General" sourceLinked="0"/>
            </c:trendlineLbl>
          </c:trendline>
          <c:xVal>
            <c:numRef>
              <c:f>PROFILES!$J$204:$J$225</c:f>
              <c:numCache>
                <c:formatCode>0%</c:formatCode>
                <c:ptCount val="22"/>
                <c:pt idx="0">
                  <c:v>0.60734824281150157</c:v>
                </c:pt>
                <c:pt idx="1">
                  <c:v>0.5981133158250882</c:v>
                </c:pt>
                <c:pt idx="2">
                  <c:v>0.33871396895787137</c:v>
                </c:pt>
                <c:pt idx="3">
                  <c:v>0.97</c:v>
                </c:pt>
                <c:pt idx="4">
                  <c:v>0.14257620452310718</c:v>
                </c:pt>
                <c:pt idx="5">
                  <c:v>0.28165979767703259</c:v>
                </c:pt>
                <c:pt idx="6">
                  <c:v>0.63960508302071395</c:v>
                </c:pt>
                <c:pt idx="7">
                  <c:v>0.64439999999999997</c:v>
                </c:pt>
                <c:pt idx="8">
                  <c:v>0.32841368754782985</c:v>
                </c:pt>
                <c:pt idx="9">
                  <c:v>0.60484412483227945</c:v>
                </c:pt>
                <c:pt idx="10">
                  <c:v>0.5161290322580645</c:v>
                </c:pt>
                <c:pt idx="11">
                  <c:v>0.34090000000000004</c:v>
                </c:pt>
                <c:pt idx="12">
                  <c:v>0.74956908795771016</c:v>
                </c:pt>
                <c:pt idx="13">
                  <c:v>0.60384301884652736</c:v>
                </c:pt>
                <c:pt idx="14">
                  <c:v>0.4260134005544996</c:v>
                </c:pt>
                <c:pt idx="15">
                  <c:v>0.47118282781144899</c:v>
                </c:pt>
                <c:pt idx="16">
                  <c:v>0</c:v>
                </c:pt>
                <c:pt idx="17">
                  <c:v>0.88549999999999995</c:v>
                </c:pt>
                <c:pt idx="18">
                  <c:v>0.7167630057803468</c:v>
                </c:pt>
                <c:pt idx="19">
                  <c:v>0.63639387890884902</c:v>
                </c:pt>
                <c:pt idx="20">
                  <c:v>0.30985103942866765</c:v>
                </c:pt>
                <c:pt idx="21">
                  <c:v>0.89258114374034003</c:v>
                </c:pt>
              </c:numCache>
            </c:numRef>
          </c:xVal>
          <c:yVal>
            <c:numRef>
              <c:f>PROFILES!$K$204:$K$225</c:f>
              <c:numCache>
                <c:formatCode>0.0</c:formatCode>
                <c:ptCount val="22"/>
                <c:pt idx="0">
                  <c:v>5.3302458517948876</c:v>
                </c:pt>
                <c:pt idx="1">
                  <c:v>4.0530525032062261</c:v>
                </c:pt>
                <c:pt idx="2">
                  <c:v>4.6619962755533297</c:v>
                </c:pt>
                <c:pt idx="3">
                  <c:v>3.6764587184436395</c:v>
                </c:pt>
                <c:pt idx="4">
                  <c:v>9.0506669895995948</c:v>
                </c:pt>
                <c:pt idx="5">
                  <c:v>5.9052222685092017</c:v>
                </c:pt>
                <c:pt idx="6">
                  <c:v>5.1937231412225326</c:v>
                </c:pt>
                <c:pt idx="7">
                  <c:v>6.9087191819037699</c:v>
                </c:pt>
                <c:pt idx="8">
                  <c:v>9.6719476082953495</c:v>
                </c:pt>
                <c:pt idx="9">
                  <c:v>4.438539176760524</c:v>
                </c:pt>
                <c:pt idx="10">
                  <c:v>3.7439277362047823</c:v>
                </c:pt>
                <c:pt idx="11">
                  <c:v>4.1170506660938244</c:v>
                </c:pt>
                <c:pt idx="12">
                  <c:v>6.1939465303838475</c:v>
                </c:pt>
                <c:pt idx="13">
                  <c:v>4.0325018858098245</c:v>
                </c:pt>
                <c:pt idx="14">
                  <c:v>3.4400754167452243</c:v>
                </c:pt>
                <c:pt idx="15">
                  <c:v>5.1280795143125681</c:v>
                </c:pt>
                <c:pt idx="16">
                  <c:v>5.7096258695546744</c:v>
                </c:pt>
                <c:pt idx="17">
                  <c:v>8.6584668441025876</c:v>
                </c:pt>
                <c:pt idx="18">
                  <c:v>7.6896404016441506</c:v>
                </c:pt>
                <c:pt idx="19">
                  <c:v>5.5145354419406587</c:v>
                </c:pt>
                <c:pt idx="20">
                  <c:v>7.5822149145373468</c:v>
                </c:pt>
                <c:pt idx="21">
                  <c:v>3.9063069179772585</c:v>
                </c:pt>
              </c:numCache>
            </c:numRef>
          </c:yVal>
        </c:ser>
        <c:axId val="167824768"/>
        <c:axId val="167847040"/>
      </c:scatterChart>
      <c:valAx>
        <c:axId val="167824768"/>
        <c:scaling>
          <c:orientation val="minMax"/>
          <c:max val="1"/>
        </c:scaling>
        <c:axPos val="b"/>
        <c:numFmt formatCode="0%" sourceLinked="1"/>
        <c:tickLblPos val="nextTo"/>
        <c:txPr>
          <a:bodyPr/>
          <a:lstStyle/>
          <a:p>
            <a:pPr>
              <a:defRPr sz="1200" baseline="0">
                <a:latin typeface="Arial" pitchFamily="34" charset="0"/>
              </a:defRPr>
            </a:pPr>
            <a:endParaRPr lang="fr-FR"/>
          </a:p>
        </c:txPr>
        <c:crossAx val="167847040"/>
        <c:crosses val="autoZero"/>
        <c:crossBetween val="midCat"/>
        <c:majorUnit val="0.1"/>
      </c:valAx>
      <c:valAx>
        <c:axId val="167847040"/>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67824768"/>
        <c:crosses val="autoZero"/>
        <c:crossBetween val="midCat"/>
        <c:majorUnit val="1"/>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178007544818715"/>
          <c:h val="0.83286224585082536"/>
        </c:manualLayout>
      </c:layout>
      <c:lineChart>
        <c:grouping val="standard"/>
        <c:ser>
          <c:idx val="2"/>
          <c:order val="0"/>
          <c:tx>
            <c:strRef>
              <c:f>CALCULATIONS!$B$7</c:f>
              <c:strCache>
                <c:ptCount val="1"/>
                <c:pt idx="0">
                  <c:v>Belgacom</c:v>
                </c:pt>
              </c:strCache>
            </c:strRef>
          </c:tx>
          <c:spPr>
            <a:ln>
              <a:solidFill>
                <a:sysClr val="windowText" lastClr="000000"/>
              </a:solidFill>
            </a:ln>
          </c:spPr>
          <c:marker>
            <c:symbol val="square"/>
            <c:size val="7"/>
            <c:spPr>
              <a:solidFill>
                <a:schemeClr val="accent3">
                  <a:lumMod val="50000"/>
                </a:schemeClr>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CALCULATIONS!$PJ$7:$PX$7</c:f>
              <c:numCache>
                <c:formatCode>0.0</c:formatCode>
                <c:ptCount val="15"/>
                <c:pt idx="0">
                  <c:v>0.9474793661159967</c:v>
                </c:pt>
                <c:pt idx="1">
                  <c:v>0.83428795270077216</c:v>
                </c:pt>
                <c:pt idx="2">
                  <c:v>0.92476593922070338</c:v>
                </c:pt>
                <c:pt idx="3">
                  <c:v>0.86483651911821335</c:v>
                </c:pt>
                <c:pt idx="4">
                  <c:v>0.73641733005105026</c:v>
                </c:pt>
                <c:pt idx="5">
                  <c:v>0.56816460972277427</c:v>
                </c:pt>
                <c:pt idx="6">
                  <c:v>0.63616116513524457</c:v>
                </c:pt>
                <c:pt idx="7">
                  <c:v>0.60380679205294374</c:v>
                </c:pt>
                <c:pt idx="8">
                  <c:v>0.59122948056400271</c:v>
                </c:pt>
                <c:pt idx="9">
                  <c:v>0.5532445533019329</c:v>
                </c:pt>
                <c:pt idx="10">
                  <c:v>0.59291337776850173</c:v>
                </c:pt>
                <c:pt idx="11">
                  <c:v>0.55446145797955559</c:v>
                </c:pt>
                <c:pt idx="12">
                  <c:v>0.56794589774142912</c:v>
                </c:pt>
                <c:pt idx="13">
                  <c:v>0.55045484017381863</c:v>
                </c:pt>
                <c:pt idx="14">
                  <c:v>0.62586665658446805</c:v>
                </c:pt>
              </c:numCache>
            </c:numRef>
          </c:val>
        </c:ser>
        <c:ser>
          <c:idx val="3"/>
          <c:order val="1"/>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CALCULATIONS!$PJ$8:$PX$8</c:f>
              <c:numCache>
                <c:formatCode>0.0</c:formatCode>
                <c:ptCount val="15"/>
                <c:pt idx="0">
                  <c:v>1.4224897799153571</c:v>
                </c:pt>
                <c:pt idx="1">
                  <c:v>1.6964999268835061</c:v>
                </c:pt>
                <c:pt idx="2">
                  <c:v>2.0995529340311432</c:v>
                </c:pt>
                <c:pt idx="3">
                  <c:v>1.6911207040041727</c:v>
                </c:pt>
                <c:pt idx="4">
                  <c:v>1.4099896262900513</c:v>
                </c:pt>
                <c:pt idx="5">
                  <c:v>1.669605438277872</c:v>
                </c:pt>
                <c:pt idx="6">
                  <c:v>2.0585543991162827</c:v>
                </c:pt>
                <c:pt idx="7">
                  <c:v>1.7303214990997846</c:v>
                </c:pt>
                <c:pt idx="8">
                  <c:v>1.4872106375092968</c:v>
                </c:pt>
                <c:pt idx="9">
                  <c:v>1.7500789321423964</c:v>
                </c:pt>
                <c:pt idx="10">
                  <c:v>2.1308096949890425</c:v>
                </c:pt>
                <c:pt idx="11">
                  <c:v>1.7913057841537303</c:v>
                </c:pt>
                <c:pt idx="12">
                  <c:v>1.534896600310492</c:v>
                </c:pt>
                <c:pt idx="13">
                  <c:v>1.5448530591409113</c:v>
                </c:pt>
                <c:pt idx="14">
                  <c:v>1.5639372203564612</c:v>
                </c:pt>
              </c:numCache>
            </c:numRef>
          </c:val>
        </c:ser>
        <c:ser>
          <c:idx val="4"/>
          <c:order val="2"/>
          <c:tx>
            <c:strRef>
              <c:f>CALCULATIONS!$B$9</c:f>
              <c:strCache>
                <c:ptCount val="1"/>
                <c:pt idx="0">
                  <c:v>Telenet</c:v>
                </c:pt>
              </c:strCache>
            </c:strRef>
          </c:tx>
          <c:spPr>
            <a:ln w="28575">
              <a:solidFill>
                <a:srgbClr val="FFC000"/>
              </a:solidFill>
            </a:ln>
          </c:spPr>
          <c:marker>
            <c:symbol val="diamond"/>
            <c:size val="7"/>
            <c:spPr>
              <a:solidFill>
                <a:srgbClr val="FFC000"/>
              </a:solidFill>
              <a:ln>
                <a:solidFill>
                  <a:srgbClr val="FFC000"/>
                </a:solid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CALCULATIONS!$PJ$9:$PX$9</c:f>
              <c:numCache>
                <c:formatCode>0.0</c:formatCode>
                <c:ptCount val="15"/>
                <c:pt idx="0">
                  <c:v>1.6834302821706963</c:v>
                </c:pt>
                <c:pt idx="1">
                  <c:v>1.6450622918750173</c:v>
                </c:pt>
                <c:pt idx="2">
                  <c:v>4.5528588447314817</c:v>
                </c:pt>
                <c:pt idx="3">
                  <c:v>3.9667610150433581</c:v>
                </c:pt>
                <c:pt idx="4">
                  <c:v>3.0561942936612145</c:v>
                </c:pt>
                <c:pt idx="5">
                  <c:v>2.4303088358520135</c:v>
                </c:pt>
                <c:pt idx="6">
                  <c:v>-3.2485199602104773</c:v>
                </c:pt>
                <c:pt idx="7">
                  <c:v>-2.5611291137120182</c:v>
                </c:pt>
                <c:pt idx="8">
                  <c:v>-2.7587710765525113</c:v>
                </c:pt>
                <c:pt idx="9">
                  <c:v>-2.5202422124564041</c:v>
                </c:pt>
                <c:pt idx="10">
                  <c:v>-0.97278456103455146</c:v>
                </c:pt>
                <c:pt idx="11">
                  <c:v>-1.0633735102481428</c:v>
                </c:pt>
                <c:pt idx="12">
                  <c:v>-1.0830842813621857</c:v>
                </c:pt>
                <c:pt idx="13">
                  <c:v>-1.1634718208764263</c:v>
                </c:pt>
                <c:pt idx="14">
                  <c:v>-0.58091590737417254</c:v>
                </c:pt>
              </c:numCache>
            </c:numRef>
          </c:val>
        </c:ser>
        <c:marker val="1"/>
        <c:axId val="172525056"/>
        <c:axId val="172526976"/>
      </c:lineChart>
      <c:dateAx>
        <c:axId val="172525056"/>
        <c:scaling>
          <c:orientation val="minMax"/>
        </c:scaling>
        <c:axPos val="b"/>
        <c:numFmt formatCode="[$-409]mmm\-yy;@" sourceLinked="0"/>
        <c:tickLblPos val="nextTo"/>
        <c:crossAx val="172526976"/>
        <c:crosses val="autoZero"/>
        <c:auto val="1"/>
        <c:lblOffset val="100"/>
        <c:majorUnit val="6"/>
        <c:majorTimeUnit val="months"/>
      </c:dateAx>
      <c:valAx>
        <c:axId val="172526976"/>
        <c:scaling>
          <c:orientation val="minMax"/>
        </c:scaling>
        <c:axPos val="l"/>
        <c:majorGridlines>
          <c:spPr>
            <a:ln>
              <a:solidFill>
                <a:schemeClr val="bg1">
                  <a:lumMod val="50000"/>
                </a:schemeClr>
              </a:solidFill>
              <a:prstDash val="dash"/>
            </a:ln>
          </c:spPr>
        </c:majorGridlines>
        <c:numFmt formatCode="0" sourceLinked="0"/>
        <c:tickLblPos val="nextTo"/>
        <c:crossAx val="172525056"/>
        <c:crosses val="autoZero"/>
        <c:crossBetween val="between"/>
      </c:valAx>
      <c:spPr>
        <a:noFill/>
        <a:ln>
          <a:noFill/>
        </a:ln>
      </c:spPr>
    </c:plotArea>
    <c:legend>
      <c:legendPos val="b"/>
      <c:layout>
        <c:manualLayout>
          <c:xMode val="edge"/>
          <c:yMode val="edge"/>
          <c:x val="1.1543547363716907E-2"/>
          <c:y val="0.88181400545915223"/>
          <c:w val="0.97350564594659084"/>
          <c:h val="0.1097831437737007"/>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6171011484980344E-2"/>
          <c:y val="3.6736162939592948E-2"/>
          <c:w val="0.88839774267870564"/>
          <c:h val="0.74536216939771727"/>
        </c:manualLayout>
      </c:layout>
      <c:lineChart>
        <c:grouping val="standard"/>
        <c:ser>
          <c:idx val="3"/>
          <c:order val="0"/>
          <c:tx>
            <c:strRef>
              <c:f>CALCULATIONS!$B$8</c:f>
              <c:strCache>
                <c:ptCount val="1"/>
                <c:pt idx="0">
                  <c:v>Mobistar</c:v>
                </c:pt>
              </c:strCache>
            </c:strRef>
          </c:tx>
          <c:spPr>
            <a:ln>
              <a:solidFill>
                <a:srgbClr val="C00000"/>
              </a:solidFill>
            </a:ln>
          </c:spPr>
          <c:marker>
            <c:symbol val="triangle"/>
            <c:size val="7"/>
            <c:spPr>
              <a:solidFill>
                <a:srgbClr val="C00000"/>
              </a:solidFill>
              <a:ln>
                <a:noFill/>
              </a:ln>
            </c:spPr>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CALCULATIONS!$MG$45:$MU$45</c:f>
              <c:numCache>
                <c:formatCode>0.0</c:formatCode>
                <c:ptCount val="15"/>
                <c:pt idx="0">
                  <c:v>1.2073688972374654</c:v>
                </c:pt>
                <c:pt idx="1">
                  <c:v>1.2465248276448195</c:v>
                </c:pt>
                <c:pt idx="2">
                  <c:v>1.2852996616201011</c:v>
                </c:pt>
                <c:pt idx="3">
                  <c:v>1.3003886396800928</c:v>
                </c:pt>
                <c:pt idx="4">
                  <c:v>1.3136426316730332</c:v>
                </c:pt>
                <c:pt idx="5">
                  <c:v>1.3414825976373252</c:v>
                </c:pt>
                <c:pt idx="6">
                  <c:v>1.3688664009344598</c:v>
                </c:pt>
                <c:pt idx="7">
                  <c:v>1.3521897255895834</c:v>
                </c:pt>
                <c:pt idx="8">
                  <c:v>1.3369242875294411</c:v>
                </c:pt>
                <c:pt idx="9">
                  <c:v>1.4361604953687481</c:v>
                </c:pt>
                <c:pt idx="10">
                  <c:v>1.544975264772025</c:v>
                </c:pt>
                <c:pt idx="11">
                  <c:v>1.543202041089526</c:v>
                </c:pt>
                <c:pt idx="12">
                  <c:v>1.545718716126997</c:v>
                </c:pt>
                <c:pt idx="13">
                  <c:v>1.715098509561406</c:v>
                </c:pt>
                <c:pt idx="14">
                  <c:v>1.9015264130947394</c:v>
                </c:pt>
              </c:numCache>
            </c:numRef>
          </c:val>
        </c:ser>
        <c:ser>
          <c:idx val="16"/>
          <c:order val="1"/>
          <c:tx>
            <c:strRef>
              <c:f>CALCULATIONS!$B$19</c:f>
              <c:strCache>
                <c:ptCount val="1"/>
                <c:pt idx="0">
                  <c:v>TPS</c:v>
                </c:pt>
              </c:strCache>
            </c:strRef>
          </c:tx>
          <c:spPr>
            <a:ln w="25400">
              <a:solidFill>
                <a:schemeClr val="accent3">
                  <a:lumMod val="50000"/>
                </a:schemeClr>
              </a:solidFill>
            </a:ln>
          </c:spPr>
          <c:marker>
            <c:symbol val="none"/>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CALCULATIONS!$MG$56:$MU$56</c:f>
              <c:numCache>
                <c:formatCode>0.0</c:formatCode>
                <c:ptCount val="15"/>
                <c:pt idx="0">
                  <c:v>1.2811942146686697</c:v>
                </c:pt>
                <c:pt idx="1">
                  <c:v>1.2830128715601152</c:v>
                </c:pt>
                <c:pt idx="2">
                  <c:v>1.3027443216310544</c:v>
                </c:pt>
                <c:pt idx="3">
                  <c:v>1.3018700071951803</c:v>
                </c:pt>
                <c:pt idx="4">
                  <c:v>1.273707371252627</c:v>
                </c:pt>
                <c:pt idx="5">
                  <c:v>1.3237395965283134</c:v>
                </c:pt>
                <c:pt idx="6">
                  <c:v>1.3909341860092463</c:v>
                </c:pt>
                <c:pt idx="7">
                  <c:v>1.2126734564446415</c:v>
                </c:pt>
                <c:pt idx="8">
                  <c:v>1.1948617468126255</c:v>
                </c:pt>
                <c:pt idx="9">
                  <c:v>1.216215509847316</c:v>
                </c:pt>
                <c:pt idx="10">
                  <c:v>1.1338061957043604</c:v>
                </c:pt>
                <c:pt idx="11">
                  <c:v>1.3548414999495155</c:v>
                </c:pt>
                <c:pt idx="12">
                  <c:v>1.392045416028284</c:v>
                </c:pt>
                <c:pt idx="13">
                  <c:v>1.3978878422812229</c:v>
                </c:pt>
                <c:pt idx="14">
                  <c:v>1.4457059049561294</c:v>
                </c:pt>
              </c:numCache>
            </c:numRef>
          </c:val>
        </c:ser>
        <c:ser>
          <c:idx val="1"/>
          <c:order val="2"/>
          <c:tx>
            <c:strRef>
              <c:f>CALCULATIONS!$B$13</c:f>
              <c:strCache>
                <c:ptCount val="1"/>
                <c:pt idx="0">
                  <c:v>ILD</c:v>
                </c:pt>
              </c:strCache>
            </c:strRef>
          </c:tx>
          <c:spPr>
            <a:ln w="22225">
              <a:solidFill>
                <a:srgbClr val="FFC000"/>
              </a:solidFill>
            </a:ln>
          </c:spPr>
          <c:marker>
            <c:symbol val="none"/>
          </c:marker>
          <c:val>
            <c:numRef>
              <c:f>CALCULATIONS!$MG$50:$MU$50</c:f>
              <c:numCache>
                <c:formatCode>0.0</c:formatCode>
                <c:ptCount val="15"/>
                <c:pt idx="0">
                  <c:v>1.24619442158067</c:v>
                </c:pt>
                <c:pt idx="1">
                  <c:v>1.4700688372321931</c:v>
                </c:pt>
                <c:pt idx="2">
                  <c:v>1.60426558606956</c:v>
                </c:pt>
                <c:pt idx="3">
                  <c:v>1.3916381725697906</c:v>
                </c:pt>
                <c:pt idx="4">
                  <c:v>1.1733747472752558</c:v>
                </c:pt>
                <c:pt idx="5">
                  <c:v>1.2393176958664498</c:v>
                </c:pt>
                <c:pt idx="6">
                  <c:v>1.3023005347749153</c:v>
                </c:pt>
                <c:pt idx="7">
                  <c:v>1.5570234043172304</c:v>
                </c:pt>
                <c:pt idx="8">
                  <c:v>1.7847853386339634</c:v>
                </c:pt>
                <c:pt idx="9">
                  <c:v>1.8415648713702955</c:v>
                </c:pt>
                <c:pt idx="10">
                  <c:v>1.8981552639439561</c:v>
                </c:pt>
                <c:pt idx="11">
                  <c:v>1.9946358940388176</c:v>
                </c:pt>
                <c:pt idx="12">
                  <c:v>2.0829531980701024</c:v>
                </c:pt>
                <c:pt idx="13">
                  <c:v>1.7258378941331214</c:v>
                </c:pt>
                <c:pt idx="14">
                  <c:v>1.4892026320099023</c:v>
                </c:pt>
              </c:numCache>
            </c:numRef>
          </c:val>
        </c:ser>
        <c:ser>
          <c:idx val="0"/>
          <c:order val="3"/>
          <c:tx>
            <c:strRef>
              <c:f>CALCULATIONS!$B$26</c:f>
              <c:strCache>
                <c:ptCount val="1"/>
                <c:pt idx="0">
                  <c:v>SNC</c:v>
                </c:pt>
              </c:strCache>
            </c:strRef>
          </c:tx>
          <c:spPr>
            <a:ln w="22225">
              <a:solidFill>
                <a:srgbClr val="C00000"/>
              </a:solidFill>
            </a:ln>
          </c:spPr>
          <c:marker>
            <c:symbol val="none"/>
          </c:marker>
          <c:val>
            <c:numRef>
              <c:f>CALCULATIONS!$MG$63:$MU$63</c:f>
              <c:numCache>
                <c:formatCode>0.0</c:formatCode>
                <c:ptCount val="15"/>
                <c:pt idx="0">
                  <c:v>2.7930094739411575</c:v>
                </c:pt>
                <c:pt idx="1">
                  <c:v>2.631693131311597</c:v>
                </c:pt>
                <c:pt idx="2">
                  <c:v>2.5731879581773129</c:v>
                </c:pt>
                <c:pt idx="3">
                  <c:v>2.6156810437788787</c:v>
                </c:pt>
                <c:pt idx="4">
                  <c:v>2.5563845743262901</c:v>
                </c:pt>
                <c:pt idx="5">
                  <c:v>2.6748349184465661</c:v>
                </c:pt>
                <c:pt idx="6">
                  <c:v>2.6882205672309096</c:v>
                </c:pt>
                <c:pt idx="7">
                  <c:v>2.6808228202666102</c:v>
                </c:pt>
                <c:pt idx="8">
                  <c:v>2.4960555043102537</c:v>
                </c:pt>
                <c:pt idx="9">
                  <c:v>2.3391924304519285</c:v>
                </c:pt>
                <c:pt idx="10">
                  <c:v>2.335636367730122</c:v>
                </c:pt>
                <c:pt idx="11">
                  <c:v>2.045768028220647</c:v>
                </c:pt>
                <c:pt idx="12">
                  <c:v>2.1789058815746305</c:v>
                </c:pt>
                <c:pt idx="13">
                  <c:v>2.0996583081835922</c:v>
                </c:pt>
                <c:pt idx="14">
                  <c:v>2.0854531506487364</c:v>
                </c:pt>
              </c:numCache>
            </c:numRef>
          </c:val>
        </c:ser>
        <c:ser>
          <c:idx val="17"/>
          <c:order val="4"/>
          <c:tx>
            <c:strRef>
              <c:f>CALCULATIONS!$B$24</c:f>
              <c:strCache>
                <c:ptCount val="1"/>
                <c:pt idx="0">
                  <c:v>TEL2</c:v>
                </c:pt>
              </c:strCache>
            </c:strRef>
          </c:tx>
          <c:spPr>
            <a:ln w="19050">
              <a:solidFill>
                <a:schemeClr val="bg2">
                  <a:lumMod val="50000"/>
                </a:schemeClr>
              </a:solidFill>
            </a:ln>
          </c:spPr>
          <c:marker>
            <c:symbol val="none"/>
          </c:marker>
          <c:cat>
            <c:numRef>
              <c:f>CALCULATIONS!$GA$2:$GO$2</c:f>
              <c:numCache>
                <c:formatCode>dd/mm/yyyy</c:formatCode>
                <c:ptCount val="15"/>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numCache>
            </c:numRef>
          </c:cat>
          <c:val>
            <c:numRef>
              <c:f>CALCULATIONS!$MG$61:$MU$61</c:f>
              <c:numCache>
                <c:formatCode>0.0</c:formatCode>
                <c:ptCount val="15"/>
                <c:pt idx="0">
                  <c:v>1.0407162855366883</c:v>
                </c:pt>
                <c:pt idx="1">
                  <c:v>1.1229760312754102</c:v>
                </c:pt>
                <c:pt idx="2">
                  <c:v>1.1396686992136211</c:v>
                </c:pt>
                <c:pt idx="3">
                  <c:v>0.97044459203164424</c:v>
                </c:pt>
                <c:pt idx="4">
                  <c:v>0.81584251821841902</c:v>
                </c:pt>
                <c:pt idx="5">
                  <c:v>0.76535669571282439</c:v>
                </c:pt>
                <c:pt idx="6">
                  <c:v>1.9708789105837119</c:v>
                </c:pt>
                <c:pt idx="7">
                  <c:v>1.8720539713810258</c:v>
                </c:pt>
                <c:pt idx="8">
                  <c:v>1.7333385231011276</c:v>
                </c:pt>
                <c:pt idx="9">
                  <c:v>1.82527551828394</c:v>
                </c:pt>
                <c:pt idx="10">
                  <c:v>2.6458410900788696</c:v>
                </c:pt>
                <c:pt idx="11">
                  <c:v>2.5621702844444512</c:v>
                </c:pt>
                <c:pt idx="12">
                  <c:v>2.6565846380540186</c:v>
                </c:pt>
                <c:pt idx="13">
                  <c:v>2.0307043458305896</c:v>
                </c:pt>
                <c:pt idx="14">
                  <c:v>1.835715357616891</c:v>
                </c:pt>
              </c:numCache>
            </c:numRef>
          </c:val>
        </c:ser>
        <c:marker val="1"/>
        <c:axId val="172627840"/>
        <c:axId val="172629376"/>
      </c:lineChart>
      <c:dateAx>
        <c:axId val="172627840"/>
        <c:scaling>
          <c:orientation val="minMax"/>
        </c:scaling>
        <c:axPos val="b"/>
        <c:numFmt formatCode="[$-409]mmm\-yy;@" sourceLinked="0"/>
        <c:tickLblPos val="nextTo"/>
        <c:crossAx val="172629376"/>
        <c:crosses val="autoZero"/>
        <c:auto val="1"/>
        <c:lblOffset val="100"/>
        <c:majorUnit val="6"/>
        <c:majorTimeUnit val="months"/>
      </c:dateAx>
      <c:valAx>
        <c:axId val="172629376"/>
        <c:scaling>
          <c:orientation val="minMax"/>
        </c:scaling>
        <c:axPos val="l"/>
        <c:majorGridlines>
          <c:spPr>
            <a:ln>
              <a:solidFill>
                <a:schemeClr val="bg1">
                  <a:lumMod val="50000"/>
                </a:schemeClr>
              </a:solidFill>
              <a:prstDash val="dash"/>
            </a:ln>
          </c:spPr>
        </c:majorGridlines>
        <c:numFmt formatCode="0.0" sourceLinked="1"/>
        <c:tickLblPos val="nextTo"/>
        <c:crossAx val="172627840"/>
        <c:crosses val="autoZero"/>
        <c:crossBetween val="between"/>
      </c:valAx>
      <c:spPr>
        <a:noFill/>
        <a:ln>
          <a:noFill/>
        </a:ln>
      </c:spPr>
    </c:plotArea>
    <c:legend>
      <c:legendPos val="b"/>
      <c:layout>
        <c:manualLayout>
          <c:xMode val="edge"/>
          <c:yMode val="edge"/>
          <c:x val="0.10245589814495856"/>
          <c:y val="0.89884341189387995"/>
          <c:w val="0.83257384982039051"/>
          <c:h val="6.0237189902266314E-2"/>
        </c:manualLayout>
      </c:layout>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1297686682904218E-2"/>
          <c:y val="3.8110379065860289E-2"/>
          <c:w val="0.89275010457523618"/>
          <c:h val="0.87589760832385566"/>
        </c:manualLayout>
      </c:layout>
      <c:scatterChart>
        <c:scatterStyle val="lineMarker"/>
        <c:ser>
          <c:idx val="0"/>
          <c:order val="0"/>
          <c:spPr>
            <a:ln w="28575">
              <a:noFill/>
            </a:ln>
          </c:spPr>
          <c:marker>
            <c:symbol val="circle"/>
            <c:size val="10"/>
            <c:spPr>
              <a:solidFill>
                <a:srgbClr val="FFC000">
                  <a:alpha val="46000"/>
                </a:srgbClr>
              </a:solidFill>
              <a:ln>
                <a:noFill/>
              </a:ln>
            </c:spPr>
          </c:marker>
          <c:dLbls>
            <c:dLbl>
              <c:idx val="0"/>
              <c:tx>
                <c:strRef>
                  <c:f>Ranking!$AH$7</c:f>
                  <c:strCache>
                    <c:ptCount val="1"/>
                    <c:pt idx="0">
                      <c:v>DT</c:v>
                    </c:pt>
                  </c:strCache>
                </c:strRef>
              </c:tx>
              <c:dLblPos val="ctr"/>
              <c:showVal val="1"/>
            </c:dLbl>
            <c:dLbl>
              <c:idx val="1"/>
              <c:tx>
                <c:strRef>
                  <c:f>Ranking!$AH$8</c:f>
                  <c:strCache>
                    <c:ptCount val="1"/>
                    <c:pt idx="0">
                      <c:v>TKA</c:v>
                    </c:pt>
                  </c:strCache>
                </c:strRef>
              </c:tx>
              <c:dLblPos val="ctr"/>
              <c:showVal val="1"/>
            </c:dLbl>
            <c:dLbl>
              <c:idx val="2"/>
              <c:tx>
                <c:strRef>
                  <c:f>Ranking!$AH$9</c:f>
                  <c:strCache>
                    <c:ptCount val="1"/>
                    <c:pt idx="0">
                      <c:v>BELGACOM</c:v>
                    </c:pt>
                  </c:strCache>
                </c:strRef>
              </c:tx>
              <c:spPr/>
              <c:txPr>
                <a:bodyPr/>
                <a:lstStyle/>
                <a:p>
                  <a:pPr>
                    <a:defRPr sz="1000" b="1"/>
                  </a:pPr>
                  <a:endParaRPr lang="fr-FR"/>
                </a:p>
              </c:txPr>
              <c:dLblPos val="ctr"/>
              <c:showVal val="1"/>
            </c:dLbl>
            <c:dLbl>
              <c:idx val="3"/>
              <c:tx>
                <c:strRef>
                  <c:f>Ranking!$AH$10</c:f>
                  <c:strCache>
                    <c:ptCount val="1"/>
                    <c:pt idx="0">
                      <c:v>MOBISTAR</c:v>
                    </c:pt>
                  </c:strCache>
                </c:strRef>
              </c:tx>
              <c:spPr/>
              <c:txPr>
                <a:bodyPr/>
                <a:lstStyle/>
                <a:p>
                  <a:pPr>
                    <a:defRPr sz="1000" b="1"/>
                  </a:pPr>
                  <a:endParaRPr lang="fr-FR"/>
                </a:p>
              </c:txPr>
              <c:dLblPos val="ctr"/>
              <c:showVal val="1"/>
            </c:dLbl>
            <c:dLbl>
              <c:idx val="4"/>
              <c:tx>
                <c:strRef>
                  <c:f>Ranking!$AH$11</c:f>
                  <c:strCache>
                    <c:ptCount val="1"/>
                    <c:pt idx="0">
                      <c:v>TELENET</c:v>
                    </c:pt>
                  </c:strCache>
                </c:strRef>
              </c:tx>
              <c:spPr/>
              <c:txPr>
                <a:bodyPr/>
                <a:lstStyle/>
                <a:p>
                  <a:pPr>
                    <a:defRPr sz="1000" b="1"/>
                  </a:pPr>
                  <a:endParaRPr lang="fr-FR"/>
                </a:p>
              </c:txPr>
              <c:dLblPos val="ctr"/>
              <c:showVal val="1"/>
            </c:dLbl>
            <c:dLbl>
              <c:idx val="5"/>
              <c:tx>
                <c:strRef>
                  <c:f>Ranking!$AH$12</c:f>
                  <c:strCache>
                    <c:ptCount val="1"/>
                    <c:pt idx="0">
                      <c:v>TDC</c:v>
                    </c:pt>
                  </c:strCache>
                </c:strRef>
              </c:tx>
              <c:dLblPos val="ctr"/>
              <c:showVal val="1"/>
            </c:dLbl>
            <c:dLbl>
              <c:idx val="6"/>
              <c:tx>
                <c:strRef>
                  <c:f>Ranking!$AH$13</c:f>
                  <c:strCache>
                    <c:ptCount val="1"/>
                    <c:pt idx="0">
                      <c:v>TEF</c:v>
                    </c:pt>
                  </c:strCache>
                </c:strRef>
              </c:tx>
              <c:dLblPos val="ctr"/>
              <c:showVal val="1"/>
            </c:dLbl>
            <c:dLbl>
              <c:idx val="7"/>
              <c:tx>
                <c:strRef>
                  <c:f>Ranking!$AH$14</c:f>
                  <c:strCache>
                    <c:ptCount val="1"/>
                    <c:pt idx="0">
                      <c:v>ELI</c:v>
                    </c:pt>
                  </c:strCache>
                </c:strRef>
              </c:tx>
              <c:dLblPos val="ctr"/>
              <c:showVal val="1"/>
            </c:dLbl>
            <c:dLbl>
              <c:idx val="8"/>
              <c:tx>
                <c:strRef>
                  <c:f>Ranking!$AH$15</c:f>
                  <c:strCache>
                    <c:ptCount val="1"/>
                    <c:pt idx="0">
                      <c:v>ILD</c:v>
                    </c:pt>
                  </c:strCache>
                </c:strRef>
              </c:tx>
              <c:dLblPos val="ctr"/>
              <c:showVal val="1"/>
            </c:dLbl>
            <c:dLbl>
              <c:idx val="9"/>
              <c:tx>
                <c:strRef>
                  <c:f>Ranking!$AH$16</c:f>
                  <c:strCache>
                    <c:ptCount val="1"/>
                    <c:pt idx="0">
                      <c:v>ORA</c:v>
                    </c:pt>
                  </c:strCache>
                </c:strRef>
              </c:tx>
              <c:dLblPos val="ctr"/>
              <c:showVal val="1"/>
            </c:dLbl>
            <c:dLbl>
              <c:idx val="10"/>
              <c:tx>
                <c:strRef>
                  <c:f>Ranking!$AH$17</c:f>
                  <c:strCache>
                    <c:ptCount val="1"/>
                    <c:pt idx="0">
                      <c:v>OTE</c:v>
                    </c:pt>
                  </c:strCache>
                </c:strRef>
              </c:tx>
              <c:dLblPos val="ctr"/>
              <c:showVal val="1"/>
            </c:dLbl>
            <c:dLbl>
              <c:idx val="11"/>
              <c:tx>
                <c:strRef>
                  <c:f>Ranking!$AH$18</c:f>
                  <c:strCache>
                    <c:ptCount val="1"/>
                    <c:pt idx="0">
                      <c:v>TIT</c:v>
                    </c:pt>
                  </c:strCache>
                </c:strRef>
              </c:tx>
              <c:dLblPos val="ctr"/>
              <c:showVal val="1"/>
            </c:dLbl>
            <c:dLbl>
              <c:idx val="12"/>
              <c:layout>
                <c:manualLayout>
                  <c:x val="-3.6222023637584276E-2"/>
                  <c:y val="0"/>
                </c:manualLayout>
              </c:layout>
              <c:tx>
                <c:strRef>
                  <c:f>Ranking!$AH$19</c:f>
                  <c:strCache>
                    <c:ptCount val="1"/>
                    <c:pt idx="0">
                      <c:v>TEL</c:v>
                    </c:pt>
                  </c:strCache>
                </c:strRef>
              </c:tx>
              <c:dLblPos val="r"/>
              <c:showVal val="1"/>
            </c:dLbl>
            <c:dLbl>
              <c:idx val="13"/>
              <c:tx>
                <c:strRef>
                  <c:f>Ranking!$AH$20</c:f>
                  <c:strCache>
                    <c:ptCount val="1"/>
                    <c:pt idx="0">
                      <c:v>KPN</c:v>
                    </c:pt>
                  </c:strCache>
                </c:strRef>
              </c:tx>
              <c:dLblPos val="ctr"/>
              <c:showVal val="1"/>
            </c:dLbl>
            <c:dLbl>
              <c:idx val="14"/>
              <c:tx>
                <c:strRef>
                  <c:f>Ranking!$AH$21</c:f>
                  <c:strCache>
                    <c:ptCount val="1"/>
                    <c:pt idx="0">
                      <c:v>TPS</c:v>
                    </c:pt>
                  </c:strCache>
                </c:strRef>
              </c:tx>
              <c:dLblPos val="ctr"/>
              <c:showVal val="1"/>
            </c:dLbl>
            <c:dLbl>
              <c:idx val="15"/>
              <c:tx>
                <c:strRef>
                  <c:f>Ranking!$AH$22</c:f>
                  <c:strCache>
                    <c:ptCount val="1"/>
                    <c:pt idx="0">
                      <c:v>PT</c:v>
                    </c:pt>
                  </c:strCache>
                </c:strRef>
              </c:tx>
              <c:dLblPos val="ctr"/>
              <c:showVal val="1"/>
            </c:dLbl>
            <c:dLbl>
              <c:idx val="16"/>
              <c:tx>
                <c:strRef>
                  <c:f>Ranking!$AH$23</c:f>
                  <c:strCache>
                    <c:ptCount val="1"/>
                    <c:pt idx="0">
                      <c:v>BT</c:v>
                    </c:pt>
                  </c:strCache>
                </c:strRef>
              </c:tx>
              <c:dLblPos val="ctr"/>
              <c:showVal val="1"/>
            </c:dLbl>
            <c:dLbl>
              <c:idx val="17"/>
              <c:tx>
                <c:strRef>
                  <c:f>Ranking!$AH$24</c:f>
                  <c:strCache>
                    <c:ptCount val="1"/>
                    <c:pt idx="0">
                      <c:v>VOD</c:v>
                    </c:pt>
                  </c:strCache>
                </c:strRef>
              </c:tx>
              <c:dLblPos val="ctr"/>
              <c:showVal val="1"/>
            </c:dLbl>
            <c:dLbl>
              <c:idx val="18"/>
              <c:tx>
                <c:strRef>
                  <c:f>Ranking!$AH$25</c:f>
                  <c:strCache>
                    <c:ptCount val="1"/>
                    <c:pt idx="0">
                      <c:v>TLSN</c:v>
                    </c:pt>
                  </c:strCache>
                </c:strRef>
              </c:tx>
              <c:dLblPos val="ctr"/>
              <c:showVal val="1"/>
            </c:dLbl>
            <c:dLbl>
              <c:idx val="19"/>
              <c:tx>
                <c:strRef>
                  <c:f>Ranking!$AH$26</c:f>
                  <c:strCache>
                    <c:ptCount val="1"/>
                    <c:pt idx="0">
                      <c:v>TEL2</c:v>
                    </c:pt>
                  </c:strCache>
                </c:strRef>
              </c:tx>
              <c:dLblPos val="ctr"/>
              <c:showVal val="1"/>
            </c:dLbl>
            <c:dLbl>
              <c:idx val="20"/>
              <c:tx>
                <c:strRef>
                  <c:f>Ranking!$AH$27</c:f>
                  <c:strCache>
                    <c:ptCount val="1"/>
                    <c:pt idx="0">
                      <c:v>SCM</c:v>
                    </c:pt>
                  </c:strCache>
                </c:strRef>
              </c:tx>
              <c:dLblPos val="ctr"/>
              <c:showVal val="1"/>
            </c:dLbl>
            <c:dLbl>
              <c:idx val="21"/>
              <c:tx>
                <c:strRef>
                  <c:f>Ranking!$AH$28</c:f>
                  <c:strCache>
                    <c:ptCount val="1"/>
                    <c:pt idx="0">
                      <c:v>SNC</c:v>
                    </c:pt>
                  </c:strCache>
                </c:strRef>
              </c:tx>
              <c:dLblPos val="ctr"/>
              <c:showVal val="1"/>
            </c:dLbl>
            <c:txPr>
              <a:bodyPr/>
              <a:lstStyle/>
              <a:p>
                <a:pPr>
                  <a:defRPr sz="1000" b="0"/>
                </a:pPr>
                <a:endParaRPr lang="fr-FR"/>
              </a:p>
            </c:txPr>
            <c:showVal val="1"/>
          </c:dLbls>
          <c:trendline>
            <c:spPr>
              <a:ln>
                <a:solidFill>
                  <a:schemeClr val="bg1">
                    <a:lumMod val="50000"/>
                  </a:schemeClr>
                </a:solidFill>
                <a:prstDash val="solid"/>
              </a:ln>
            </c:spPr>
            <c:trendlineType val="linear"/>
            <c:dispRSqr val="1"/>
            <c:trendlineLbl>
              <c:layout>
                <c:manualLayout>
                  <c:x val="-1.948986454610091E-2"/>
                  <c:y val="1.5462369412952617E-3"/>
                </c:manualLayout>
              </c:layout>
              <c:tx>
                <c:rich>
                  <a:bodyPr/>
                  <a:lstStyle/>
                  <a:p>
                    <a:pPr>
                      <a:defRPr>
                        <a:solidFill>
                          <a:schemeClr val="bg1">
                            <a:lumMod val="50000"/>
                          </a:schemeClr>
                        </a:solidFill>
                      </a:defRPr>
                    </a:pPr>
                    <a:r>
                      <a:rPr lang="en-US"/>
                      <a:t>R² = 0.81</a:t>
                    </a:r>
                  </a:p>
                </c:rich>
              </c:tx>
              <c:numFmt formatCode="General" sourceLinked="0"/>
            </c:trendlineLbl>
          </c:trendline>
          <c:xVal>
            <c:numRef>
              <c:f>Ranking!$AI$7:$AI$28</c:f>
            </c:numRef>
          </c:xVal>
          <c:yVal>
            <c:numRef>
              <c:f>Ranking!$AJ$7:$AJ$28</c:f>
            </c:numRef>
          </c:yVal>
        </c:ser>
        <c:axId val="173275776"/>
        <c:axId val="171060224"/>
      </c:scatterChart>
      <c:valAx>
        <c:axId val="173275776"/>
        <c:scaling>
          <c:orientation val="minMax"/>
          <c:min val="-0.75000000000000877"/>
        </c:scaling>
        <c:axPos val="b"/>
        <c:numFmt formatCode="0%" sourceLinked="1"/>
        <c:tickLblPos val="nextTo"/>
        <c:crossAx val="171060224"/>
        <c:crossesAt val="-0.4"/>
        <c:crossBetween val="midCat"/>
        <c:majorUnit val="0.25"/>
      </c:valAx>
      <c:valAx>
        <c:axId val="171060224"/>
        <c:scaling>
          <c:orientation val="minMax"/>
          <c:max val="0.8"/>
          <c:min val="-0.4"/>
        </c:scaling>
        <c:axPos val="l"/>
        <c:majorGridlines>
          <c:spPr>
            <a:ln>
              <a:prstDash val="dash"/>
            </a:ln>
          </c:spPr>
        </c:majorGridlines>
        <c:numFmt formatCode="0%" sourceLinked="1"/>
        <c:tickLblPos val="nextTo"/>
        <c:crossAx val="173275776"/>
        <c:crossesAt val="-0.75000000000000877"/>
        <c:crossBetween val="midCat"/>
      </c:valAx>
    </c:plotArea>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0899" l="0.70000000000000062" r="0.70000000000000062" t="0.75000000000000899"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lang val="fr-FR"/>
  <c:chart>
    <c:plotArea>
      <c:layout>
        <c:manualLayout>
          <c:layoutTarget val="inner"/>
          <c:xMode val="edge"/>
          <c:yMode val="edge"/>
          <c:x val="7.7687828522787578E-2"/>
          <c:y val="6.4280010037383831E-2"/>
          <c:w val="0.89275010457523618"/>
          <c:h val="0.8758976083238561"/>
        </c:manualLayout>
      </c:layout>
      <c:scatterChart>
        <c:scatterStyle val="lineMarker"/>
        <c:ser>
          <c:idx val="0"/>
          <c:order val="0"/>
          <c:spPr>
            <a:ln w="28575">
              <a:noFill/>
            </a:ln>
          </c:spPr>
          <c:marker>
            <c:symbol val="circle"/>
            <c:size val="10"/>
            <c:spPr>
              <a:solidFill>
                <a:srgbClr val="FFC000">
                  <a:alpha val="46000"/>
                </a:srgbClr>
              </a:solidFill>
              <a:ln>
                <a:noFill/>
              </a:ln>
            </c:spPr>
          </c:marker>
          <c:dLbls>
            <c:dLbl>
              <c:idx val="0"/>
              <c:tx>
                <c:strRef>
                  <c:f>Ranking!$AH$7</c:f>
                  <c:strCache>
                    <c:ptCount val="1"/>
                    <c:pt idx="0">
                      <c:v>DT</c:v>
                    </c:pt>
                  </c:strCache>
                </c:strRef>
              </c:tx>
              <c:dLblPos val="ctr"/>
              <c:showVal val="1"/>
            </c:dLbl>
            <c:dLbl>
              <c:idx val="1"/>
              <c:tx>
                <c:strRef>
                  <c:f>Ranking!$AH$8</c:f>
                  <c:strCache>
                    <c:ptCount val="1"/>
                    <c:pt idx="0">
                      <c:v>TKA</c:v>
                    </c:pt>
                  </c:strCache>
                </c:strRef>
              </c:tx>
              <c:dLblPos val="ctr"/>
              <c:showVal val="1"/>
            </c:dLbl>
            <c:dLbl>
              <c:idx val="2"/>
              <c:tx>
                <c:strRef>
                  <c:f>Ranking!$AH$9</c:f>
                  <c:strCache>
                    <c:ptCount val="1"/>
                    <c:pt idx="0">
                      <c:v>BELGACOM</c:v>
                    </c:pt>
                  </c:strCache>
                </c:strRef>
              </c:tx>
              <c:spPr/>
              <c:txPr>
                <a:bodyPr/>
                <a:lstStyle/>
                <a:p>
                  <a:pPr>
                    <a:defRPr sz="1000" b="1"/>
                  </a:pPr>
                  <a:endParaRPr lang="fr-FR"/>
                </a:p>
              </c:txPr>
              <c:dLblPos val="ctr"/>
              <c:showVal val="1"/>
            </c:dLbl>
            <c:dLbl>
              <c:idx val="3"/>
              <c:tx>
                <c:strRef>
                  <c:f>Ranking!$AH$10</c:f>
                  <c:strCache>
                    <c:ptCount val="1"/>
                    <c:pt idx="0">
                      <c:v>MOBISTAR</c:v>
                    </c:pt>
                  </c:strCache>
                </c:strRef>
              </c:tx>
              <c:spPr/>
              <c:txPr>
                <a:bodyPr/>
                <a:lstStyle/>
                <a:p>
                  <a:pPr>
                    <a:defRPr sz="1000" b="1"/>
                  </a:pPr>
                  <a:endParaRPr lang="fr-FR"/>
                </a:p>
              </c:txPr>
              <c:dLblPos val="ctr"/>
              <c:showVal val="1"/>
            </c:dLbl>
            <c:dLbl>
              <c:idx val="4"/>
              <c:tx>
                <c:strRef>
                  <c:f>Ranking!$AH$11</c:f>
                  <c:strCache>
                    <c:ptCount val="1"/>
                    <c:pt idx="0">
                      <c:v>TELENET</c:v>
                    </c:pt>
                  </c:strCache>
                </c:strRef>
              </c:tx>
              <c:spPr/>
              <c:txPr>
                <a:bodyPr/>
                <a:lstStyle/>
                <a:p>
                  <a:pPr>
                    <a:defRPr sz="1000" b="1"/>
                  </a:pPr>
                  <a:endParaRPr lang="fr-FR"/>
                </a:p>
              </c:txPr>
              <c:dLblPos val="ctr"/>
              <c:showVal val="1"/>
            </c:dLbl>
            <c:dLbl>
              <c:idx val="5"/>
              <c:tx>
                <c:strRef>
                  <c:f>Ranking!$AH$12</c:f>
                  <c:strCache>
                    <c:ptCount val="1"/>
                    <c:pt idx="0">
                      <c:v>TDC</c:v>
                    </c:pt>
                  </c:strCache>
                </c:strRef>
              </c:tx>
              <c:dLblPos val="ctr"/>
              <c:showVal val="1"/>
            </c:dLbl>
            <c:dLbl>
              <c:idx val="6"/>
              <c:tx>
                <c:strRef>
                  <c:f>Ranking!$AH$13</c:f>
                  <c:strCache>
                    <c:ptCount val="1"/>
                    <c:pt idx="0">
                      <c:v>TEF</c:v>
                    </c:pt>
                  </c:strCache>
                </c:strRef>
              </c:tx>
              <c:dLblPos val="ctr"/>
              <c:showVal val="1"/>
            </c:dLbl>
            <c:dLbl>
              <c:idx val="7"/>
              <c:tx>
                <c:strRef>
                  <c:f>Ranking!$AH$14</c:f>
                  <c:strCache>
                    <c:ptCount val="1"/>
                    <c:pt idx="0">
                      <c:v>ELI</c:v>
                    </c:pt>
                  </c:strCache>
                </c:strRef>
              </c:tx>
              <c:dLblPos val="ctr"/>
              <c:showVal val="1"/>
            </c:dLbl>
            <c:dLbl>
              <c:idx val="8"/>
              <c:tx>
                <c:strRef>
                  <c:f>Ranking!$AH$15</c:f>
                  <c:strCache>
                    <c:ptCount val="1"/>
                    <c:pt idx="0">
                      <c:v>ILD</c:v>
                    </c:pt>
                  </c:strCache>
                </c:strRef>
              </c:tx>
              <c:dLblPos val="ctr"/>
              <c:showVal val="1"/>
            </c:dLbl>
            <c:dLbl>
              <c:idx val="9"/>
              <c:tx>
                <c:strRef>
                  <c:f>Ranking!$AH$16</c:f>
                  <c:strCache>
                    <c:ptCount val="1"/>
                    <c:pt idx="0">
                      <c:v>ORA</c:v>
                    </c:pt>
                  </c:strCache>
                </c:strRef>
              </c:tx>
              <c:dLblPos val="ctr"/>
              <c:showVal val="1"/>
            </c:dLbl>
            <c:dLbl>
              <c:idx val="10"/>
              <c:tx>
                <c:strRef>
                  <c:f>Ranking!$AH$17</c:f>
                  <c:strCache>
                    <c:ptCount val="1"/>
                    <c:pt idx="0">
                      <c:v>OTE</c:v>
                    </c:pt>
                  </c:strCache>
                </c:strRef>
              </c:tx>
              <c:dLblPos val="ctr"/>
              <c:showVal val="1"/>
            </c:dLbl>
            <c:dLbl>
              <c:idx val="11"/>
              <c:tx>
                <c:strRef>
                  <c:f>Ranking!$AH$18</c:f>
                  <c:strCache>
                    <c:ptCount val="1"/>
                    <c:pt idx="0">
                      <c:v>TIT</c:v>
                    </c:pt>
                  </c:strCache>
                </c:strRef>
              </c:tx>
              <c:dLblPos val="ctr"/>
              <c:showVal val="1"/>
            </c:dLbl>
            <c:dLbl>
              <c:idx val="12"/>
              <c:layout>
                <c:manualLayout>
                  <c:x val="-3.6222023637584276E-2"/>
                  <c:y val="0"/>
                </c:manualLayout>
              </c:layout>
              <c:tx>
                <c:strRef>
                  <c:f>Ranking!$AH$19</c:f>
                  <c:strCache>
                    <c:ptCount val="1"/>
                    <c:pt idx="0">
                      <c:v>TEL</c:v>
                    </c:pt>
                  </c:strCache>
                </c:strRef>
              </c:tx>
              <c:dLblPos val="r"/>
              <c:showVal val="1"/>
            </c:dLbl>
            <c:dLbl>
              <c:idx val="13"/>
              <c:tx>
                <c:strRef>
                  <c:f>Ranking!$AH$20</c:f>
                  <c:strCache>
                    <c:ptCount val="1"/>
                    <c:pt idx="0">
                      <c:v>KPN</c:v>
                    </c:pt>
                  </c:strCache>
                </c:strRef>
              </c:tx>
              <c:dLblPos val="ctr"/>
              <c:showVal val="1"/>
            </c:dLbl>
            <c:dLbl>
              <c:idx val="14"/>
              <c:tx>
                <c:strRef>
                  <c:f>Ranking!$AH$21</c:f>
                  <c:strCache>
                    <c:ptCount val="1"/>
                    <c:pt idx="0">
                      <c:v>TPS</c:v>
                    </c:pt>
                  </c:strCache>
                </c:strRef>
              </c:tx>
              <c:dLblPos val="ctr"/>
              <c:showVal val="1"/>
            </c:dLbl>
            <c:dLbl>
              <c:idx val="15"/>
              <c:tx>
                <c:strRef>
                  <c:f>Ranking!$AH$22</c:f>
                  <c:strCache>
                    <c:ptCount val="1"/>
                    <c:pt idx="0">
                      <c:v>PT</c:v>
                    </c:pt>
                  </c:strCache>
                </c:strRef>
              </c:tx>
              <c:dLblPos val="ctr"/>
              <c:showVal val="1"/>
            </c:dLbl>
            <c:dLbl>
              <c:idx val="16"/>
              <c:tx>
                <c:strRef>
                  <c:f>Ranking!$AH$23</c:f>
                  <c:strCache>
                    <c:ptCount val="1"/>
                    <c:pt idx="0">
                      <c:v>BT</c:v>
                    </c:pt>
                  </c:strCache>
                </c:strRef>
              </c:tx>
              <c:dLblPos val="ctr"/>
              <c:showVal val="1"/>
            </c:dLbl>
            <c:dLbl>
              <c:idx val="17"/>
              <c:tx>
                <c:strRef>
                  <c:f>Ranking!$AH$24</c:f>
                  <c:strCache>
                    <c:ptCount val="1"/>
                    <c:pt idx="0">
                      <c:v>VOD</c:v>
                    </c:pt>
                  </c:strCache>
                </c:strRef>
              </c:tx>
              <c:dLblPos val="ctr"/>
              <c:showVal val="1"/>
            </c:dLbl>
            <c:dLbl>
              <c:idx val="18"/>
              <c:tx>
                <c:strRef>
                  <c:f>Ranking!$AH$25</c:f>
                  <c:strCache>
                    <c:ptCount val="1"/>
                    <c:pt idx="0">
                      <c:v>TLSN</c:v>
                    </c:pt>
                  </c:strCache>
                </c:strRef>
              </c:tx>
              <c:dLblPos val="ctr"/>
              <c:showVal val="1"/>
            </c:dLbl>
            <c:dLbl>
              <c:idx val="19"/>
              <c:tx>
                <c:strRef>
                  <c:f>Ranking!$AH$26</c:f>
                  <c:strCache>
                    <c:ptCount val="1"/>
                    <c:pt idx="0">
                      <c:v>TEL2</c:v>
                    </c:pt>
                  </c:strCache>
                </c:strRef>
              </c:tx>
              <c:dLblPos val="ctr"/>
              <c:showVal val="1"/>
            </c:dLbl>
            <c:dLbl>
              <c:idx val="20"/>
              <c:tx>
                <c:strRef>
                  <c:f>Ranking!$AH$27</c:f>
                  <c:strCache>
                    <c:ptCount val="1"/>
                    <c:pt idx="0">
                      <c:v>SCM</c:v>
                    </c:pt>
                  </c:strCache>
                </c:strRef>
              </c:tx>
              <c:dLblPos val="ctr"/>
              <c:showVal val="1"/>
            </c:dLbl>
            <c:dLbl>
              <c:idx val="21"/>
              <c:tx>
                <c:strRef>
                  <c:f>Ranking!$AH$28</c:f>
                  <c:strCache>
                    <c:ptCount val="1"/>
                    <c:pt idx="0">
                      <c:v>SNC</c:v>
                    </c:pt>
                  </c:strCache>
                </c:strRef>
              </c:tx>
              <c:dLblPos val="ctr"/>
              <c:showVal val="1"/>
            </c:dLbl>
            <c:txPr>
              <a:bodyPr/>
              <a:lstStyle/>
              <a:p>
                <a:pPr>
                  <a:defRPr sz="1000" b="0"/>
                </a:pPr>
                <a:endParaRPr lang="fr-FR"/>
              </a:p>
            </c:txPr>
            <c:showVal val="1"/>
          </c:dLbls>
          <c:trendline>
            <c:spPr>
              <a:ln>
                <a:solidFill>
                  <a:schemeClr val="bg1">
                    <a:lumMod val="50000"/>
                  </a:schemeClr>
                </a:solidFill>
              </a:ln>
            </c:spPr>
            <c:trendlineType val="linear"/>
            <c:dispRSqr val="1"/>
            <c:trendlineLbl>
              <c:numFmt formatCode="General" sourceLinked="0"/>
              <c:txPr>
                <a:bodyPr/>
                <a:lstStyle/>
                <a:p>
                  <a:pPr>
                    <a:defRPr sz="1000">
                      <a:solidFill>
                        <a:schemeClr val="bg1">
                          <a:lumMod val="50000"/>
                        </a:schemeClr>
                      </a:solidFill>
                    </a:defRPr>
                  </a:pPr>
                  <a:endParaRPr lang="fr-FR"/>
                </a:p>
              </c:txPr>
            </c:trendlineLbl>
          </c:trendline>
          <c:xVal>
            <c:numRef>
              <c:f>Ranking!$AT$7:$AT$28</c:f>
            </c:numRef>
          </c:xVal>
          <c:yVal>
            <c:numRef>
              <c:f>Ranking!$AU$7:$AU$28</c:f>
            </c:numRef>
          </c:yVal>
        </c:ser>
        <c:axId val="172695936"/>
        <c:axId val="172697472"/>
      </c:scatterChart>
      <c:valAx>
        <c:axId val="172695936"/>
        <c:scaling>
          <c:orientation val="minMax"/>
          <c:max val="0.4"/>
          <c:min val="-0.4"/>
        </c:scaling>
        <c:axPos val="b"/>
        <c:numFmt formatCode="0%" sourceLinked="1"/>
        <c:tickLblPos val="nextTo"/>
        <c:crossAx val="172697472"/>
        <c:crossesAt val="0"/>
        <c:crossBetween val="midCat"/>
        <c:majorUnit val="0.1"/>
      </c:valAx>
      <c:valAx>
        <c:axId val="172697472"/>
        <c:scaling>
          <c:orientation val="minMax"/>
        </c:scaling>
        <c:axPos val="l"/>
        <c:majorGridlines>
          <c:spPr>
            <a:ln>
              <a:prstDash val="dash"/>
            </a:ln>
          </c:spPr>
        </c:majorGridlines>
        <c:numFmt formatCode="0%" sourceLinked="0"/>
        <c:tickLblPos val="nextTo"/>
        <c:crossAx val="172695936"/>
        <c:crossesAt val="0"/>
        <c:crossBetween val="midCat"/>
      </c:valAx>
    </c:plotArea>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0921" l="0.70000000000000062" r="0.70000000000000062" t="0.75000000000000921"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fr-FR"/>
  <c:chart>
    <c:plotArea>
      <c:layout/>
      <c:scatterChart>
        <c:scatterStyle val="lineMarker"/>
        <c:ser>
          <c:idx val="0"/>
          <c:order val="0"/>
          <c:spPr>
            <a:ln w="28575">
              <a:noFill/>
            </a:ln>
          </c:spPr>
          <c:marker>
            <c:symbol val="dash"/>
            <c:size val="30"/>
            <c:spPr>
              <a:solidFill>
                <a:srgbClr val="FFC000">
                  <a:alpha val="47059"/>
                </a:srgbClr>
              </a:solidFill>
              <a:ln>
                <a:noFill/>
              </a:ln>
            </c:spPr>
          </c:marker>
          <c:dLbls>
            <c:dLbl>
              <c:idx val="0"/>
              <c:tx>
                <c:rich>
                  <a:bodyPr/>
                  <a:lstStyle/>
                  <a:p>
                    <a:pPr>
                      <a:defRPr sz="1000" b="0" i="0" strike="noStrike">
                        <a:latin typeface="Arial"/>
                      </a:defRPr>
                    </a:pPr>
                    <a:r>
                      <a:rPr lang="en-US"/>
                      <a:t>DT</a:t>
                    </a:r>
                  </a:p>
                </c:rich>
              </c:tx>
              <c:spPr/>
              <c:dLblPos val="ctr"/>
              <c:showVal val="1"/>
            </c:dLbl>
            <c:dLbl>
              <c:idx val="1"/>
              <c:tx>
                <c:strRef>
                  <c:f>PROFILES!$O$101</c:f>
                  <c:strCache>
                    <c:ptCount val="1"/>
                    <c:pt idx="0">
                      <c:v>TKA</c:v>
                    </c:pt>
                  </c:strCache>
                </c:strRef>
              </c:tx>
              <c:spPr/>
              <c:txPr>
                <a:bodyPr/>
                <a:lstStyle/>
                <a:p>
                  <a:pPr>
                    <a:defRPr sz="1000" b="0" i="0" strike="noStrike">
                      <a:latin typeface="Arial"/>
                    </a:defRPr>
                  </a:pPr>
                  <a:endParaRPr lang="fr-FR"/>
                </a:p>
              </c:txPr>
              <c:dLblPos val="ctr"/>
              <c:showVal val="1"/>
            </c:dLbl>
            <c:dLbl>
              <c:idx val="2"/>
              <c:tx>
                <c:strRef>
                  <c:f>PROFILES!$O$102</c:f>
                  <c:strCache>
                    <c:ptCount val="1"/>
                    <c:pt idx="0">
                      <c:v>BELGACOM</c:v>
                    </c:pt>
                  </c:strCache>
                </c:strRef>
              </c:tx>
              <c:spPr/>
              <c:txPr>
                <a:bodyPr/>
                <a:lstStyle/>
                <a:p>
                  <a:pPr>
                    <a:defRPr sz="1000" b="1" i="0" strike="noStrike">
                      <a:latin typeface="Arial"/>
                    </a:defRPr>
                  </a:pPr>
                  <a:endParaRPr lang="fr-FR"/>
                </a:p>
              </c:txPr>
              <c:dLblPos val="ctr"/>
              <c:showVal val="1"/>
            </c:dLbl>
            <c:dLbl>
              <c:idx val="3"/>
              <c:tx>
                <c:strRef>
                  <c:f>PROFILES!$O$103</c:f>
                  <c:strCache>
                    <c:ptCount val="1"/>
                    <c:pt idx="0">
                      <c:v>MOBISTAR</c:v>
                    </c:pt>
                  </c:strCache>
                </c:strRef>
              </c:tx>
              <c:spPr/>
              <c:txPr>
                <a:bodyPr/>
                <a:lstStyle/>
                <a:p>
                  <a:pPr>
                    <a:defRPr sz="1000" b="1" i="0" strike="noStrike">
                      <a:latin typeface="Arial"/>
                    </a:defRPr>
                  </a:pPr>
                  <a:endParaRPr lang="fr-FR"/>
                </a:p>
              </c:txPr>
              <c:dLblPos val="ctr"/>
              <c:showVal val="1"/>
            </c:dLbl>
            <c:dLbl>
              <c:idx val="4"/>
              <c:tx>
                <c:strRef>
                  <c:f>PROFILES!$O$104</c:f>
                  <c:strCache>
                    <c:ptCount val="1"/>
                    <c:pt idx="0">
                      <c:v>TELENET</c:v>
                    </c:pt>
                  </c:strCache>
                </c:strRef>
              </c:tx>
              <c:spPr/>
              <c:txPr>
                <a:bodyPr/>
                <a:lstStyle/>
                <a:p>
                  <a:pPr>
                    <a:defRPr sz="1000" b="1" i="0" strike="noStrike">
                      <a:latin typeface="Arial"/>
                    </a:defRPr>
                  </a:pPr>
                  <a:endParaRPr lang="fr-FR"/>
                </a:p>
              </c:txPr>
              <c:dLblPos val="ctr"/>
              <c:showVal val="1"/>
            </c:dLbl>
            <c:dLbl>
              <c:idx val="5"/>
              <c:tx>
                <c:strRef>
                  <c:f>PROFILES!$O$105</c:f>
                  <c:strCache>
                    <c:ptCount val="1"/>
                    <c:pt idx="0">
                      <c:v>TDC</c:v>
                    </c:pt>
                  </c:strCache>
                </c:strRef>
              </c:tx>
              <c:spPr/>
              <c:txPr>
                <a:bodyPr/>
                <a:lstStyle/>
                <a:p>
                  <a:pPr>
                    <a:defRPr sz="1000" b="0" i="0" strike="noStrike">
                      <a:latin typeface="Arial"/>
                    </a:defRPr>
                  </a:pPr>
                  <a:endParaRPr lang="fr-FR"/>
                </a:p>
              </c:txPr>
              <c:dLblPos val="ctr"/>
              <c:showVal val="1"/>
            </c:dLbl>
            <c:dLbl>
              <c:idx val="6"/>
              <c:tx>
                <c:strRef>
                  <c:f>PROFILES!$O$106</c:f>
                  <c:strCache>
                    <c:ptCount val="1"/>
                    <c:pt idx="0">
                      <c:v>TEF</c:v>
                    </c:pt>
                  </c:strCache>
                </c:strRef>
              </c:tx>
              <c:spPr/>
              <c:txPr>
                <a:bodyPr/>
                <a:lstStyle/>
                <a:p>
                  <a:pPr>
                    <a:defRPr sz="1000" b="0" i="0" strike="noStrike">
                      <a:latin typeface="Arial"/>
                    </a:defRPr>
                  </a:pPr>
                  <a:endParaRPr lang="fr-FR"/>
                </a:p>
              </c:txPr>
              <c:dLblPos val="ctr"/>
              <c:showVal val="1"/>
            </c:dLbl>
            <c:dLbl>
              <c:idx val="7"/>
              <c:tx>
                <c:strRef>
                  <c:f>PROFILES!$O$107</c:f>
                  <c:strCache>
                    <c:ptCount val="1"/>
                    <c:pt idx="0">
                      <c:v>ELI</c:v>
                    </c:pt>
                  </c:strCache>
                </c:strRef>
              </c:tx>
              <c:spPr/>
              <c:txPr>
                <a:bodyPr/>
                <a:lstStyle/>
                <a:p>
                  <a:pPr>
                    <a:defRPr sz="1000" b="0" i="0" strike="noStrike">
                      <a:latin typeface="Arial"/>
                    </a:defRPr>
                  </a:pPr>
                  <a:endParaRPr lang="fr-FR"/>
                </a:p>
              </c:txPr>
              <c:dLblPos val="ctr"/>
              <c:showVal val="1"/>
            </c:dLbl>
            <c:dLbl>
              <c:idx val="8"/>
              <c:tx>
                <c:strRef>
                  <c:f>PROFILES!$O$108</c:f>
                  <c:strCache>
                    <c:ptCount val="1"/>
                    <c:pt idx="0">
                      <c:v>ILD</c:v>
                    </c:pt>
                  </c:strCache>
                </c:strRef>
              </c:tx>
              <c:spPr/>
              <c:txPr>
                <a:bodyPr/>
                <a:lstStyle/>
                <a:p>
                  <a:pPr>
                    <a:defRPr sz="1000" b="0" i="0" strike="noStrike">
                      <a:latin typeface="Arial"/>
                    </a:defRPr>
                  </a:pPr>
                  <a:endParaRPr lang="fr-FR"/>
                </a:p>
              </c:txPr>
              <c:dLblPos val="ctr"/>
              <c:showVal val="1"/>
            </c:dLbl>
            <c:dLbl>
              <c:idx val="9"/>
              <c:tx>
                <c:strRef>
                  <c:f>PROFILES!$O$109</c:f>
                  <c:strCache>
                    <c:ptCount val="1"/>
                    <c:pt idx="0">
                      <c:v>ORA</c:v>
                    </c:pt>
                  </c:strCache>
                </c:strRef>
              </c:tx>
              <c:spPr/>
              <c:txPr>
                <a:bodyPr/>
                <a:lstStyle/>
                <a:p>
                  <a:pPr>
                    <a:defRPr sz="1000" b="0" i="0" strike="noStrike">
                      <a:latin typeface="Arial"/>
                    </a:defRPr>
                  </a:pPr>
                  <a:endParaRPr lang="fr-FR"/>
                </a:p>
              </c:txPr>
              <c:dLblPos val="ctr"/>
              <c:showVal val="1"/>
            </c:dLbl>
            <c:dLbl>
              <c:idx val="10"/>
              <c:tx>
                <c:strRef>
                  <c:f>PROFILES!$O$110</c:f>
                  <c:strCache>
                    <c:ptCount val="1"/>
                    <c:pt idx="0">
                      <c:v>OTE</c:v>
                    </c:pt>
                  </c:strCache>
                </c:strRef>
              </c:tx>
              <c:spPr/>
              <c:txPr>
                <a:bodyPr/>
                <a:lstStyle/>
                <a:p>
                  <a:pPr>
                    <a:defRPr sz="1000" b="0" i="0" strike="noStrike">
                      <a:latin typeface="Arial"/>
                    </a:defRPr>
                  </a:pPr>
                  <a:endParaRPr lang="fr-FR"/>
                </a:p>
              </c:txPr>
              <c:dLblPos val="ctr"/>
              <c:showVal val="1"/>
            </c:dLbl>
            <c:dLbl>
              <c:idx val="11"/>
              <c:tx>
                <c:strRef>
                  <c:f>PROFILES!$O$111</c:f>
                  <c:strCache>
                    <c:ptCount val="1"/>
                    <c:pt idx="0">
                      <c:v>TIT</c:v>
                    </c:pt>
                  </c:strCache>
                </c:strRef>
              </c:tx>
              <c:spPr/>
              <c:txPr>
                <a:bodyPr/>
                <a:lstStyle/>
                <a:p>
                  <a:pPr>
                    <a:defRPr sz="1000" b="0" i="0" strike="noStrike">
                      <a:latin typeface="Arial"/>
                    </a:defRPr>
                  </a:pPr>
                  <a:endParaRPr lang="fr-FR"/>
                </a:p>
              </c:txPr>
              <c:dLblPos val="ctr"/>
              <c:showVal val="1"/>
            </c:dLbl>
            <c:dLbl>
              <c:idx val="12"/>
              <c:tx>
                <c:strRef>
                  <c:f>PROFILES!$O$112</c:f>
                  <c:strCache>
                    <c:ptCount val="1"/>
                    <c:pt idx="0">
                      <c:v>TEL</c:v>
                    </c:pt>
                  </c:strCache>
                </c:strRef>
              </c:tx>
              <c:spPr/>
              <c:txPr>
                <a:bodyPr/>
                <a:lstStyle/>
                <a:p>
                  <a:pPr>
                    <a:defRPr sz="1000" b="0" i="0" strike="noStrike">
                      <a:latin typeface="Arial"/>
                    </a:defRPr>
                  </a:pPr>
                  <a:endParaRPr lang="fr-FR"/>
                </a:p>
              </c:txPr>
              <c:dLblPos val="ctr"/>
              <c:showVal val="1"/>
            </c:dLbl>
            <c:dLbl>
              <c:idx val="13"/>
              <c:tx>
                <c:strRef>
                  <c:f>PROFILES!$O$113</c:f>
                  <c:strCache>
                    <c:ptCount val="1"/>
                    <c:pt idx="0">
                      <c:v>KPN</c:v>
                    </c:pt>
                  </c:strCache>
                </c:strRef>
              </c:tx>
              <c:spPr/>
              <c:txPr>
                <a:bodyPr/>
                <a:lstStyle/>
                <a:p>
                  <a:pPr>
                    <a:defRPr sz="1000" b="0" i="0" strike="noStrike">
                      <a:latin typeface="Arial"/>
                    </a:defRPr>
                  </a:pPr>
                  <a:endParaRPr lang="fr-FR"/>
                </a:p>
              </c:txPr>
              <c:dLblPos val="ctr"/>
              <c:showVal val="1"/>
            </c:dLbl>
            <c:dLbl>
              <c:idx val="14"/>
              <c:layout>
                <c:manualLayout>
                  <c:x val="-5.4541227584278783E-2"/>
                  <c:y val="-3.3185843598516631E-3"/>
                </c:manualLayout>
              </c:layout>
              <c:tx>
                <c:strRef>
                  <c:f>PROFILES!$O$114</c:f>
                  <c:strCache>
                    <c:ptCount val="1"/>
                    <c:pt idx="0">
                      <c:v>TPS</c:v>
                    </c:pt>
                  </c:strCache>
                </c:strRef>
              </c:tx>
              <c:spPr/>
              <c:txPr>
                <a:bodyPr/>
                <a:lstStyle/>
                <a:p>
                  <a:pPr>
                    <a:defRPr sz="1000" b="0" i="0" strike="noStrike">
                      <a:latin typeface="Arial"/>
                    </a:defRPr>
                  </a:pPr>
                  <a:endParaRPr lang="fr-FR"/>
                </a:p>
              </c:txPr>
              <c:dLblPos val="r"/>
              <c:showVal val="1"/>
            </c:dLbl>
            <c:dLbl>
              <c:idx val="15"/>
              <c:tx>
                <c:strRef>
                  <c:f>PROFILES!$O$115</c:f>
                  <c:strCache>
                    <c:ptCount val="1"/>
                    <c:pt idx="0">
                      <c:v>PT</c:v>
                    </c:pt>
                  </c:strCache>
                </c:strRef>
              </c:tx>
              <c:spPr/>
              <c:txPr>
                <a:bodyPr/>
                <a:lstStyle/>
                <a:p>
                  <a:pPr>
                    <a:defRPr sz="1000" b="0" i="0" strike="noStrike">
                      <a:latin typeface="Arial"/>
                    </a:defRPr>
                  </a:pPr>
                  <a:endParaRPr lang="fr-FR"/>
                </a:p>
              </c:txPr>
              <c:dLblPos val="ctr"/>
              <c:showVal val="1"/>
            </c:dLbl>
            <c:dLbl>
              <c:idx val="16"/>
              <c:tx>
                <c:strRef>
                  <c:f>PROFILES!$O$116</c:f>
                  <c:strCache>
                    <c:ptCount val="1"/>
                    <c:pt idx="0">
                      <c:v>BT</c:v>
                    </c:pt>
                  </c:strCache>
                </c:strRef>
              </c:tx>
              <c:spPr/>
              <c:txPr>
                <a:bodyPr/>
                <a:lstStyle/>
                <a:p>
                  <a:pPr>
                    <a:defRPr sz="1000" b="0" i="0" strike="noStrike">
                      <a:latin typeface="Arial"/>
                    </a:defRPr>
                  </a:pPr>
                  <a:endParaRPr lang="fr-FR"/>
                </a:p>
              </c:txPr>
              <c:dLblPos val="ctr"/>
              <c:showVal val="1"/>
            </c:dLbl>
            <c:dLbl>
              <c:idx val="17"/>
              <c:tx>
                <c:strRef>
                  <c:f>PROFILES!$O$117</c:f>
                  <c:strCache>
                    <c:ptCount val="1"/>
                    <c:pt idx="0">
                      <c:v>VOD</c:v>
                    </c:pt>
                  </c:strCache>
                </c:strRef>
              </c:tx>
              <c:spPr/>
              <c:txPr>
                <a:bodyPr/>
                <a:lstStyle/>
                <a:p>
                  <a:pPr>
                    <a:defRPr sz="1000" b="0" i="0" strike="noStrike">
                      <a:latin typeface="Arial"/>
                    </a:defRPr>
                  </a:pPr>
                  <a:endParaRPr lang="fr-FR"/>
                </a:p>
              </c:txPr>
              <c:dLblPos val="ctr"/>
              <c:showVal val="1"/>
            </c:dLbl>
            <c:dLbl>
              <c:idx val="18"/>
              <c:tx>
                <c:strRef>
                  <c:f>PROFILES!$O$118</c:f>
                  <c:strCache>
                    <c:ptCount val="1"/>
                    <c:pt idx="0">
                      <c:v>TLSN</c:v>
                    </c:pt>
                  </c:strCache>
                </c:strRef>
              </c:tx>
              <c:spPr/>
              <c:txPr>
                <a:bodyPr/>
                <a:lstStyle/>
                <a:p>
                  <a:pPr>
                    <a:defRPr sz="1000" b="0" i="0" strike="noStrike">
                      <a:latin typeface="Arial"/>
                    </a:defRPr>
                  </a:pPr>
                  <a:endParaRPr lang="fr-FR"/>
                </a:p>
              </c:txPr>
              <c:dLblPos val="ctr"/>
              <c:showVal val="1"/>
            </c:dLbl>
            <c:dLbl>
              <c:idx val="19"/>
              <c:tx>
                <c:strRef>
                  <c:f>PROFILES!$O$119</c:f>
                  <c:strCache>
                    <c:ptCount val="1"/>
                    <c:pt idx="0">
                      <c:v>TEL2</c:v>
                    </c:pt>
                  </c:strCache>
                </c:strRef>
              </c:tx>
              <c:spPr/>
              <c:txPr>
                <a:bodyPr/>
                <a:lstStyle/>
                <a:p>
                  <a:pPr>
                    <a:defRPr sz="1000" b="0" i="0" strike="noStrike">
                      <a:latin typeface="Arial"/>
                    </a:defRPr>
                  </a:pPr>
                  <a:endParaRPr lang="fr-FR"/>
                </a:p>
              </c:txPr>
              <c:dLblPos val="ctr"/>
              <c:showVal val="1"/>
            </c:dLbl>
            <c:dLbl>
              <c:idx val="20"/>
              <c:tx>
                <c:strRef>
                  <c:f>PROFILES!$O$120</c:f>
                  <c:strCache>
                    <c:ptCount val="1"/>
                    <c:pt idx="0">
                      <c:v>SCM</c:v>
                    </c:pt>
                  </c:strCache>
                </c:strRef>
              </c:tx>
              <c:spPr/>
              <c:txPr>
                <a:bodyPr/>
                <a:lstStyle/>
                <a:p>
                  <a:pPr>
                    <a:defRPr sz="1000" b="0" i="0" strike="noStrike">
                      <a:latin typeface="Arial"/>
                    </a:defRPr>
                  </a:pPr>
                  <a:endParaRPr lang="fr-FR"/>
                </a:p>
              </c:txPr>
              <c:dLblPos val="ctr"/>
              <c:showVal val="1"/>
            </c:dLbl>
            <c:dLbl>
              <c:idx val="21"/>
              <c:tx>
                <c:strRef>
                  <c:f>PROFILES!$O$121</c:f>
                  <c:strCache>
                    <c:ptCount val="1"/>
                    <c:pt idx="0">
                      <c:v>SNC</c:v>
                    </c:pt>
                  </c:strCache>
                </c:strRef>
              </c:tx>
              <c:spPr/>
              <c:txPr>
                <a:bodyPr/>
                <a:lstStyle/>
                <a:p>
                  <a:pPr>
                    <a:defRPr sz="1000" b="0" i="0" strike="noStrike">
                      <a:latin typeface="Arial"/>
                    </a:defRPr>
                  </a:pPr>
                  <a:endParaRPr lang="fr-FR"/>
                </a:p>
              </c:txPr>
              <c:dLblPos val="ctr"/>
              <c:showVal val="1"/>
            </c:dLbl>
            <c:showVal val="1"/>
          </c:dLbls>
          <c:trendline>
            <c:spPr>
              <a:ln>
                <a:solidFill>
                  <a:schemeClr val="bg1">
                    <a:lumMod val="50000"/>
                  </a:schemeClr>
                </a:solidFill>
                <a:prstDash val="dash"/>
              </a:ln>
            </c:spPr>
            <c:trendlineType val="poly"/>
            <c:order val="2"/>
            <c:dispRSqr val="1"/>
            <c:trendlineLbl>
              <c:numFmt formatCode="General" sourceLinked="0"/>
            </c:trendlineLbl>
          </c:trendline>
          <c:xVal>
            <c:numRef>
              <c:f>PROFILES!$V$204:$V$225</c:f>
              <c:numCache>
                <c:formatCode>0%</c:formatCode>
                <c:ptCount val="22"/>
                <c:pt idx="0">
                  <c:v>0.60938914027149316</c:v>
                </c:pt>
                <c:pt idx="1">
                  <c:v>0.63280000000000003</c:v>
                </c:pt>
                <c:pt idx="2">
                  <c:v>0.38496530454895916</c:v>
                </c:pt>
                <c:pt idx="3">
                  <c:v>0.97248825098437697</c:v>
                </c:pt>
                <c:pt idx="4">
                  <c:v>5.8479532163742687E-3</c:v>
                </c:pt>
                <c:pt idx="5">
                  <c:v>0.3141425389755011</c:v>
                </c:pt>
                <c:pt idx="6">
                  <c:v>0.58023511894181368</c:v>
                </c:pt>
                <c:pt idx="7">
                  <c:v>0.59929999999999994</c:v>
                </c:pt>
                <c:pt idx="8">
                  <c:v>0</c:v>
                </c:pt>
                <c:pt idx="9">
                  <c:v>0.56769999999999998</c:v>
                </c:pt>
                <c:pt idx="10">
                  <c:v>0.58334166469020743</c:v>
                </c:pt>
                <c:pt idx="11">
                  <c:v>0.36840000000000006</c:v>
                </c:pt>
                <c:pt idx="12">
                  <c:v>0.62585722455497383</c:v>
                </c:pt>
                <c:pt idx="13">
                  <c:v>0.5497633776823857</c:v>
                </c:pt>
                <c:pt idx="14">
                  <c:v>0.4566820303658996</c:v>
                </c:pt>
                <c:pt idx="15">
                  <c:v>0.5101</c:v>
                </c:pt>
                <c:pt idx="16">
                  <c:v>0</c:v>
                </c:pt>
                <c:pt idx="17">
                  <c:v>0.92599999999999993</c:v>
                </c:pt>
                <c:pt idx="18">
                  <c:v>0.61707988980716255</c:v>
                </c:pt>
                <c:pt idx="19">
                  <c:v>0.70310836704279323</c:v>
                </c:pt>
                <c:pt idx="20">
                  <c:v>0.35321659907288117</c:v>
                </c:pt>
                <c:pt idx="21">
                  <c:v>0.92232145907274721</c:v>
                </c:pt>
              </c:numCache>
            </c:numRef>
          </c:xVal>
          <c:yVal>
            <c:numRef>
              <c:f>PROFILES!$W$204:$W$225</c:f>
              <c:numCache>
                <c:formatCode>0.0</c:formatCode>
                <c:ptCount val="22"/>
                <c:pt idx="0">
                  <c:v>4.4333584779807635</c:v>
                </c:pt>
                <c:pt idx="1">
                  <c:v>4.2234201890683387</c:v>
                </c:pt>
                <c:pt idx="2">
                  <c:v>4.2885463249133933</c:v>
                </c:pt>
                <c:pt idx="3">
                  <c:v>5.5752364574033733</c:v>
                </c:pt>
                <c:pt idx="4">
                  <c:v>7.3882795026632264</c:v>
                </c:pt>
                <c:pt idx="5">
                  <c:v>7.555492968888017</c:v>
                </c:pt>
                <c:pt idx="6">
                  <c:v>6.0577743004054545</c:v>
                </c:pt>
                <c:pt idx="7">
                  <c:v>6.6127333261941414</c:v>
                </c:pt>
                <c:pt idx="8">
                  <c:v>7.9723751868626085</c:v>
                </c:pt>
                <c:pt idx="9">
                  <c:v>5.8261679674580611</c:v>
                </c:pt>
                <c:pt idx="10">
                  <c:v>4.5397999999999996</c:v>
                </c:pt>
                <c:pt idx="11">
                  <c:v>5.2646466027831975</c:v>
                </c:pt>
                <c:pt idx="12">
                  <c:v>5.2049898041945069</c:v>
                </c:pt>
                <c:pt idx="13">
                  <c:v>5.7602103537566114</c:v>
                </c:pt>
                <c:pt idx="14">
                  <c:v>4.071678259913444</c:v>
                </c:pt>
                <c:pt idx="15">
                  <c:v>5.6316364047026521</c:v>
                </c:pt>
                <c:pt idx="16">
                  <c:v>5.5069568381935765</c:v>
                </c:pt>
                <c:pt idx="17">
                  <c:v>7.5158356243992479</c:v>
                </c:pt>
                <c:pt idx="18">
                  <c:v>7.7524112450340725</c:v>
                </c:pt>
                <c:pt idx="19">
                  <c:v>5.518069631932768</c:v>
                </c:pt>
                <c:pt idx="20">
                  <c:v>6.4576449666827171</c:v>
                </c:pt>
                <c:pt idx="21">
                  <c:v>5.5578222900335454</c:v>
                </c:pt>
              </c:numCache>
            </c:numRef>
          </c:yVal>
        </c:ser>
        <c:axId val="168134144"/>
        <c:axId val="168135680"/>
      </c:scatterChart>
      <c:valAx>
        <c:axId val="168134144"/>
        <c:scaling>
          <c:orientation val="minMax"/>
          <c:max val="1"/>
        </c:scaling>
        <c:axPos val="b"/>
        <c:numFmt formatCode="0%" sourceLinked="1"/>
        <c:tickLblPos val="nextTo"/>
        <c:txPr>
          <a:bodyPr/>
          <a:lstStyle/>
          <a:p>
            <a:pPr>
              <a:defRPr sz="1200" baseline="0">
                <a:latin typeface="Arial" pitchFamily="34" charset="0"/>
              </a:defRPr>
            </a:pPr>
            <a:endParaRPr lang="fr-FR"/>
          </a:p>
        </c:txPr>
        <c:crossAx val="168135680"/>
        <c:crosses val="autoZero"/>
        <c:crossBetween val="midCat"/>
        <c:majorUnit val="0.1"/>
      </c:valAx>
      <c:valAx>
        <c:axId val="168135680"/>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68134144"/>
        <c:crosses val="autoZero"/>
        <c:crossBetween val="midCat"/>
        <c:majorUnit val="1"/>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'Bloom Cleaner Data'!$A$35</c:f>
              <c:strCache>
                <c:ptCount val="1"/>
                <c:pt idx="0">
                  <c:v>E300 Telco</c:v>
                </c:pt>
              </c:strCache>
            </c:strRef>
          </c:tx>
          <c:spPr>
            <a:ln w="19050">
              <a:solidFill>
                <a:schemeClr val="bg2">
                  <a:lumMod val="75000"/>
                </a:schemeClr>
              </a:solidFill>
            </a:ln>
          </c:spPr>
          <c:marker>
            <c:symbol val="none"/>
          </c:marker>
          <c:cat>
            <c:numRef>
              <c:f>'Bloom Cleaner Data'!$DA$42:$DP$42</c:f>
              <c:numCache>
                <c:formatCode>dd/mm/yyyy</c:formatCode>
                <c:ptCount val="16"/>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numCache>
            </c:numRef>
          </c:cat>
          <c:val>
            <c:numRef>
              <c:f>'Bloom Cleaner Data'!$DA$35:$DP$35</c:f>
              <c:numCache>
                <c:formatCode>0.0</c:formatCode>
                <c:ptCount val="16"/>
                <c:pt idx="0">
                  <c:v>5.6085000000000003</c:v>
                </c:pt>
                <c:pt idx="1">
                  <c:v>5.6410999999999998</c:v>
                </c:pt>
                <c:pt idx="2">
                  <c:v>5.4523999999999999</c:v>
                </c:pt>
                <c:pt idx="3">
                  <c:v>5.8440000000000003</c:v>
                </c:pt>
                <c:pt idx="4">
                  <c:v>5.6459000000000001</c:v>
                </c:pt>
                <c:pt idx="5">
                  <c:v>5.8033000000000001</c:v>
                </c:pt>
                <c:pt idx="6">
                  <c:v>5.6826999999999996</c:v>
                </c:pt>
                <c:pt idx="7">
                  <c:v>5.4458000000000002</c:v>
                </c:pt>
                <c:pt idx="8">
                  <c:v>5.3807200000000002</c:v>
                </c:pt>
                <c:pt idx="9">
                  <c:v>5.3156400000000001</c:v>
                </c:pt>
                <c:pt idx="10">
                  <c:v>5.2505600000000001</c:v>
                </c:pt>
                <c:pt idx="11">
                  <c:v>5.1854800000000001</c:v>
                </c:pt>
                <c:pt idx="12">
                  <c:v>5.1204000000000001</c:v>
                </c:pt>
                <c:pt idx="13">
                  <c:v>5.5153333333333334</c:v>
                </c:pt>
                <c:pt idx="14">
                  <c:v>5.9102666666666668</c:v>
                </c:pt>
                <c:pt idx="15">
                  <c:v>6.3052000000000001</c:v>
                </c:pt>
              </c:numCache>
            </c:numRef>
          </c:val>
        </c:ser>
        <c:ser>
          <c:idx val="1"/>
          <c:order val="1"/>
          <c:tx>
            <c:strRef>
              <c:f>'Bloom Cleaner Data'!$A$38</c:f>
              <c:strCache>
                <c:ptCount val="1"/>
                <c:pt idx="0">
                  <c:v>E300 Mobile</c:v>
                </c:pt>
              </c:strCache>
            </c:strRef>
          </c:tx>
          <c:spPr>
            <a:ln w="19050">
              <a:solidFill>
                <a:srgbClr val="FFC000"/>
              </a:solidFill>
            </a:ln>
          </c:spPr>
          <c:marker>
            <c:symbol val="none"/>
          </c:marker>
          <c:val>
            <c:numRef>
              <c:f>'Bloom Cleaner Data'!$DA$38:$DP$38</c:f>
              <c:numCache>
                <c:formatCode>0.0</c:formatCode>
                <c:ptCount val="16"/>
                <c:pt idx="0">
                  <c:v>6.1997</c:v>
                </c:pt>
                <c:pt idx="1">
                  <c:v>6.2983000000000002</c:v>
                </c:pt>
                <c:pt idx="2">
                  <c:v>6.1234000000000002</c:v>
                </c:pt>
                <c:pt idx="3">
                  <c:v>6.5911999999999997</c:v>
                </c:pt>
                <c:pt idx="4">
                  <c:v>6.6402000000000001</c:v>
                </c:pt>
                <c:pt idx="5">
                  <c:v>6.8207000000000004</c:v>
                </c:pt>
                <c:pt idx="6">
                  <c:v>6.6776999999999997</c:v>
                </c:pt>
                <c:pt idx="7">
                  <c:v>6.476</c:v>
                </c:pt>
                <c:pt idx="8">
                  <c:v>6.4140600000000001</c:v>
                </c:pt>
                <c:pt idx="9">
                  <c:v>6.3521200000000002</c:v>
                </c:pt>
                <c:pt idx="10">
                  <c:v>6.2901799999999994</c:v>
                </c:pt>
                <c:pt idx="11">
                  <c:v>6.2282399999999996</c:v>
                </c:pt>
                <c:pt idx="12">
                  <c:v>6.1662999999999997</c:v>
                </c:pt>
                <c:pt idx="13">
                  <c:v>6.8334666666666664</c:v>
                </c:pt>
                <c:pt idx="14">
                  <c:v>7.500633333333333</c:v>
                </c:pt>
                <c:pt idx="15">
                  <c:v>8.1677999999999997</c:v>
                </c:pt>
              </c:numCache>
            </c:numRef>
          </c:val>
        </c:ser>
        <c:ser>
          <c:idx val="2"/>
          <c:order val="2"/>
          <c:tx>
            <c:strRef>
              <c:f>'Bloom Cleaner Data'!$A$39</c:f>
              <c:strCache>
                <c:ptCount val="1"/>
                <c:pt idx="0">
                  <c:v>E300 Fixed</c:v>
                </c:pt>
              </c:strCache>
            </c:strRef>
          </c:tx>
          <c:spPr>
            <a:ln w="19050">
              <a:solidFill>
                <a:schemeClr val="accent3">
                  <a:lumMod val="50000"/>
                </a:schemeClr>
              </a:solidFill>
            </a:ln>
          </c:spPr>
          <c:marker>
            <c:symbol val="none"/>
          </c:marker>
          <c:val>
            <c:numRef>
              <c:f>'Bloom Cleaner Data'!$DA$39:$DP$39</c:f>
              <c:numCache>
                <c:formatCode>0.0</c:formatCode>
                <c:ptCount val="16"/>
                <c:pt idx="0">
                  <c:v>5.3141999999999996</c:v>
                </c:pt>
                <c:pt idx="1">
                  <c:v>5.3106</c:v>
                </c:pt>
                <c:pt idx="2">
                  <c:v>5.0982000000000003</c:v>
                </c:pt>
                <c:pt idx="3">
                  <c:v>5.4623999999999997</c:v>
                </c:pt>
                <c:pt idx="4">
                  <c:v>5.1510999999999996</c:v>
                </c:pt>
                <c:pt idx="5">
                  <c:v>5.2797999999999998</c:v>
                </c:pt>
                <c:pt idx="6">
                  <c:v>5.1737000000000002</c:v>
                </c:pt>
                <c:pt idx="7">
                  <c:v>4.8963999999999999</c:v>
                </c:pt>
                <c:pt idx="8">
                  <c:v>4.8194799999999995</c:v>
                </c:pt>
                <c:pt idx="9">
                  <c:v>4.7425600000000001</c:v>
                </c:pt>
                <c:pt idx="10">
                  <c:v>4.6656399999999998</c:v>
                </c:pt>
                <c:pt idx="11">
                  <c:v>4.5887200000000004</c:v>
                </c:pt>
                <c:pt idx="12">
                  <c:v>4.5118</c:v>
                </c:pt>
                <c:pt idx="13">
                  <c:v>4.7328999999999999</c:v>
                </c:pt>
                <c:pt idx="14">
                  <c:v>4.9539999999999997</c:v>
                </c:pt>
                <c:pt idx="15">
                  <c:v>5.1750999999999996</c:v>
                </c:pt>
              </c:numCache>
            </c:numRef>
          </c:val>
        </c:ser>
        <c:marker val="1"/>
        <c:axId val="168177664"/>
        <c:axId val="168387328"/>
      </c:lineChart>
      <c:dateAx>
        <c:axId val="168177664"/>
        <c:scaling>
          <c:orientation val="minMax"/>
        </c:scaling>
        <c:axPos val="b"/>
        <c:numFmt formatCode="mm/yyyy;@" sourceLinked="0"/>
        <c:tickLblPos val="nextTo"/>
        <c:crossAx val="168387328"/>
        <c:crosses val="autoZero"/>
        <c:auto val="1"/>
        <c:lblOffset val="100"/>
        <c:majorUnit val="6"/>
        <c:majorTimeUnit val="months"/>
      </c:dateAx>
      <c:valAx>
        <c:axId val="168387328"/>
        <c:scaling>
          <c:orientation val="minMax"/>
        </c:scaling>
        <c:axPos val="l"/>
        <c:majorGridlines>
          <c:spPr>
            <a:ln>
              <a:solidFill>
                <a:schemeClr val="bg1">
                  <a:lumMod val="50000"/>
                </a:schemeClr>
              </a:solidFill>
              <a:prstDash val="dash"/>
            </a:ln>
          </c:spPr>
        </c:majorGridlines>
        <c:numFmt formatCode="0" sourceLinked="0"/>
        <c:tickLblPos val="nextTo"/>
        <c:crossAx val="168177664"/>
        <c:crosses val="autoZero"/>
        <c:crossBetween val="between"/>
      </c:valAx>
      <c:spPr>
        <a:ln>
          <a:noFill/>
        </a:ln>
      </c:spPr>
    </c:plotArea>
    <c:legend>
      <c:legendPos val="b"/>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0988" l="0.70000000000000062" r="0.70000000000000062" t="0.75000000000000988"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fr-FR"/>
  <c:chart>
    <c:plotArea>
      <c:layout/>
      <c:lineChart>
        <c:grouping val="standard"/>
        <c:ser>
          <c:idx val="0"/>
          <c:order val="0"/>
          <c:tx>
            <c:strRef>
              <c:f>'Bloom Cleaner Data'!$A$35</c:f>
              <c:strCache>
                <c:ptCount val="1"/>
                <c:pt idx="0">
                  <c:v>E300 Telco</c:v>
                </c:pt>
              </c:strCache>
            </c:strRef>
          </c:tx>
          <c:spPr>
            <a:ln w="19050">
              <a:solidFill>
                <a:schemeClr val="bg2">
                  <a:lumMod val="75000"/>
                </a:schemeClr>
              </a:solidFill>
            </a:ln>
          </c:spPr>
          <c:marker>
            <c:symbol val="none"/>
          </c:marker>
          <c:cat>
            <c:numRef>
              <c:f>'Bloom Cleaner Data'!$DA$42:$DP$42</c:f>
              <c:numCache>
                <c:formatCode>dd/mm/yyyy</c:formatCode>
                <c:ptCount val="16"/>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numCache>
            </c:numRef>
          </c:cat>
          <c:val>
            <c:numRef>
              <c:f>'Bloom Cleaner Data'!$EH$35:$EO$35</c:f>
              <c:numCache>
                <c:formatCode>0.0</c:formatCode>
                <c:ptCount val="8"/>
                <c:pt idx="0">
                  <c:v>13.9069</c:v>
                </c:pt>
                <c:pt idx="1">
                  <c:v>10.9459</c:v>
                </c:pt>
                <c:pt idx="2">
                  <c:v>9.6668000000000003</c:v>
                </c:pt>
                <c:pt idx="3">
                  <c:v>8.9400999999999993</c:v>
                </c:pt>
                <c:pt idx="4">
                  <c:v>9.0245999999999995</c:v>
                </c:pt>
                <c:pt idx="5">
                  <c:v>10.416700000000001</c:v>
                </c:pt>
                <c:pt idx="6">
                  <c:v>11.169499999999999</c:v>
                </c:pt>
                <c:pt idx="7">
                  <c:v>13.183400000000001</c:v>
                </c:pt>
              </c:numCache>
            </c:numRef>
          </c:val>
        </c:ser>
        <c:ser>
          <c:idx val="1"/>
          <c:order val="1"/>
          <c:tx>
            <c:strRef>
              <c:f>'Bloom Cleaner Data'!$A$38</c:f>
              <c:strCache>
                <c:ptCount val="1"/>
                <c:pt idx="0">
                  <c:v>E300 Mobile</c:v>
                </c:pt>
              </c:strCache>
            </c:strRef>
          </c:tx>
          <c:spPr>
            <a:ln w="19050">
              <a:solidFill>
                <a:srgbClr val="FFC000"/>
              </a:solidFill>
            </a:ln>
          </c:spPr>
          <c:marker>
            <c:symbol val="none"/>
          </c:marker>
          <c:cat>
            <c:numRef>
              <c:f>'Bloom Cleaner Data'!$DA$42:$DP$42</c:f>
              <c:numCache>
                <c:formatCode>dd/mm/yyyy</c:formatCode>
                <c:ptCount val="16"/>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numCache>
            </c:numRef>
          </c:cat>
          <c:val>
            <c:numRef>
              <c:f>'Bloom Cleaner Data'!$EH$38:$EO$38</c:f>
              <c:numCache>
                <c:formatCode>0.0</c:formatCode>
                <c:ptCount val="8"/>
                <c:pt idx="0">
                  <c:v>16.6341</c:v>
                </c:pt>
                <c:pt idx="1">
                  <c:v>11.0204</c:v>
                </c:pt>
                <c:pt idx="2">
                  <c:v>10.469799999999999</c:v>
                </c:pt>
                <c:pt idx="3">
                  <c:v>8.9239999999999995</c:v>
                </c:pt>
                <c:pt idx="4">
                  <c:v>9.4634999999999998</c:v>
                </c:pt>
                <c:pt idx="5">
                  <c:v>12.786200000000001</c:v>
                </c:pt>
                <c:pt idx="6">
                  <c:v>12.34</c:v>
                </c:pt>
                <c:pt idx="7">
                  <c:v>13.475199999999999</c:v>
                </c:pt>
              </c:numCache>
            </c:numRef>
          </c:val>
        </c:ser>
        <c:ser>
          <c:idx val="2"/>
          <c:order val="2"/>
          <c:tx>
            <c:strRef>
              <c:f>'Bloom Cleaner Data'!$A$39</c:f>
              <c:strCache>
                <c:ptCount val="1"/>
                <c:pt idx="0">
                  <c:v>E300 Fixed</c:v>
                </c:pt>
              </c:strCache>
            </c:strRef>
          </c:tx>
          <c:spPr>
            <a:ln w="19050">
              <a:solidFill>
                <a:schemeClr val="accent3">
                  <a:lumMod val="50000"/>
                </a:schemeClr>
              </a:solidFill>
            </a:ln>
          </c:spPr>
          <c:marker>
            <c:symbol val="none"/>
          </c:marker>
          <c:cat>
            <c:numRef>
              <c:f>'Bloom Cleaner Data'!$DA$42:$DP$42</c:f>
              <c:numCache>
                <c:formatCode>dd/mm/yyyy</c:formatCode>
                <c:ptCount val="16"/>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numCache>
            </c:numRef>
          </c:cat>
          <c:val>
            <c:numRef>
              <c:f>'Bloom Cleaner Data'!$EH$39:$EO$39</c:f>
              <c:numCache>
                <c:formatCode>0.0</c:formatCode>
                <c:ptCount val="8"/>
                <c:pt idx="0">
                  <c:v>12.514799999999999</c:v>
                </c:pt>
                <c:pt idx="1">
                  <c:v>10.891500000000001</c:v>
                </c:pt>
                <c:pt idx="2">
                  <c:v>9.0869</c:v>
                </c:pt>
                <c:pt idx="3">
                  <c:v>8.9527000000000001</c:v>
                </c:pt>
                <c:pt idx="4">
                  <c:v>8.6904000000000003</c:v>
                </c:pt>
                <c:pt idx="5">
                  <c:v>8.9420999999999999</c:v>
                </c:pt>
                <c:pt idx="6">
                  <c:v>10.296099999999999</c:v>
                </c:pt>
                <c:pt idx="7">
                  <c:v>12.899900000000001</c:v>
                </c:pt>
              </c:numCache>
            </c:numRef>
          </c:val>
        </c:ser>
        <c:marker val="1"/>
        <c:axId val="168298368"/>
        <c:axId val="168299904"/>
      </c:lineChart>
      <c:dateAx>
        <c:axId val="168298368"/>
        <c:scaling>
          <c:orientation val="minMax"/>
          <c:max val="41547"/>
        </c:scaling>
        <c:axPos val="b"/>
        <c:numFmt formatCode="mm/yyyy;@" sourceLinked="0"/>
        <c:tickLblPos val="nextTo"/>
        <c:crossAx val="168299904"/>
        <c:crosses val="autoZero"/>
        <c:auto val="1"/>
        <c:lblOffset val="100"/>
        <c:majorUnit val="6"/>
        <c:majorTimeUnit val="months"/>
      </c:dateAx>
      <c:valAx>
        <c:axId val="168299904"/>
        <c:scaling>
          <c:orientation val="minMax"/>
        </c:scaling>
        <c:axPos val="l"/>
        <c:majorGridlines>
          <c:spPr>
            <a:ln>
              <a:solidFill>
                <a:schemeClr val="bg1">
                  <a:lumMod val="50000"/>
                </a:schemeClr>
              </a:solidFill>
              <a:prstDash val="dash"/>
            </a:ln>
          </c:spPr>
        </c:majorGridlines>
        <c:numFmt formatCode="0" sourceLinked="0"/>
        <c:tickLblPos val="nextTo"/>
        <c:crossAx val="168298368"/>
        <c:crosses val="autoZero"/>
        <c:crossBetween val="between"/>
      </c:valAx>
      <c:spPr>
        <a:ln>
          <a:noFill/>
        </a:ln>
      </c:spPr>
    </c:plotArea>
    <c:legend>
      <c:legendPos val="b"/>
    </c:legend>
    <c:plotVisOnly val="1"/>
  </c:chart>
  <c:spPr>
    <a:ln>
      <a:noFill/>
    </a:ln>
  </c:spPr>
  <c:txPr>
    <a:bodyPr/>
    <a:lstStyle/>
    <a:p>
      <a:pPr>
        <a:defRPr sz="1200">
          <a:latin typeface="Arial" pitchFamily="34" charset="0"/>
          <a:cs typeface="Arial" pitchFamily="34" charset="0"/>
        </a:defRPr>
      </a:pPr>
      <a:endParaRPr lang="fr-FR"/>
    </a:p>
  </c:txPr>
  <c:printSettings>
    <c:headerFooter/>
    <c:pageMargins b="0.7500000000000101" l="0.70000000000000062" r="0.70000000000000062" t="0.7500000000000101"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fr-FR"/>
  <c:chart>
    <c:autoTitleDeleted val="1"/>
    <c:plotArea>
      <c:layout/>
      <c:scatterChart>
        <c:scatterStyle val="lineMarker"/>
        <c:ser>
          <c:idx val="0"/>
          <c:order val="0"/>
          <c:spPr>
            <a:ln w="28575">
              <a:noFill/>
            </a:ln>
          </c:spPr>
          <c:marker>
            <c:symbol val="dash"/>
            <c:size val="30"/>
            <c:spPr>
              <a:solidFill>
                <a:srgbClr val="FFC000">
                  <a:alpha val="47059"/>
                </a:srgbClr>
              </a:solidFill>
              <a:ln>
                <a:noFill/>
              </a:ln>
            </c:spPr>
          </c:marker>
          <c:dLbls>
            <c:dLbl>
              <c:idx val="0"/>
              <c:tx>
                <c:strRef>
                  <c:f>PROFILES!$AT$205</c:f>
                  <c:strCache>
                    <c:ptCount val="1"/>
                    <c:pt idx="0">
                      <c:v>TKA</c:v>
                    </c:pt>
                  </c:strCache>
                </c:strRef>
              </c:tx>
              <c:spPr/>
              <c:txPr>
                <a:bodyPr/>
                <a:lstStyle/>
                <a:p>
                  <a:pPr>
                    <a:defRPr sz="1000" b="0" i="0" strike="noStrike">
                      <a:latin typeface="Arial"/>
                    </a:defRPr>
                  </a:pPr>
                  <a:endParaRPr lang="fr-FR"/>
                </a:p>
              </c:txPr>
              <c:dLblPos val="ctr"/>
              <c:showVal val="1"/>
            </c:dLbl>
            <c:dLbl>
              <c:idx val="1"/>
              <c:tx>
                <c:strRef>
                  <c:f>PROFILES!$AT$206</c:f>
                  <c:strCache>
                    <c:ptCount val="1"/>
                    <c:pt idx="0">
                      <c:v>BELGACOM</c:v>
                    </c:pt>
                  </c:strCache>
                </c:strRef>
              </c:tx>
              <c:spPr/>
              <c:txPr>
                <a:bodyPr/>
                <a:lstStyle/>
                <a:p>
                  <a:pPr>
                    <a:defRPr sz="1000" b="1" i="0" strike="noStrike">
                      <a:latin typeface="Arial"/>
                    </a:defRPr>
                  </a:pPr>
                  <a:endParaRPr lang="fr-FR"/>
                </a:p>
              </c:txPr>
              <c:dLblPos val="ctr"/>
              <c:showVal val="1"/>
            </c:dLbl>
            <c:dLbl>
              <c:idx val="2"/>
              <c:tx>
                <c:strRef>
                  <c:f>PROFILES!$AT$207</c:f>
                  <c:strCache>
                    <c:ptCount val="1"/>
                    <c:pt idx="0">
                      <c:v>MOBISTAR</c:v>
                    </c:pt>
                  </c:strCache>
                </c:strRef>
              </c:tx>
              <c:spPr/>
              <c:txPr>
                <a:bodyPr/>
                <a:lstStyle/>
                <a:p>
                  <a:pPr>
                    <a:defRPr sz="1000" b="1" i="0" strike="noStrike">
                      <a:latin typeface="Arial"/>
                    </a:defRPr>
                  </a:pPr>
                  <a:endParaRPr lang="fr-FR"/>
                </a:p>
              </c:txPr>
              <c:dLblPos val="ctr"/>
              <c:showVal val="1"/>
            </c:dLbl>
            <c:dLbl>
              <c:idx val="3"/>
              <c:tx>
                <c:strRef>
                  <c:f>PROFILES!$AT$208</c:f>
                  <c:strCache>
                    <c:ptCount val="1"/>
                    <c:pt idx="0">
                      <c:v>TNET</c:v>
                    </c:pt>
                  </c:strCache>
                </c:strRef>
              </c:tx>
              <c:spPr/>
              <c:txPr>
                <a:bodyPr/>
                <a:lstStyle/>
                <a:p>
                  <a:pPr>
                    <a:defRPr sz="1000" b="0" i="0" strike="noStrike">
                      <a:latin typeface="Arial"/>
                    </a:defRPr>
                  </a:pPr>
                  <a:endParaRPr lang="fr-FR"/>
                </a:p>
              </c:txPr>
              <c:dLblPos val="ctr"/>
              <c:showVal val="1"/>
            </c:dLbl>
            <c:dLbl>
              <c:idx val="4"/>
              <c:tx>
                <c:strRef>
                  <c:f>PROFILES!$AT$209</c:f>
                  <c:strCache>
                    <c:ptCount val="1"/>
                    <c:pt idx="0">
                      <c:v>TDC</c:v>
                    </c:pt>
                  </c:strCache>
                </c:strRef>
              </c:tx>
              <c:spPr/>
              <c:txPr>
                <a:bodyPr/>
                <a:lstStyle/>
                <a:p>
                  <a:pPr>
                    <a:defRPr sz="1000" b="0" i="0" strike="noStrike">
                      <a:latin typeface="Arial"/>
                    </a:defRPr>
                  </a:pPr>
                  <a:endParaRPr lang="fr-FR"/>
                </a:p>
              </c:txPr>
              <c:dLblPos val="ctr"/>
              <c:showVal val="1"/>
            </c:dLbl>
            <c:dLbl>
              <c:idx val="5"/>
              <c:tx>
                <c:strRef>
                  <c:f>PROFILES!$AT$210</c:f>
                  <c:strCache>
                    <c:ptCount val="1"/>
                    <c:pt idx="0">
                      <c:v>TEF</c:v>
                    </c:pt>
                  </c:strCache>
                </c:strRef>
              </c:tx>
              <c:spPr/>
              <c:txPr>
                <a:bodyPr/>
                <a:lstStyle/>
                <a:p>
                  <a:pPr>
                    <a:defRPr sz="1000" b="0" i="0" strike="noStrike">
                      <a:latin typeface="Arial"/>
                    </a:defRPr>
                  </a:pPr>
                  <a:endParaRPr lang="fr-FR"/>
                </a:p>
              </c:txPr>
              <c:dLblPos val="ctr"/>
              <c:showVal val="1"/>
            </c:dLbl>
            <c:dLbl>
              <c:idx val="6"/>
              <c:tx>
                <c:strRef>
                  <c:f>PROFILES!$AT$211</c:f>
                  <c:strCache>
                    <c:ptCount val="1"/>
                    <c:pt idx="0">
                      <c:v>ELI</c:v>
                    </c:pt>
                  </c:strCache>
                </c:strRef>
              </c:tx>
              <c:spPr/>
              <c:txPr>
                <a:bodyPr/>
                <a:lstStyle/>
                <a:p>
                  <a:pPr>
                    <a:defRPr sz="1000" b="0" i="0" strike="noStrike">
                      <a:latin typeface="Arial"/>
                    </a:defRPr>
                  </a:pPr>
                  <a:endParaRPr lang="fr-FR"/>
                </a:p>
              </c:txPr>
              <c:dLblPos val="ctr"/>
              <c:showVal val="1"/>
            </c:dLbl>
            <c:dLbl>
              <c:idx val="7"/>
              <c:tx>
                <c:strRef>
                  <c:f>PROFILES!$AT$212</c:f>
                  <c:strCache>
                    <c:ptCount val="1"/>
                    <c:pt idx="0">
                      <c:v>ILD</c:v>
                    </c:pt>
                  </c:strCache>
                </c:strRef>
              </c:tx>
              <c:spPr/>
              <c:txPr>
                <a:bodyPr/>
                <a:lstStyle/>
                <a:p>
                  <a:pPr>
                    <a:defRPr sz="1000" b="0" i="0" strike="noStrike">
                      <a:latin typeface="Arial"/>
                    </a:defRPr>
                  </a:pPr>
                  <a:endParaRPr lang="fr-FR"/>
                </a:p>
              </c:txPr>
              <c:dLblPos val="ctr"/>
              <c:showVal val="1"/>
            </c:dLbl>
            <c:dLbl>
              <c:idx val="8"/>
              <c:tx>
                <c:strRef>
                  <c:f>PROFILES!$AT$213</c:f>
                  <c:strCache>
                    <c:ptCount val="1"/>
                    <c:pt idx="0">
                      <c:v>ORA</c:v>
                    </c:pt>
                  </c:strCache>
                </c:strRef>
              </c:tx>
              <c:spPr/>
              <c:txPr>
                <a:bodyPr/>
                <a:lstStyle/>
                <a:p>
                  <a:pPr>
                    <a:defRPr sz="1000" b="0" i="0" strike="noStrike">
                      <a:latin typeface="Arial"/>
                    </a:defRPr>
                  </a:pPr>
                  <a:endParaRPr lang="fr-FR"/>
                </a:p>
              </c:txPr>
              <c:dLblPos val="ctr"/>
              <c:showVal val="1"/>
            </c:dLbl>
            <c:dLbl>
              <c:idx val="9"/>
              <c:tx>
                <c:strRef>
                  <c:f>PROFILES!$AT$214</c:f>
                  <c:strCache>
                    <c:ptCount val="1"/>
                    <c:pt idx="0">
                      <c:v>OTE</c:v>
                    </c:pt>
                  </c:strCache>
                </c:strRef>
              </c:tx>
              <c:spPr/>
              <c:txPr>
                <a:bodyPr/>
                <a:lstStyle/>
                <a:p>
                  <a:pPr>
                    <a:defRPr sz="1000" b="0" i="0" strike="noStrike">
                      <a:latin typeface="Arial"/>
                    </a:defRPr>
                  </a:pPr>
                  <a:endParaRPr lang="fr-FR"/>
                </a:p>
              </c:txPr>
              <c:dLblPos val="ctr"/>
              <c:showVal val="1"/>
            </c:dLbl>
            <c:dLbl>
              <c:idx val="10"/>
              <c:tx>
                <c:strRef>
                  <c:f>PROFILES!$AT$215</c:f>
                  <c:strCache>
                    <c:ptCount val="1"/>
                    <c:pt idx="0">
                      <c:v>TIT</c:v>
                    </c:pt>
                  </c:strCache>
                </c:strRef>
              </c:tx>
              <c:spPr/>
              <c:txPr>
                <a:bodyPr/>
                <a:lstStyle/>
                <a:p>
                  <a:pPr>
                    <a:defRPr sz="1000" b="0" i="0" strike="noStrike">
                      <a:latin typeface="Arial"/>
                    </a:defRPr>
                  </a:pPr>
                  <a:endParaRPr lang="fr-FR"/>
                </a:p>
              </c:txPr>
              <c:dLblPos val="ctr"/>
              <c:showVal val="1"/>
            </c:dLbl>
            <c:dLbl>
              <c:idx val="11"/>
              <c:tx>
                <c:strRef>
                  <c:f>PROFILES!$AT$216</c:f>
                  <c:strCache>
                    <c:ptCount val="1"/>
                    <c:pt idx="0">
                      <c:v>TEL</c:v>
                    </c:pt>
                  </c:strCache>
                </c:strRef>
              </c:tx>
              <c:spPr/>
              <c:txPr>
                <a:bodyPr/>
                <a:lstStyle/>
                <a:p>
                  <a:pPr>
                    <a:defRPr sz="1000" b="0" i="0" strike="noStrike">
                      <a:latin typeface="Arial"/>
                    </a:defRPr>
                  </a:pPr>
                  <a:endParaRPr lang="fr-FR"/>
                </a:p>
              </c:txPr>
              <c:dLblPos val="ctr"/>
              <c:showVal val="1"/>
            </c:dLbl>
            <c:dLbl>
              <c:idx val="12"/>
              <c:tx>
                <c:strRef>
                  <c:f>PROFILES!$AT$217</c:f>
                  <c:strCache>
                    <c:ptCount val="1"/>
                    <c:pt idx="0">
                      <c:v>KPN</c:v>
                    </c:pt>
                  </c:strCache>
                </c:strRef>
              </c:tx>
              <c:spPr/>
              <c:txPr>
                <a:bodyPr/>
                <a:lstStyle/>
                <a:p>
                  <a:pPr>
                    <a:defRPr sz="1000" b="0" i="0" strike="noStrike">
                      <a:latin typeface="Arial"/>
                    </a:defRPr>
                  </a:pPr>
                  <a:endParaRPr lang="fr-FR"/>
                </a:p>
              </c:txPr>
              <c:dLblPos val="ctr"/>
              <c:showVal val="1"/>
            </c:dLbl>
            <c:dLbl>
              <c:idx val="13"/>
              <c:tx>
                <c:strRef>
                  <c:f>PROFILES!$AT$218</c:f>
                  <c:strCache>
                    <c:ptCount val="1"/>
                    <c:pt idx="0">
                      <c:v>TPS</c:v>
                    </c:pt>
                  </c:strCache>
                </c:strRef>
              </c:tx>
              <c:spPr/>
              <c:txPr>
                <a:bodyPr/>
                <a:lstStyle/>
                <a:p>
                  <a:pPr>
                    <a:defRPr sz="1000" b="0" i="0" strike="noStrike">
                      <a:latin typeface="Arial"/>
                    </a:defRPr>
                  </a:pPr>
                  <a:endParaRPr lang="fr-FR"/>
                </a:p>
              </c:txPr>
              <c:dLblPos val="ctr"/>
              <c:showVal val="1"/>
            </c:dLbl>
            <c:dLbl>
              <c:idx val="14"/>
              <c:tx>
                <c:strRef>
                  <c:f>PROFILES!$AT$219</c:f>
                  <c:strCache>
                    <c:ptCount val="1"/>
                    <c:pt idx="0">
                      <c:v>PT</c:v>
                    </c:pt>
                  </c:strCache>
                </c:strRef>
              </c:tx>
              <c:spPr/>
              <c:txPr>
                <a:bodyPr/>
                <a:lstStyle/>
                <a:p>
                  <a:pPr>
                    <a:defRPr sz="1000" b="0" i="0" strike="noStrike">
                      <a:latin typeface="Arial"/>
                    </a:defRPr>
                  </a:pPr>
                  <a:endParaRPr lang="fr-FR"/>
                </a:p>
              </c:txPr>
              <c:dLblPos val="ctr"/>
              <c:showVal val="1"/>
            </c:dLbl>
            <c:dLbl>
              <c:idx val="15"/>
              <c:tx>
                <c:strRef>
                  <c:f>PROFILES!$AT$220</c:f>
                  <c:strCache>
                    <c:ptCount val="1"/>
                    <c:pt idx="0">
                      <c:v>BT</c:v>
                    </c:pt>
                  </c:strCache>
                </c:strRef>
              </c:tx>
              <c:spPr/>
              <c:txPr>
                <a:bodyPr/>
                <a:lstStyle/>
                <a:p>
                  <a:pPr>
                    <a:defRPr sz="1000" b="0" i="0" strike="noStrike">
                      <a:latin typeface="Arial"/>
                    </a:defRPr>
                  </a:pPr>
                  <a:endParaRPr lang="fr-FR"/>
                </a:p>
              </c:txPr>
              <c:dLblPos val="ctr"/>
              <c:showVal val="1"/>
            </c:dLbl>
            <c:dLbl>
              <c:idx val="16"/>
              <c:tx>
                <c:strRef>
                  <c:f>PROFILES!$AT$221</c:f>
                  <c:strCache>
                    <c:ptCount val="1"/>
                    <c:pt idx="0">
                      <c:v>VOD</c:v>
                    </c:pt>
                  </c:strCache>
                </c:strRef>
              </c:tx>
              <c:spPr/>
              <c:txPr>
                <a:bodyPr/>
                <a:lstStyle/>
                <a:p>
                  <a:pPr>
                    <a:defRPr sz="1000" b="0" i="0" strike="noStrike">
                      <a:latin typeface="Arial"/>
                    </a:defRPr>
                  </a:pPr>
                  <a:endParaRPr lang="fr-FR"/>
                </a:p>
              </c:txPr>
              <c:dLblPos val="ctr"/>
              <c:showVal val="1"/>
            </c:dLbl>
            <c:dLbl>
              <c:idx val="17"/>
              <c:tx>
                <c:strRef>
                  <c:f>PROFILES!$AT$222</c:f>
                  <c:strCache>
                    <c:ptCount val="1"/>
                    <c:pt idx="0">
                      <c:v>TLSN</c:v>
                    </c:pt>
                  </c:strCache>
                </c:strRef>
              </c:tx>
              <c:spPr/>
              <c:txPr>
                <a:bodyPr/>
                <a:lstStyle/>
                <a:p>
                  <a:pPr>
                    <a:defRPr sz="1000" b="0" i="0" strike="noStrike">
                      <a:latin typeface="Arial"/>
                    </a:defRPr>
                  </a:pPr>
                  <a:endParaRPr lang="fr-FR"/>
                </a:p>
              </c:txPr>
              <c:dLblPos val="ctr"/>
              <c:showVal val="1"/>
            </c:dLbl>
            <c:dLbl>
              <c:idx val="18"/>
              <c:tx>
                <c:strRef>
                  <c:f>PROFILES!$AT$223</c:f>
                  <c:strCache>
                    <c:ptCount val="1"/>
                    <c:pt idx="0">
                      <c:v>TEL2</c:v>
                    </c:pt>
                  </c:strCache>
                </c:strRef>
              </c:tx>
              <c:spPr/>
              <c:txPr>
                <a:bodyPr/>
                <a:lstStyle/>
                <a:p>
                  <a:pPr>
                    <a:defRPr sz="1000" b="0" i="0" strike="noStrike">
                      <a:latin typeface="Arial"/>
                    </a:defRPr>
                  </a:pPr>
                  <a:endParaRPr lang="fr-FR"/>
                </a:p>
              </c:txPr>
              <c:dLblPos val="ctr"/>
              <c:showVal val="1"/>
            </c:dLbl>
            <c:dLbl>
              <c:idx val="19"/>
              <c:tx>
                <c:strRef>
                  <c:f>PROFILES!$AT$224</c:f>
                  <c:strCache>
                    <c:ptCount val="1"/>
                    <c:pt idx="0">
                      <c:v>SCM</c:v>
                    </c:pt>
                  </c:strCache>
                </c:strRef>
              </c:tx>
              <c:spPr/>
              <c:txPr>
                <a:bodyPr/>
                <a:lstStyle/>
                <a:p>
                  <a:pPr>
                    <a:defRPr sz="1000" b="0" i="0" strike="noStrike">
                      <a:latin typeface="Arial"/>
                    </a:defRPr>
                  </a:pPr>
                  <a:endParaRPr lang="fr-FR"/>
                </a:p>
              </c:txPr>
              <c:dLblPos val="ctr"/>
              <c:showVal val="1"/>
            </c:dLbl>
            <c:dLbl>
              <c:idx val="20"/>
              <c:tx>
                <c:strRef>
                  <c:f>PROFILES!$AT$225</c:f>
                  <c:strCache>
                    <c:ptCount val="1"/>
                    <c:pt idx="0">
                      <c:v>SNC</c:v>
                    </c:pt>
                  </c:strCache>
                </c:strRef>
              </c:tx>
              <c:spPr/>
              <c:txPr>
                <a:bodyPr/>
                <a:lstStyle/>
                <a:p>
                  <a:pPr>
                    <a:defRPr sz="1000" b="0" i="0" strike="noStrike">
                      <a:latin typeface="Arial"/>
                    </a:defRPr>
                  </a:pPr>
                  <a:endParaRPr lang="fr-FR"/>
                </a:p>
              </c:txPr>
              <c:dLblPos val="ctr"/>
              <c:showVal val="1"/>
            </c:dLbl>
            <c:showVal val="1"/>
          </c:dLbls>
          <c:trendline>
            <c:spPr>
              <a:ln>
                <a:solidFill>
                  <a:schemeClr val="bg1">
                    <a:lumMod val="50000"/>
                  </a:schemeClr>
                </a:solidFill>
                <a:prstDash val="dash"/>
              </a:ln>
            </c:spPr>
            <c:trendlineType val="poly"/>
            <c:order val="2"/>
          </c:trendline>
          <c:xVal>
            <c:numRef>
              <c:f>PROFILES!$AH$205:$AH$225</c:f>
              <c:numCache>
                <c:formatCode>0%</c:formatCode>
                <c:ptCount val="21"/>
                <c:pt idx="0">
                  <c:v>-5.2071170724915891E-2</c:v>
                </c:pt>
                <c:pt idx="1">
                  <c:v>-0.1153634304384116</c:v>
                </c:pt>
                <c:pt idx="2">
                  <c:v>1.1907948675707087E-2</c:v>
                </c:pt>
                <c:pt idx="4">
                  <c:v>-0.11491916916279199</c:v>
                </c:pt>
                <c:pt idx="5">
                  <c:v>0.11044311863454735</c:v>
                </c:pt>
                <c:pt idx="6">
                  <c:v>5.5614710459497153E-2</c:v>
                </c:pt>
                <c:pt idx="8">
                  <c:v>4.0950219141690898E-2</c:v>
                </c:pt>
                <c:pt idx="9">
                  <c:v>-6.0545455382306421E-2</c:v>
                </c:pt>
                <c:pt idx="10">
                  <c:v>-5.4500069338510607E-2</c:v>
                </c:pt>
                <c:pt idx="11">
                  <c:v>0.10784712869930438</c:v>
                </c:pt>
                <c:pt idx="12">
                  <c:v>8.4948466413752491E-2</c:v>
                </c:pt>
                <c:pt idx="13">
                  <c:v>9.1811010201268306E-2</c:v>
                </c:pt>
                <c:pt idx="14">
                  <c:v>-0.18079580514885477</c:v>
                </c:pt>
                <c:pt idx="15">
                  <c:v>0</c:v>
                </c:pt>
                <c:pt idx="16">
                  <c:v>-4.3736501079913587E-2</c:v>
                </c:pt>
                <c:pt idx="17">
                  <c:v>0.11334582604034234</c:v>
                </c:pt>
                <c:pt idx="18">
                  <c:v>9.3304513312571363E-2</c:v>
                </c:pt>
                <c:pt idx="19">
                  <c:v>-8.7660674172335792E-2</c:v>
                </c:pt>
                <c:pt idx="20">
                  <c:v>-3.771277618520176E-2</c:v>
                </c:pt>
              </c:numCache>
            </c:numRef>
          </c:xVal>
          <c:yVal>
            <c:numRef>
              <c:f>PROFILES!$AI$205:$AI$225</c:f>
              <c:numCache>
                <c:formatCode>0%</c:formatCode>
                <c:ptCount val="21"/>
                <c:pt idx="0">
                  <c:v>-3.1436262257258173E-2</c:v>
                </c:pt>
                <c:pt idx="1">
                  <c:v>0.19466300859302216</c:v>
                </c:pt>
                <c:pt idx="2">
                  <c:v>-0.34669509594882725</c:v>
                </c:pt>
                <c:pt idx="3">
                  <c:v>0</c:v>
                </c:pt>
                <c:pt idx="4">
                  <c:v>-0.21326733738634535</c:v>
                </c:pt>
                <c:pt idx="5">
                  <c:v>-8.3741017508019253E-2</c:v>
                </c:pt>
                <c:pt idx="6">
                  <c:v>0.1489483497432206</c:v>
                </c:pt>
                <c:pt idx="7">
                  <c:v>0</c:v>
                </c:pt>
                <c:pt idx="8">
                  <c:v>-0.22301136363636356</c:v>
                </c:pt>
                <c:pt idx="9">
                  <c:v>7.155091441516115E-3</c:v>
                </c:pt>
                <c:pt idx="10">
                  <c:v>-0.18650793650793657</c:v>
                </c:pt>
                <c:pt idx="11">
                  <c:v>4.622858690500363E-2</c:v>
                </c:pt>
                <c:pt idx="12">
                  <c:v>-0.29461890772402971</c:v>
                </c:pt>
                <c:pt idx="13">
                  <c:v>-9.510218368830603E-2</c:v>
                </c:pt>
                <c:pt idx="14">
                  <c:v>-0.25656220854833328</c:v>
                </c:pt>
                <c:pt idx="15">
                  <c:v>0.51769719342055254</c:v>
                </c:pt>
                <c:pt idx="16">
                  <c:v>0.13245148433116438</c:v>
                </c:pt>
                <c:pt idx="17">
                  <c:v>1.950839376048388E-2</c:v>
                </c:pt>
                <c:pt idx="18">
                  <c:v>-5.5909957471770005E-3</c:v>
                </c:pt>
                <c:pt idx="19">
                  <c:v>0.21799740422054512</c:v>
                </c:pt>
                <c:pt idx="20">
                  <c:v>-0.11361540098857696</c:v>
                </c:pt>
              </c:numCache>
            </c:numRef>
          </c:yVal>
        </c:ser>
        <c:axId val="168608128"/>
        <c:axId val="168609664"/>
      </c:scatterChart>
      <c:valAx>
        <c:axId val="168608128"/>
        <c:scaling>
          <c:orientation val="minMax"/>
        </c:scaling>
        <c:axPos val="b"/>
        <c:numFmt formatCode="0%" sourceLinked="1"/>
        <c:tickLblPos val="nextTo"/>
        <c:txPr>
          <a:bodyPr/>
          <a:lstStyle/>
          <a:p>
            <a:pPr>
              <a:defRPr sz="1200" baseline="0">
                <a:latin typeface="Arial" pitchFamily="34" charset="0"/>
              </a:defRPr>
            </a:pPr>
            <a:endParaRPr lang="fr-FR"/>
          </a:p>
        </c:txPr>
        <c:crossAx val="168609664"/>
        <c:crosses val="autoZero"/>
        <c:crossBetween val="midCat"/>
      </c:valAx>
      <c:valAx>
        <c:axId val="168609664"/>
        <c:scaling>
          <c:orientation val="minMax"/>
        </c:scaling>
        <c:axPos val="l"/>
        <c:majorGridlines>
          <c:spPr>
            <a:ln>
              <a:solidFill>
                <a:schemeClr val="bg1">
                  <a:lumMod val="50000"/>
                </a:schemeClr>
              </a:solidFill>
              <a:prstDash val="sysDash"/>
            </a:ln>
          </c:spPr>
        </c:majorGridlines>
        <c:numFmt formatCode="0%" sourceLinked="0"/>
        <c:tickLblPos val="nextTo"/>
        <c:txPr>
          <a:bodyPr/>
          <a:lstStyle/>
          <a:p>
            <a:pPr>
              <a:defRPr sz="1200" baseline="0">
                <a:latin typeface="Arial" pitchFamily="34" charset="0"/>
              </a:defRPr>
            </a:pPr>
            <a:endParaRPr lang="fr-FR"/>
          </a:p>
        </c:txPr>
        <c:crossAx val="168608128"/>
        <c:crosses val="autoZero"/>
        <c:crossBetween val="midCat"/>
      </c:valAx>
    </c:plotArea>
    <c:plotVisOnly val="1"/>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hyperlink" Target="http://www.marpij.com/" TargetMode="External"/></Relationships>
</file>

<file path=xl/drawings/_rels/drawing15.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4.xml"/><Relationship Id="rId18" Type="http://schemas.openxmlformats.org/officeDocument/2006/relationships/chart" Target="../charts/chart28.xml"/><Relationship Id="rId3" Type="http://schemas.openxmlformats.org/officeDocument/2006/relationships/chart" Target="../charts/chart17.xml"/><Relationship Id="rId21" Type="http://schemas.openxmlformats.org/officeDocument/2006/relationships/chart" Target="../charts/chart30.xml"/><Relationship Id="rId7" Type="http://schemas.openxmlformats.org/officeDocument/2006/relationships/chart" Target="../charts/chart21.xml"/><Relationship Id="rId12" Type="http://schemas.openxmlformats.org/officeDocument/2006/relationships/image" Target="../media/image9.emf"/><Relationship Id="rId17" Type="http://schemas.openxmlformats.org/officeDocument/2006/relationships/chart" Target="../charts/chart27.xml"/><Relationship Id="rId2" Type="http://schemas.openxmlformats.org/officeDocument/2006/relationships/chart" Target="../charts/chart16.xml"/><Relationship Id="rId16" Type="http://schemas.openxmlformats.org/officeDocument/2006/relationships/chart" Target="../charts/chart26.xml"/><Relationship Id="rId20" Type="http://schemas.openxmlformats.org/officeDocument/2006/relationships/chart" Target="../charts/chart29.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8.emf"/><Relationship Id="rId5" Type="http://schemas.openxmlformats.org/officeDocument/2006/relationships/chart" Target="../charts/chart19.xml"/><Relationship Id="rId15" Type="http://schemas.openxmlformats.org/officeDocument/2006/relationships/image" Target="../media/image10.emf"/><Relationship Id="rId10" Type="http://schemas.openxmlformats.org/officeDocument/2006/relationships/chart" Target="../charts/chart23.xml"/><Relationship Id="rId19" Type="http://schemas.openxmlformats.org/officeDocument/2006/relationships/image" Target="../media/image11.emf"/><Relationship Id="rId4" Type="http://schemas.openxmlformats.org/officeDocument/2006/relationships/chart" Target="../charts/chart18.xml"/><Relationship Id="rId9" Type="http://schemas.openxmlformats.org/officeDocument/2006/relationships/image" Target="../media/image7.emf"/><Relationship Id="rId14" Type="http://schemas.openxmlformats.org/officeDocument/2006/relationships/chart" Target="../charts/chart25.xml"/><Relationship Id="rId22"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chart" Target="../charts/chart9.xml"/><Relationship Id="rId18" Type="http://schemas.openxmlformats.org/officeDocument/2006/relationships/image" Target="../media/image6.emf"/><Relationship Id="rId3" Type="http://schemas.openxmlformats.org/officeDocument/2006/relationships/chart" Target="../charts/chart3.xml"/><Relationship Id="rId7" Type="http://schemas.openxmlformats.org/officeDocument/2006/relationships/image" Target="../media/image1.png"/><Relationship Id="rId12" Type="http://schemas.openxmlformats.org/officeDocument/2006/relationships/image" Target="../media/image4.emf"/><Relationship Id="rId17" Type="http://schemas.openxmlformats.org/officeDocument/2006/relationships/image" Target="../media/image5.emf"/><Relationship Id="rId2" Type="http://schemas.openxmlformats.org/officeDocument/2006/relationships/chart" Target="../charts/chart2.xml"/><Relationship Id="rId16" Type="http://schemas.openxmlformats.org/officeDocument/2006/relationships/chart" Target="../charts/chart12.xml"/><Relationship Id="rId20"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8.xml"/><Relationship Id="rId5" Type="http://schemas.openxmlformats.org/officeDocument/2006/relationships/chart" Target="../charts/chart5.xml"/><Relationship Id="rId15" Type="http://schemas.openxmlformats.org/officeDocument/2006/relationships/chart" Target="../charts/chart11.xml"/><Relationship Id="rId10" Type="http://schemas.openxmlformats.org/officeDocument/2006/relationships/chart" Target="../charts/chart7.xml"/><Relationship Id="rId19" Type="http://schemas.openxmlformats.org/officeDocument/2006/relationships/chart" Target="../charts/chart13.xml"/><Relationship Id="rId4" Type="http://schemas.openxmlformats.org/officeDocument/2006/relationships/chart" Target="../charts/chart4.xml"/><Relationship Id="rId9" Type="http://schemas.openxmlformats.org/officeDocument/2006/relationships/image" Target="../media/image3.emf"/><Relationship Id="rId14" Type="http://schemas.openxmlformats.org/officeDocument/2006/relationships/chart" Target="../charts/chart10.xml"/></Relationships>
</file>

<file path=xl/drawings/_rels/drawing3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emf"/><Relationship Id="rId18" Type="http://schemas.openxmlformats.org/officeDocument/2006/relationships/chart" Target="../charts/chart35.xml"/><Relationship Id="rId3" Type="http://schemas.openxmlformats.org/officeDocument/2006/relationships/image" Target="../media/image14.emf"/><Relationship Id="rId7" Type="http://schemas.openxmlformats.org/officeDocument/2006/relationships/image" Target="../media/image18.gif"/><Relationship Id="rId12" Type="http://schemas.openxmlformats.org/officeDocument/2006/relationships/image" Target="../media/image23.emf"/><Relationship Id="rId17" Type="http://schemas.openxmlformats.org/officeDocument/2006/relationships/chart" Target="../charts/chart34.xml"/><Relationship Id="rId2" Type="http://schemas.openxmlformats.org/officeDocument/2006/relationships/image" Target="../media/image13.emf"/><Relationship Id="rId16" Type="http://schemas.openxmlformats.org/officeDocument/2006/relationships/chart" Target="../charts/chart33.xml"/><Relationship Id="rId1" Type="http://schemas.openxmlformats.org/officeDocument/2006/relationships/image" Target="../media/image12.emf"/><Relationship Id="rId6" Type="http://schemas.openxmlformats.org/officeDocument/2006/relationships/image" Target="../media/image17.emf"/><Relationship Id="rId11" Type="http://schemas.openxmlformats.org/officeDocument/2006/relationships/image" Target="../media/image22.emf"/><Relationship Id="rId5" Type="http://schemas.openxmlformats.org/officeDocument/2006/relationships/image" Target="../media/image16.emf"/><Relationship Id="rId15" Type="http://schemas.openxmlformats.org/officeDocument/2006/relationships/chart" Target="../charts/chart32.xml"/><Relationship Id="rId10" Type="http://schemas.openxmlformats.org/officeDocument/2006/relationships/image" Target="../media/image21.emf"/><Relationship Id="rId19" Type="http://schemas.openxmlformats.org/officeDocument/2006/relationships/chart" Target="../charts/chart36.xml"/><Relationship Id="rId4" Type="http://schemas.openxmlformats.org/officeDocument/2006/relationships/image" Target="../media/image15.emf"/><Relationship Id="rId9" Type="http://schemas.openxmlformats.org/officeDocument/2006/relationships/image" Target="../media/image20.emf"/><Relationship Id="rId14" Type="http://schemas.openxmlformats.org/officeDocument/2006/relationships/image" Target="../media/image25.emf"/></Relationships>
</file>

<file path=xl/drawings/_rels/drawing33.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0.x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38.emf"/><Relationship Id="rId18" Type="http://schemas.openxmlformats.org/officeDocument/2006/relationships/image" Target="../media/image43.emf"/><Relationship Id="rId3" Type="http://schemas.openxmlformats.org/officeDocument/2006/relationships/image" Target="../media/image28.emf"/><Relationship Id="rId7" Type="http://schemas.openxmlformats.org/officeDocument/2006/relationships/image" Target="../media/image32.emf"/><Relationship Id="rId12" Type="http://schemas.openxmlformats.org/officeDocument/2006/relationships/image" Target="../media/image37.emf"/><Relationship Id="rId17" Type="http://schemas.openxmlformats.org/officeDocument/2006/relationships/image" Target="../media/image42.emf"/><Relationship Id="rId2" Type="http://schemas.openxmlformats.org/officeDocument/2006/relationships/image" Target="../media/image27.emf"/><Relationship Id="rId16" Type="http://schemas.openxmlformats.org/officeDocument/2006/relationships/image" Target="../media/image41.png"/><Relationship Id="rId20" Type="http://schemas.openxmlformats.org/officeDocument/2006/relationships/image" Target="../media/image45.emf"/><Relationship Id="rId1" Type="http://schemas.openxmlformats.org/officeDocument/2006/relationships/image" Target="../media/image26.emf"/><Relationship Id="rId6" Type="http://schemas.openxmlformats.org/officeDocument/2006/relationships/image" Target="../media/image31.emf"/><Relationship Id="rId11" Type="http://schemas.openxmlformats.org/officeDocument/2006/relationships/image" Target="../media/image36.emf"/><Relationship Id="rId5" Type="http://schemas.openxmlformats.org/officeDocument/2006/relationships/image" Target="../media/image30.emf"/><Relationship Id="rId15" Type="http://schemas.openxmlformats.org/officeDocument/2006/relationships/image" Target="../media/image40.emf"/><Relationship Id="rId10" Type="http://schemas.openxmlformats.org/officeDocument/2006/relationships/image" Target="../media/image35.emf"/><Relationship Id="rId19" Type="http://schemas.openxmlformats.org/officeDocument/2006/relationships/image" Target="../media/image44.emf"/><Relationship Id="rId4" Type="http://schemas.openxmlformats.org/officeDocument/2006/relationships/image" Target="../media/image29.emf"/><Relationship Id="rId9" Type="http://schemas.openxmlformats.org/officeDocument/2006/relationships/image" Target="../media/image34.emf"/><Relationship Id="rId14" Type="http://schemas.openxmlformats.org/officeDocument/2006/relationships/image" Target="../media/image39.emf"/></Relationships>
</file>

<file path=xl/drawings/_rels/drawing51.xml.rels><?xml version="1.0" encoding="UTF-8" standalone="yes"?>
<Relationships xmlns="http://schemas.openxmlformats.org/package/2006/relationships"><Relationship Id="rId1"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xdr:from>
      <xdr:col>2</xdr:col>
      <xdr:colOff>76200</xdr:colOff>
      <xdr:row>55</xdr:row>
      <xdr:rowOff>0</xdr:rowOff>
    </xdr:from>
    <xdr:to>
      <xdr:col>2</xdr:col>
      <xdr:colOff>571500</xdr:colOff>
      <xdr:row>58</xdr:row>
      <xdr:rowOff>0</xdr:rowOff>
    </xdr:to>
    <xdr:grpSp>
      <xdr:nvGrpSpPr>
        <xdr:cNvPr id="7" name="Group 1">
          <a:hlinkClick xmlns:r="http://schemas.openxmlformats.org/officeDocument/2006/relationships" r:id="rId1"/>
        </xdr:cNvPr>
        <xdr:cNvGrpSpPr>
          <a:grpSpLocks noChangeAspect="1"/>
        </xdr:cNvGrpSpPr>
      </xdr:nvGrpSpPr>
      <xdr:grpSpPr bwMode="auto">
        <a:xfrm>
          <a:off x="381000" y="8153400"/>
          <a:ext cx="495300" cy="508000"/>
          <a:chOff x="0" y="427"/>
          <a:chExt cx="84" cy="86"/>
        </a:xfrm>
      </xdr:grpSpPr>
      <xdr:sp macro="" textlink="">
        <xdr:nvSpPr>
          <xdr:cNvPr id="8" name="Freeform 2"/>
          <xdr:cNvSpPr>
            <a:spLocks noChangeAspect="1"/>
          </xdr:cNvSpPr>
        </xdr:nvSpPr>
        <xdr:spPr bwMode="auto">
          <a:xfrm>
            <a:off x="0" y="481"/>
            <a:ext cx="35" cy="32"/>
          </a:xfrm>
          <a:custGeom>
            <a:avLst/>
            <a:gdLst>
              <a:gd name="T0" fmla="*/ 0 w 232"/>
              <a:gd name="T1" fmla="*/ 0 h 169"/>
              <a:gd name="T2" fmla="*/ 0 w 232"/>
              <a:gd name="T3" fmla="*/ 0 h 169"/>
              <a:gd name="T4" fmla="*/ 0 w 232"/>
              <a:gd name="T5" fmla="*/ 0 h 169"/>
              <a:gd name="T6" fmla="*/ 0 w 232"/>
              <a:gd name="T7" fmla="*/ 0 h 169"/>
              <a:gd name="T8" fmla="*/ 0 w 232"/>
              <a:gd name="T9" fmla="*/ 0 h 169"/>
              <a:gd name="T10" fmla="*/ 0 w 232"/>
              <a:gd name="T11" fmla="*/ 0 h 169"/>
              <a:gd name="T12" fmla="*/ 0 w 232"/>
              <a:gd name="T13" fmla="*/ 0 h 169"/>
              <a:gd name="T14" fmla="*/ 0 w 232"/>
              <a:gd name="T15" fmla="*/ 0 h 169"/>
              <a:gd name="T16" fmla="*/ 0 w 232"/>
              <a:gd name="T17" fmla="*/ 0 h 169"/>
              <a:gd name="T18" fmla="*/ 0 w 232"/>
              <a:gd name="T19" fmla="*/ 0 h 16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32"/>
              <a:gd name="T31" fmla="*/ 0 h 169"/>
              <a:gd name="T32" fmla="*/ 232 w 232"/>
              <a:gd name="T33" fmla="*/ 169 h 16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32" h="169">
                <a:moveTo>
                  <a:pt x="144" y="1"/>
                </a:moveTo>
                <a:cubicBezTo>
                  <a:pt x="117" y="5"/>
                  <a:pt x="85" y="0"/>
                  <a:pt x="64" y="17"/>
                </a:cubicBezTo>
                <a:cubicBezTo>
                  <a:pt x="56" y="23"/>
                  <a:pt x="55" y="34"/>
                  <a:pt x="48" y="41"/>
                </a:cubicBezTo>
                <a:cubicBezTo>
                  <a:pt x="41" y="48"/>
                  <a:pt x="32" y="52"/>
                  <a:pt x="24" y="57"/>
                </a:cubicBezTo>
                <a:cubicBezTo>
                  <a:pt x="16" y="69"/>
                  <a:pt x="0" y="88"/>
                  <a:pt x="0" y="105"/>
                </a:cubicBezTo>
                <a:cubicBezTo>
                  <a:pt x="0" y="145"/>
                  <a:pt x="49" y="159"/>
                  <a:pt x="80" y="169"/>
                </a:cubicBezTo>
                <a:cubicBezTo>
                  <a:pt x="104" y="166"/>
                  <a:pt x="128" y="166"/>
                  <a:pt x="152" y="161"/>
                </a:cubicBezTo>
                <a:cubicBezTo>
                  <a:pt x="169" y="158"/>
                  <a:pt x="200" y="145"/>
                  <a:pt x="200" y="145"/>
                </a:cubicBezTo>
                <a:cubicBezTo>
                  <a:pt x="213" y="106"/>
                  <a:pt x="232" y="49"/>
                  <a:pt x="192" y="17"/>
                </a:cubicBezTo>
                <a:cubicBezTo>
                  <a:pt x="179" y="6"/>
                  <a:pt x="160" y="6"/>
                  <a:pt x="144" y="1"/>
                </a:cubicBezTo>
                <a:close/>
              </a:path>
            </a:pathLst>
          </a:custGeom>
          <a:solidFill>
            <a:srgbClr val="246C48"/>
          </a:solidFill>
          <a:ln w="9525">
            <a:noFill/>
            <a:round/>
            <a:headEnd/>
            <a:tailEnd/>
          </a:ln>
        </xdr:spPr>
      </xdr:sp>
      <xdr:sp macro="" textlink="">
        <xdr:nvSpPr>
          <xdr:cNvPr id="9" name="Freeform 3"/>
          <xdr:cNvSpPr>
            <a:spLocks noChangeAspect="1"/>
          </xdr:cNvSpPr>
        </xdr:nvSpPr>
        <xdr:spPr bwMode="auto">
          <a:xfrm>
            <a:off x="53" y="481"/>
            <a:ext cx="31" cy="32"/>
          </a:xfrm>
          <a:custGeom>
            <a:avLst/>
            <a:gdLst>
              <a:gd name="T0" fmla="*/ 0 w 187"/>
              <a:gd name="T1" fmla="*/ 0 h 184"/>
              <a:gd name="T2" fmla="*/ 0 w 187"/>
              <a:gd name="T3" fmla="*/ 0 h 184"/>
              <a:gd name="T4" fmla="*/ 0 w 187"/>
              <a:gd name="T5" fmla="*/ 0 h 184"/>
              <a:gd name="T6" fmla="*/ 0 w 187"/>
              <a:gd name="T7" fmla="*/ 0 h 184"/>
              <a:gd name="T8" fmla="*/ 0 w 187"/>
              <a:gd name="T9" fmla="*/ 0 h 184"/>
              <a:gd name="T10" fmla="*/ 0 60000 65536"/>
              <a:gd name="T11" fmla="*/ 0 60000 65536"/>
              <a:gd name="T12" fmla="*/ 0 60000 65536"/>
              <a:gd name="T13" fmla="*/ 0 60000 65536"/>
              <a:gd name="T14" fmla="*/ 0 60000 65536"/>
              <a:gd name="T15" fmla="*/ 0 w 187"/>
              <a:gd name="T16" fmla="*/ 0 h 184"/>
              <a:gd name="T17" fmla="*/ 187 w 187"/>
              <a:gd name="T18" fmla="*/ 184 h 184"/>
            </a:gdLst>
            <a:ahLst/>
            <a:cxnLst>
              <a:cxn ang="T10">
                <a:pos x="T0" y="T1"/>
              </a:cxn>
              <a:cxn ang="T11">
                <a:pos x="T2" y="T3"/>
              </a:cxn>
              <a:cxn ang="T12">
                <a:pos x="T4" y="T5"/>
              </a:cxn>
              <a:cxn ang="T13">
                <a:pos x="T6" y="T7"/>
              </a:cxn>
              <a:cxn ang="T14">
                <a:pos x="T8" y="T9"/>
              </a:cxn>
            </a:cxnLst>
            <a:rect l="T15" t="T16" r="T17" b="T18"/>
            <a:pathLst>
              <a:path w="187" h="184">
                <a:moveTo>
                  <a:pt x="128" y="0"/>
                </a:moveTo>
                <a:cubicBezTo>
                  <a:pt x="57" y="12"/>
                  <a:pt x="25" y="14"/>
                  <a:pt x="0" y="88"/>
                </a:cubicBezTo>
                <a:cubicBezTo>
                  <a:pt x="14" y="131"/>
                  <a:pt x="6" y="150"/>
                  <a:pt x="40" y="184"/>
                </a:cubicBezTo>
                <a:cubicBezTo>
                  <a:pt x="91" y="178"/>
                  <a:pt x="128" y="170"/>
                  <a:pt x="176" y="160"/>
                </a:cubicBezTo>
                <a:cubicBezTo>
                  <a:pt x="187" y="96"/>
                  <a:pt x="185" y="38"/>
                  <a:pt x="128" y="0"/>
                </a:cubicBezTo>
                <a:close/>
              </a:path>
            </a:pathLst>
          </a:custGeom>
          <a:solidFill>
            <a:srgbClr val="FF9900"/>
          </a:solidFill>
          <a:ln w="9525">
            <a:noFill/>
            <a:round/>
            <a:headEnd/>
            <a:tailEnd/>
          </a:ln>
        </xdr:spPr>
      </xdr:sp>
      <xdr:sp macro="" textlink="">
        <xdr:nvSpPr>
          <xdr:cNvPr id="10" name="Freeform 4"/>
          <xdr:cNvSpPr>
            <a:spLocks noChangeAspect="1"/>
          </xdr:cNvSpPr>
        </xdr:nvSpPr>
        <xdr:spPr bwMode="auto">
          <a:xfrm>
            <a:off x="53" y="427"/>
            <a:ext cx="31" cy="35"/>
          </a:xfrm>
          <a:custGeom>
            <a:avLst/>
            <a:gdLst>
              <a:gd name="T0" fmla="*/ 0 w 184"/>
              <a:gd name="T1" fmla="*/ 0 h 205"/>
              <a:gd name="T2" fmla="*/ 0 w 184"/>
              <a:gd name="T3" fmla="*/ 0 h 205"/>
              <a:gd name="T4" fmla="*/ 0 w 184"/>
              <a:gd name="T5" fmla="*/ 0 h 205"/>
              <a:gd name="T6" fmla="*/ 0 w 184"/>
              <a:gd name="T7" fmla="*/ 0 h 205"/>
              <a:gd name="T8" fmla="*/ 0 w 184"/>
              <a:gd name="T9" fmla="*/ 0 h 205"/>
              <a:gd name="T10" fmla="*/ 0 w 184"/>
              <a:gd name="T11" fmla="*/ 0 h 205"/>
              <a:gd name="T12" fmla="*/ 0 w 184"/>
              <a:gd name="T13" fmla="*/ 0 h 205"/>
              <a:gd name="T14" fmla="*/ 0 60000 65536"/>
              <a:gd name="T15" fmla="*/ 0 60000 65536"/>
              <a:gd name="T16" fmla="*/ 0 60000 65536"/>
              <a:gd name="T17" fmla="*/ 0 60000 65536"/>
              <a:gd name="T18" fmla="*/ 0 60000 65536"/>
              <a:gd name="T19" fmla="*/ 0 60000 65536"/>
              <a:gd name="T20" fmla="*/ 0 60000 65536"/>
              <a:gd name="T21" fmla="*/ 0 w 184"/>
              <a:gd name="T22" fmla="*/ 0 h 205"/>
              <a:gd name="T23" fmla="*/ 184 w 184"/>
              <a:gd name="T24" fmla="*/ 205 h 20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84" h="205">
                <a:moveTo>
                  <a:pt x="96" y="42"/>
                </a:moveTo>
                <a:cubicBezTo>
                  <a:pt x="72" y="47"/>
                  <a:pt x="49" y="46"/>
                  <a:pt x="32" y="66"/>
                </a:cubicBezTo>
                <a:cubicBezTo>
                  <a:pt x="19" y="80"/>
                  <a:pt x="0" y="114"/>
                  <a:pt x="0" y="114"/>
                </a:cubicBezTo>
                <a:cubicBezTo>
                  <a:pt x="1" y="121"/>
                  <a:pt x="11" y="174"/>
                  <a:pt x="16" y="178"/>
                </a:cubicBezTo>
                <a:cubicBezTo>
                  <a:pt x="30" y="188"/>
                  <a:pt x="64" y="194"/>
                  <a:pt x="64" y="194"/>
                </a:cubicBezTo>
                <a:cubicBezTo>
                  <a:pt x="116" y="189"/>
                  <a:pt x="167" y="205"/>
                  <a:pt x="184" y="154"/>
                </a:cubicBezTo>
                <a:cubicBezTo>
                  <a:pt x="180" y="109"/>
                  <a:pt x="181" y="0"/>
                  <a:pt x="96" y="42"/>
                </a:cubicBezTo>
                <a:close/>
              </a:path>
            </a:pathLst>
          </a:custGeom>
          <a:solidFill>
            <a:srgbClr val="FF9900"/>
          </a:solidFill>
          <a:ln w="9525">
            <a:noFill/>
            <a:round/>
            <a:headEnd/>
            <a:tailEnd/>
          </a:ln>
        </xdr:spPr>
      </xdr:sp>
      <xdr:sp macro="" textlink="">
        <xdr:nvSpPr>
          <xdr:cNvPr id="11" name="Freeform 5"/>
          <xdr:cNvSpPr>
            <a:spLocks noChangeAspect="1"/>
          </xdr:cNvSpPr>
        </xdr:nvSpPr>
        <xdr:spPr bwMode="auto">
          <a:xfrm>
            <a:off x="0" y="427"/>
            <a:ext cx="31" cy="35"/>
          </a:xfrm>
          <a:custGeom>
            <a:avLst/>
            <a:gdLst>
              <a:gd name="T0" fmla="*/ 0 w 184"/>
              <a:gd name="T1" fmla="*/ 0 h 205"/>
              <a:gd name="T2" fmla="*/ 0 w 184"/>
              <a:gd name="T3" fmla="*/ 0 h 205"/>
              <a:gd name="T4" fmla="*/ 0 w 184"/>
              <a:gd name="T5" fmla="*/ 0 h 205"/>
              <a:gd name="T6" fmla="*/ 0 w 184"/>
              <a:gd name="T7" fmla="*/ 0 h 205"/>
              <a:gd name="T8" fmla="*/ 0 w 184"/>
              <a:gd name="T9" fmla="*/ 0 h 205"/>
              <a:gd name="T10" fmla="*/ 0 w 184"/>
              <a:gd name="T11" fmla="*/ 0 h 205"/>
              <a:gd name="T12" fmla="*/ 0 w 184"/>
              <a:gd name="T13" fmla="*/ 0 h 205"/>
              <a:gd name="T14" fmla="*/ 0 60000 65536"/>
              <a:gd name="T15" fmla="*/ 0 60000 65536"/>
              <a:gd name="T16" fmla="*/ 0 60000 65536"/>
              <a:gd name="T17" fmla="*/ 0 60000 65536"/>
              <a:gd name="T18" fmla="*/ 0 60000 65536"/>
              <a:gd name="T19" fmla="*/ 0 60000 65536"/>
              <a:gd name="T20" fmla="*/ 0 60000 65536"/>
              <a:gd name="T21" fmla="*/ 0 w 184"/>
              <a:gd name="T22" fmla="*/ 0 h 205"/>
              <a:gd name="T23" fmla="*/ 184 w 184"/>
              <a:gd name="T24" fmla="*/ 205 h 20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84" h="205">
                <a:moveTo>
                  <a:pt x="96" y="42"/>
                </a:moveTo>
                <a:cubicBezTo>
                  <a:pt x="72" y="47"/>
                  <a:pt x="49" y="46"/>
                  <a:pt x="32" y="66"/>
                </a:cubicBezTo>
                <a:cubicBezTo>
                  <a:pt x="19" y="80"/>
                  <a:pt x="0" y="114"/>
                  <a:pt x="0" y="114"/>
                </a:cubicBezTo>
                <a:cubicBezTo>
                  <a:pt x="1" y="121"/>
                  <a:pt x="11" y="174"/>
                  <a:pt x="16" y="178"/>
                </a:cubicBezTo>
                <a:cubicBezTo>
                  <a:pt x="30" y="188"/>
                  <a:pt x="64" y="194"/>
                  <a:pt x="64" y="194"/>
                </a:cubicBezTo>
                <a:cubicBezTo>
                  <a:pt x="116" y="189"/>
                  <a:pt x="167" y="205"/>
                  <a:pt x="184" y="154"/>
                </a:cubicBezTo>
                <a:cubicBezTo>
                  <a:pt x="180" y="109"/>
                  <a:pt x="181" y="0"/>
                  <a:pt x="96" y="42"/>
                </a:cubicBezTo>
                <a:close/>
              </a:path>
            </a:pathLst>
          </a:custGeom>
          <a:solidFill>
            <a:srgbClr val="FF9900"/>
          </a:solidFill>
          <a:ln w="9525">
            <a:noFill/>
            <a:round/>
            <a:headEnd/>
            <a:tailEnd/>
          </a:ln>
        </xdr:spPr>
      </xdr:sp>
    </xdr:grpSp>
    <xdr:clientData/>
  </xdr:twoCellAnchor>
</xdr:wsDr>
</file>

<file path=xl/drawings/drawing10.xml><?xml version="1.0" encoding="utf-8"?>
<c:userShapes xmlns:c="http://schemas.openxmlformats.org/drawingml/2006/chart">
  <cdr:relSizeAnchor xmlns:cdr="http://schemas.openxmlformats.org/drawingml/2006/chartDrawing">
    <cdr:from>
      <cdr:x>0.06428</cdr:x>
      <cdr:y>0.04437</cdr:y>
    </cdr:from>
    <cdr:to>
      <cdr:x>0.2014</cdr:x>
      <cdr:y>0.12325</cdr:y>
    </cdr:to>
    <cdr:sp macro="" textlink="">
      <cdr:nvSpPr>
        <cdr:cNvPr id="6" name="ZoneTexte 5"/>
        <cdr:cNvSpPr txBox="1"/>
      </cdr:nvSpPr>
      <cdr:spPr>
        <a:xfrm xmlns:a="http://schemas.openxmlformats.org/drawingml/2006/main">
          <a:off x="428648" y="171470"/>
          <a:ext cx="914402" cy="30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P/E</a:t>
          </a:r>
        </a:p>
      </cdr:txBody>
    </cdr:sp>
  </cdr:relSizeAnchor>
  <cdr:relSizeAnchor xmlns:cdr="http://schemas.openxmlformats.org/drawingml/2006/chartDrawing">
    <cdr:from>
      <cdr:x>0.48992</cdr:x>
      <cdr:y>0.03451</cdr:y>
    </cdr:from>
    <cdr:to>
      <cdr:x>0.97841</cdr:x>
      <cdr:y>0.82695</cdr:y>
    </cdr:to>
    <cdr:sp macro="" textlink="">
      <cdr:nvSpPr>
        <cdr:cNvPr id="7" name="Rectangle 6"/>
        <cdr:cNvSpPr/>
      </cdr:nvSpPr>
      <cdr:spPr>
        <a:xfrm xmlns:a="http://schemas.openxmlformats.org/drawingml/2006/main">
          <a:off x="3267075" y="133350"/>
          <a:ext cx="3257549" cy="3062082"/>
        </a:xfrm>
        <a:prstGeom xmlns:a="http://schemas.openxmlformats.org/drawingml/2006/main" prst="rect">
          <a:avLst/>
        </a:prstGeom>
        <a:solidFill xmlns:a="http://schemas.openxmlformats.org/drawingml/2006/main">
          <a:srgbClr val="F2F2F2">
            <a:alpha val="47843"/>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0.5999</cdr:x>
      <cdr:y>0.03697</cdr:y>
    </cdr:from>
    <cdr:to>
      <cdr:x>0.95984</cdr:x>
      <cdr:y>0.12078</cdr:y>
    </cdr:to>
    <cdr:sp macro="" textlink="">
      <cdr:nvSpPr>
        <cdr:cNvPr id="8" name="ZoneTexte 1"/>
        <cdr:cNvSpPr txBox="1"/>
      </cdr:nvSpPr>
      <cdr:spPr>
        <a:xfrm xmlns:a="http://schemas.openxmlformats.org/drawingml/2006/main">
          <a:off x="4000500" y="142875"/>
          <a:ext cx="2400299" cy="3238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solidFill>
                <a:schemeClr val="bg1">
                  <a:lumMod val="50000"/>
                </a:schemeClr>
              </a:solidFill>
              <a:latin typeface="Arial" pitchFamily="34" charset="0"/>
              <a:cs typeface="Arial" pitchFamily="34" charset="0"/>
            </a:rPr>
            <a:t>N/a</a:t>
          </a:r>
          <a:r>
            <a:rPr lang="fr-FR" sz="1100" baseline="0">
              <a:solidFill>
                <a:schemeClr val="bg1">
                  <a:lumMod val="50000"/>
                </a:schemeClr>
              </a:solidFill>
              <a:latin typeface="Arial" pitchFamily="34" charset="0"/>
              <a:cs typeface="Arial" pitchFamily="34" charset="0"/>
            </a:rPr>
            <a:t> (or irrelevant values)</a:t>
          </a:r>
          <a:endParaRPr lang="fr-FR" sz="110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EV/Ebitda</a:t>
          </a:r>
        </a:p>
      </cdr:txBody>
    </cdr:sp>
  </cdr:relSizeAnchor>
  <cdr:relSizeAnchor xmlns:cdr="http://schemas.openxmlformats.org/drawingml/2006/chartDrawing">
    <cdr:from>
      <cdr:x>0.81483</cdr:x>
      <cdr:y>0.88601</cdr:y>
    </cdr:from>
    <cdr:to>
      <cdr:x>0.97848</cdr:x>
      <cdr:y>0.95728</cdr:y>
    </cdr:to>
    <cdr:sp macro="" textlink="">
      <cdr:nvSpPr>
        <cdr:cNvPr id="3" name="ZoneTexte 2"/>
        <cdr:cNvSpPr txBox="1"/>
      </cdr:nvSpPr>
      <cdr:spPr>
        <a:xfrm xmlns:a="http://schemas.openxmlformats.org/drawingml/2006/main">
          <a:off x="5450146" y="3390690"/>
          <a:ext cx="1094600" cy="2727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200">
              <a:latin typeface="Arial" pitchFamily="34" charset="0"/>
              <a:cs typeface="Arial" pitchFamily="34" charset="0"/>
            </a:rPr>
            <a:t>% Mobile</a:t>
          </a:r>
        </a:p>
      </cdr:txBody>
    </cdr:sp>
  </cdr:relSizeAnchor>
  <cdr:relSizeAnchor xmlns:cdr="http://schemas.openxmlformats.org/drawingml/2006/chartDrawing">
    <cdr:from>
      <cdr:x>0.8633</cdr:x>
      <cdr:y>0.70353</cdr:y>
    </cdr:from>
    <cdr:to>
      <cdr:x>0.97975</cdr:x>
      <cdr:y>0.77433</cdr:y>
    </cdr:to>
    <cdr:sp macro="" textlink="">
      <cdr:nvSpPr>
        <cdr:cNvPr id="8" name="ZoneTexte 1"/>
        <cdr:cNvSpPr txBox="1"/>
      </cdr:nvSpPr>
      <cdr:spPr>
        <a:xfrm xmlns:a="http://schemas.openxmlformats.org/drawingml/2006/main">
          <a:off x="5774318" y="2692366"/>
          <a:ext cx="778895" cy="2709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000">
              <a:solidFill>
                <a:sysClr val="window" lastClr="FFFFFF">
                  <a:lumMod val="50000"/>
                </a:sysClr>
              </a:solidFill>
              <a:latin typeface="Arial" pitchFamily="34" charset="0"/>
              <a:cs typeface="Arial" pitchFamily="34" charset="0"/>
            </a:rPr>
            <a:t>R</a:t>
          </a:r>
          <a:r>
            <a:rPr lang="fr-FR" sz="1000" baseline="30000">
              <a:solidFill>
                <a:sysClr val="window" lastClr="FFFFFF">
                  <a:lumMod val="50000"/>
                </a:sysClr>
              </a:solidFill>
              <a:latin typeface="Arial" pitchFamily="34" charset="0"/>
              <a:cs typeface="Arial" pitchFamily="34" charset="0"/>
            </a:rPr>
            <a:t>2</a:t>
          </a:r>
          <a:r>
            <a:rPr lang="fr-FR" sz="1000" baseline="0">
              <a:solidFill>
                <a:sysClr val="window" lastClr="FFFFFF">
                  <a:lumMod val="50000"/>
                </a:sysClr>
              </a:solidFill>
              <a:latin typeface="Arial" pitchFamily="34" charset="0"/>
              <a:cs typeface="Arial" pitchFamily="34" charset="0"/>
            </a:rPr>
            <a:t> = 22%</a:t>
          </a:r>
          <a:endParaRPr lang="fr-FR" sz="1000">
            <a:solidFill>
              <a:sysClr val="window" lastClr="FFFFFF">
                <a:lumMod val="50000"/>
              </a:sysClr>
            </a:solidFill>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0.05308</cdr:x>
      <cdr:y>0.04017</cdr:y>
    </cdr:from>
    <cdr:to>
      <cdr:x>0.58745</cdr:x>
      <cdr:y>0.12262</cdr:y>
    </cdr:to>
    <cdr:sp macro="" textlink="">
      <cdr:nvSpPr>
        <cdr:cNvPr id="2" name="ZoneTexte 1"/>
        <cdr:cNvSpPr txBox="1"/>
      </cdr:nvSpPr>
      <cdr:spPr>
        <a:xfrm xmlns:a="http://schemas.openxmlformats.org/drawingml/2006/main">
          <a:off x="372560" y="160869"/>
          <a:ext cx="3750703" cy="33019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Adj. EV/Ebitda (&amp;</a:t>
          </a:r>
          <a:r>
            <a:rPr lang="fr-FR" sz="1200" baseline="0">
              <a:latin typeface="Arial" pitchFamily="34" charset="0"/>
              <a:cs typeface="Arial" pitchFamily="34" charset="0"/>
            </a:rPr>
            <a:t> </a:t>
          </a:r>
          <a:r>
            <a:rPr lang="fr-FR" sz="1200">
              <a:latin typeface="Arial" pitchFamily="34" charset="0"/>
              <a:cs typeface="Arial" pitchFamily="34" charset="0"/>
            </a:rPr>
            <a:t>period averages)</a:t>
          </a:r>
        </a:p>
      </cdr:txBody>
    </cdr:sp>
  </cdr:relSizeAnchor>
  <cdr:relSizeAnchor xmlns:cdr="http://schemas.openxmlformats.org/drawingml/2006/chartDrawing">
    <cdr:from>
      <cdr:x>0.16168</cdr:x>
      <cdr:y>0.15151</cdr:y>
    </cdr:from>
    <cdr:to>
      <cdr:x>0.78519</cdr:x>
      <cdr:y>0.49401</cdr:y>
    </cdr:to>
    <cdr:grpSp>
      <cdr:nvGrpSpPr>
        <cdr:cNvPr id="7" name="Groupe 6"/>
        <cdr:cNvGrpSpPr/>
      </cdr:nvGrpSpPr>
      <cdr:grpSpPr>
        <a:xfrm xmlns:a="http://schemas.openxmlformats.org/drawingml/2006/main">
          <a:off x="1182721" y="606757"/>
          <a:ext cx="4561099" cy="1371621"/>
          <a:chOff x="1179965" y="606767"/>
          <a:chExt cx="4550550" cy="1371601"/>
        </a:xfrm>
      </cdr:grpSpPr>
      <cdr:sp macro="" textlink="">
        <cdr:nvSpPr>
          <cdr:cNvPr id="4" name="Connecteur droit 3"/>
          <cdr:cNvSpPr/>
        </cdr:nvSpPr>
        <cdr:spPr>
          <a:xfrm xmlns:a="http://schemas.openxmlformats.org/drawingml/2006/main" flipV="1">
            <a:off x="1179965" y="606767"/>
            <a:ext cx="4541748" cy="0"/>
          </a:xfrm>
          <a:prstGeom xmlns:a="http://schemas.openxmlformats.org/drawingml/2006/main" prst="line">
            <a:avLst/>
          </a:prstGeom>
          <a:ln xmlns:a="http://schemas.openxmlformats.org/drawingml/2006/main" w="19050">
            <a:solidFill>
              <a:srgbClr val="FFC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sp macro="" textlink="">
        <cdr:nvSpPr>
          <cdr:cNvPr id="5" name="Connecteur droit 4"/>
          <cdr:cNvSpPr/>
        </cdr:nvSpPr>
        <cdr:spPr>
          <a:xfrm xmlns:a="http://schemas.openxmlformats.org/drawingml/2006/main" flipV="1">
            <a:off x="1188767" y="1944502"/>
            <a:ext cx="4541748" cy="0"/>
          </a:xfrm>
          <a:prstGeom xmlns:a="http://schemas.openxmlformats.org/drawingml/2006/main" prst="line">
            <a:avLst/>
          </a:prstGeom>
          <a:ln xmlns:a="http://schemas.openxmlformats.org/drawingml/2006/main" w="19050">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sp macro="" textlink="">
        <cdr:nvSpPr>
          <cdr:cNvPr id="6" name="Connecteur droit 5"/>
          <cdr:cNvSpPr/>
        </cdr:nvSpPr>
        <cdr:spPr>
          <a:xfrm xmlns:a="http://schemas.openxmlformats.org/drawingml/2006/main" flipV="1">
            <a:off x="1188767" y="1978368"/>
            <a:ext cx="4541748" cy="0"/>
          </a:xfrm>
          <a:prstGeom xmlns:a="http://schemas.openxmlformats.org/drawingml/2006/main" prst="line">
            <a:avLst/>
          </a:prstGeom>
          <a:ln xmlns:a="http://schemas.openxmlformats.org/drawingml/2006/main" w="19050">
            <a:solidFill>
              <a:schemeClr val="accent3">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grpSp>
  </cdr:relSizeAnchor>
</c:userShapes>
</file>

<file path=xl/drawings/drawing13.xml><?xml version="1.0" encoding="utf-8"?>
<c:userShapes xmlns:c="http://schemas.openxmlformats.org/drawingml/2006/chart">
  <cdr:relSizeAnchor xmlns:cdr="http://schemas.openxmlformats.org/drawingml/2006/chartDrawing">
    <cdr:from>
      <cdr:x>0.21372</cdr:x>
      <cdr:y>0.04487</cdr:y>
    </cdr:from>
    <cdr:to>
      <cdr:x>0.33713</cdr:x>
      <cdr:y>0.11874</cdr:y>
    </cdr:to>
    <cdr:sp macro="" textlink="">
      <cdr:nvSpPr>
        <cdr:cNvPr id="2" name="ZoneTexte 1"/>
        <cdr:cNvSpPr txBox="1"/>
      </cdr:nvSpPr>
      <cdr:spPr>
        <a:xfrm xmlns:a="http://schemas.openxmlformats.org/drawingml/2006/main">
          <a:off x="1591626" y="181961"/>
          <a:ext cx="919057" cy="29958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Adj. EV/Ebitda</a:t>
          </a:r>
        </a:p>
      </cdr:txBody>
    </cdr:sp>
  </cdr:relSizeAnchor>
</c:userShapes>
</file>

<file path=xl/drawings/drawing14.xml><?xml version="1.0" encoding="utf-8"?>
<c:userShapes xmlns:c="http://schemas.openxmlformats.org/drawingml/2006/chart">
  <cdr:relSizeAnchor xmlns:cdr="http://schemas.openxmlformats.org/drawingml/2006/chartDrawing">
    <cdr:from>
      <cdr:x>0.05308</cdr:x>
      <cdr:y>0.04017</cdr:y>
    </cdr:from>
    <cdr:to>
      <cdr:x>0.17648</cdr:x>
      <cdr:y>0.11404</cdr:y>
    </cdr:to>
    <cdr:sp macro="" textlink="">
      <cdr:nvSpPr>
        <cdr:cNvPr id="2" name="ZoneTexte 1"/>
        <cdr:cNvSpPr txBox="1"/>
      </cdr:nvSpPr>
      <cdr:spPr>
        <a:xfrm xmlns:a="http://schemas.openxmlformats.org/drawingml/2006/main">
          <a:off x="372533" y="160866"/>
          <a:ext cx="866186" cy="29584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Adj. EV/Ebitda</a:t>
          </a:r>
        </a:p>
      </cdr:txBody>
    </cdr:sp>
  </cdr:relSizeAnchor>
</c:userShapes>
</file>

<file path=xl/drawings/drawing15.xml><?xml version="1.0" encoding="utf-8"?>
<xdr:wsDr xmlns:xdr="http://schemas.openxmlformats.org/drawingml/2006/spreadsheetDrawing" xmlns:a="http://schemas.openxmlformats.org/drawingml/2006/main">
  <xdr:twoCellAnchor>
    <xdr:from>
      <xdr:col>19</xdr:col>
      <xdr:colOff>372536</xdr:colOff>
      <xdr:row>34</xdr:row>
      <xdr:rowOff>67736</xdr:rowOff>
    </xdr:from>
    <xdr:to>
      <xdr:col>27</xdr:col>
      <xdr:colOff>220134</xdr:colOff>
      <xdr:row>56</xdr:row>
      <xdr:rowOff>135467</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515619</xdr:colOff>
      <xdr:row>64</xdr:row>
      <xdr:rowOff>149014</xdr:rowOff>
    </xdr:from>
    <xdr:to>
      <xdr:col>27</xdr:col>
      <xdr:colOff>366604</xdr:colOff>
      <xdr:row>87</xdr:row>
      <xdr:rowOff>47412</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388620</xdr:colOff>
      <xdr:row>92</xdr:row>
      <xdr:rowOff>115148</xdr:rowOff>
    </xdr:from>
    <xdr:to>
      <xdr:col>27</xdr:col>
      <xdr:colOff>239605</xdr:colOff>
      <xdr:row>115</xdr:row>
      <xdr:rowOff>13545</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574887</xdr:colOff>
      <xdr:row>168</xdr:row>
      <xdr:rowOff>13547</xdr:rowOff>
    </xdr:from>
    <xdr:to>
      <xdr:col>27</xdr:col>
      <xdr:colOff>425872</xdr:colOff>
      <xdr:row>190</xdr:row>
      <xdr:rowOff>0</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59269</xdr:colOff>
      <xdr:row>225</xdr:row>
      <xdr:rowOff>67736</xdr:rowOff>
    </xdr:from>
    <xdr:to>
      <xdr:col>27</xdr:col>
      <xdr:colOff>702734</xdr:colOff>
      <xdr:row>247</xdr:row>
      <xdr:rowOff>135467</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457201</xdr:colOff>
      <xdr:row>289</xdr:row>
      <xdr:rowOff>124462</xdr:rowOff>
    </xdr:from>
    <xdr:to>
      <xdr:col>40</xdr:col>
      <xdr:colOff>308186</xdr:colOff>
      <xdr:row>312</xdr:row>
      <xdr:rowOff>24554</xdr:rowOff>
    </xdr:to>
    <xdr:graphicFrame macro="">
      <xdr:nvGraphicFramePr>
        <xdr:cNvPr id="14" name="Graphiqu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76200</xdr:colOff>
      <xdr:row>289</xdr:row>
      <xdr:rowOff>114300</xdr:rowOff>
    </xdr:from>
    <xdr:to>
      <xdr:col>27</xdr:col>
      <xdr:colOff>719665</xdr:colOff>
      <xdr:row>312</xdr:row>
      <xdr:rowOff>14391</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84671</xdr:colOff>
      <xdr:row>123</xdr:row>
      <xdr:rowOff>84667</xdr:rowOff>
    </xdr:from>
    <xdr:to>
      <xdr:col>26</xdr:col>
      <xdr:colOff>262467</xdr:colOff>
      <xdr:row>147</xdr:row>
      <xdr:rowOff>84668</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380995</xdr:colOff>
      <xdr:row>123</xdr:row>
      <xdr:rowOff>101603</xdr:rowOff>
    </xdr:from>
    <xdr:to>
      <xdr:col>12</xdr:col>
      <xdr:colOff>276527</xdr:colOff>
      <xdr:row>145</xdr:row>
      <xdr:rowOff>110068</xdr:rowOff>
    </xdr:to>
    <xdr:pic>
      <xdr:nvPicPr>
        <xdr:cNvPr id="16"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2624662" y="20760270"/>
          <a:ext cx="5034799" cy="3733798"/>
        </a:xfrm>
        <a:prstGeom prst="rect">
          <a:avLst/>
        </a:prstGeom>
        <a:noFill/>
      </xdr:spPr>
    </xdr:pic>
    <xdr:clientData/>
  </xdr:twoCellAnchor>
  <xdr:twoCellAnchor>
    <xdr:from>
      <xdr:col>19</xdr:col>
      <xdr:colOff>389466</xdr:colOff>
      <xdr:row>194</xdr:row>
      <xdr:rowOff>84667</xdr:rowOff>
    </xdr:from>
    <xdr:to>
      <xdr:col>26</xdr:col>
      <xdr:colOff>711198</xdr:colOff>
      <xdr:row>223</xdr:row>
      <xdr:rowOff>93132</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6653</xdr:colOff>
      <xdr:row>65</xdr:row>
      <xdr:rowOff>73781</xdr:rowOff>
    </xdr:from>
    <xdr:to>
      <xdr:col>39</xdr:col>
      <xdr:colOff>504976</xdr:colOff>
      <xdr:row>117</xdr:row>
      <xdr:rowOff>152097</xdr:rowOff>
    </xdr:to>
    <xdr:grpSp>
      <xdr:nvGrpSpPr>
        <xdr:cNvPr id="17" name="Groupe 16"/>
        <xdr:cNvGrpSpPr/>
      </xdr:nvGrpSpPr>
      <xdr:grpSpPr>
        <a:xfrm>
          <a:off x="20563720" y="11080448"/>
          <a:ext cx="5273523" cy="8883649"/>
          <a:chOff x="21175133" y="8119533"/>
          <a:chExt cx="6142566" cy="9712113"/>
        </a:xfrm>
      </xdr:grpSpPr>
      <xdr:pic>
        <xdr:nvPicPr>
          <xdr:cNvPr id="2692097"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21209001" y="8119533"/>
            <a:ext cx="5959686" cy="1777154"/>
          </a:xfrm>
          <a:prstGeom prst="rect">
            <a:avLst/>
          </a:prstGeom>
          <a:noFill/>
        </xdr:spPr>
      </xdr:pic>
      <xdr:pic>
        <xdr:nvPicPr>
          <xdr:cNvPr id="2692098"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1175133" y="9897533"/>
            <a:ext cx="6142566" cy="7934113"/>
          </a:xfrm>
          <a:prstGeom prst="rect">
            <a:avLst/>
          </a:prstGeom>
          <a:noFill/>
        </xdr:spPr>
      </xdr:pic>
    </xdr:grpSp>
    <xdr:clientData/>
  </xdr:twoCellAnchor>
  <xdr:twoCellAnchor>
    <xdr:from>
      <xdr:col>33</xdr:col>
      <xdr:colOff>702734</xdr:colOff>
      <xdr:row>123</xdr:row>
      <xdr:rowOff>67733</xdr:rowOff>
    </xdr:from>
    <xdr:to>
      <xdr:col>41</xdr:col>
      <xdr:colOff>84664</xdr:colOff>
      <xdr:row>147</xdr:row>
      <xdr:rowOff>67734</xdr:rowOff>
    </xdr:to>
    <xdr:graphicFrame macro="">
      <xdr:nvGraphicFramePr>
        <xdr:cNvPr id="21" name="Graphique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457200</xdr:colOff>
      <xdr:row>123</xdr:row>
      <xdr:rowOff>76200</xdr:rowOff>
    </xdr:from>
    <xdr:to>
      <xdr:col>33</xdr:col>
      <xdr:colOff>634996</xdr:colOff>
      <xdr:row>147</xdr:row>
      <xdr:rowOff>76201</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xdr:col>
      <xdr:colOff>67734</xdr:colOff>
      <xdr:row>148</xdr:row>
      <xdr:rowOff>59265</xdr:rowOff>
    </xdr:from>
    <xdr:to>
      <xdr:col>17</xdr:col>
      <xdr:colOff>397933</xdr:colOff>
      <xdr:row>156</xdr:row>
      <xdr:rowOff>4231</xdr:rowOff>
    </xdr:to>
    <xdr:pic>
      <xdr:nvPicPr>
        <xdr:cNvPr id="2" name="Picture 2"/>
        <xdr:cNvPicPr>
          <a:picLocks noChangeAspect="1" noChangeArrowheads="1"/>
        </xdr:cNvPicPr>
      </xdr:nvPicPr>
      <xdr:blipFill>
        <a:blip xmlns:r="http://schemas.openxmlformats.org/officeDocument/2006/relationships" r:embed="rId15" cstate="print"/>
        <a:srcRect r="1443"/>
        <a:stretch>
          <a:fillRect/>
        </a:stretch>
      </xdr:blipFill>
      <xdr:spPr bwMode="auto">
        <a:xfrm>
          <a:off x="2311401" y="24951265"/>
          <a:ext cx="6900332" cy="1299633"/>
        </a:xfrm>
        <a:prstGeom prst="rect">
          <a:avLst/>
        </a:prstGeom>
        <a:noFill/>
      </xdr:spPr>
    </xdr:pic>
    <xdr:clientData/>
  </xdr:twoCellAnchor>
  <xdr:twoCellAnchor>
    <xdr:from>
      <xdr:col>26</xdr:col>
      <xdr:colOff>313266</xdr:colOff>
      <xdr:row>255</xdr:row>
      <xdr:rowOff>67734</xdr:rowOff>
    </xdr:from>
    <xdr:to>
      <xdr:col>33</xdr:col>
      <xdr:colOff>491062</xdr:colOff>
      <xdr:row>279</xdr:row>
      <xdr:rowOff>67735</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33865</xdr:colOff>
      <xdr:row>255</xdr:row>
      <xdr:rowOff>67732</xdr:rowOff>
    </xdr:from>
    <xdr:to>
      <xdr:col>26</xdr:col>
      <xdr:colOff>135461</xdr:colOff>
      <xdr:row>279</xdr:row>
      <xdr:rowOff>67733</xdr:rowOff>
    </xdr:to>
    <xdr:graphicFrame macro="">
      <xdr:nvGraphicFramePr>
        <xdr:cNvPr id="19" name="Graphique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38</xdr:col>
      <xdr:colOff>194728</xdr:colOff>
      <xdr:row>255</xdr:row>
      <xdr:rowOff>50801</xdr:rowOff>
    </xdr:from>
    <xdr:to>
      <xdr:col>45</xdr:col>
      <xdr:colOff>372524</xdr:colOff>
      <xdr:row>279</xdr:row>
      <xdr:rowOff>50802</xdr:rowOff>
    </xdr:to>
    <xdr:graphicFrame macro="">
      <xdr:nvGraphicFramePr>
        <xdr:cNvPr id="23" name="Graphique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19</xdr:col>
      <xdr:colOff>203200</xdr:colOff>
      <xdr:row>363</xdr:row>
      <xdr:rowOff>152400</xdr:rowOff>
    </xdr:from>
    <xdr:to>
      <xdr:col>26</xdr:col>
      <xdr:colOff>220134</xdr:colOff>
      <xdr:row>392</xdr:row>
      <xdr:rowOff>53917</xdr:rowOff>
    </xdr:to>
    <xdr:pic>
      <xdr:nvPicPr>
        <xdr:cNvPr id="24" name="Picture 1"/>
        <xdr:cNvPicPr>
          <a:picLocks noChangeAspect="1" noChangeArrowheads="1"/>
        </xdr:cNvPicPr>
      </xdr:nvPicPr>
      <xdr:blipFill>
        <a:blip xmlns:r="http://schemas.openxmlformats.org/officeDocument/2006/relationships" r:embed="rId19" cstate="print"/>
        <a:srcRect/>
        <a:stretch>
          <a:fillRect/>
        </a:stretch>
      </xdr:blipFill>
      <xdr:spPr bwMode="auto">
        <a:xfrm>
          <a:off x="9584267" y="57048400"/>
          <a:ext cx="5596467" cy="4812183"/>
        </a:xfrm>
        <a:prstGeom prst="rect">
          <a:avLst/>
        </a:prstGeom>
        <a:noFill/>
      </xdr:spPr>
    </xdr:pic>
    <xdr:clientData/>
  </xdr:twoCellAnchor>
  <xdr:twoCellAnchor>
    <xdr:from>
      <xdr:col>19</xdr:col>
      <xdr:colOff>127000</xdr:colOff>
      <xdr:row>396</xdr:row>
      <xdr:rowOff>33867</xdr:rowOff>
    </xdr:from>
    <xdr:to>
      <xdr:col>26</xdr:col>
      <xdr:colOff>304796</xdr:colOff>
      <xdr:row>418</xdr:row>
      <xdr:rowOff>84668</xdr:rowOff>
    </xdr:to>
    <xdr:graphicFrame macro="">
      <xdr:nvGraphicFramePr>
        <xdr:cNvPr id="27" name="Graphique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127000</xdr:colOff>
      <xdr:row>425</xdr:row>
      <xdr:rowOff>8466</xdr:rowOff>
    </xdr:from>
    <xdr:to>
      <xdr:col>26</xdr:col>
      <xdr:colOff>304796</xdr:colOff>
      <xdr:row>443</xdr:row>
      <xdr:rowOff>101600</xdr:rowOff>
    </xdr:to>
    <xdr:graphicFrame macro="">
      <xdr:nvGraphicFramePr>
        <xdr:cNvPr id="28" name="Graphique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143933</xdr:colOff>
      <xdr:row>458</xdr:row>
      <xdr:rowOff>16933</xdr:rowOff>
    </xdr:from>
    <xdr:to>
      <xdr:col>26</xdr:col>
      <xdr:colOff>321729</xdr:colOff>
      <xdr:row>480</xdr:row>
      <xdr:rowOff>67735</xdr:rowOff>
    </xdr:to>
    <xdr:graphicFrame macro="">
      <xdr:nvGraphicFramePr>
        <xdr:cNvPr id="29" name="Graphique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0.05823</cdr:x>
      <cdr:y>0.02895</cdr:y>
    </cdr:from>
    <cdr:to>
      <cdr:x>0.19075</cdr:x>
      <cdr:y>0.11136</cdr:y>
    </cdr:to>
    <cdr:sp macro="" textlink="">
      <cdr:nvSpPr>
        <cdr:cNvPr id="2" name="ZoneTexte 1"/>
        <cdr:cNvSpPr txBox="1"/>
      </cdr:nvSpPr>
      <cdr:spPr>
        <a:xfrm xmlns:a="http://schemas.openxmlformats.org/drawingml/2006/main">
          <a:off x="361849" y="109801"/>
          <a:ext cx="823550" cy="3125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D/Ebitda</a:t>
          </a:r>
        </a:p>
      </cdr:txBody>
    </cdr:sp>
  </cdr:relSizeAnchor>
  <cdr:relSizeAnchor xmlns:cdr="http://schemas.openxmlformats.org/drawingml/2006/chartDrawing">
    <cdr:from>
      <cdr:x>0.82662</cdr:x>
      <cdr:y>0.83522</cdr:y>
    </cdr:from>
    <cdr:to>
      <cdr:x>0.9512</cdr:x>
      <cdr:y>0.90649</cdr:y>
    </cdr:to>
    <cdr:sp macro="" textlink="">
      <cdr:nvSpPr>
        <cdr:cNvPr id="3" name="ZoneTexte 2"/>
        <cdr:cNvSpPr txBox="1"/>
      </cdr:nvSpPr>
      <cdr:spPr>
        <a:xfrm xmlns:a="http://schemas.openxmlformats.org/drawingml/2006/main">
          <a:off x="5137077" y="3168046"/>
          <a:ext cx="7741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0.46594</cdr:x>
      <cdr:y>0.64509</cdr:y>
    </cdr:from>
    <cdr:to>
      <cdr:x>0.85422</cdr:x>
      <cdr:y>0.69196</cdr:y>
    </cdr:to>
    <cdr:sp macro="" textlink="">
      <cdr:nvSpPr>
        <cdr:cNvPr id="14" name="Connecteur droit 13"/>
        <cdr:cNvSpPr/>
      </cdr:nvSpPr>
      <cdr:spPr>
        <a:xfrm xmlns:a="http://schemas.openxmlformats.org/drawingml/2006/main" flipV="1">
          <a:off x="2895599" y="2446863"/>
          <a:ext cx="2413000" cy="177799"/>
        </a:xfrm>
        <a:prstGeom xmlns:a="http://schemas.openxmlformats.org/drawingml/2006/main" prst="line">
          <a:avLst/>
        </a:prstGeom>
        <a:ln xmlns:a="http://schemas.openxmlformats.org/drawingml/2006/main">
          <a:solidFill>
            <a:sysClr val="windowText" lastClr="000000"/>
          </a:solidFill>
          <a:prstDash val="solid"/>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0.61447</cdr:x>
      <cdr:y>0.03806</cdr:y>
    </cdr:from>
    <cdr:to>
      <cdr:x>0.95111</cdr:x>
      <cdr:y>0.12047</cdr:y>
    </cdr:to>
    <cdr:sp macro="" textlink="">
      <cdr:nvSpPr>
        <cdr:cNvPr id="19" name="ZoneTexte 1"/>
        <cdr:cNvSpPr txBox="1"/>
      </cdr:nvSpPr>
      <cdr:spPr>
        <a:xfrm xmlns:a="http://schemas.openxmlformats.org/drawingml/2006/main">
          <a:off x="3804071" y="142947"/>
          <a:ext cx="2084059" cy="30951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a:latin typeface="Arial" pitchFamily="34" charset="0"/>
              <a:cs typeface="Arial" pitchFamily="34" charset="0"/>
            </a:rPr>
            <a:t>Period avg.</a:t>
          </a:r>
        </a:p>
      </cdr:txBody>
    </cdr:sp>
  </cdr:relSizeAnchor>
  <cdr:relSizeAnchor xmlns:cdr="http://schemas.openxmlformats.org/drawingml/2006/chartDrawing">
    <cdr:from>
      <cdr:x>0.08447</cdr:x>
      <cdr:y>0.41964</cdr:y>
    </cdr:from>
    <cdr:to>
      <cdr:x>0.83243</cdr:x>
      <cdr:y>0.45089</cdr:y>
    </cdr:to>
    <cdr:sp macro="" textlink="">
      <cdr:nvSpPr>
        <cdr:cNvPr id="6" name="Connecteur droit 5"/>
        <cdr:cNvSpPr/>
      </cdr:nvSpPr>
      <cdr:spPr>
        <a:xfrm xmlns:a="http://schemas.openxmlformats.org/drawingml/2006/main">
          <a:off x="524933" y="1591734"/>
          <a:ext cx="4648200" cy="118532"/>
        </a:xfrm>
        <a:prstGeom xmlns:a="http://schemas.openxmlformats.org/drawingml/2006/main" prst="line">
          <a:avLst/>
        </a:prstGeom>
        <a:ln xmlns:a="http://schemas.openxmlformats.org/drawingml/2006/main">
          <a:solidFill>
            <a:schemeClr val="tx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17.xml><?xml version="1.0" encoding="utf-8"?>
<c:userShapes xmlns:c="http://schemas.openxmlformats.org/drawingml/2006/chart">
  <cdr:relSizeAnchor xmlns:cdr="http://schemas.openxmlformats.org/drawingml/2006/chartDrawing">
    <cdr:from>
      <cdr:x>0.05823</cdr:x>
      <cdr:y>0.02895</cdr:y>
    </cdr:from>
    <cdr:to>
      <cdr:x>0.19075</cdr:x>
      <cdr:y>0.11136</cdr:y>
    </cdr:to>
    <cdr:sp macro="" textlink="">
      <cdr:nvSpPr>
        <cdr:cNvPr id="2" name="ZoneTexte 1"/>
        <cdr:cNvSpPr txBox="1"/>
      </cdr:nvSpPr>
      <cdr:spPr>
        <a:xfrm xmlns:a="http://schemas.openxmlformats.org/drawingml/2006/main">
          <a:off x="361849" y="109801"/>
          <a:ext cx="823550" cy="3125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2Q13</a:t>
          </a:r>
          <a:r>
            <a:rPr lang="fr-FR" sz="1200" baseline="0">
              <a:latin typeface="Arial" pitchFamily="34" charset="0"/>
              <a:cs typeface="Arial" pitchFamily="34" charset="0"/>
            </a:rPr>
            <a:t> </a:t>
          </a:r>
          <a:r>
            <a:rPr lang="fr-FR" sz="1200">
              <a:latin typeface="Arial" pitchFamily="34" charset="0"/>
              <a:cs typeface="Arial" pitchFamily="34" charset="0"/>
            </a:rPr>
            <a:t>Adj. D/Ebitda</a:t>
          </a:r>
        </a:p>
      </cdr:txBody>
    </cdr:sp>
  </cdr:relSizeAnchor>
  <cdr:relSizeAnchor xmlns:cdr="http://schemas.openxmlformats.org/drawingml/2006/chartDrawing">
    <cdr:from>
      <cdr:x>0.67416</cdr:x>
      <cdr:y>0.83522</cdr:y>
    </cdr:from>
    <cdr:to>
      <cdr:x>0.9512</cdr:x>
      <cdr:y>0.90649</cdr:y>
    </cdr:to>
    <cdr:sp macro="" textlink="">
      <cdr:nvSpPr>
        <cdr:cNvPr id="3" name="ZoneTexte 2"/>
        <cdr:cNvSpPr txBox="1"/>
      </cdr:nvSpPr>
      <cdr:spPr>
        <a:xfrm xmlns:a="http://schemas.openxmlformats.org/drawingml/2006/main">
          <a:off x="4191848" y="3168044"/>
          <a:ext cx="1722637" cy="27033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1H13 (or last) % Mobile</a:t>
          </a:r>
        </a:p>
      </cdr:txBody>
    </cdr:sp>
  </cdr:relSizeAnchor>
  <cdr:relSizeAnchor xmlns:cdr="http://schemas.openxmlformats.org/drawingml/2006/chartDrawing">
    <cdr:from>
      <cdr:x>0.09355</cdr:x>
      <cdr:y>0.50089</cdr:y>
    </cdr:from>
    <cdr:to>
      <cdr:x>0.83483</cdr:x>
      <cdr:y>0.53987</cdr:y>
    </cdr:to>
    <cdr:sp macro="" textlink="">
      <cdr:nvSpPr>
        <cdr:cNvPr id="14" name="Connecteur droit 13"/>
        <cdr:cNvSpPr/>
      </cdr:nvSpPr>
      <cdr:spPr>
        <a:xfrm xmlns:a="http://schemas.openxmlformats.org/drawingml/2006/main" flipV="1">
          <a:off x="581686" y="1899920"/>
          <a:ext cx="4609228" cy="147843"/>
        </a:xfrm>
        <a:prstGeom xmlns:a="http://schemas.openxmlformats.org/drawingml/2006/main" prst="line">
          <a:avLst/>
        </a:prstGeom>
        <a:ln xmlns:a="http://schemas.openxmlformats.org/drawingml/2006/main">
          <a:solidFill>
            <a:schemeClr val="tx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0.4345</cdr:x>
      <cdr:y>0.60804</cdr:y>
    </cdr:from>
    <cdr:to>
      <cdr:x>0.84164</cdr:x>
      <cdr:y>0.6683</cdr:y>
    </cdr:to>
    <cdr:sp macro="" textlink="">
      <cdr:nvSpPr>
        <cdr:cNvPr id="6" name="Connecteur droit 5"/>
        <cdr:cNvSpPr/>
      </cdr:nvSpPr>
      <cdr:spPr>
        <a:xfrm xmlns:a="http://schemas.openxmlformats.org/drawingml/2006/main" flipV="1">
          <a:off x="2701714" y="2306320"/>
          <a:ext cx="2531533" cy="22859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headEnd type="none" w="med" len="med"/>
          <a:tailEnd type="triangle" w="med" len="me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0.08654</cdr:x>
      <cdr:y>0.03098</cdr:y>
    </cdr:from>
    <cdr:to>
      <cdr:x>0.27817</cdr:x>
      <cdr:y>0.11339</cdr:y>
    </cdr:to>
    <cdr:sp macro="" textlink="">
      <cdr:nvSpPr>
        <cdr:cNvPr id="2" name="ZoneTexte 1"/>
        <cdr:cNvSpPr txBox="1"/>
      </cdr:nvSpPr>
      <cdr:spPr>
        <a:xfrm xmlns:a="http://schemas.openxmlformats.org/drawingml/2006/main">
          <a:off x="535752" y="116351"/>
          <a:ext cx="1186368" cy="3095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sym typeface="Wingdings"/>
            </a:rPr>
            <a:t> </a:t>
          </a:r>
          <a:r>
            <a:rPr lang="fr-FR" sz="1200">
              <a:latin typeface="Arial" pitchFamily="34" charset="0"/>
              <a:cs typeface="Arial" pitchFamily="34" charset="0"/>
            </a:rPr>
            <a:t>Adj. D/Ebitda</a:t>
          </a:r>
        </a:p>
      </cdr:txBody>
    </cdr:sp>
  </cdr:relSizeAnchor>
  <cdr:relSizeAnchor xmlns:cdr="http://schemas.openxmlformats.org/drawingml/2006/chartDrawing">
    <cdr:from>
      <cdr:x>0.78173</cdr:x>
      <cdr:y>0.83522</cdr:y>
    </cdr:from>
    <cdr:to>
      <cdr:x>0.9512</cdr:x>
      <cdr:y>0.90649</cdr:y>
    </cdr:to>
    <cdr:sp macro="" textlink="">
      <cdr:nvSpPr>
        <cdr:cNvPr id="3" name="ZoneTexte 2"/>
        <cdr:cNvSpPr txBox="1"/>
      </cdr:nvSpPr>
      <cdr:spPr>
        <a:xfrm xmlns:a="http://schemas.openxmlformats.org/drawingml/2006/main">
          <a:off x="4860714" y="3168043"/>
          <a:ext cx="10537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Avg. % Mobile</a:t>
          </a:r>
        </a:p>
      </cdr:txBody>
    </cdr:sp>
  </cdr:relSizeAnchor>
  <cdr:relSizeAnchor xmlns:cdr="http://schemas.openxmlformats.org/drawingml/2006/chartDrawing">
    <cdr:from>
      <cdr:x>0.5945</cdr:x>
      <cdr:y>0.04212</cdr:y>
    </cdr:from>
    <cdr:to>
      <cdr:x>0.95849</cdr:x>
      <cdr:y>0.12453</cdr:y>
    </cdr:to>
    <cdr:sp macro="" textlink="">
      <cdr:nvSpPr>
        <cdr:cNvPr id="19" name="ZoneTexte 1"/>
        <cdr:cNvSpPr txBox="1"/>
      </cdr:nvSpPr>
      <cdr:spPr>
        <a:xfrm xmlns:a="http://schemas.openxmlformats.org/drawingml/2006/main">
          <a:off x="3680438" y="158190"/>
          <a:ext cx="2253398" cy="3095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a:latin typeface="Arial" pitchFamily="34" charset="0"/>
              <a:cs typeface="Arial" pitchFamily="34" charset="0"/>
            </a:rPr>
            <a:t>Period of Analysis</a:t>
          </a:r>
        </a:p>
      </cdr:txBody>
    </cdr:sp>
  </cdr:relSizeAnchor>
</c:userShapes>
</file>

<file path=xl/drawings/drawing19.xml><?xml version="1.0" encoding="utf-8"?>
<c:userShapes xmlns:c="http://schemas.openxmlformats.org/drawingml/2006/chart">
  <cdr:relSizeAnchor xmlns:cdr="http://schemas.openxmlformats.org/drawingml/2006/chartDrawing">
    <cdr:from>
      <cdr:x>0.51734</cdr:x>
      <cdr:y>0.04315</cdr:y>
    </cdr:from>
    <cdr:to>
      <cdr:x>0.70897</cdr:x>
      <cdr:y>0.12556</cdr:y>
    </cdr:to>
    <cdr:sp macro="" textlink="">
      <cdr:nvSpPr>
        <cdr:cNvPr id="2" name="ZoneTexte 1"/>
        <cdr:cNvSpPr txBox="1"/>
      </cdr:nvSpPr>
      <cdr:spPr>
        <a:xfrm xmlns:a="http://schemas.openxmlformats.org/drawingml/2006/main">
          <a:off x="3202754" y="162075"/>
          <a:ext cx="1186348" cy="3095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sym typeface="Wingdings"/>
            </a:rPr>
            <a:t> </a:t>
          </a:r>
          <a:r>
            <a:rPr lang="fr-FR" sz="1200">
              <a:latin typeface="Arial" pitchFamily="34" charset="0"/>
              <a:cs typeface="Arial" pitchFamily="34" charset="0"/>
            </a:rPr>
            <a:t>Adj. D/Ebitda</a:t>
          </a:r>
        </a:p>
      </cdr:txBody>
    </cdr:sp>
  </cdr:relSizeAnchor>
  <cdr:relSizeAnchor xmlns:cdr="http://schemas.openxmlformats.org/drawingml/2006/chartDrawing">
    <cdr:from>
      <cdr:x>0.82662</cdr:x>
      <cdr:y>0.83522</cdr:y>
    </cdr:from>
    <cdr:to>
      <cdr:x>0.9512</cdr:x>
      <cdr:y>0.90649</cdr:y>
    </cdr:to>
    <cdr:sp macro="" textlink="">
      <cdr:nvSpPr>
        <cdr:cNvPr id="3" name="ZoneTexte 2"/>
        <cdr:cNvSpPr txBox="1"/>
      </cdr:nvSpPr>
      <cdr:spPr>
        <a:xfrm xmlns:a="http://schemas.openxmlformats.org/drawingml/2006/main">
          <a:off x="5137077" y="3168046"/>
          <a:ext cx="7741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sym typeface="Wingdings"/>
            </a:rPr>
            <a:t> </a:t>
          </a:r>
          <a:r>
            <a:rPr lang="fr-FR" sz="1200">
              <a:latin typeface="Arial" pitchFamily="34" charset="0"/>
              <a:cs typeface="Arial" pitchFamily="34" charset="0"/>
            </a:rPr>
            <a:t>% Mobile</a:t>
          </a:r>
        </a:p>
      </cdr:txBody>
    </cdr:sp>
  </cdr:relSizeAnchor>
  <cdr:relSizeAnchor xmlns:cdr="http://schemas.openxmlformats.org/drawingml/2006/chartDrawing">
    <cdr:from>
      <cdr:x>0.5945</cdr:x>
      <cdr:y>0.04212</cdr:y>
    </cdr:from>
    <cdr:to>
      <cdr:x>0.95849</cdr:x>
      <cdr:y>0.12453</cdr:y>
    </cdr:to>
    <cdr:sp macro="" textlink="">
      <cdr:nvSpPr>
        <cdr:cNvPr id="19" name="ZoneTexte 1"/>
        <cdr:cNvSpPr txBox="1"/>
      </cdr:nvSpPr>
      <cdr:spPr>
        <a:xfrm xmlns:a="http://schemas.openxmlformats.org/drawingml/2006/main">
          <a:off x="3680438" y="158190"/>
          <a:ext cx="2253398" cy="3095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a:latin typeface="Arial" pitchFamily="34" charset="0"/>
              <a:cs typeface="Arial" pitchFamily="34" charset="0"/>
            </a:rPr>
            <a:t>Period of Analysis</a:t>
          </a: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440268</xdr:colOff>
      <xdr:row>344</xdr:row>
      <xdr:rowOff>118534</xdr:rowOff>
    </xdr:from>
    <xdr:to>
      <xdr:col>8</xdr:col>
      <xdr:colOff>5401733</xdr:colOff>
      <xdr:row>367</xdr:row>
      <xdr:rowOff>0</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228600</xdr:colOff>
      <xdr:row>344</xdr:row>
      <xdr:rowOff>152399</xdr:rowOff>
    </xdr:from>
    <xdr:to>
      <xdr:col>20</xdr:col>
      <xdr:colOff>321729</xdr:colOff>
      <xdr:row>367</xdr:row>
      <xdr:rowOff>0</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28575</xdr:colOff>
      <xdr:row>345</xdr:row>
      <xdr:rowOff>50800</xdr:rowOff>
    </xdr:from>
    <xdr:to>
      <xdr:col>32</xdr:col>
      <xdr:colOff>253999</xdr:colOff>
      <xdr:row>367</xdr:row>
      <xdr:rowOff>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203</xdr:row>
      <xdr:rowOff>0</xdr:rowOff>
    </xdr:from>
    <xdr:to>
      <xdr:col>8</xdr:col>
      <xdr:colOff>5537199</xdr:colOff>
      <xdr:row>225</xdr:row>
      <xdr:rowOff>76201</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872067</xdr:colOff>
      <xdr:row>203</xdr:row>
      <xdr:rowOff>67732</xdr:rowOff>
    </xdr:from>
    <xdr:to>
      <xdr:col>20</xdr:col>
      <xdr:colOff>118533</xdr:colOff>
      <xdr:row>224</xdr:row>
      <xdr:rowOff>101600</xdr:rowOff>
    </xdr:to>
    <xdr:graphicFrame macro="">
      <xdr:nvGraphicFramePr>
        <xdr:cNvPr id="12" name="Graphique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762000</xdr:colOff>
      <xdr:row>203</xdr:row>
      <xdr:rowOff>33866</xdr:rowOff>
    </xdr:from>
    <xdr:to>
      <xdr:col>32</xdr:col>
      <xdr:colOff>194731</xdr:colOff>
      <xdr:row>225</xdr:row>
      <xdr:rowOff>135466</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20</xdr:col>
      <xdr:colOff>235377</xdr:colOff>
      <xdr:row>124</xdr:row>
      <xdr:rowOff>160867</xdr:rowOff>
    </xdr:from>
    <xdr:to>
      <xdr:col>27</xdr:col>
      <xdr:colOff>193043</xdr:colOff>
      <xdr:row>147</xdr:row>
      <xdr:rowOff>11432</xdr:rowOff>
    </xdr:to>
    <xdr:pic>
      <xdr:nvPicPr>
        <xdr:cNvPr id="14" name="Image 13" descr="Dj Stoxx fixed.png"/>
        <xdr:cNvPicPr>
          <a:picLocks noChangeAspect="1"/>
        </xdr:cNvPicPr>
      </xdr:nvPicPr>
      <xdr:blipFill>
        <a:blip xmlns:r="http://schemas.openxmlformats.org/officeDocument/2006/relationships" r:embed="rId7" cstate="print"/>
        <a:srcRect l="14063" t="41050" r="47916" b="13374"/>
        <a:stretch>
          <a:fillRect/>
        </a:stretch>
      </xdr:blipFill>
      <xdr:spPr>
        <a:xfrm>
          <a:off x="21554444" y="21386800"/>
          <a:ext cx="5562599" cy="3770632"/>
        </a:xfrm>
        <a:prstGeom prst="rect">
          <a:avLst/>
        </a:prstGeom>
      </xdr:spPr>
    </xdr:pic>
    <xdr:clientData/>
  </xdr:twoCellAnchor>
  <xdr:twoCellAnchor editAs="oneCell">
    <xdr:from>
      <xdr:col>12</xdr:col>
      <xdr:colOff>685798</xdr:colOff>
      <xdr:row>124</xdr:row>
      <xdr:rowOff>152400</xdr:rowOff>
    </xdr:from>
    <xdr:to>
      <xdr:col>19</xdr:col>
      <xdr:colOff>772158</xdr:colOff>
      <xdr:row>136</xdr:row>
      <xdr:rowOff>154305</xdr:rowOff>
    </xdr:to>
    <xdr:pic>
      <xdr:nvPicPr>
        <xdr:cNvPr id="16" name="Image 15" descr="DJ Stoxx Mobile.png"/>
        <xdr:cNvPicPr>
          <a:picLocks noChangeAspect="1"/>
        </xdr:cNvPicPr>
      </xdr:nvPicPr>
      <xdr:blipFill>
        <a:blip xmlns:r="http://schemas.openxmlformats.org/officeDocument/2006/relationships" r:embed="rId8" cstate="print"/>
        <a:srcRect l="14005" t="45473" r="48206" b="29835"/>
        <a:stretch>
          <a:fillRect/>
        </a:stretch>
      </xdr:blipFill>
      <xdr:spPr>
        <a:xfrm>
          <a:off x="15544798" y="21378333"/>
          <a:ext cx="5571490" cy="2042372"/>
        </a:xfrm>
        <a:prstGeom prst="rect">
          <a:avLst/>
        </a:prstGeom>
      </xdr:spPr>
    </xdr:pic>
    <xdr:clientData/>
  </xdr:twoCellAnchor>
  <xdr:twoCellAnchor editAs="oneCell">
    <xdr:from>
      <xdr:col>27</xdr:col>
      <xdr:colOff>581235</xdr:colOff>
      <xdr:row>125</xdr:row>
      <xdr:rowOff>55641</xdr:rowOff>
    </xdr:from>
    <xdr:to>
      <xdr:col>33</xdr:col>
      <xdr:colOff>474556</xdr:colOff>
      <xdr:row>145</xdr:row>
      <xdr:rowOff>90804</xdr:rowOff>
    </xdr:to>
    <xdr:pic>
      <xdr:nvPicPr>
        <xdr:cNvPr id="2678802" name="Picture 18"/>
        <xdr:cNvPicPr>
          <a:picLocks noChangeAspect="1" noChangeArrowheads="1"/>
        </xdr:cNvPicPr>
      </xdr:nvPicPr>
      <xdr:blipFill>
        <a:blip xmlns:r="http://schemas.openxmlformats.org/officeDocument/2006/relationships" r:embed="rId9" cstate="print"/>
        <a:srcRect/>
        <a:stretch>
          <a:fillRect/>
        </a:stretch>
      </xdr:blipFill>
      <xdr:spPr bwMode="auto">
        <a:xfrm>
          <a:off x="27505235" y="21450908"/>
          <a:ext cx="4668521" cy="3447229"/>
        </a:xfrm>
        <a:prstGeom prst="rect">
          <a:avLst/>
        </a:prstGeom>
        <a:noFill/>
      </xdr:spPr>
    </xdr:pic>
    <xdr:clientData/>
  </xdr:twoCellAnchor>
  <xdr:twoCellAnchor>
    <xdr:from>
      <xdr:col>7</xdr:col>
      <xdr:colOff>228600</xdr:colOff>
      <xdr:row>315</xdr:row>
      <xdr:rowOff>76199</xdr:rowOff>
    </xdr:from>
    <xdr:to>
      <xdr:col>8</xdr:col>
      <xdr:colOff>5461000</xdr:colOff>
      <xdr:row>337</xdr:row>
      <xdr:rowOff>27207</xdr:rowOff>
    </xdr:to>
    <xdr:graphicFrame macro="">
      <xdr:nvGraphicFramePr>
        <xdr:cNvPr id="21" name="Graphique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85725</xdr:colOff>
      <xdr:row>315</xdr:row>
      <xdr:rowOff>107647</xdr:rowOff>
    </xdr:from>
    <xdr:to>
      <xdr:col>20</xdr:col>
      <xdr:colOff>29028</xdr:colOff>
      <xdr:row>337</xdr:row>
      <xdr:rowOff>58655</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42334</xdr:colOff>
      <xdr:row>171</xdr:row>
      <xdr:rowOff>169331</xdr:rowOff>
    </xdr:from>
    <xdr:to>
      <xdr:col>8</xdr:col>
      <xdr:colOff>5363339</xdr:colOff>
      <xdr:row>178</xdr:row>
      <xdr:rowOff>156704</xdr:rowOff>
    </xdr:to>
    <xdr:pic>
      <xdr:nvPicPr>
        <xdr:cNvPr id="18" name="Picture 29"/>
        <xdr:cNvPicPr>
          <a:picLocks noChangeAspect="1" noChangeArrowheads="1"/>
        </xdr:cNvPicPr>
      </xdr:nvPicPr>
      <xdr:blipFill>
        <a:blip xmlns:r="http://schemas.openxmlformats.org/officeDocument/2006/relationships" r:embed="rId12" cstate="print"/>
        <a:srcRect t="2073" b="10159"/>
        <a:stretch>
          <a:fillRect/>
        </a:stretch>
      </xdr:blipFill>
      <xdr:spPr bwMode="auto">
        <a:xfrm>
          <a:off x="3793067" y="29548664"/>
          <a:ext cx="6599472" cy="1172707"/>
        </a:xfrm>
        <a:prstGeom prst="rect">
          <a:avLst/>
        </a:prstGeom>
        <a:noFill/>
      </xdr:spPr>
    </xdr:pic>
    <xdr:clientData/>
  </xdr:twoCellAnchor>
  <xdr:twoCellAnchor>
    <xdr:from>
      <xdr:col>36</xdr:col>
      <xdr:colOff>0</xdr:colOff>
      <xdr:row>203</xdr:row>
      <xdr:rowOff>0</xdr:rowOff>
    </xdr:from>
    <xdr:to>
      <xdr:col>44</xdr:col>
      <xdr:colOff>321731</xdr:colOff>
      <xdr:row>225</xdr:row>
      <xdr:rowOff>101600</xdr:rowOff>
    </xdr:to>
    <xdr:graphicFrame macro="">
      <xdr:nvGraphicFramePr>
        <xdr:cNvPr id="19" name="Graphique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414866</xdr:colOff>
      <xdr:row>7</xdr:row>
      <xdr:rowOff>3</xdr:rowOff>
    </xdr:from>
    <xdr:to>
      <xdr:col>10</xdr:col>
      <xdr:colOff>440266</xdr:colOff>
      <xdr:row>27</xdr:row>
      <xdr:rowOff>160868</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516468</xdr:colOff>
      <xdr:row>264</xdr:row>
      <xdr:rowOff>42335</xdr:rowOff>
    </xdr:from>
    <xdr:to>
      <xdr:col>9</xdr:col>
      <xdr:colOff>372533</xdr:colOff>
      <xdr:row>287</xdr:row>
      <xdr:rowOff>152401</xdr:rowOff>
    </xdr:to>
    <xdr:graphicFrame macro="">
      <xdr:nvGraphicFramePr>
        <xdr:cNvPr id="17" name="Graphique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643466</xdr:colOff>
      <xdr:row>7</xdr:row>
      <xdr:rowOff>16933</xdr:rowOff>
    </xdr:from>
    <xdr:to>
      <xdr:col>22</xdr:col>
      <xdr:colOff>753533</xdr:colOff>
      <xdr:row>28</xdr:row>
      <xdr:rowOff>76199</xdr:rowOff>
    </xdr:to>
    <xdr:graphicFrame macro="">
      <xdr:nvGraphicFramePr>
        <xdr:cNvPr id="20" name="Graphique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17</xdr:col>
      <xdr:colOff>770466</xdr:colOff>
      <xdr:row>30</xdr:row>
      <xdr:rowOff>143934</xdr:rowOff>
    </xdr:from>
    <xdr:to>
      <xdr:col>22</xdr:col>
      <xdr:colOff>296332</xdr:colOff>
      <xdr:row>43</xdr:row>
      <xdr:rowOff>16934</xdr:rowOff>
    </xdr:to>
    <xdr:pic>
      <xdr:nvPicPr>
        <xdr:cNvPr id="2678820" name="Picture 36"/>
        <xdr:cNvPicPr>
          <a:picLocks noChangeAspect="1" noChangeArrowheads="1"/>
        </xdr:cNvPicPr>
      </xdr:nvPicPr>
      <xdr:blipFill>
        <a:blip xmlns:r="http://schemas.openxmlformats.org/officeDocument/2006/relationships" r:embed="rId17" cstate="print"/>
        <a:srcRect t="10155"/>
        <a:stretch>
          <a:fillRect/>
        </a:stretch>
      </xdr:blipFill>
      <xdr:spPr bwMode="auto">
        <a:xfrm>
          <a:off x="18144066" y="5223934"/>
          <a:ext cx="3547533" cy="2074333"/>
        </a:xfrm>
        <a:prstGeom prst="rect">
          <a:avLst/>
        </a:prstGeom>
        <a:noFill/>
      </xdr:spPr>
    </xdr:pic>
    <xdr:clientData/>
  </xdr:twoCellAnchor>
  <xdr:twoCellAnchor editAs="oneCell">
    <xdr:from>
      <xdr:col>13</xdr:col>
      <xdr:colOff>567266</xdr:colOff>
      <xdr:row>30</xdr:row>
      <xdr:rowOff>160868</xdr:rowOff>
    </xdr:from>
    <xdr:to>
      <xdr:col>17</xdr:col>
      <xdr:colOff>601132</xdr:colOff>
      <xdr:row>42</xdr:row>
      <xdr:rowOff>34586</xdr:rowOff>
    </xdr:to>
    <xdr:pic>
      <xdr:nvPicPr>
        <xdr:cNvPr id="2678821" name="Picture 37"/>
        <xdr:cNvPicPr>
          <a:picLocks noChangeAspect="1" noChangeArrowheads="1"/>
        </xdr:cNvPicPr>
      </xdr:nvPicPr>
      <xdr:blipFill>
        <a:blip xmlns:r="http://schemas.openxmlformats.org/officeDocument/2006/relationships" r:embed="rId18" cstate="print"/>
        <a:srcRect/>
        <a:stretch>
          <a:fillRect/>
        </a:stretch>
      </xdr:blipFill>
      <xdr:spPr bwMode="auto">
        <a:xfrm>
          <a:off x="14782799" y="5240868"/>
          <a:ext cx="3191933" cy="1905718"/>
        </a:xfrm>
        <a:prstGeom prst="rect">
          <a:avLst/>
        </a:prstGeom>
        <a:noFill/>
      </xdr:spPr>
    </xdr:pic>
    <xdr:clientData/>
  </xdr:twoCellAnchor>
  <xdr:twoCellAnchor>
    <xdr:from>
      <xdr:col>22</xdr:col>
      <xdr:colOff>424544</xdr:colOff>
      <xdr:row>264</xdr:row>
      <xdr:rowOff>143935</xdr:rowOff>
    </xdr:from>
    <xdr:to>
      <xdr:col>31</xdr:col>
      <xdr:colOff>718457</xdr:colOff>
      <xdr:row>288</xdr:row>
      <xdr:rowOff>84668</xdr:rowOff>
    </xdr:to>
    <xdr:graphicFrame macro="">
      <xdr:nvGraphicFramePr>
        <xdr:cNvPr id="24" name="Graphique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35379</xdr:colOff>
      <xdr:row>265</xdr:row>
      <xdr:rowOff>455</xdr:rowOff>
    </xdr:from>
    <xdr:to>
      <xdr:col>21</xdr:col>
      <xdr:colOff>294670</xdr:colOff>
      <xdr:row>288</xdr:row>
      <xdr:rowOff>102357</xdr:rowOff>
    </xdr:to>
    <xdr:graphicFrame macro="">
      <xdr:nvGraphicFramePr>
        <xdr:cNvPr id="25" name="Graphique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0.06918</cdr:x>
      <cdr:y>0.47985</cdr:y>
    </cdr:from>
    <cdr:to>
      <cdr:x>0.94722</cdr:x>
      <cdr:y>0.75029</cdr:y>
    </cdr:to>
    <cdr:sp macro="" textlink="">
      <cdr:nvSpPr>
        <cdr:cNvPr id="22" name="Trapèze 21"/>
        <cdr:cNvSpPr/>
      </cdr:nvSpPr>
      <cdr:spPr>
        <a:xfrm xmlns:a="http://schemas.openxmlformats.org/drawingml/2006/main" rot="5640000">
          <a:off x="2645337" y="-395305"/>
          <a:ext cx="1025785" cy="5456608"/>
        </a:xfrm>
        <a:prstGeom xmlns:a="http://schemas.openxmlformats.org/drawingml/2006/main" prst="trapezoid">
          <a:avLst>
            <a:gd name="adj" fmla="val 32362"/>
          </a:avLst>
        </a:prstGeom>
        <a:solidFill xmlns:a="http://schemas.openxmlformats.org/drawingml/2006/main">
          <a:srgbClr val="7F7F7F">
            <a:alpha val="7059"/>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0.06685</cdr:x>
      <cdr:y>0.02692</cdr:y>
    </cdr:from>
    <cdr:to>
      <cdr:x>0.30676</cdr:x>
      <cdr:y>0.10933</cdr:y>
    </cdr:to>
    <cdr:sp macro="" textlink="">
      <cdr:nvSpPr>
        <cdr:cNvPr id="2" name="ZoneTexte 1"/>
        <cdr:cNvSpPr txBox="1"/>
      </cdr:nvSpPr>
      <cdr:spPr>
        <a:xfrm xmlns:a="http://schemas.openxmlformats.org/drawingml/2006/main">
          <a:off x="413831" y="101111"/>
          <a:ext cx="1485239" cy="3095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 (incl. OL)</a:t>
          </a:r>
        </a:p>
      </cdr:txBody>
    </cdr:sp>
  </cdr:relSizeAnchor>
  <cdr:relSizeAnchor xmlns:cdr="http://schemas.openxmlformats.org/drawingml/2006/chartDrawing">
    <cdr:from>
      <cdr:x>0.82662</cdr:x>
      <cdr:y>0.83522</cdr:y>
    </cdr:from>
    <cdr:to>
      <cdr:x>0.9512</cdr:x>
      <cdr:y>0.90649</cdr:y>
    </cdr:to>
    <cdr:sp macro="" textlink="">
      <cdr:nvSpPr>
        <cdr:cNvPr id="3" name="ZoneTexte 2"/>
        <cdr:cNvSpPr txBox="1"/>
      </cdr:nvSpPr>
      <cdr:spPr>
        <a:xfrm xmlns:a="http://schemas.openxmlformats.org/drawingml/2006/main">
          <a:off x="5137077" y="3168046"/>
          <a:ext cx="7741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0.07289</cdr:x>
      <cdr:y>0.37759</cdr:y>
    </cdr:from>
    <cdr:to>
      <cdr:x>0.88403</cdr:x>
      <cdr:y>0.60888</cdr:y>
    </cdr:to>
    <cdr:sp macro="" textlink="">
      <cdr:nvSpPr>
        <cdr:cNvPr id="14" name="Connecteur droit 13"/>
        <cdr:cNvSpPr/>
      </cdr:nvSpPr>
      <cdr:spPr>
        <a:xfrm xmlns:a="http://schemas.openxmlformats.org/drawingml/2006/main">
          <a:off x="451271" y="1418164"/>
          <a:ext cx="5021580" cy="868680"/>
        </a:xfrm>
        <a:prstGeom xmlns:a="http://schemas.openxmlformats.org/drawingml/2006/main" prst="line">
          <a:avLst/>
        </a:prstGeom>
        <a:ln xmlns:a="http://schemas.openxmlformats.org/drawingml/2006/main">
          <a:solidFill>
            <a:schemeClr val="tx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0.61447</cdr:x>
      <cdr:y>0.02692</cdr:y>
    </cdr:from>
    <cdr:to>
      <cdr:x>0.95111</cdr:x>
      <cdr:y>0.10933</cdr:y>
    </cdr:to>
    <cdr:sp macro="" textlink="">
      <cdr:nvSpPr>
        <cdr:cNvPr id="19" name="ZoneTexte 1"/>
        <cdr:cNvSpPr txBox="1"/>
      </cdr:nvSpPr>
      <cdr:spPr>
        <a:xfrm xmlns:a="http://schemas.openxmlformats.org/drawingml/2006/main">
          <a:off x="3804076" y="101106"/>
          <a:ext cx="2084080" cy="3095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a:latin typeface="Arial" pitchFamily="34" charset="0"/>
              <a:cs typeface="Arial" pitchFamily="34" charset="0"/>
            </a:rPr>
            <a:t>Period avg.</a:t>
          </a:r>
        </a:p>
      </cdr:txBody>
    </cdr:sp>
  </cdr:relSizeAnchor>
  <cdr:relSizeAnchor xmlns:cdr="http://schemas.openxmlformats.org/drawingml/2006/chartDrawing">
    <cdr:from>
      <cdr:x>0.23186</cdr:x>
      <cdr:y>0.45119</cdr:y>
    </cdr:from>
    <cdr:to>
      <cdr:x>0.79536</cdr:x>
      <cdr:y>0.6968</cdr:y>
    </cdr:to>
    <cdr:sp macro="" textlink="">
      <cdr:nvSpPr>
        <cdr:cNvPr id="8" name="Ellipse 7"/>
        <cdr:cNvSpPr/>
      </cdr:nvSpPr>
      <cdr:spPr>
        <a:xfrm xmlns:a="http://schemas.openxmlformats.org/drawingml/2006/main" rot="1071789">
          <a:off x="1435425" y="1694579"/>
          <a:ext cx="3488502" cy="922463"/>
        </a:xfrm>
        <a:prstGeom xmlns:a="http://schemas.openxmlformats.org/drawingml/2006/main" prst="ellipse">
          <a:avLst/>
        </a:prstGeom>
        <a:noFill xmlns:a="http://schemas.openxmlformats.org/drawingml/2006/main"/>
        <a:ln xmlns:a="http://schemas.openxmlformats.org/drawingml/2006/main" w="9525">
          <a:solidFill>
            <a:schemeClr val="bg2">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0.32508</cdr:x>
      <cdr:y>0.1416</cdr:y>
    </cdr:from>
    <cdr:to>
      <cdr:x>0.7147</cdr:x>
      <cdr:y>0.37048</cdr:y>
    </cdr:to>
    <cdr:sp macro="" textlink="">
      <cdr:nvSpPr>
        <cdr:cNvPr id="9" name="Ellipse 8"/>
        <cdr:cNvSpPr/>
      </cdr:nvSpPr>
      <cdr:spPr>
        <a:xfrm xmlns:a="http://schemas.openxmlformats.org/drawingml/2006/main" rot="1128388">
          <a:off x="2012537" y="531813"/>
          <a:ext cx="2412062" cy="859629"/>
        </a:xfrm>
        <a:prstGeom xmlns:a="http://schemas.openxmlformats.org/drawingml/2006/main" prst="ellipse">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0.82662</cdr:x>
      <cdr:y>0.83522</cdr:y>
    </cdr:from>
    <cdr:to>
      <cdr:x>0.9512</cdr:x>
      <cdr:y>0.90649</cdr:y>
    </cdr:to>
    <cdr:sp macro="" textlink="">
      <cdr:nvSpPr>
        <cdr:cNvPr id="5" name="ZoneTexte 2"/>
        <cdr:cNvSpPr txBox="1"/>
      </cdr:nvSpPr>
      <cdr:spPr>
        <a:xfrm xmlns:a="http://schemas.openxmlformats.org/drawingml/2006/main">
          <a:off x="5137077" y="3168046"/>
          <a:ext cx="7741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0.33094</cdr:x>
      <cdr:y>0.66624</cdr:y>
    </cdr:from>
    <cdr:to>
      <cdr:x>0.49583</cdr:x>
      <cdr:y>0.73918</cdr:y>
    </cdr:to>
    <cdr:sp macro="" textlink="">
      <cdr:nvSpPr>
        <cdr:cNvPr id="16" name="Ellipse 15"/>
        <cdr:cNvSpPr/>
      </cdr:nvSpPr>
      <cdr:spPr>
        <a:xfrm xmlns:a="http://schemas.openxmlformats.org/drawingml/2006/main" rot="435707">
          <a:off x="2048805" y="2502272"/>
          <a:ext cx="1020766" cy="273945"/>
        </a:xfrm>
        <a:prstGeom xmlns:a="http://schemas.openxmlformats.org/drawingml/2006/main" prst="ellipse">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0.50136</cdr:x>
      <cdr:y>0.28348</cdr:y>
    </cdr:from>
    <cdr:to>
      <cdr:x>0.86972</cdr:x>
      <cdr:y>0.38308</cdr:y>
    </cdr:to>
    <cdr:sp macro="" textlink="">
      <cdr:nvSpPr>
        <cdr:cNvPr id="18" name="Connecteur droit 17"/>
        <cdr:cNvSpPr/>
      </cdr:nvSpPr>
      <cdr:spPr>
        <a:xfrm xmlns:a="http://schemas.openxmlformats.org/drawingml/2006/main">
          <a:off x="3115731" y="1075264"/>
          <a:ext cx="2289192" cy="377768"/>
        </a:xfrm>
        <a:prstGeom xmlns:a="http://schemas.openxmlformats.org/drawingml/2006/main" prst="line">
          <a:avLst/>
        </a:prstGeom>
        <a:ln xmlns:a="http://schemas.openxmlformats.org/drawingml/2006/main">
          <a:solidFill>
            <a:schemeClr val="tx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21.xml><?xml version="1.0" encoding="utf-8"?>
<c:userShapes xmlns:c="http://schemas.openxmlformats.org/drawingml/2006/chart">
  <cdr:relSizeAnchor xmlns:cdr="http://schemas.openxmlformats.org/drawingml/2006/chartDrawing">
    <cdr:from>
      <cdr:x>0.06685</cdr:x>
      <cdr:y>0.02692</cdr:y>
    </cdr:from>
    <cdr:to>
      <cdr:x>0.30676</cdr:x>
      <cdr:y>0.10933</cdr:y>
    </cdr:to>
    <cdr:sp macro="" textlink="">
      <cdr:nvSpPr>
        <cdr:cNvPr id="2" name="ZoneTexte 1"/>
        <cdr:cNvSpPr txBox="1"/>
      </cdr:nvSpPr>
      <cdr:spPr>
        <a:xfrm xmlns:a="http://schemas.openxmlformats.org/drawingml/2006/main">
          <a:off x="413857" y="101106"/>
          <a:ext cx="1485240" cy="3095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 (with OL)</a:t>
          </a:r>
        </a:p>
      </cdr:txBody>
    </cdr:sp>
  </cdr:relSizeAnchor>
  <cdr:relSizeAnchor xmlns:cdr="http://schemas.openxmlformats.org/drawingml/2006/chartDrawing">
    <cdr:from>
      <cdr:x>0.82662</cdr:x>
      <cdr:y>0.83522</cdr:y>
    </cdr:from>
    <cdr:to>
      <cdr:x>0.9512</cdr:x>
      <cdr:y>0.90649</cdr:y>
    </cdr:to>
    <cdr:sp macro="" textlink="">
      <cdr:nvSpPr>
        <cdr:cNvPr id="3" name="ZoneTexte 2"/>
        <cdr:cNvSpPr txBox="1"/>
      </cdr:nvSpPr>
      <cdr:spPr>
        <a:xfrm xmlns:a="http://schemas.openxmlformats.org/drawingml/2006/main">
          <a:off x="5137077" y="3168046"/>
          <a:ext cx="7741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0.07289</cdr:x>
      <cdr:y>0.37759</cdr:y>
    </cdr:from>
    <cdr:to>
      <cdr:x>0.88403</cdr:x>
      <cdr:y>0.60888</cdr:y>
    </cdr:to>
    <cdr:sp macro="" textlink="">
      <cdr:nvSpPr>
        <cdr:cNvPr id="14" name="Connecteur droit 13"/>
        <cdr:cNvSpPr/>
      </cdr:nvSpPr>
      <cdr:spPr>
        <a:xfrm xmlns:a="http://schemas.openxmlformats.org/drawingml/2006/main">
          <a:off x="451271" y="1418164"/>
          <a:ext cx="5021580" cy="868680"/>
        </a:xfrm>
        <a:prstGeom xmlns:a="http://schemas.openxmlformats.org/drawingml/2006/main" prst="line">
          <a:avLst/>
        </a:prstGeom>
        <a:ln xmlns:a="http://schemas.openxmlformats.org/drawingml/2006/main">
          <a:solidFill>
            <a:schemeClr val="tx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0.61447</cdr:x>
      <cdr:y>0.02692</cdr:y>
    </cdr:from>
    <cdr:to>
      <cdr:x>0.95111</cdr:x>
      <cdr:y>0.10933</cdr:y>
    </cdr:to>
    <cdr:sp macro="" textlink="">
      <cdr:nvSpPr>
        <cdr:cNvPr id="19" name="ZoneTexte 1"/>
        <cdr:cNvSpPr txBox="1"/>
      </cdr:nvSpPr>
      <cdr:spPr>
        <a:xfrm xmlns:a="http://schemas.openxmlformats.org/drawingml/2006/main">
          <a:off x="3804076" y="101106"/>
          <a:ext cx="2084080" cy="3095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a:latin typeface="Arial" pitchFamily="34" charset="0"/>
              <a:cs typeface="Arial" pitchFamily="34" charset="0"/>
            </a:rPr>
            <a:t>1H13</a:t>
          </a:r>
        </a:p>
      </cdr:txBody>
    </cdr:sp>
  </cdr:relSizeAnchor>
  <cdr:relSizeAnchor xmlns:cdr="http://schemas.openxmlformats.org/drawingml/2006/chartDrawing">
    <cdr:from>
      <cdr:x>0.23186</cdr:x>
      <cdr:y>0.45119</cdr:y>
    </cdr:from>
    <cdr:to>
      <cdr:x>0.79536</cdr:x>
      <cdr:y>0.6968</cdr:y>
    </cdr:to>
    <cdr:sp macro="" textlink="">
      <cdr:nvSpPr>
        <cdr:cNvPr id="8" name="Ellipse 7"/>
        <cdr:cNvSpPr/>
      </cdr:nvSpPr>
      <cdr:spPr>
        <a:xfrm xmlns:a="http://schemas.openxmlformats.org/drawingml/2006/main" rot="1071789">
          <a:off x="1435425" y="1694579"/>
          <a:ext cx="3488502" cy="922463"/>
        </a:xfrm>
        <a:prstGeom xmlns:a="http://schemas.openxmlformats.org/drawingml/2006/main" prst="ellipse">
          <a:avLst/>
        </a:prstGeom>
        <a:noFill xmlns:a="http://schemas.openxmlformats.org/drawingml/2006/main"/>
        <a:ln xmlns:a="http://schemas.openxmlformats.org/drawingml/2006/main" w="9525">
          <a:solidFill>
            <a:schemeClr val="bg2">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0.32508</cdr:x>
      <cdr:y>0.1416</cdr:y>
    </cdr:from>
    <cdr:to>
      <cdr:x>0.7147</cdr:x>
      <cdr:y>0.37048</cdr:y>
    </cdr:to>
    <cdr:sp macro="" textlink="">
      <cdr:nvSpPr>
        <cdr:cNvPr id="9" name="Ellipse 8"/>
        <cdr:cNvSpPr/>
      </cdr:nvSpPr>
      <cdr:spPr>
        <a:xfrm xmlns:a="http://schemas.openxmlformats.org/drawingml/2006/main" rot="1128388">
          <a:off x="2012537" y="531813"/>
          <a:ext cx="2412062" cy="859629"/>
        </a:xfrm>
        <a:prstGeom xmlns:a="http://schemas.openxmlformats.org/drawingml/2006/main" prst="ellipse">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0.82662</cdr:x>
      <cdr:y>0.83522</cdr:y>
    </cdr:from>
    <cdr:to>
      <cdr:x>0.9512</cdr:x>
      <cdr:y>0.90649</cdr:y>
    </cdr:to>
    <cdr:sp macro="" textlink="">
      <cdr:nvSpPr>
        <cdr:cNvPr id="5" name="ZoneTexte 2"/>
        <cdr:cNvSpPr txBox="1"/>
      </cdr:nvSpPr>
      <cdr:spPr>
        <a:xfrm xmlns:a="http://schemas.openxmlformats.org/drawingml/2006/main">
          <a:off x="5137077" y="3168046"/>
          <a:ext cx="7741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0.33094</cdr:x>
      <cdr:y>0.66624</cdr:y>
    </cdr:from>
    <cdr:to>
      <cdr:x>0.49583</cdr:x>
      <cdr:y>0.73918</cdr:y>
    </cdr:to>
    <cdr:sp macro="" textlink="">
      <cdr:nvSpPr>
        <cdr:cNvPr id="16" name="Ellipse 15"/>
        <cdr:cNvSpPr/>
      </cdr:nvSpPr>
      <cdr:spPr>
        <a:xfrm xmlns:a="http://schemas.openxmlformats.org/drawingml/2006/main" rot="435707">
          <a:off x="2048805" y="2502272"/>
          <a:ext cx="1020766" cy="273945"/>
        </a:xfrm>
        <a:prstGeom xmlns:a="http://schemas.openxmlformats.org/drawingml/2006/main" prst="ellipse">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0.82662</cdr:x>
      <cdr:y>0.83522</cdr:y>
    </cdr:from>
    <cdr:to>
      <cdr:x>0.9512</cdr:x>
      <cdr:y>0.90649</cdr:y>
    </cdr:to>
    <cdr:sp macro="" textlink="">
      <cdr:nvSpPr>
        <cdr:cNvPr id="25" name="ZoneTexte 2"/>
        <cdr:cNvSpPr txBox="1"/>
      </cdr:nvSpPr>
      <cdr:spPr>
        <a:xfrm xmlns:a="http://schemas.openxmlformats.org/drawingml/2006/main">
          <a:off x="5137077" y="3168046"/>
          <a:ext cx="774171" cy="27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0.53229</cdr:x>
      <cdr:y>0.28833</cdr:y>
    </cdr:from>
    <cdr:to>
      <cdr:x>0.90082</cdr:x>
      <cdr:y>0.38796</cdr:y>
    </cdr:to>
    <cdr:sp macro="" textlink="">
      <cdr:nvSpPr>
        <cdr:cNvPr id="18" name="Connecteur droit 17"/>
        <cdr:cNvSpPr/>
      </cdr:nvSpPr>
      <cdr:spPr>
        <a:xfrm xmlns:a="http://schemas.openxmlformats.org/drawingml/2006/main">
          <a:off x="3283527" y="1073727"/>
          <a:ext cx="2273314" cy="371022"/>
        </a:xfrm>
        <a:prstGeom xmlns:a="http://schemas.openxmlformats.org/drawingml/2006/main" prst="line">
          <a:avLst/>
        </a:prstGeom>
        <a:noFill xmlns:a="http://schemas.openxmlformats.org/drawingml/2006/main"/>
        <a:ln xmlns:a="http://schemas.openxmlformats.org/drawingml/2006/main" w="9525" cap="flat" cmpd="sng" algn="ctr">
          <a:solidFill>
            <a:srgbClr val="1F497D">
              <a:lumMod val="60000"/>
              <a:lumOff val="40000"/>
            </a:srgbClr>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0.06962</cdr:x>
      <cdr:y>0.47249</cdr:y>
    </cdr:from>
    <cdr:to>
      <cdr:x>0.94806</cdr:x>
      <cdr:y>0.74303</cdr:y>
    </cdr:to>
    <cdr:sp macro="" textlink="">
      <cdr:nvSpPr>
        <cdr:cNvPr id="26" name="Trapèze 25"/>
        <cdr:cNvSpPr/>
      </cdr:nvSpPr>
      <cdr:spPr>
        <a:xfrm xmlns:a="http://schemas.openxmlformats.org/drawingml/2006/main" rot="5640000">
          <a:off x="2635137" y="-446119"/>
          <a:ext cx="1007468" cy="5418761"/>
        </a:xfrm>
        <a:prstGeom xmlns:a="http://schemas.openxmlformats.org/drawingml/2006/main" prst="trapezoid">
          <a:avLst>
            <a:gd name="adj" fmla="val 32362"/>
          </a:avLst>
        </a:prstGeom>
        <a:solidFill xmlns:a="http://schemas.openxmlformats.org/drawingml/2006/main">
          <a:srgbClr val="7F7F7F">
            <a:alpha val="7059"/>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userShapes>
</file>

<file path=xl/drawings/drawing22.xml><?xml version="1.0" encoding="utf-8"?>
<c:userShapes xmlns:c="http://schemas.openxmlformats.org/drawingml/2006/chart">
  <cdr:relSizeAnchor xmlns:cdr="http://schemas.openxmlformats.org/drawingml/2006/chartDrawing">
    <cdr:from>
      <cdr:x>0.38581</cdr:x>
      <cdr:y>0.36033</cdr:y>
    </cdr:from>
    <cdr:to>
      <cdr:x>0.38581</cdr:x>
      <cdr:y>0.57853</cdr:y>
    </cdr:to>
    <cdr:sp macro="" textlink="">
      <cdr:nvSpPr>
        <cdr:cNvPr id="24" name="Connecteur droit avec flèche 23"/>
        <cdr:cNvSpPr/>
      </cdr:nvSpPr>
      <cdr:spPr>
        <a:xfrm xmlns:a="http://schemas.openxmlformats.org/drawingml/2006/main">
          <a:off x="2391903" y="1332283"/>
          <a:ext cx="0" cy="806755"/>
        </a:xfrm>
        <a:prstGeom xmlns:a="http://schemas.openxmlformats.org/drawingml/2006/main" prst="straightConnector1">
          <a:avLst/>
        </a:prstGeom>
        <a:ln xmlns:a="http://schemas.openxmlformats.org/drawingml/2006/main" w="9525">
          <a:solidFill>
            <a:schemeClr val="tx1"/>
          </a:solidFill>
          <a:prstDash val="sysDash"/>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0.06685</cdr:x>
      <cdr:y>0.02692</cdr:y>
    </cdr:from>
    <cdr:to>
      <cdr:x>0.26431</cdr:x>
      <cdr:y>0.1506</cdr:y>
    </cdr:to>
    <cdr:sp macro="" textlink="">
      <cdr:nvSpPr>
        <cdr:cNvPr id="2" name="ZoneTexte 1"/>
        <cdr:cNvSpPr txBox="1"/>
      </cdr:nvSpPr>
      <cdr:spPr>
        <a:xfrm xmlns:a="http://schemas.openxmlformats.org/drawingml/2006/main">
          <a:off x="415442" y="102154"/>
          <a:ext cx="1227092" cy="4693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2Q13 Gearing*</a:t>
          </a:r>
          <a:br>
            <a:rPr lang="fr-FR" sz="1200">
              <a:latin typeface="Arial" pitchFamily="34" charset="0"/>
              <a:cs typeface="Arial" pitchFamily="34" charset="0"/>
            </a:rPr>
          </a:br>
          <a:r>
            <a:rPr lang="fr-FR" sz="1200">
              <a:latin typeface="Arial" pitchFamily="34" charset="0"/>
              <a:cs typeface="Arial" pitchFamily="34" charset="0"/>
            </a:rPr>
            <a:t>(incl. OL)</a:t>
          </a:r>
        </a:p>
      </cdr:txBody>
    </cdr:sp>
  </cdr:relSizeAnchor>
  <cdr:relSizeAnchor xmlns:cdr="http://schemas.openxmlformats.org/drawingml/2006/chartDrawing">
    <cdr:from>
      <cdr:x>0.67847</cdr:x>
      <cdr:y>0.83522</cdr:y>
    </cdr:from>
    <cdr:to>
      <cdr:x>0.9512</cdr:x>
      <cdr:y>0.90649</cdr:y>
    </cdr:to>
    <cdr:sp macro="" textlink="">
      <cdr:nvSpPr>
        <cdr:cNvPr id="3" name="ZoneTexte 2"/>
        <cdr:cNvSpPr txBox="1"/>
      </cdr:nvSpPr>
      <cdr:spPr>
        <a:xfrm xmlns:a="http://schemas.openxmlformats.org/drawingml/2006/main">
          <a:off x="4216400" y="3169458"/>
          <a:ext cx="1694864" cy="2704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fr-FR" sz="1200">
              <a:latin typeface="Arial" pitchFamily="34" charset="0"/>
              <a:cs typeface="Arial" pitchFamily="34" charset="0"/>
            </a:rPr>
            <a:t>1H13 (or</a:t>
          </a:r>
          <a:r>
            <a:rPr lang="fr-FR" sz="1200" baseline="0">
              <a:latin typeface="Arial" pitchFamily="34" charset="0"/>
              <a:cs typeface="Arial" pitchFamily="34" charset="0"/>
            </a:rPr>
            <a:t> last) </a:t>
          </a:r>
          <a:r>
            <a:rPr lang="fr-FR" sz="1200">
              <a:latin typeface="Arial" pitchFamily="34" charset="0"/>
              <a:cs typeface="Arial" pitchFamily="34" charset="0"/>
            </a:rPr>
            <a:t>% Mobile</a:t>
          </a:r>
        </a:p>
      </cdr:txBody>
    </cdr:sp>
  </cdr:relSizeAnchor>
  <cdr:relSizeAnchor xmlns:cdr="http://schemas.openxmlformats.org/drawingml/2006/chartDrawing">
    <cdr:from>
      <cdr:x>0.08739</cdr:x>
      <cdr:y>0.50316</cdr:y>
    </cdr:from>
    <cdr:to>
      <cdr:x>0.94899</cdr:x>
      <cdr:y>0.62083</cdr:y>
    </cdr:to>
    <cdr:sp macro="" textlink="">
      <cdr:nvSpPr>
        <cdr:cNvPr id="14" name="Connecteur droit 13"/>
        <cdr:cNvSpPr/>
      </cdr:nvSpPr>
      <cdr:spPr>
        <a:xfrm xmlns:a="http://schemas.openxmlformats.org/drawingml/2006/main">
          <a:off x="541019" y="1889760"/>
          <a:ext cx="5334001" cy="441960"/>
        </a:xfrm>
        <a:prstGeom xmlns:a="http://schemas.openxmlformats.org/drawingml/2006/main" prst="line">
          <a:avLst/>
        </a:prstGeom>
        <a:ln xmlns:a="http://schemas.openxmlformats.org/drawingml/2006/main">
          <a:solidFill>
            <a:schemeClr val="tx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0.21403</cdr:x>
      <cdr:y>0.43594</cdr:y>
    </cdr:from>
    <cdr:to>
      <cdr:x>0.83082</cdr:x>
      <cdr:y>0.68155</cdr:y>
    </cdr:to>
    <cdr:sp macro="" textlink="">
      <cdr:nvSpPr>
        <cdr:cNvPr id="8" name="Ellipse 7"/>
        <cdr:cNvSpPr/>
      </cdr:nvSpPr>
      <cdr:spPr>
        <a:xfrm xmlns:a="http://schemas.openxmlformats.org/drawingml/2006/main" rot="639421">
          <a:off x="1325002" y="1637312"/>
          <a:ext cx="3818462" cy="922465"/>
        </a:xfrm>
        <a:prstGeom xmlns:a="http://schemas.openxmlformats.org/drawingml/2006/main" prst="ellipse">
          <a:avLst/>
        </a:prstGeom>
        <a:noFill xmlns:a="http://schemas.openxmlformats.org/drawingml/2006/main"/>
        <a:ln xmlns:a="http://schemas.openxmlformats.org/drawingml/2006/main" w="9525">
          <a:solidFill>
            <a:schemeClr val="bg2">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0.33402</cdr:x>
      <cdr:y>0.06946</cdr:y>
    </cdr:from>
    <cdr:to>
      <cdr:x>0.7371</cdr:x>
      <cdr:y>0.26337</cdr:y>
    </cdr:to>
    <cdr:sp macro="" textlink="">
      <cdr:nvSpPr>
        <cdr:cNvPr id="9" name="Ellipse 8"/>
        <cdr:cNvSpPr/>
      </cdr:nvSpPr>
      <cdr:spPr>
        <a:xfrm xmlns:a="http://schemas.openxmlformats.org/drawingml/2006/main" rot="1074508">
          <a:off x="2067857" y="260875"/>
          <a:ext cx="2495397" cy="728290"/>
        </a:xfrm>
        <a:prstGeom xmlns:a="http://schemas.openxmlformats.org/drawingml/2006/main" prst="ellipse">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0.07385</cdr:x>
      <cdr:y>0.38345</cdr:y>
    </cdr:from>
    <cdr:to>
      <cdr:x>0.9564</cdr:x>
      <cdr:y>0.61468</cdr:y>
    </cdr:to>
    <cdr:sp macro="" textlink="">
      <cdr:nvSpPr>
        <cdr:cNvPr id="17" name="Connecteur droit 16"/>
        <cdr:cNvSpPr/>
      </cdr:nvSpPr>
      <cdr:spPr>
        <a:xfrm xmlns:a="http://schemas.openxmlformats.org/drawingml/2006/main">
          <a:off x="457200" y="1440179"/>
          <a:ext cx="5463726" cy="868447"/>
        </a:xfrm>
        <a:prstGeom xmlns:a="http://schemas.openxmlformats.org/drawingml/2006/main" prst="line">
          <a:avLst/>
        </a:prstGeom>
        <a:ln xmlns:a="http://schemas.openxmlformats.org/drawingml/2006/main">
          <a:solidFill>
            <a:schemeClr val="tx1"/>
          </a:solidFill>
          <a:prstDash val="sysDash"/>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0.07609</cdr:x>
      <cdr:y>0.36719</cdr:y>
    </cdr:from>
    <cdr:to>
      <cdr:x>0.96185</cdr:x>
      <cdr:y>0.6249</cdr:y>
    </cdr:to>
    <cdr:sp macro="" textlink="">
      <cdr:nvSpPr>
        <cdr:cNvPr id="22" name="Trapèze 21"/>
        <cdr:cNvSpPr/>
      </cdr:nvSpPr>
      <cdr:spPr>
        <a:xfrm xmlns:a="http://schemas.openxmlformats.org/drawingml/2006/main" rot="5460000">
          <a:off x="2736204" y="-869921"/>
          <a:ext cx="977939" cy="5504584"/>
        </a:xfrm>
        <a:prstGeom xmlns:a="http://schemas.openxmlformats.org/drawingml/2006/main" prst="trapezoid">
          <a:avLst>
            <a:gd name="adj" fmla="val 6838"/>
          </a:avLst>
        </a:prstGeom>
        <a:solidFill xmlns:a="http://schemas.openxmlformats.org/drawingml/2006/main">
          <a:srgbClr val="7F7F7F">
            <a:alpha val="7059"/>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0.06149</cdr:x>
      <cdr:y>0.4453</cdr:y>
    </cdr:from>
    <cdr:to>
      <cdr:x>0.96814</cdr:x>
      <cdr:y>0.56493</cdr:y>
    </cdr:to>
    <cdr:sp macro="" textlink="">
      <cdr:nvSpPr>
        <cdr:cNvPr id="12" name="Trapèze 11"/>
        <cdr:cNvSpPr/>
      </cdr:nvSpPr>
      <cdr:spPr>
        <a:xfrm xmlns:a="http://schemas.openxmlformats.org/drawingml/2006/main" rot="5940000">
          <a:off x="2962477" y="-909326"/>
          <a:ext cx="449325" cy="5612898"/>
        </a:xfrm>
        <a:prstGeom xmlns:a="http://schemas.openxmlformats.org/drawingml/2006/main" prst="trapezoid">
          <a:avLst>
            <a:gd name="adj" fmla="val 15932"/>
          </a:avLst>
        </a:prstGeom>
        <a:solidFill xmlns:a="http://schemas.openxmlformats.org/drawingml/2006/main">
          <a:srgbClr val="4A452A">
            <a:alpha val="18039"/>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0.20733</cdr:x>
      <cdr:y>0.36382</cdr:y>
    </cdr:from>
    <cdr:to>
      <cdr:x>0.20733</cdr:x>
      <cdr:y>0.47884</cdr:y>
    </cdr:to>
    <cdr:sp macro="" textlink="">
      <cdr:nvSpPr>
        <cdr:cNvPr id="13" name="Connecteur droit avec flèche 12"/>
        <cdr:cNvSpPr/>
      </cdr:nvSpPr>
      <cdr:spPr>
        <a:xfrm xmlns:a="http://schemas.openxmlformats.org/drawingml/2006/main">
          <a:off x="1283572" y="1366428"/>
          <a:ext cx="0" cy="432000"/>
        </a:xfrm>
        <a:prstGeom xmlns:a="http://schemas.openxmlformats.org/drawingml/2006/main" prst="straightConnector1">
          <a:avLst/>
        </a:prstGeom>
        <a:ln xmlns:a="http://schemas.openxmlformats.org/drawingml/2006/main" w="19050">
          <a:solidFill>
            <a:schemeClr val="tx1"/>
          </a:solidFill>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0.95257</cdr:x>
      <cdr:y>0.57578</cdr:y>
    </cdr:from>
    <cdr:to>
      <cdr:x>0.95257</cdr:x>
      <cdr:y>0.65167</cdr:y>
    </cdr:to>
    <cdr:sp macro="" textlink="">
      <cdr:nvSpPr>
        <cdr:cNvPr id="15" name="Connecteur droit avec flèche 14"/>
        <cdr:cNvSpPr/>
      </cdr:nvSpPr>
      <cdr:spPr>
        <a:xfrm xmlns:a="http://schemas.openxmlformats.org/drawingml/2006/main">
          <a:off x="5919754" y="2184931"/>
          <a:ext cx="0" cy="288000"/>
        </a:xfrm>
        <a:prstGeom xmlns:a="http://schemas.openxmlformats.org/drawingml/2006/main" prst="straightConnector1">
          <a:avLst/>
        </a:prstGeom>
        <a:ln xmlns:a="http://schemas.openxmlformats.org/drawingml/2006/main" w="19050">
          <a:solidFill>
            <a:schemeClr val="tx1"/>
          </a:solidFill>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0.51349</cdr:x>
      <cdr:y>0.49643</cdr:y>
    </cdr:from>
    <cdr:to>
      <cdr:x>0.51349</cdr:x>
      <cdr:y>0.90436</cdr:y>
    </cdr:to>
    <cdr:sp macro="" textlink="">
      <cdr:nvSpPr>
        <cdr:cNvPr id="18" name="Connecteur droit 17"/>
        <cdr:cNvSpPr/>
      </cdr:nvSpPr>
      <cdr:spPr>
        <a:xfrm xmlns:a="http://schemas.openxmlformats.org/drawingml/2006/main" flipH="1" flipV="1">
          <a:off x="3178942" y="1864499"/>
          <a:ext cx="0" cy="1532112"/>
        </a:xfrm>
        <a:prstGeom xmlns:a="http://schemas.openxmlformats.org/drawingml/2006/main" prst="line">
          <a:avLst/>
        </a:prstGeom>
        <a:ln xmlns:a="http://schemas.openxmlformats.org/drawingml/2006/main">
          <a:solidFill>
            <a:schemeClr val="bg1">
              <a:lumMod val="65000"/>
            </a:schemeClr>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3.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D/Ebitda</a:t>
          </a:r>
        </a:p>
      </cdr:txBody>
    </cdr:sp>
  </cdr:relSizeAnchor>
</c:userShapes>
</file>

<file path=xl/drawings/drawing24.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D/Ebitda</a:t>
          </a:r>
        </a:p>
      </cdr:txBody>
    </cdr:sp>
  </cdr:relSizeAnchor>
</c:userShapes>
</file>

<file path=xl/drawings/drawing25.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D/Ebitda</a:t>
          </a:r>
        </a:p>
      </cdr:txBody>
    </cdr:sp>
  </cdr:relSizeAnchor>
</c:userShapes>
</file>

<file path=xl/drawings/drawing26.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a:t>
          </a:r>
          <a:r>
            <a:rPr lang="fr-FR" sz="1200" baseline="0">
              <a:latin typeface="Arial" pitchFamily="34" charset="0"/>
              <a:cs typeface="Arial" pitchFamily="34" charset="0"/>
            </a:rPr>
            <a:t>*</a:t>
          </a:r>
          <a:endParaRPr lang="fr-FR" sz="1200">
            <a:latin typeface="Arial" pitchFamily="34" charset="0"/>
            <a:cs typeface="Arial"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a:t>
          </a:r>
        </a:p>
      </cdr:txBody>
    </cdr:sp>
  </cdr:relSizeAnchor>
</c:userShapes>
</file>

<file path=xl/drawings/drawing28.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Gearing*</a:t>
          </a:r>
        </a:p>
      </cdr:txBody>
    </cdr:sp>
  </cdr:relSizeAnchor>
</c:userShapes>
</file>

<file path=xl/drawings/drawing29.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E/Eb</a:t>
          </a:r>
        </a:p>
      </cdr:txBody>
    </cdr:sp>
  </cdr:relSizeAnchor>
</c:userShapes>
</file>

<file path=xl/drawings/drawing3.xml><?xml version="1.0" encoding="utf-8"?>
<c:userShapes xmlns:c="http://schemas.openxmlformats.org/drawingml/2006/chart">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EV/Sales</a:t>
          </a:r>
        </a:p>
      </cdr:txBody>
    </cdr:sp>
  </cdr:relSizeAnchor>
  <cdr:relSizeAnchor xmlns:cdr="http://schemas.openxmlformats.org/drawingml/2006/chartDrawing">
    <cdr:from>
      <cdr:x>0.79458</cdr:x>
      <cdr:y>0.82406</cdr:y>
    </cdr:from>
    <cdr:to>
      <cdr:x>0.95823</cdr:x>
      <cdr:y>0.89533</cdr:y>
    </cdr:to>
    <cdr:sp macro="" textlink="">
      <cdr:nvSpPr>
        <cdr:cNvPr id="3" name="ZoneTexte 2"/>
        <cdr:cNvSpPr txBox="1"/>
      </cdr:nvSpPr>
      <cdr:spPr>
        <a:xfrm xmlns:a="http://schemas.openxmlformats.org/drawingml/2006/main">
          <a:off x="5314708" y="3132676"/>
          <a:ext cx="1094557"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Mobile % Rev.</a:t>
          </a:r>
        </a:p>
      </cdr:txBody>
    </cdr:sp>
  </cdr:relSizeAnchor>
</c:userShapes>
</file>

<file path=xl/drawings/drawing30.xml><?xml version="1.0" encoding="utf-8"?>
<c:userShapes xmlns:c="http://schemas.openxmlformats.org/drawingml/2006/chart">
  <cdr:relSizeAnchor xmlns:cdr="http://schemas.openxmlformats.org/drawingml/2006/chartDrawing">
    <cdr:from>
      <cdr:x>0.1497</cdr:x>
      <cdr:y>0.18064</cdr:y>
    </cdr:from>
    <cdr:to>
      <cdr:x>0.33382</cdr:x>
      <cdr:y>0.25945</cdr:y>
    </cdr:to>
    <cdr:sp macro="" textlink="">
      <cdr:nvSpPr>
        <cdr:cNvPr id="2" name="ZoneTexte 1"/>
        <cdr:cNvSpPr txBox="1"/>
      </cdr:nvSpPr>
      <cdr:spPr>
        <a:xfrm xmlns:a="http://schemas.openxmlformats.org/drawingml/2006/main">
          <a:off x="861870" y="567405"/>
          <a:ext cx="1060039" cy="2475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Price-to-Book</a:t>
          </a:r>
        </a:p>
      </cdr:txBody>
    </cdr:sp>
  </cdr:relSizeAnchor>
  <cdr:relSizeAnchor xmlns:cdr="http://schemas.openxmlformats.org/drawingml/2006/chartDrawing">
    <cdr:from>
      <cdr:x>0.1497</cdr:x>
      <cdr:y>0.18064</cdr:y>
    </cdr:from>
    <cdr:to>
      <cdr:x>0.33382</cdr:x>
      <cdr:y>0.25945</cdr:y>
    </cdr:to>
    <cdr:sp macro="" textlink="">
      <cdr:nvSpPr>
        <cdr:cNvPr id="3" name="ZoneTexte 1"/>
        <cdr:cNvSpPr txBox="1"/>
      </cdr:nvSpPr>
      <cdr:spPr>
        <a:xfrm xmlns:a="http://schemas.openxmlformats.org/drawingml/2006/main">
          <a:off x="861870" y="567405"/>
          <a:ext cx="1060039" cy="2475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Price-to-Book</a:t>
          </a:r>
        </a:p>
      </cdr:txBody>
    </cdr:sp>
  </cdr:relSizeAnchor>
</c:userShapes>
</file>

<file path=xl/drawings/drawing31.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Ebitda*/Eb</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29</xdr:col>
      <xdr:colOff>278555</xdr:colOff>
      <xdr:row>518</xdr:row>
      <xdr:rowOff>35079</xdr:rowOff>
    </xdr:from>
    <xdr:to>
      <xdr:col>45</xdr:col>
      <xdr:colOff>433738</xdr:colOff>
      <xdr:row>537</xdr:row>
      <xdr:rowOff>124489</xdr:rowOff>
    </xdr:to>
    <xdr:pic>
      <xdr:nvPicPr>
        <xdr:cNvPr id="2700298"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6102755" y="59640412"/>
          <a:ext cx="9095983" cy="3306743"/>
        </a:xfrm>
        <a:prstGeom prst="rect">
          <a:avLst/>
        </a:prstGeom>
        <a:noFill/>
      </xdr:spPr>
    </xdr:pic>
    <xdr:clientData/>
  </xdr:twoCellAnchor>
  <xdr:twoCellAnchor editAs="oneCell">
    <xdr:from>
      <xdr:col>29</xdr:col>
      <xdr:colOff>278555</xdr:colOff>
      <xdr:row>574</xdr:row>
      <xdr:rowOff>157479</xdr:rowOff>
    </xdr:from>
    <xdr:to>
      <xdr:col>45</xdr:col>
      <xdr:colOff>131018</xdr:colOff>
      <xdr:row>596</xdr:row>
      <xdr:rowOff>139699</xdr:rowOff>
    </xdr:to>
    <xdr:pic>
      <xdr:nvPicPr>
        <xdr:cNvPr id="2700299"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6102755" y="68060146"/>
          <a:ext cx="8793263" cy="3707554"/>
        </a:xfrm>
        <a:prstGeom prst="rect">
          <a:avLst/>
        </a:prstGeom>
        <a:noFill/>
      </xdr:spPr>
    </xdr:pic>
    <xdr:clientData/>
  </xdr:twoCellAnchor>
  <xdr:twoCellAnchor editAs="oneCell">
    <xdr:from>
      <xdr:col>29</xdr:col>
      <xdr:colOff>278555</xdr:colOff>
      <xdr:row>497</xdr:row>
      <xdr:rowOff>14814</xdr:rowOff>
    </xdr:from>
    <xdr:to>
      <xdr:col>45</xdr:col>
      <xdr:colOff>414580</xdr:colOff>
      <xdr:row>515</xdr:row>
      <xdr:rowOff>43389</xdr:rowOff>
    </xdr:to>
    <xdr:pic>
      <xdr:nvPicPr>
        <xdr:cNvPr id="2700304" name="Picture 16"/>
        <xdr:cNvPicPr>
          <a:picLocks noChangeAspect="1" noChangeArrowheads="1"/>
        </xdr:cNvPicPr>
      </xdr:nvPicPr>
      <xdr:blipFill>
        <a:blip xmlns:r="http://schemas.openxmlformats.org/officeDocument/2006/relationships" r:embed="rId3" cstate="print"/>
        <a:srcRect/>
        <a:stretch>
          <a:fillRect/>
        </a:stretch>
      </xdr:blipFill>
      <xdr:spPr bwMode="auto">
        <a:xfrm>
          <a:off x="16170488" y="72015347"/>
          <a:ext cx="9076825" cy="3076575"/>
        </a:xfrm>
        <a:prstGeom prst="rect">
          <a:avLst/>
        </a:prstGeom>
        <a:noFill/>
      </xdr:spPr>
    </xdr:pic>
    <xdr:clientData/>
  </xdr:twoCellAnchor>
  <xdr:twoCellAnchor editAs="oneCell">
    <xdr:from>
      <xdr:col>3</xdr:col>
      <xdr:colOff>8468</xdr:colOff>
      <xdr:row>463</xdr:row>
      <xdr:rowOff>33863</xdr:rowOff>
    </xdr:from>
    <xdr:to>
      <xdr:col>16</xdr:col>
      <xdr:colOff>389467</xdr:colOff>
      <xdr:row>473</xdr:row>
      <xdr:rowOff>76199</xdr:rowOff>
    </xdr:to>
    <xdr:pic>
      <xdr:nvPicPr>
        <xdr:cNvPr id="2700305" name="Picture 17"/>
        <xdr:cNvPicPr>
          <a:picLocks noChangeAspect="1" noChangeArrowheads="1"/>
        </xdr:cNvPicPr>
      </xdr:nvPicPr>
      <xdr:blipFill>
        <a:blip xmlns:r="http://schemas.openxmlformats.org/officeDocument/2006/relationships" r:embed="rId4" cstate="print"/>
        <a:srcRect/>
        <a:stretch>
          <a:fillRect/>
        </a:stretch>
      </xdr:blipFill>
      <xdr:spPr bwMode="auto">
        <a:xfrm>
          <a:off x="2040468" y="44229863"/>
          <a:ext cx="7645399" cy="1735671"/>
        </a:xfrm>
        <a:prstGeom prst="rect">
          <a:avLst/>
        </a:prstGeom>
        <a:noFill/>
      </xdr:spPr>
    </xdr:pic>
    <xdr:clientData/>
  </xdr:twoCellAnchor>
  <xdr:twoCellAnchor editAs="oneCell">
    <xdr:from>
      <xdr:col>29</xdr:col>
      <xdr:colOff>278555</xdr:colOff>
      <xdr:row>636</xdr:row>
      <xdr:rowOff>29632</xdr:rowOff>
    </xdr:from>
    <xdr:to>
      <xdr:col>45</xdr:col>
      <xdr:colOff>384389</xdr:colOff>
      <xdr:row>648</xdr:row>
      <xdr:rowOff>38701</xdr:rowOff>
    </xdr:to>
    <xdr:pic>
      <xdr:nvPicPr>
        <xdr:cNvPr id="2700311" name="Picture 23"/>
        <xdr:cNvPicPr>
          <a:picLocks noChangeAspect="1" noChangeArrowheads="1"/>
        </xdr:cNvPicPr>
      </xdr:nvPicPr>
      <xdr:blipFill>
        <a:blip xmlns:r="http://schemas.openxmlformats.org/officeDocument/2006/relationships" r:embed="rId5" cstate="print"/>
        <a:srcRect/>
        <a:stretch>
          <a:fillRect/>
        </a:stretch>
      </xdr:blipFill>
      <xdr:spPr bwMode="auto">
        <a:xfrm>
          <a:off x="16102755" y="79108299"/>
          <a:ext cx="9046634" cy="2041069"/>
        </a:xfrm>
        <a:prstGeom prst="rect">
          <a:avLst/>
        </a:prstGeom>
        <a:noFill/>
      </xdr:spPr>
    </xdr:pic>
    <xdr:clientData/>
  </xdr:twoCellAnchor>
  <xdr:twoCellAnchor editAs="oneCell">
    <xdr:from>
      <xdr:col>3</xdr:col>
      <xdr:colOff>31373</xdr:colOff>
      <xdr:row>280</xdr:row>
      <xdr:rowOff>135465</xdr:rowOff>
    </xdr:from>
    <xdr:to>
      <xdr:col>12</xdr:col>
      <xdr:colOff>431800</xdr:colOff>
      <xdr:row>289</xdr:row>
      <xdr:rowOff>84667</xdr:rowOff>
    </xdr:to>
    <xdr:pic>
      <xdr:nvPicPr>
        <xdr:cNvPr id="2700318" name="Picture 30"/>
        <xdr:cNvPicPr>
          <a:picLocks noChangeAspect="1" noChangeArrowheads="1"/>
        </xdr:cNvPicPr>
      </xdr:nvPicPr>
      <xdr:blipFill>
        <a:blip xmlns:r="http://schemas.openxmlformats.org/officeDocument/2006/relationships" r:embed="rId6" cstate="print"/>
        <a:srcRect r="3601" b="10881"/>
        <a:stretch>
          <a:fillRect/>
        </a:stretch>
      </xdr:blipFill>
      <xdr:spPr bwMode="auto">
        <a:xfrm>
          <a:off x="1885573" y="27567465"/>
          <a:ext cx="5429627" cy="1473202"/>
        </a:xfrm>
        <a:prstGeom prst="rect">
          <a:avLst/>
        </a:prstGeom>
        <a:noFill/>
      </xdr:spPr>
    </xdr:pic>
    <xdr:clientData/>
  </xdr:twoCellAnchor>
  <xdr:twoCellAnchor editAs="oneCell">
    <xdr:from>
      <xdr:col>2</xdr:col>
      <xdr:colOff>209972</xdr:colOff>
      <xdr:row>372</xdr:row>
      <xdr:rowOff>42333</xdr:rowOff>
    </xdr:from>
    <xdr:to>
      <xdr:col>12</xdr:col>
      <xdr:colOff>89747</xdr:colOff>
      <xdr:row>387</xdr:row>
      <xdr:rowOff>110067</xdr:rowOff>
    </xdr:to>
    <xdr:pic>
      <xdr:nvPicPr>
        <xdr:cNvPr id="2700333" name="Picture 45" descr="http://www.standardandpoors.com/spf/fgr_articles/1221924/7875097.gif"/>
        <xdr:cNvPicPr>
          <a:picLocks noChangeAspect="1" noChangeArrowheads="1"/>
        </xdr:cNvPicPr>
      </xdr:nvPicPr>
      <xdr:blipFill>
        <a:blip xmlns:r="http://schemas.openxmlformats.org/officeDocument/2006/relationships" r:embed="rId7" cstate="print"/>
        <a:srcRect t="14309" b="13441"/>
        <a:stretch>
          <a:fillRect/>
        </a:stretch>
      </xdr:blipFill>
      <xdr:spPr bwMode="auto">
        <a:xfrm>
          <a:off x="1971039" y="32554333"/>
          <a:ext cx="5124028" cy="2607734"/>
        </a:xfrm>
        <a:prstGeom prst="rect">
          <a:avLst/>
        </a:prstGeom>
        <a:noFill/>
      </xdr:spPr>
    </xdr:pic>
    <xdr:clientData/>
  </xdr:twoCellAnchor>
  <xdr:twoCellAnchor>
    <xdr:from>
      <xdr:col>11</xdr:col>
      <xdr:colOff>389467</xdr:colOff>
      <xdr:row>381</xdr:row>
      <xdr:rowOff>143933</xdr:rowOff>
    </xdr:from>
    <xdr:to>
      <xdr:col>12</xdr:col>
      <xdr:colOff>228600</xdr:colOff>
      <xdr:row>383</xdr:row>
      <xdr:rowOff>42333</xdr:rowOff>
    </xdr:to>
    <xdr:cxnSp macro="">
      <xdr:nvCxnSpPr>
        <xdr:cNvPr id="19" name="Connecteur droit avec flèche 18"/>
        <xdr:cNvCxnSpPr/>
      </xdr:nvCxnSpPr>
      <xdr:spPr>
        <a:xfrm flipH="1">
          <a:off x="6891867" y="34179933"/>
          <a:ext cx="397933" cy="237067"/>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279402</xdr:colOff>
      <xdr:row>384</xdr:row>
      <xdr:rowOff>110067</xdr:rowOff>
    </xdr:from>
    <xdr:to>
      <xdr:col>12</xdr:col>
      <xdr:colOff>220133</xdr:colOff>
      <xdr:row>386</xdr:row>
      <xdr:rowOff>16933</xdr:rowOff>
    </xdr:to>
    <xdr:cxnSp macro="">
      <xdr:nvCxnSpPr>
        <xdr:cNvPr id="21" name="Connecteur droit avec flèche 20"/>
        <xdr:cNvCxnSpPr/>
      </xdr:nvCxnSpPr>
      <xdr:spPr>
        <a:xfrm flipH="1">
          <a:off x="6781802" y="34654067"/>
          <a:ext cx="499531" cy="245533"/>
        </a:xfrm>
        <a:prstGeom prst="straightConnector1">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127000</xdr:colOff>
      <xdr:row>386</xdr:row>
      <xdr:rowOff>25400</xdr:rowOff>
    </xdr:from>
    <xdr:to>
      <xdr:col>13</xdr:col>
      <xdr:colOff>127001</xdr:colOff>
      <xdr:row>388</xdr:row>
      <xdr:rowOff>25400</xdr:rowOff>
    </xdr:to>
    <xdr:cxnSp macro="">
      <xdr:nvCxnSpPr>
        <xdr:cNvPr id="41" name="Connecteur droit avec flèche 40"/>
        <xdr:cNvCxnSpPr/>
      </xdr:nvCxnSpPr>
      <xdr:spPr>
        <a:xfrm flipH="1">
          <a:off x="7747000" y="34908067"/>
          <a:ext cx="1" cy="338666"/>
        </a:xfrm>
        <a:prstGeom prst="straightConnector1">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25399</xdr:colOff>
      <xdr:row>374</xdr:row>
      <xdr:rowOff>8464</xdr:rowOff>
    </xdr:from>
    <xdr:to>
      <xdr:col>19</xdr:col>
      <xdr:colOff>491065</xdr:colOff>
      <xdr:row>387</xdr:row>
      <xdr:rowOff>0</xdr:rowOff>
    </xdr:to>
    <xdr:grpSp>
      <xdr:nvGrpSpPr>
        <xdr:cNvPr id="49" name="Groupe 48"/>
        <xdr:cNvGrpSpPr/>
      </xdr:nvGrpSpPr>
      <xdr:grpSpPr>
        <a:xfrm>
          <a:off x="8737599" y="59308997"/>
          <a:ext cx="2700866" cy="2192870"/>
          <a:chOff x="8762999" y="32859131"/>
          <a:chExt cx="2700866" cy="2192869"/>
        </a:xfrm>
      </xdr:grpSpPr>
      <xdr:grpSp>
        <xdr:nvGrpSpPr>
          <xdr:cNvPr id="39" name="Groupe 38"/>
          <xdr:cNvGrpSpPr/>
        </xdr:nvGrpSpPr>
        <xdr:grpSpPr>
          <a:xfrm>
            <a:off x="8762999" y="32859131"/>
            <a:ext cx="2700866" cy="2192869"/>
            <a:chOff x="9186332" y="64439797"/>
            <a:chExt cx="2768600" cy="2192869"/>
          </a:xfrm>
        </xdr:grpSpPr>
        <xdr:grpSp>
          <xdr:nvGrpSpPr>
            <xdr:cNvPr id="36" name="Groupe 35"/>
            <xdr:cNvGrpSpPr/>
          </xdr:nvGrpSpPr>
          <xdr:grpSpPr>
            <a:xfrm>
              <a:off x="9186332" y="64439797"/>
              <a:ext cx="2768600" cy="2192869"/>
              <a:chOff x="9160932" y="64634531"/>
              <a:chExt cx="2768600" cy="2192869"/>
            </a:xfrm>
          </xdr:grpSpPr>
          <xdr:pic>
            <xdr:nvPicPr>
              <xdr:cNvPr id="2700335" name="Picture 47"/>
              <xdr:cNvPicPr>
                <a:picLocks noChangeAspect="1" noChangeArrowheads="1"/>
              </xdr:cNvPicPr>
            </xdr:nvPicPr>
            <xdr:blipFill>
              <a:blip xmlns:r="http://schemas.openxmlformats.org/officeDocument/2006/relationships" r:embed="rId8" cstate="print"/>
              <a:srcRect l="23056" t="42178" r="59594" b="31154"/>
              <a:stretch>
                <a:fillRect/>
              </a:stretch>
            </xdr:blipFill>
            <xdr:spPr bwMode="auto">
              <a:xfrm>
                <a:off x="9160932" y="64634531"/>
                <a:ext cx="2761730" cy="2192869"/>
              </a:xfrm>
              <a:prstGeom prst="rect">
                <a:avLst/>
              </a:prstGeom>
              <a:noFill/>
              <a:ln w="1">
                <a:noFill/>
                <a:miter lim="800000"/>
                <a:headEnd/>
                <a:tailEnd type="none" w="med" len="med"/>
              </a:ln>
              <a:effectLst/>
            </xdr:spPr>
          </xdr:pic>
          <xdr:sp macro="" textlink="">
            <xdr:nvSpPr>
              <xdr:cNvPr id="33" name="Triangle rectangle 32"/>
              <xdr:cNvSpPr/>
            </xdr:nvSpPr>
            <xdr:spPr>
              <a:xfrm>
                <a:off x="9584266" y="65574333"/>
                <a:ext cx="2091267" cy="905934"/>
              </a:xfrm>
              <a:prstGeom prst="rtTriangle">
                <a:avLst/>
              </a:prstGeom>
              <a:solidFill>
                <a:srgbClr val="C4BD97">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sp macro="" textlink="">
            <xdr:nvSpPr>
              <xdr:cNvPr id="35" name="Rectangle 34"/>
              <xdr:cNvSpPr/>
            </xdr:nvSpPr>
            <xdr:spPr>
              <a:xfrm>
                <a:off x="9584265" y="66480265"/>
                <a:ext cx="2345267" cy="347135"/>
              </a:xfrm>
              <a:prstGeom prst="rect">
                <a:avLst/>
              </a:prstGeom>
              <a:solidFill>
                <a:srgbClr val="C4BD97">
                  <a:alpha val="3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grpSp>
        <xdr:sp macro="" textlink="">
          <xdr:nvSpPr>
            <xdr:cNvPr id="38" name="Rectangle 37"/>
            <xdr:cNvSpPr/>
          </xdr:nvSpPr>
          <xdr:spPr>
            <a:xfrm>
              <a:off x="10363199" y="64439799"/>
              <a:ext cx="389468" cy="2175934"/>
            </a:xfrm>
            <a:prstGeom prst="rect">
              <a:avLst/>
            </a:prstGeom>
            <a:noFill/>
            <a:ln w="9525">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grpSp>
      <xdr:sp macro="" textlink="">
        <xdr:nvSpPr>
          <xdr:cNvPr id="28" name="Rectangle 27"/>
          <xdr:cNvSpPr/>
        </xdr:nvSpPr>
        <xdr:spPr>
          <a:xfrm>
            <a:off x="9931400" y="33968267"/>
            <a:ext cx="736600" cy="736600"/>
          </a:xfrm>
          <a:prstGeom prst="rect">
            <a:avLst/>
          </a:prstGeom>
          <a:noFill/>
          <a:ln w="12700">
            <a:solidFill>
              <a:srgbClr val="C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grpSp>
    <xdr:clientData/>
  </xdr:twoCellAnchor>
  <xdr:twoCellAnchor>
    <xdr:from>
      <xdr:col>14</xdr:col>
      <xdr:colOff>143933</xdr:colOff>
      <xdr:row>381</xdr:row>
      <xdr:rowOff>42333</xdr:rowOff>
    </xdr:from>
    <xdr:to>
      <xdr:col>17</xdr:col>
      <xdr:colOff>33867</xdr:colOff>
      <xdr:row>381</xdr:row>
      <xdr:rowOff>93134</xdr:rowOff>
    </xdr:to>
    <xdr:cxnSp macro="">
      <xdr:nvCxnSpPr>
        <xdr:cNvPr id="25" name="Connecteur droit avec flèche 24"/>
        <xdr:cNvCxnSpPr/>
      </xdr:nvCxnSpPr>
      <xdr:spPr>
        <a:xfrm flipV="1">
          <a:off x="8144933" y="35771666"/>
          <a:ext cx="1566334" cy="50801"/>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262467</xdr:colOff>
      <xdr:row>430</xdr:row>
      <xdr:rowOff>143935</xdr:rowOff>
    </xdr:from>
    <xdr:to>
      <xdr:col>13</xdr:col>
      <xdr:colOff>69427</xdr:colOff>
      <xdr:row>456</xdr:row>
      <xdr:rowOff>131125</xdr:rowOff>
    </xdr:to>
    <xdr:pic>
      <xdr:nvPicPr>
        <xdr:cNvPr id="2700336" name="Picture 48"/>
        <xdr:cNvPicPr>
          <a:picLocks noChangeAspect="1" noChangeArrowheads="1"/>
        </xdr:cNvPicPr>
      </xdr:nvPicPr>
      <xdr:blipFill>
        <a:blip xmlns:r="http://schemas.openxmlformats.org/officeDocument/2006/relationships" r:embed="rId9" cstate="print"/>
        <a:srcRect/>
        <a:stretch>
          <a:fillRect/>
        </a:stretch>
      </xdr:blipFill>
      <xdr:spPr bwMode="auto">
        <a:xfrm>
          <a:off x="2023534" y="38243935"/>
          <a:ext cx="5655733" cy="4389859"/>
        </a:xfrm>
        <a:prstGeom prst="rect">
          <a:avLst/>
        </a:prstGeom>
        <a:noFill/>
      </xdr:spPr>
    </xdr:pic>
    <xdr:clientData/>
  </xdr:twoCellAnchor>
  <xdr:twoCellAnchor editAs="oneCell">
    <xdr:from>
      <xdr:col>14</xdr:col>
      <xdr:colOff>50799</xdr:colOff>
      <xdr:row>432</xdr:row>
      <xdr:rowOff>127001</xdr:rowOff>
    </xdr:from>
    <xdr:to>
      <xdr:col>22</xdr:col>
      <xdr:colOff>104139</xdr:colOff>
      <xdr:row>435</xdr:row>
      <xdr:rowOff>33867</xdr:rowOff>
    </xdr:to>
    <xdr:pic>
      <xdr:nvPicPr>
        <xdr:cNvPr id="2700337" name="Picture 49"/>
        <xdr:cNvPicPr>
          <a:picLocks noChangeAspect="1" noChangeArrowheads="1"/>
        </xdr:cNvPicPr>
      </xdr:nvPicPr>
      <xdr:blipFill>
        <a:blip xmlns:r="http://schemas.openxmlformats.org/officeDocument/2006/relationships" r:embed="rId10" cstate="print"/>
        <a:srcRect/>
        <a:stretch>
          <a:fillRect/>
        </a:stretch>
      </xdr:blipFill>
      <xdr:spPr bwMode="auto">
        <a:xfrm>
          <a:off x="8229599" y="38735001"/>
          <a:ext cx="4523740" cy="414866"/>
        </a:xfrm>
        <a:prstGeom prst="rect">
          <a:avLst/>
        </a:prstGeom>
        <a:noFill/>
      </xdr:spPr>
    </xdr:pic>
    <xdr:clientData/>
  </xdr:twoCellAnchor>
  <xdr:twoCellAnchor>
    <xdr:from>
      <xdr:col>14</xdr:col>
      <xdr:colOff>33865</xdr:colOff>
      <xdr:row>436</xdr:row>
      <xdr:rowOff>118534</xdr:rowOff>
    </xdr:from>
    <xdr:to>
      <xdr:col>15</xdr:col>
      <xdr:colOff>475826</xdr:colOff>
      <xdr:row>456</xdr:row>
      <xdr:rowOff>149014</xdr:rowOff>
    </xdr:to>
    <xdr:grpSp>
      <xdr:nvGrpSpPr>
        <xdr:cNvPr id="53" name="Groupe 52"/>
        <xdr:cNvGrpSpPr/>
      </xdr:nvGrpSpPr>
      <xdr:grpSpPr>
        <a:xfrm>
          <a:off x="8187265" y="69917734"/>
          <a:ext cx="1000761" cy="3417147"/>
          <a:chOff x="8026399" y="39217600"/>
          <a:chExt cx="1000761" cy="3417147"/>
        </a:xfrm>
      </xdr:grpSpPr>
      <xdr:pic>
        <xdr:nvPicPr>
          <xdr:cNvPr id="2700338" name="Picture 50"/>
          <xdr:cNvPicPr>
            <a:picLocks noChangeAspect="1" noChangeArrowheads="1"/>
          </xdr:cNvPicPr>
        </xdr:nvPicPr>
        <xdr:blipFill>
          <a:blip xmlns:r="http://schemas.openxmlformats.org/officeDocument/2006/relationships" r:embed="rId11" cstate="print"/>
          <a:srcRect/>
          <a:stretch>
            <a:fillRect/>
          </a:stretch>
        </xdr:blipFill>
        <xdr:spPr bwMode="auto">
          <a:xfrm>
            <a:off x="8026399" y="39217600"/>
            <a:ext cx="297180" cy="3417147"/>
          </a:xfrm>
          <a:prstGeom prst="rect">
            <a:avLst/>
          </a:prstGeom>
          <a:noFill/>
        </xdr:spPr>
      </xdr:pic>
      <xdr:pic>
        <xdr:nvPicPr>
          <xdr:cNvPr id="2700339" name="Picture 51"/>
          <xdr:cNvPicPr>
            <a:picLocks noChangeAspect="1" noChangeArrowheads="1"/>
          </xdr:cNvPicPr>
        </xdr:nvPicPr>
        <xdr:blipFill>
          <a:blip xmlns:r="http://schemas.openxmlformats.org/officeDocument/2006/relationships" r:embed="rId12" cstate="print"/>
          <a:srcRect/>
          <a:stretch>
            <a:fillRect/>
          </a:stretch>
        </xdr:blipFill>
        <xdr:spPr bwMode="auto">
          <a:xfrm>
            <a:off x="8331200" y="39234534"/>
            <a:ext cx="695960" cy="3386667"/>
          </a:xfrm>
          <a:prstGeom prst="rect">
            <a:avLst/>
          </a:prstGeom>
          <a:noFill/>
        </xdr:spPr>
      </xdr:pic>
    </xdr:grpSp>
    <xdr:clientData/>
  </xdr:twoCellAnchor>
  <xdr:twoCellAnchor editAs="oneCell">
    <xdr:from>
      <xdr:col>28</xdr:col>
      <xdr:colOff>364067</xdr:colOff>
      <xdr:row>431</xdr:row>
      <xdr:rowOff>160866</xdr:rowOff>
    </xdr:from>
    <xdr:to>
      <xdr:col>45</xdr:col>
      <xdr:colOff>394487</xdr:colOff>
      <xdr:row>463</xdr:row>
      <xdr:rowOff>103296</xdr:rowOff>
    </xdr:to>
    <xdr:pic>
      <xdr:nvPicPr>
        <xdr:cNvPr id="2700343" name="Picture 55"/>
        <xdr:cNvPicPr>
          <a:picLocks noChangeAspect="1" noChangeArrowheads="1"/>
        </xdr:cNvPicPr>
      </xdr:nvPicPr>
      <xdr:blipFill>
        <a:blip xmlns:r="http://schemas.openxmlformats.org/officeDocument/2006/relationships" r:embed="rId13" cstate="print"/>
        <a:srcRect/>
        <a:stretch>
          <a:fillRect/>
        </a:stretch>
      </xdr:blipFill>
      <xdr:spPr bwMode="auto">
        <a:xfrm>
          <a:off x="16086667" y="38938199"/>
          <a:ext cx="9334440" cy="5361095"/>
        </a:xfrm>
        <a:prstGeom prst="rect">
          <a:avLst/>
        </a:prstGeom>
        <a:noFill/>
      </xdr:spPr>
    </xdr:pic>
    <xdr:clientData/>
  </xdr:twoCellAnchor>
  <xdr:twoCellAnchor editAs="oneCell">
    <xdr:from>
      <xdr:col>45</xdr:col>
      <xdr:colOff>457198</xdr:colOff>
      <xdr:row>429</xdr:row>
      <xdr:rowOff>0</xdr:rowOff>
    </xdr:from>
    <xdr:to>
      <xdr:col>61</xdr:col>
      <xdr:colOff>361545</xdr:colOff>
      <xdr:row>461</xdr:row>
      <xdr:rowOff>133775</xdr:rowOff>
    </xdr:to>
    <xdr:pic>
      <xdr:nvPicPr>
        <xdr:cNvPr id="2700345" name="Picture 57"/>
        <xdr:cNvPicPr>
          <a:picLocks noChangeAspect="1" noChangeArrowheads="1"/>
        </xdr:cNvPicPr>
      </xdr:nvPicPr>
      <xdr:blipFill>
        <a:blip xmlns:r="http://schemas.openxmlformats.org/officeDocument/2006/relationships" r:embed="rId14" cstate="print"/>
        <a:srcRect/>
        <a:stretch>
          <a:fillRect/>
        </a:stretch>
      </xdr:blipFill>
      <xdr:spPr bwMode="auto">
        <a:xfrm>
          <a:off x="25679398" y="38362467"/>
          <a:ext cx="8845147" cy="5552441"/>
        </a:xfrm>
        <a:prstGeom prst="rect">
          <a:avLst/>
        </a:prstGeom>
        <a:noFill/>
      </xdr:spPr>
    </xdr:pic>
    <xdr:clientData/>
  </xdr:twoCellAnchor>
  <xdr:twoCellAnchor>
    <xdr:from>
      <xdr:col>39</xdr:col>
      <xdr:colOff>491067</xdr:colOff>
      <xdr:row>435</xdr:row>
      <xdr:rowOff>143933</xdr:rowOff>
    </xdr:from>
    <xdr:to>
      <xdr:col>44</xdr:col>
      <xdr:colOff>67733</xdr:colOff>
      <xdr:row>435</xdr:row>
      <xdr:rowOff>143933</xdr:rowOff>
    </xdr:to>
    <xdr:cxnSp macro="">
      <xdr:nvCxnSpPr>
        <xdr:cNvPr id="32" name="Connecteur droit avec flèche 31"/>
        <xdr:cNvCxnSpPr/>
      </xdr:nvCxnSpPr>
      <xdr:spPr>
        <a:xfrm flipH="1">
          <a:off x="22360467" y="39598600"/>
          <a:ext cx="2370666" cy="0"/>
        </a:xfrm>
        <a:prstGeom prst="straightConnector1">
          <a:avLst/>
        </a:prstGeom>
        <a:ln w="28575">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279398</xdr:colOff>
      <xdr:row>455</xdr:row>
      <xdr:rowOff>152401</xdr:rowOff>
    </xdr:from>
    <xdr:to>
      <xdr:col>59</xdr:col>
      <xdr:colOff>414864</xdr:colOff>
      <xdr:row>455</xdr:row>
      <xdr:rowOff>152401</xdr:rowOff>
    </xdr:to>
    <xdr:cxnSp macro="">
      <xdr:nvCxnSpPr>
        <xdr:cNvPr id="34" name="Connecteur droit avec flèche 33"/>
        <xdr:cNvCxnSpPr/>
      </xdr:nvCxnSpPr>
      <xdr:spPr>
        <a:xfrm flipH="1">
          <a:off x="31089598" y="42993734"/>
          <a:ext cx="2370666" cy="0"/>
        </a:xfrm>
        <a:prstGeom prst="straightConnector1">
          <a:avLst/>
        </a:prstGeom>
        <a:ln w="28575">
          <a:solidFill>
            <a:srgbClr val="FFC000"/>
          </a:solidFill>
          <a:prstDash val="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448733</xdr:colOff>
      <xdr:row>436</xdr:row>
      <xdr:rowOff>33867</xdr:rowOff>
    </xdr:from>
    <xdr:to>
      <xdr:col>42</xdr:col>
      <xdr:colOff>68333</xdr:colOff>
      <xdr:row>436</xdr:row>
      <xdr:rowOff>33867</xdr:rowOff>
    </xdr:to>
    <xdr:cxnSp macro="">
      <xdr:nvCxnSpPr>
        <xdr:cNvPr id="37" name="Connecteur droit avec flèche 36"/>
        <xdr:cNvCxnSpPr/>
      </xdr:nvCxnSpPr>
      <xdr:spPr>
        <a:xfrm flipH="1">
          <a:off x="22318133" y="39657867"/>
          <a:ext cx="1296000" cy="0"/>
        </a:xfrm>
        <a:prstGeom prst="straightConnector1">
          <a:avLst/>
        </a:prstGeom>
        <a:ln w="28575">
          <a:solidFill>
            <a:srgbClr val="C0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287867</xdr:colOff>
      <xdr:row>433</xdr:row>
      <xdr:rowOff>93134</xdr:rowOff>
    </xdr:from>
    <xdr:to>
      <xdr:col>53</xdr:col>
      <xdr:colOff>466267</xdr:colOff>
      <xdr:row>433</xdr:row>
      <xdr:rowOff>93134</xdr:rowOff>
    </xdr:to>
    <xdr:cxnSp macro="">
      <xdr:nvCxnSpPr>
        <xdr:cNvPr id="40" name="Connecteur droit avec flèche 39"/>
        <xdr:cNvCxnSpPr/>
      </xdr:nvCxnSpPr>
      <xdr:spPr>
        <a:xfrm flipH="1">
          <a:off x="28862867" y="39209134"/>
          <a:ext cx="1296000" cy="0"/>
        </a:xfrm>
        <a:prstGeom prst="straightConnector1">
          <a:avLst/>
        </a:prstGeom>
        <a:ln w="28575">
          <a:solidFill>
            <a:schemeClr val="tx1"/>
          </a:solidFill>
          <a:prstDash val="solid"/>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160867</xdr:colOff>
      <xdr:row>283</xdr:row>
      <xdr:rowOff>160867</xdr:rowOff>
    </xdr:from>
    <xdr:to>
      <xdr:col>6</xdr:col>
      <xdr:colOff>380999</xdr:colOff>
      <xdr:row>286</xdr:row>
      <xdr:rowOff>8467</xdr:rowOff>
    </xdr:to>
    <xdr:sp macro="" textlink="">
      <xdr:nvSpPr>
        <xdr:cNvPr id="43" name="Rectangle 42"/>
        <xdr:cNvSpPr/>
      </xdr:nvSpPr>
      <xdr:spPr>
        <a:xfrm>
          <a:off x="3132667" y="31318200"/>
          <a:ext cx="778932" cy="355600"/>
        </a:xfrm>
        <a:prstGeom prst="rect">
          <a:avLst/>
        </a:prstGeom>
        <a:noFill/>
        <a:ln w="12700">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5</xdr:col>
      <xdr:colOff>186267</xdr:colOff>
      <xdr:row>286</xdr:row>
      <xdr:rowOff>8467</xdr:rowOff>
    </xdr:from>
    <xdr:to>
      <xdr:col>8</xdr:col>
      <xdr:colOff>93867</xdr:colOff>
      <xdr:row>286</xdr:row>
      <xdr:rowOff>8467</xdr:rowOff>
    </xdr:to>
    <xdr:cxnSp macro="">
      <xdr:nvCxnSpPr>
        <xdr:cNvPr id="45" name="Connecteur droit 44"/>
        <xdr:cNvCxnSpPr/>
      </xdr:nvCxnSpPr>
      <xdr:spPr>
        <a:xfrm flipV="1">
          <a:off x="3200400" y="45762334"/>
          <a:ext cx="1584000" cy="0"/>
        </a:xfrm>
        <a:prstGeom prst="line">
          <a:avLst/>
        </a:prstGeom>
        <a:ln w="127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16933</xdr:colOff>
      <xdr:row>237</xdr:row>
      <xdr:rowOff>152401</xdr:rowOff>
    </xdr:from>
    <xdr:to>
      <xdr:col>12</xdr:col>
      <xdr:colOff>220133</xdr:colOff>
      <xdr:row>254</xdr:row>
      <xdr:rowOff>16934</xdr:rowOff>
    </xdr:to>
    <xdr:graphicFrame macro="">
      <xdr:nvGraphicFramePr>
        <xdr:cNvPr id="46" name="Graphique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16933</xdr:colOff>
      <xdr:row>238</xdr:row>
      <xdr:rowOff>59267</xdr:rowOff>
    </xdr:from>
    <xdr:to>
      <xdr:col>33</xdr:col>
      <xdr:colOff>118533</xdr:colOff>
      <xdr:row>254</xdr:row>
      <xdr:rowOff>93134</xdr:rowOff>
    </xdr:to>
    <xdr:graphicFrame macro="">
      <xdr:nvGraphicFramePr>
        <xdr:cNvPr id="47" name="Graphique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36</xdr:col>
      <xdr:colOff>0</xdr:colOff>
      <xdr:row>238</xdr:row>
      <xdr:rowOff>0</xdr:rowOff>
    </xdr:from>
    <xdr:to>
      <xdr:col>45</xdr:col>
      <xdr:colOff>203200</xdr:colOff>
      <xdr:row>254</xdr:row>
      <xdr:rowOff>33867</xdr:rowOff>
    </xdr:to>
    <xdr:graphicFrame macro="">
      <xdr:nvGraphicFramePr>
        <xdr:cNvPr id="48" name="Graphique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47</xdr:col>
      <xdr:colOff>0</xdr:colOff>
      <xdr:row>238</xdr:row>
      <xdr:rowOff>0</xdr:rowOff>
    </xdr:from>
    <xdr:to>
      <xdr:col>56</xdr:col>
      <xdr:colOff>203200</xdr:colOff>
      <xdr:row>254</xdr:row>
      <xdr:rowOff>33867</xdr:rowOff>
    </xdr:to>
    <xdr:graphicFrame macro="">
      <xdr:nvGraphicFramePr>
        <xdr:cNvPr id="50" name="Graphique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0</xdr:colOff>
      <xdr:row>238</xdr:row>
      <xdr:rowOff>0</xdr:rowOff>
    </xdr:from>
    <xdr:to>
      <xdr:col>22</xdr:col>
      <xdr:colOff>203200</xdr:colOff>
      <xdr:row>254</xdr:row>
      <xdr:rowOff>33867</xdr:rowOff>
    </xdr:to>
    <xdr:graphicFrame macro="">
      <xdr:nvGraphicFramePr>
        <xdr:cNvPr id="42" name="Graphique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xdr:col>
      <xdr:colOff>186267</xdr:colOff>
      <xdr:row>287</xdr:row>
      <xdr:rowOff>25400</xdr:rowOff>
    </xdr:from>
    <xdr:to>
      <xdr:col>8</xdr:col>
      <xdr:colOff>93867</xdr:colOff>
      <xdr:row>287</xdr:row>
      <xdr:rowOff>25400</xdr:rowOff>
    </xdr:to>
    <xdr:cxnSp macro="">
      <xdr:nvCxnSpPr>
        <xdr:cNvPr id="51" name="Connecteur droit 50"/>
        <xdr:cNvCxnSpPr/>
      </xdr:nvCxnSpPr>
      <xdr:spPr>
        <a:xfrm flipV="1">
          <a:off x="3200400" y="45948600"/>
          <a:ext cx="1584000" cy="0"/>
        </a:xfrm>
        <a:prstGeom prst="line">
          <a:avLst/>
        </a:prstGeom>
        <a:ln w="12700">
          <a:solidFill>
            <a:schemeClr val="bg1">
              <a:lumMod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187326</xdr:colOff>
      <xdr:row>217</xdr:row>
      <xdr:rowOff>104774</xdr:rowOff>
    </xdr:from>
    <xdr:to>
      <xdr:col>20</xdr:col>
      <xdr:colOff>335491</xdr:colOff>
      <xdr:row>236</xdr:row>
      <xdr:rowOff>142876</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104777</xdr:colOff>
      <xdr:row>282</xdr:row>
      <xdr:rowOff>151341</xdr:rowOff>
    </xdr:from>
    <xdr:to>
      <xdr:col>22</xdr:col>
      <xdr:colOff>285750</xdr:colOff>
      <xdr:row>299</xdr:row>
      <xdr:rowOff>5289</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126999</xdr:colOff>
      <xdr:row>306</xdr:row>
      <xdr:rowOff>96309</xdr:rowOff>
    </xdr:from>
    <xdr:to>
      <xdr:col>11</xdr:col>
      <xdr:colOff>161925</xdr:colOff>
      <xdr:row>334</xdr:row>
      <xdr:rowOff>161925</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194733</xdr:colOff>
      <xdr:row>339</xdr:row>
      <xdr:rowOff>1058</xdr:rowOff>
    </xdr:from>
    <xdr:to>
      <xdr:col>11</xdr:col>
      <xdr:colOff>105833</xdr:colOff>
      <xdr:row>358</xdr:row>
      <xdr:rowOff>46567</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583445</xdr:colOff>
      <xdr:row>353</xdr:row>
      <xdr:rowOff>29632</xdr:rowOff>
    </xdr:from>
    <xdr:to>
      <xdr:col>23</xdr:col>
      <xdr:colOff>349553</xdr:colOff>
      <xdr:row>370</xdr:row>
      <xdr:rowOff>85725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137584</xdr:colOff>
      <xdr:row>282</xdr:row>
      <xdr:rowOff>151341</xdr:rowOff>
    </xdr:from>
    <xdr:to>
      <xdr:col>11</xdr:col>
      <xdr:colOff>1058</xdr:colOff>
      <xdr:row>300</xdr:row>
      <xdr:rowOff>57150</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201385</xdr:colOff>
      <xdr:row>405</xdr:row>
      <xdr:rowOff>36740</xdr:rowOff>
    </xdr:from>
    <xdr:to>
      <xdr:col>10</xdr:col>
      <xdr:colOff>287110</xdr:colOff>
      <xdr:row>426</xdr:row>
      <xdr:rowOff>74840</xdr:rowOff>
    </xdr:to>
    <xdr:graphicFrame macro="">
      <xdr:nvGraphicFramePr>
        <xdr:cNvPr id="10" name="Graphique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161925</xdr:colOff>
      <xdr:row>432</xdr:row>
      <xdr:rowOff>127906</xdr:rowOff>
    </xdr:from>
    <xdr:to>
      <xdr:col>11</xdr:col>
      <xdr:colOff>202141</xdr:colOff>
      <xdr:row>450</xdr:row>
      <xdr:rowOff>96157</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76200</xdr:colOff>
      <xdr:row>239</xdr:row>
      <xdr:rowOff>76200</xdr:rowOff>
    </xdr:from>
    <xdr:to>
      <xdr:col>10</xdr:col>
      <xdr:colOff>571499</xdr:colOff>
      <xdr:row>260</xdr:row>
      <xdr:rowOff>20411</xdr:rowOff>
    </xdr:to>
    <xdr:graphicFrame macro="">
      <xdr:nvGraphicFramePr>
        <xdr:cNvPr id="13" name="Graphique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599772</xdr:colOff>
      <xdr:row>373</xdr:row>
      <xdr:rowOff>158602</xdr:rowOff>
    </xdr:from>
    <xdr:to>
      <xdr:col>23</xdr:col>
      <xdr:colOff>305858</xdr:colOff>
      <xdr:row>392</xdr:row>
      <xdr:rowOff>142875</xdr:rowOff>
    </xdr:to>
    <xdr:graphicFrame macro="">
      <xdr:nvGraphicFramePr>
        <xdr:cNvPr id="14" name="Graphique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285750</xdr:colOff>
      <xdr:row>361</xdr:row>
      <xdr:rowOff>142875</xdr:rowOff>
    </xdr:from>
    <xdr:to>
      <xdr:col>11</xdr:col>
      <xdr:colOff>93134</xdr:colOff>
      <xdr:row>379</xdr:row>
      <xdr:rowOff>22225</xdr:rowOff>
    </xdr:to>
    <xdr:graphicFrame macro="">
      <xdr:nvGraphicFramePr>
        <xdr:cNvPr id="15" name="Graphique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359832</xdr:colOff>
      <xdr:row>383</xdr:row>
      <xdr:rowOff>87840</xdr:rowOff>
    </xdr:from>
    <xdr:to>
      <xdr:col>11</xdr:col>
      <xdr:colOff>121707</xdr:colOff>
      <xdr:row>401</xdr:row>
      <xdr:rowOff>96307</xdr:rowOff>
    </xdr:to>
    <xdr:graphicFrame macro="">
      <xdr:nvGraphicFramePr>
        <xdr:cNvPr id="16" name="Graphique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161925</xdr:colOff>
      <xdr:row>433</xdr:row>
      <xdr:rowOff>9526</xdr:rowOff>
    </xdr:from>
    <xdr:to>
      <xdr:col>22</xdr:col>
      <xdr:colOff>204258</xdr:colOff>
      <xdr:row>447</xdr:row>
      <xdr:rowOff>77259</xdr:rowOff>
    </xdr:to>
    <xdr:graphicFrame macro="">
      <xdr:nvGraphicFramePr>
        <xdr:cNvPr id="17" name="Graphique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162529</xdr:colOff>
      <xdr:row>454</xdr:row>
      <xdr:rowOff>36287</xdr:rowOff>
    </xdr:from>
    <xdr:to>
      <xdr:col>11</xdr:col>
      <xdr:colOff>5292</xdr:colOff>
      <xdr:row>472</xdr:row>
      <xdr:rowOff>53221</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24341</xdr:colOff>
      <xdr:row>486</xdr:row>
      <xdr:rowOff>81491</xdr:rowOff>
    </xdr:from>
    <xdr:to>
      <xdr:col>20</xdr:col>
      <xdr:colOff>447675</xdr:colOff>
      <xdr:row>503</xdr:row>
      <xdr:rowOff>81492</xdr:rowOff>
    </xdr:to>
    <xdr:graphicFrame macro="">
      <xdr:nvGraphicFramePr>
        <xdr:cNvPr id="19" name="Graphique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0.05308</cdr:x>
      <cdr:y>0.02861</cdr:y>
    </cdr:from>
    <cdr:to>
      <cdr:x>0.58745</cdr:x>
      <cdr:y>0.11106</cdr:y>
    </cdr:to>
    <cdr:sp macro="" textlink="">
      <cdr:nvSpPr>
        <cdr:cNvPr id="2" name="ZoneTexte 1"/>
        <cdr:cNvSpPr txBox="1"/>
      </cdr:nvSpPr>
      <cdr:spPr>
        <a:xfrm xmlns:a="http://schemas.openxmlformats.org/drawingml/2006/main">
          <a:off x="341777" y="94286"/>
          <a:ext cx="3440754" cy="27172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a:latin typeface="Arial" pitchFamily="34" charset="0"/>
              <a:cs typeface="Arial" pitchFamily="34" charset="0"/>
            </a:rPr>
            <a:t>EV/Ebitda </a:t>
          </a:r>
        </a:p>
      </cdr:txBody>
    </cdr:sp>
  </cdr:relSizeAnchor>
  <cdr:relSizeAnchor xmlns:cdr="http://schemas.openxmlformats.org/drawingml/2006/chartDrawing">
    <cdr:from>
      <cdr:x>0.19866</cdr:x>
      <cdr:y>0.13486</cdr:y>
    </cdr:from>
    <cdr:to>
      <cdr:x>0.95199</cdr:x>
      <cdr:y>0.13486</cdr:y>
    </cdr:to>
    <cdr:sp macro="" textlink="">
      <cdr:nvSpPr>
        <cdr:cNvPr id="4" name="Connecteur droit 3"/>
        <cdr:cNvSpPr/>
      </cdr:nvSpPr>
      <cdr:spPr>
        <a:xfrm xmlns:a="http://schemas.openxmlformats.org/drawingml/2006/main" flipV="1">
          <a:off x="1279166" y="540082"/>
          <a:ext cx="4850599" cy="0"/>
        </a:xfrm>
        <a:prstGeom xmlns:a="http://schemas.openxmlformats.org/drawingml/2006/main" prst="line">
          <a:avLst/>
        </a:prstGeom>
        <a:ln xmlns:a="http://schemas.openxmlformats.org/drawingml/2006/main" w="19050">
          <a:solidFill>
            <a:srgbClr val="FFC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0.20308</cdr:x>
      <cdr:y>0.44512</cdr:y>
    </cdr:from>
    <cdr:to>
      <cdr:x>0.95641</cdr:x>
      <cdr:y>0.44512</cdr:y>
    </cdr:to>
    <cdr:sp macro="" textlink="">
      <cdr:nvSpPr>
        <cdr:cNvPr id="5" name="Connecteur droit 4"/>
        <cdr:cNvSpPr/>
      </cdr:nvSpPr>
      <cdr:spPr>
        <a:xfrm xmlns:a="http://schemas.openxmlformats.org/drawingml/2006/main" flipV="1">
          <a:off x="1307617" y="1782587"/>
          <a:ext cx="4850599" cy="0"/>
        </a:xfrm>
        <a:prstGeom xmlns:a="http://schemas.openxmlformats.org/drawingml/2006/main" prst="line">
          <a:avLst/>
        </a:prstGeom>
        <a:ln xmlns:a="http://schemas.openxmlformats.org/drawingml/2006/main" w="19050">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0.20308</cdr:x>
      <cdr:y>0.45358</cdr:y>
    </cdr:from>
    <cdr:to>
      <cdr:x>0.95641</cdr:x>
      <cdr:y>0.45358</cdr:y>
    </cdr:to>
    <cdr:sp macro="" textlink="">
      <cdr:nvSpPr>
        <cdr:cNvPr id="6" name="Connecteur droit 5"/>
        <cdr:cNvSpPr/>
      </cdr:nvSpPr>
      <cdr:spPr>
        <a:xfrm xmlns:a="http://schemas.openxmlformats.org/drawingml/2006/main" flipV="1">
          <a:off x="1307617" y="1816453"/>
          <a:ext cx="4850599" cy="0"/>
        </a:xfrm>
        <a:prstGeom xmlns:a="http://schemas.openxmlformats.org/drawingml/2006/main" prst="line">
          <a:avLst/>
        </a:prstGeom>
        <a:ln xmlns:a="http://schemas.openxmlformats.org/drawingml/2006/main" w="19050">
          <a:solidFill>
            <a:schemeClr val="accent3">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35.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36.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37.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D/(D+E)</a:t>
          </a:r>
        </a:p>
      </cdr:txBody>
    </cdr:sp>
  </cdr:relSizeAnchor>
</c:userShapes>
</file>

<file path=xl/drawings/drawing38.xml><?xml version="1.0" encoding="utf-8"?>
<c:userShapes xmlns:c="http://schemas.openxmlformats.org/drawingml/2006/chart">
  <cdr:relSizeAnchor xmlns:cdr="http://schemas.openxmlformats.org/drawingml/2006/chartDrawing">
    <cdr:from>
      <cdr:x>0.38581</cdr:x>
      <cdr:y>0.36033</cdr:y>
    </cdr:from>
    <cdr:to>
      <cdr:x>0.38581</cdr:x>
      <cdr:y>0.57853</cdr:y>
    </cdr:to>
    <cdr:sp macro="" textlink="">
      <cdr:nvSpPr>
        <cdr:cNvPr id="24" name="Connecteur droit avec flèche 23"/>
        <cdr:cNvSpPr/>
      </cdr:nvSpPr>
      <cdr:spPr>
        <a:xfrm xmlns:a="http://schemas.openxmlformats.org/drawingml/2006/main">
          <a:off x="2391903" y="1332283"/>
          <a:ext cx="0" cy="806755"/>
        </a:xfrm>
        <a:prstGeom xmlns:a="http://schemas.openxmlformats.org/drawingml/2006/main" prst="straightConnector1">
          <a:avLst/>
        </a:prstGeom>
        <a:ln xmlns:a="http://schemas.openxmlformats.org/drawingml/2006/main" w="9525">
          <a:solidFill>
            <a:schemeClr val="tx1"/>
          </a:solidFill>
          <a:prstDash val="sysDash"/>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0.07148</cdr:x>
      <cdr:y>0.0369</cdr:y>
    </cdr:from>
    <cdr:to>
      <cdr:x>0.29043</cdr:x>
      <cdr:y>0.12475</cdr:y>
    </cdr:to>
    <cdr:sp macro="" textlink="">
      <cdr:nvSpPr>
        <cdr:cNvPr id="2" name="ZoneTexte 1"/>
        <cdr:cNvSpPr txBox="1"/>
      </cdr:nvSpPr>
      <cdr:spPr>
        <a:xfrm xmlns:a="http://schemas.openxmlformats.org/drawingml/2006/main">
          <a:off x="440754" y="140873"/>
          <a:ext cx="1349946" cy="33537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D/(D+E)</a:t>
          </a:r>
        </a:p>
      </cdr:txBody>
    </cdr:sp>
  </cdr:relSizeAnchor>
  <cdr:relSizeAnchor xmlns:cdr="http://schemas.openxmlformats.org/drawingml/2006/chartDrawing">
    <cdr:from>
      <cdr:x>0.68928</cdr:x>
      <cdr:y>0.83273</cdr:y>
    </cdr:from>
    <cdr:to>
      <cdr:x>0.9578</cdr:x>
      <cdr:y>0.904</cdr:y>
    </cdr:to>
    <cdr:sp macro="" textlink="">
      <cdr:nvSpPr>
        <cdr:cNvPr id="3" name="ZoneTexte 2"/>
        <cdr:cNvSpPr txBox="1"/>
      </cdr:nvSpPr>
      <cdr:spPr>
        <a:xfrm xmlns:a="http://schemas.openxmlformats.org/drawingml/2006/main">
          <a:off x="4249933" y="3179067"/>
          <a:ext cx="1655567" cy="2720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fr-FR" sz="1200">
              <a:latin typeface="Arial" pitchFamily="34" charset="0"/>
              <a:cs typeface="Arial" pitchFamily="34" charset="0"/>
            </a:rPr>
            <a:t>% Mobile </a:t>
          </a:r>
        </a:p>
      </cdr:txBody>
    </cdr:sp>
  </cdr:relSizeAnchor>
  <cdr:relSizeAnchor xmlns:cdr="http://schemas.openxmlformats.org/drawingml/2006/chartDrawing">
    <cdr:from>
      <cdr:x>0.08739</cdr:x>
      <cdr:y>0.50316</cdr:y>
    </cdr:from>
    <cdr:to>
      <cdr:x>0.94899</cdr:x>
      <cdr:y>0.62083</cdr:y>
    </cdr:to>
    <cdr:sp macro="" textlink="">
      <cdr:nvSpPr>
        <cdr:cNvPr id="14" name="Connecteur droit 13"/>
        <cdr:cNvSpPr/>
      </cdr:nvSpPr>
      <cdr:spPr>
        <a:xfrm xmlns:a="http://schemas.openxmlformats.org/drawingml/2006/main">
          <a:off x="541019" y="1889760"/>
          <a:ext cx="5334001" cy="441960"/>
        </a:xfrm>
        <a:prstGeom xmlns:a="http://schemas.openxmlformats.org/drawingml/2006/main" prst="line">
          <a:avLst/>
        </a:prstGeom>
        <a:ln xmlns:a="http://schemas.openxmlformats.org/drawingml/2006/main">
          <a:solidFill>
            <a:schemeClr val="tx2">
              <a:lumMod val="60000"/>
              <a:lumOff val="4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0.21403</cdr:x>
      <cdr:y>0.43594</cdr:y>
    </cdr:from>
    <cdr:to>
      <cdr:x>0.83082</cdr:x>
      <cdr:y>0.68155</cdr:y>
    </cdr:to>
    <cdr:sp macro="" textlink="">
      <cdr:nvSpPr>
        <cdr:cNvPr id="8" name="Ellipse 7"/>
        <cdr:cNvSpPr/>
      </cdr:nvSpPr>
      <cdr:spPr>
        <a:xfrm xmlns:a="http://schemas.openxmlformats.org/drawingml/2006/main" rot="639421">
          <a:off x="1325002" y="1637312"/>
          <a:ext cx="3818462" cy="922465"/>
        </a:xfrm>
        <a:prstGeom xmlns:a="http://schemas.openxmlformats.org/drawingml/2006/main" prst="ellipse">
          <a:avLst/>
        </a:prstGeom>
        <a:noFill xmlns:a="http://schemas.openxmlformats.org/drawingml/2006/main"/>
        <a:ln xmlns:a="http://schemas.openxmlformats.org/drawingml/2006/main" w="9525">
          <a:solidFill>
            <a:schemeClr val="bg2">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0.33402</cdr:x>
      <cdr:y>0.06946</cdr:y>
    </cdr:from>
    <cdr:to>
      <cdr:x>0.7371</cdr:x>
      <cdr:y>0.26337</cdr:y>
    </cdr:to>
    <cdr:sp macro="" textlink="">
      <cdr:nvSpPr>
        <cdr:cNvPr id="9" name="Ellipse 8"/>
        <cdr:cNvSpPr/>
      </cdr:nvSpPr>
      <cdr:spPr>
        <a:xfrm xmlns:a="http://schemas.openxmlformats.org/drawingml/2006/main" rot="1074508">
          <a:off x="2067857" y="260875"/>
          <a:ext cx="2495397" cy="728290"/>
        </a:xfrm>
        <a:prstGeom xmlns:a="http://schemas.openxmlformats.org/drawingml/2006/main" prst="ellipse">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0.07385</cdr:x>
      <cdr:y>0.38345</cdr:y>
    </cdr:from>
    <cdr:to>
      <cdr:x>0.9564</cdr:x>
      <cdr:y>0.61468</cdr:y>
    </cdr:to>
    <cdr:sp macro="" textlink="">
      <cdr:nvSpPr>
        <cdr:cNvPr id="17" name="Connecteur droit 16"/>
        <cdr:cNvSpPr/>
      </cdr:nvSpPr>
      <cdr:spPr>
        <a:xfrm xmlns:a="http://schemas.openxmlformats.org/drawingml/2006/main">
          <a:off x="457200" y="1440179"/>
          <a:ext cx="5463726" cy="868447"/>
        </a:xfrm>
        <a:prstGeom xmlns:a="http://schemas.openxmlformats.org/drawingml/2006/main" prst="line">
          <a:avLst/>
        </a:prstGeom>
        <a:ln xmlns:a="http://schemas.openxmlformats.org/drawingml/2006/main">
          <a:solidFill>
            <a:schemeClr val="tx1"/>
          </a:solidFill>
          <a:prstDash val="sysDash"/>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0.07609</cdr:x>
      <cdr:y>0.36719</cdr:y>
    </cdr:from>
    <cdr:to>
      <cdr:x>0.96185</cdr:x>
      <cdr:y>0.6249</cdr:y>
    </cdr:to>
    <cdr:sp macro="" textlink="">
      <cdr:nvSpPr>
        <cdr:cNvPr id="22" name="Trapèze 21"/>
        <cdr:cNvSpPr/>
      </cdr:nvSpPr>
      <cdr:spPr>
        <a:xfrm xmlns:a="http://schemas.openxmlformats.org/drawingml/2006/main" rot="5460000">
          <a:off x="2736204" y="-869921"/>
          <a:ext cx="977939" cy="5504584"/>
        </a:xfrm>
        <a:prstGeom xmlns:a="http://schemas.openxmlformats.org/drawingml/2006/main" prst="trapezoid">
          <a:avLst>
            <a:gd name="adj" fmla="val 6838"/>
          </a:avLst>
        </a:prstGeom>
        <a:solidFill xmlns:a="http://schemas.openxmlformats.org/drawingml/2006/main">
          <a:srgbClr val="7F7F7F">
            <a:alpha val="7059"/>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0.06207</cdr:x>
      <cdr:y>0.44537</cdr:y>
    </cdr:from>
    <cdr:to>
      <cdr:x>0.96872</cdr:x>
      <cdr:y>0.55116</cdr:y>
    </cdr:to>
    <cdr:sp macro="" textlink="">
      <cdr:nvSpPr>
        <cdr:cNvPr id="12" name="Trapèze 11"/>
        <cdr:cNvSpPr/>
      </cdr:nvSpPr>
      <cdr:spPr>
        <a:xfrm xmlns:a="http://schemas.openxmlformats.org/drawingml/2006/main" rot="5940000">
          <a:off x="2891731" y="-919890"/>
          <a:ext cx="380217" cy="5421388"/>
        </a:xfrm>
        <a:prstGeom xmlns:a="http://schemas.openxmlformats.org/drawingml/2006/main" prst="trapezoid">
          <a:avLst>
            <a:gd name="adj" fmla="val 15932"/>
          </a:avLst>
        </a:prstGeom>
        <a:solidFill xmlns:a="http://schemas.openxmlformats.org/drawingml/2006/main">
          <a:srgbClr val="4A452A">
            <a:alpha val="14118"/>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0.20733</cdr:x>
      <cdr:y>0.36382</cdr:y>
    </cdr:from>
    <cdr:to>
      <cdr:x>0.20733</cdr:x>
      <cdr:y>0.47701</cdr:y>
    </cdr:to>
    <cdr:sp macro="" textlink="">
      <cdr:nvSpPr>
        <cdr:cNvPr id="13" name="Connecteur droit avec flèche 12"/>
        <cdr:cNvSpPr/>
      </cdr:nvSpPr>
      <cdr:spPr>
        <a:xfrm xmlns:a="http://schemas.openxmlformats.org/drawingml/2006/main">
          <a:off x="1239747" y="1307605"/>
          <a:ext cx="0" cy="406800"/>
        </a:xfrm>
        <a:prstGeom xmlns:a="http://schemas.openxmlformats.org/drawingml/2006/main" prst="straightConnector1">
          <a:avLst/>
        </a:prstGeom>
        <a:ln xmlns:a="http://schemas.openxmlformats.org/drawingml/2006/main" w="19050">
          <a:solidFill>
            <a:schemeClr val="tx1"/>
          </a:solidFill>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0.95257</cdr:x>
      <cdr:y>0.57578</cdr:y>
    </cdr:from>
    <cdr:to>
      <cdr:x>0.95257</cdr:x>
      <cdr:y>0.65167</cdr:y>
    </cdr:to>
    <cdr:sp macro="" textlink="">
      <cdr:nvSpPr>
        <cdr:cNvPr id="15" name="Connecteur droit avec flèche 14"/>
        <cdr:cNvSpPr/>
      </cdr:nvSpPr>
      <cdr:spPr>
        <a:xfrm xmlns:a="http://schemas.openxmlformats.org/drawingml/2006/main">
          <a:off x="5919754" y="2184931"/>
          <a:ext cx="0" cy="288000"/>
        </a:xfrm>
        <a:prstGeom xmlns:a="http://schemas.openxmlformats.org/drawingml/2006/main" prst="straightConnector1">
          <a:avLst/>
        </a:prstGeom>
        <a:ln xmlns:a="http://schemas.openxmlformats.org/drawingml/2006/main" w="19050">
          <a:solidFill>
            <a:schemeClr val="tx1"/>
          </a:solidFill>
          <a:headEnd type="triangl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fr-FR"/>
        </a:p>
      </cdr:txBody>
    </cdr:sp>
  </cdr:relSizeAnchor>
</c:userShapes>
</file>

<file path=xl/drawings/drawing39.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E/Eb</a:t>
          </a:r>
        </a:p>
      </cdr:txBody>
    </cdr:sp>
  </cdr:relSizeAnchor>
</c:userShapes>
</file>

<file path=xl/drawings/drawing4.xml><?xml version="1.0" encoding="utf-8"?>
<c:userShapes xmlns:c="http://schemas.openxmlformats.org/drawingml/2006/chart">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EV/Sales</a:t>
          </a:r>
        </a:p>
      </cdr:txBody>
    </cdr:sp>
  </cdr:relSizeAnchor>
  <cdr:relSizeAnchor xmlns:cdr="http://schemas.openxmlformats.org/drawingml/2006/chartDrawing">
    <cdr:from>
      <cdr:x>0.80345</cdr:x>
      <cdr:y>0.82851</cdr:y>
    </cdr:from>
    <cdr:to>
      <cdr:x>0.96203</cdr:x>
      <cdr:y>0.89978</cdr:y>
    </cdr:to>
    <cdr:sp macro="" textlink="">
      <cdr:nvSpPr>
        <cdr:cNvPr id="3" name="ZoneTexte 2"/>
        <cdr:cNvSpPr txBox="1"/>
      </cdr:nvSpPr>
      <cdr:spPr>
        <a:xfrm xmlns:a="http://schemas.openxmlformats.org/drawingml/2006/main">
          <a:off x="5373975" y="3149609"/>
          <a:ext cx="1060692"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Mobile % Rev.</a:t>
          </a:r>
        </a:p>
      </cdr:txBody>
    </cdr:sp>
  </cdr:relSizeAnchor>
</c:userShapes>
</file>

<file path=xl/drawings/drawing40.xml><?xml version="1.0" encoding="utf-8"?>
<c:userShapes xmlns:c="http://schemas.openxmlformats.org/drawingml/2006/chart">
  <cdr:relSizeAnchor xmlns:cdr="http://schemas.openxmlformats.org/drawingml/2006/chartDrawing">
    <cdr:from>
      <cdr:x>0.05934</cdr:x>
      <cdr:y>0.03117</cdr:y>
    </cdr:from>
    <cdr:to>
      <cdr:x>0.32479</cdr:x>
      <cdr:y>0.90199</cdr:y>
    </cdr:to>
    <cdr:sp macro="" textlink="">
      <cdr:nvSpPr>
        <cdr:cNvPr id="4" name="Rectangle 3"/>
        <cdr:cNvSpPr/>
      </cdr:nvSpPr>
      <cdr:spPr>
        <a:xfrm xmlns:a="http://schemas.openxmlformats.org/drawingml/2006/main">
          <a:off x="381112" y="111945"/>
          <a:ext cx="1704863" cy="3127050"/>
        </a:xfrm>
        <a:prstGeom xmlns:a="http://schemas.openxmlformats.org/drawingml/2006/main" prst="rect">
          <a:avLst/>
        </a:prstGeom>
        <a:solidFill xmlns:a="http://schemas.openxmlformats.org/drawingml/2006/main">
          <a:srgbClr val="EEECE1">
            <a:alpha val="38824"/>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0.6845</cdr:x>
      <cdr:y>0.03116</cdr:y>
    </cdr:from>
    <cdr:to>
      <cdr:x>0.94652</cdr:x>
      <cdr:y>0.90199</cdr:y>
    </cdr:to>
    <cdr:sp macro="" textlink="">
      <cdr:nvSpPr>
        <cdr:cNvPr id="5" name="Rectangle 4"/>
        <cdr:cNvSpPr/>
      </cdr:nvSpPr>
      <cdr:spPr>
        <a:xfrm xmlns:a="http://schemas.openxmlformats.org/drawingml/2006/main">
          <a:off x="4396250" y="111909"/>
          <a:ext cx="1682842" cy="3127086"/>
        </a:xfrm>
        <a:prstGeom xmlns:a="http://schemas.openxmlformats.org/drawingml/2006/main" prst="rect">
          <a:avLst/>
        </a:prstGeom>
        <a:solidFill xmlns:a="http://schemas.openxmlformats.org/drawingml/2006/main">
          <a:srgbClr val="EEECE1">
            <a:alpha val="38824"/>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0.32265</cdr:x>
      <cdr:y>0.03116</cdr:y>
    </cdr:from>
    <cdr:to>
      <cdr:x>0.41379</cdr:x>
      <cdr:y>0.90199</cdr:y>
    </cdr:to>
    <cdr:sp macro="" textlink="">
      <cdr:nvSpPr>
        <cdr:cNvPr id="7" name="Rectangle 6"/>
        <cdr:cNvSpPr/>
      </cdr:nvSpPr>
      <cdr:spPr>
        <a:xfrm xmlns:a="http://schemas.openxmlformats.org/drawingml/2006/main">
          <a:off x="2072232" y="111909"/>
          <a:ext cx="585353" cy="3127086"/>
        </a:xfrm>
        <a:prstGeom xmlns:a="http://schemas.openxmlformats.org/drawingml/2006/main" prst="rect">
          <a:avLst/>
        </a:prstGeom>
        <a:solidFill xmlns:a="http://schemas.openxmlformats.org/drawingml/2006/main">
          <a:srgbClr val="EEECE1">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0.59383</cdr:x>
      <cdr:y>0.03117</cdr:y>
    </cdr:from>
    <cdr:to>
      <cdr:x>0.6826</cdr:x>
      <cdr:y>0.90199</cdr:y>
    </cdr:to>
    <cdr:sp macro="" textlink="">
      <cdr:nvSpPr>
        <cdr:cNvPr id="6" name="Rectangle 5"/>
        <cdr:cNvSpPr/>
      </cdr:nvSpPr>
      <cdr:spPr>
        <a:xfrm xmlns:a="http://schemas.openxmlformats.org/drawingml/2006/main">
          <a:off x="3813908" y="111945"/>
          <a:ext cx="570132" cy="3127050"/>
        </a:xfrm>
        <a:prstGeom xmlns:a="http://schemas.openxmlformats.org/drawingml/2006/main" prst="rect">
          <a:avLst/>
        </a:prstGeom>
        <a:solidFill xmlns:a="http://schemas.openxmlformats.org/drawingml/2006/main">
          <a:srgbClr val="EEECE1">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0.06088</cdr:x>
      <cdr:y>0.04162</cdr:y>
    </cdr:from>
    <cdr:to>
      <cdr:x>0.25257</cdr:x>
      <cdr:y>0.12403</cdr:y>
    </cdr:to>
    <cdr:sp macro="" textlink="">
      <cdr:nvSpPr>
        <cdr:cNvPr id="2" name="ZoneTexte 1"/>
        <cdr:cNvSpPr txBox="1"/>
      </cdr:nvSpPr>
      <cdr:spPr>
        <a:xfrm xmlns:a="http://schemas.openxmlformats.org/drawingml/2006/main">
          <a:off x="388534" y="151847"/>
          <a:ext cx="1223326" cy="3006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EV/Ebitda</a:t>
          </a:r>
        </a:p>
      </cdr:txBody>
    </cdr:sp>
  </cdr:relSizeAnchor>
  <cdr:relSizeAnchor xmlns:cdr="http://schemas.openxmlformats.org/drawingml/2006/chartDrawing">
    <cdr:from>
      <cdr:x>0.81697</cdr:x>
      <cdr:y>0.82406</cdr:y>
    </cdr:from>
    <cdr:to>
      <cdr:x>0.94478</cdr:x>
      <cdr:y>0.89533</cdr:y>
    </cdr:to>
    <cdr:sp macro="" textlink="">
      <cdr:nvSpPr>
        <cdr:cNvPr id="3" name="ZoneTexte 2"/>
        <cdr:cNvSpPr txBox="1"/>
      </cdr:nvSpPr>
      <cdr:spPr>
        <a:xfrm xmlns:a="http://schemas.openxmlformats.org/drawingml/2006/main">
          <a:off x="5213686" y="3006233"/>
          <a:ext cx="815640" cy="2599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0.06452</cdr:x>
      <cdr:y>0.12472</cdr:y>
    </cdr:from>
    <cdr:to>
      <cdr:x>0.18857</cdr:x>
      <cdr:y>0.25389</cdr:y>
    </cdr:to>
    <cdr:sp macro="" textlink="">
      <cdr:nvSpPr>
        <cdr:cNvPr id="9" name="Rectangle à coins arrondis 8"/>
        <cdr:cNvSpPr/>
      </cdr:nvSpPr>
      <cdr:spPr>
        <a:xfrm xmlns:a="http://schemas.openxmlformats.org/drawingml/2006/main">
          <a:off x="439184" y="474144"/>
          <a:ext cx="844433" cy="491044"/>
        </a:xfrm>
        <a:prstGeom xmlns:a="http://schemas.openxmlformats.org/drawingml/2006/main" prst="roundRect">
          <a:avLst/>
        </a:prstGeom>
        <a:noFill xmlns:a="http://schemas.openxmlformats.org/drawingml/2006/main"/>
        <a:ln xmlns:a="http://schemas.openxmlformats.org/drawingml/2006/main" w="9525">
          <a:solidFill>
            <a:srgbClr val="FFC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0.3342</cdr:x>
      <cdr:y>0.45212</cdr:y>
    </cdr:from>
    <cdr:to>
      <cdr:x>0.65825</cdr:x>
      <cdr:y>0.59911</cdr:y>
    </cdr:to>
    <cdr:sp macro="" textlink="">
      <cdr:nvSpPr>
        <cdr:cNvPr id="10" name="Rectangle à coins arrondis 9"/>
        <cdr:cNvSpPr/>
      </cdr:nvSpPr>
      <cdr:spPr>
        <a:xfrm xmlns:a="http://schemas.openxmlformats.org/drawingml/2006/main">
          <a:off x="2274940" y="1718750"/>
          <a:ext cx="2205873" cy="558784"/>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0.82552</cdr:x>
      <cdr:y>0.44766</cdr:y>
    </cdr:from>
    <cdr:to>
      <cdr:x>0.94957</cdr:x>
      <cdr:y>0.59242</cdr:y>
    </cdr:to>
    <cdr:sp macro="" textlink="">
      <cdr:nvSpPr>
        <cdr:cNvPr id="11" name="Rectangle à coins arrondis 10"/>
        <cdr:cNvSpPr/>
      </cdr:nvSpPr>
      <cdr:spPr>
        <a:xfrm xmlns:a="http://schemas.openxmlformats.org/drawingml/2006/main">
          <a:off x="5619451" y="1701811"/>
          <a:ext cx="844434" cy="550311"/>
        </a:xfrm>
        <a:prstGeom xmlns:a="http://schemas.openxmlformats.org/drawingml/2006/main" prst="roundRect">
          <a:avLst/>
        </a:prstGeom>
        <a:noFill xmlns:a="http://schemas.openxmlformats.org/drawingml/2006/main"/>
        <a:ln xmlns:a="http://schemas.openxmlformats.org/drawingml/2006/main" w="9525">
          <a:solidFill>
            <a:srgbClr val="C00000"/>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0.30378</cdr:x>
      <cdr:y>0.24054</cdr:y>
    </cdr:from>
    <cdr:to>
      <cdr:x>0.75948</cdr:x>
      <cdr:y>0.43876</cdr:y>
    </cdr:to>
    <cdr:sp macro="" textlink="">
      <cdr:nvSpPr>
        <cdr:cNvPr id="12" name="Rectangle à coins arrondis 11"/>
        <cdr:cNvSpPr/>
      </cdr:nvSpPr>
      <cdr:spPr>
        <a:xfrm xmlns:a="http://schemas.openxmlformats.org/drawingml/2006/main" rot="21480000">
          <a:off x="2065291" y="914414"/>
          <a:ext cx="3098182" cy="753540"/>
        </a:xfrm>
        <a:prstGeom xmlns:a="http://schemas.openxmlformats.org/drawingml/2006/main" prst="roundRect">
          <a:avLst/>
        </a:prstGeom>
        <a:noFill xmlns:a="http://schemas.openxmlformats.org/drawingml/2006/main"/>
        <a:ln xmlns:a="http://schemas.openxmlformats.org/drawingml/2006/main" w="9525">
          <a:solidFill>
            <a:schemeClr val="bg2">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0.0908</cdr:x>
      <cdr:y>0.25167</cdr:y>
    </cdr:from>
    <cdr:to>
      <cdr:x>0.83706</cdr:x>
      <cdr:y>0.48998</cdr:y>
    </cdr:to>
    <cdr:sp macro="" textlink="">
      <cdr:nvSpPr>
        <cdr:cNvPr id="14" name="Connecteur droit 13"/>
        <cdr:cNvSpPr/>
      </cdr:nvSpPr>
      <cdr:spPr>
        <a:xfrm xmlns:a="http://schemas.openxmlformats.org/drawingml/2006/main" flipV="1">
          <a:off x="618067" y="956733"/>
          <a:ext cx="5080000" cy="905934"/>
        </a:xfrm>
        <a:prstGeom xmlns:a="http://schemas.openxmlformats.org/drawingml/2006/main" prst="line">
          <a:avLst/>
        </a:prstGeom>
        <a:ln xmlns:a="http://schemas.openxmlformats.org/drawingml/2006/main">
          <a:solidFill>
            <a:schemeClr val="accent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0.46631</cdr:x>
      <cdr:y>0.47914</cdr:y>
    </cdr:from>
    <cdr:to>
      <cdr:x>0.84343</cdr:x>
      <cdr:y>0.48916</cdr:y>
    </cdr:to>
    <cdr:sp macro="" textlink="">
      <cdr:nvSpPr>
        <cdr:cNvPr id="17" name="Connecteur droit avec flèche 16"/>
        <cdr:cNvSpPr/>
      </cdr:nvSpPr>
      <cdr:spPr>
        <a:xfrm xmlns:a="http://schemas.openxmlformats.org/drawingml/2006/main" flipV="1">
          <a:off x="2994933" y="1720546"/>
          <a:ext cx="2422072" cy="36000"/>
        </a:xfrm>
        <a:prstGeom xmlns:a="http://schemas.openxmlformats.org/drawingml/2006/main" prst="straightConnector1">
          <a:avLst/>
        </a:prstGeom>
        <a:ln xmlns:a="http://schemas.openxmlformats.org/drawingml/2006/main">
          <a:solidFill>
            <a:sysClr val="windowText" lastClr="000000"/>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0.45522</cdr:x>
      <cdr:y>0.32739</cdr:y>
    </cdr:from>
    <cdr:to>
      <cdr:x>0.64937</cdr:x>
      <cdr:y>0.42316</cdr:y>
    </cdr:to>
    <cdr:sp macro="" textlink="">
      <cdr:nvSpPr>
        <cdr:cNvPr id="16" name="Rectangle à coins arrondis 15"/>
        <cdr:cNvSpPr/>
      </cdr:nvSpPr>
      <cdr:spPr>
        <a:xfrm xmlns:a="http://schemas.openxmlformats.org/drawingml/2006/main">
          <a:off x="3098800" y="1244585"/>
          <a:ext cx="1321591" cy="364073"/>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0.50275</cdr:x>
      <cdr:y>0.36188</cdr:y>
    </cdr:from>
    <cdr:to>
      <cdr:x>0.8392</cdr:x>
      <cdr:y>0.55135</cdr:y>
    </cdr:to>
    <cdr:sp macro="" textlink="">
      <cdr:nvSpPr>
        <cdr:cNvPr id="18" name="Connecteur droit avec flèche 17"/>
        <cdr:cNvSpPr/>
      </cdr:nvSpPr>
      <cdr:spPr>
        <a:xfrm xmlns:a="http://schemas.openxmlformats.org/drawingml/2006/main">
          <a:off x="3228976" y="1299482"/>
          <a:ext cx="2160814" cy="680358"/>
        </a:xfrm>
        <a:prstGeom xmlns:a="http://schemas.openxmlformats.org/drawingml/2006/main" prst="straightConnector1">
          <a:avLst/>
        </a:prstGeom>
        <a:ln xmlns:a="http://schemas.openxmlformats.org/drawingml/2006/main" w="3175">
          <a:solidFill>
            <a:schemeClr val="bg1">
              <a:lumMod val="75000"/>
            </a:schemeClr>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1.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42.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43.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D/Ebitda</a:t>
          </a:r>
        </a:p>
      </cdr:txBody>
    </cdr:sp>
  </cdr:relSizeAnchor>
</c:userShapes>
</file>

<file path=xl/drawings/drawing44.xml><?xml version="1.0" encoding="utf-8"?>
<c:userShapes xmlns:c="http://schemas.openxmlformats.org/drawingml/2006/chart">
  <cdr:relSizeAnchor xmlns:cdr="http://schemas.openxmlformats.org/drawingml/2006/chartDrawing">
    <cdr:from>
      <cdr:x>0.0997</cdr:x>
      <cdr:y>0.03427</cdr:y>
    </cdr:from>
    <cdr:to>
      <cdr:x>0.28382</cdr:x>
      <cdr:y>0.11308</cdr:y>
    </cdr:to>
    <cdr:sp macro="" textlink="">
      <cdr:nvSpPr>
        <cdr:cNvPr id="2" name="ZoneTexte 1"/>
        <cdr:cNvSpPr txBox="1"/>
      </cdr:nvSpPr>
      <cdr:spPr>
        <a:xfrm xmlns:a="http://schemas.openxmlformats.org/drawingml/2006/main">
          <a:off x="574003" y="82696"/>
          <a:ext cx="1060039" cy="1901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E/Eb</a:t>
          </a:r>
        </a:p>
      </cdr:txBody>
    </cdr:sp>
  </cdr:relSizeAnchor>
</c:userShapes>
</file>

<file path=xl/drawings/drawing45.xml><?xml version="1.0" encoding="utf-8"?>
<c:userShapes xmlns:c="http://schemas.openxmlformats.org/drawingml/2006/chart">
  <cdr:relSizeAnchor xmlns:cdr="http://schemas.openxmlformats.org/drawingml/2006/chartDrawing">
    <cdr:from>
      <cdr:x>0.07617</cdr:x>
      <cdr:y>0.03778</cdr:y>
    </cdr:from>
    <cdr:to>
      <cdr:x>0.23333</cdr:x>
      <cdr:y>0.11778</cdr:y>
    </cdr:to>
    <cdr:sp macro="" textlink="">
      <cdr:nvSpPr>
        <cdr:cNvPr id="2" name="ZoneTexte 1"/>
        <cdr:cNvSpPr txBox="1"/>
      </cdr:nvSpPr>
      <cdr:spPr>
        <a:xfrm xmlns:a="http://schemas.openxmlformats.org/drawingml/2006/main">
          <a:off x="522374" y="153538"/>
          <a:ext cx="1077826" cy="3251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Ebitda/Eb</a:t>
          </a:r>
        </a:p>
      </cdr:txBody>
    </cdr:sp>
  </cdr:relSizeAnchor>
</c:userShapes>
</file>

<file path=xl/drawings/drawing46.xml><?xml version="1.0" encoding="utf-8"?>
<c:userShapes xmlns:c="http://schemas.openxmlformats.org/drawingml/2006/chart">
  <cdr:relSizeAnchor xmlns:cdr="http://schemas.openxmlformats.org/drawingml/2006/chartDrawing">
    <cdr:from>
      <cdr:x>0.11906</cdr:x>
      <cdr:y>0.02911</cdr:y>
    </cdr:from>
    <cdr:to>
      <cdr:x>0.34309</cdr:x>
      <cdr:y>0.10911</cdr:y>
    </cdr:to>
    <cdr:sp macro="" textlink="">
      <cdr:nvSpPr>
        <cdr:cNvPr id="2" name="ZoneTexte 1"/>
        <cdr:cNvSpPr txBox="1"/>
      </cdr:nvSpPr>
      <cdr:spPr>
        <a:xfrm xmlns:a="http://schemas.openxmlformats.org/drawingml/2006/main">
          <a:off x="681618" y="85276"/>
          <a:ext cx="1282648" cy="2343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tD/Ebitda ajusté *</a:t>
          </a:r>
        </a:p>
      </cdr:txBody>
    </cdr:sp>
  </cdr:relSizeAnchor>
</c:userShapes>
</file>

<file path=xl/drawings/drawing47.xml><?xml version="1.0" encoding="utf-8"?>
<xdr:wsDr xmlns:xdr="http://schemas.openxmlformats.org/drawingml/2006/spreadsheetDrawing" xmlns:a="http://schemas.openxmlformats.org/drawingml/2006/main">
  <xdr:twoCellAnchor>
    <xdr:from>
      <xdr:col>36</xdr:col>
      <xdr:colOff>190041</xdr:colOff>
      <xdr:row>6</xdr:row>
      <xdr:rowOff>151789</xdr:rowOff>
    </xdr:from>
    <xdr:to>
      <xdr:col>44</xdr:col>
      <xdr:colOff>465667</xdr:colOff>
      <xdr:row>28</xdr:row>
      <xdr:rowOff>59267</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67735</xdr:colOff>
      <xdr:row>6</xdr:row>
      <xdr:rowOff>112182</xdr:rowOff>
    </xdr:from>
    <xdr:to>
      <xdr:col>55</xdr:col>
      <xdr:colOff>457202</xdr:colOff>
      <xdr:row>29</xdr:row>
      <xdr:rowOff>52916</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0.31515</cdr:x>
      <cdr:y>0.03497</cdr:y>
    </cdr:from>
    <cdr:to>
      <cdr:x>0.96366</cdr:x>
      <cdr:y>0.62464</cdr:y>
    </cdr:to>
    <cdr:sp macro="" textlink="">
      <cdr:nvSpPr>
        <cdr:cNvPr id="4" name="Rectangle 3"/>
        <cdr:cNvSpPr/>
      </cdr:nvSpPr>
      <cdr:spPr>
        <a:xfrm xmlns:a="http://schemas.openxmlformats.org/drawingml/2006/main">
          <a:off x="2180626" y="136079"/>
          <a:ext cx="4487333" cy="2294466"/>
        </a:xfrm>
        <a:prstGeom xmlns:a="http://schemas.openxmlformats.org/drawingml/2006/main" prst="rect">
          <a:avLst/>
        </a:prstGeom>
        <a:solidFill xmlns:a="http://schemas.openxmlformats.org/drawingml/2006/main">
          <a:srgbClr val="DDD9C3">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0.07219</cdr:x>
      <cdr:y>0.61811</cdr:y>
    </cdr:from>
    <cdr:to>
      <cdr:x>0.31637</cdr:x>
      <cdr:y>0.91403</cdr:y>
    </cdr:to>
    <cdr:sp macro="" textlink="">
      <cdr:nvSpPr>
        <cdr:cNvPr id="5" name="Rectangle 4"/>
        <cdr:cNvSpPr/>
      </cdr:nvSpPr>
      <cdr:spPr>
        <a:xfrm xmlns:a="http://schemas.openxmlformats.org/drawingml/2006/main">
          <a:off x="499536" y="2405145"/>
          <a:ext cx="1689558" cy="1151466"/>
        </a:xfrm>
        <a:prstGeom xmlns:a="http://schemas.openxmlformats.org/drawingml/2006/main" prst="rect">
          <a:avLst/>
        </a:prstGeom>
        <a:solidFill xmlns:a="http://schemas.openxmlformats.org/drawingml/2006/main">
          <a:srgbClr val="DDD9C3">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0.08458</cdr:x>
      <cdr:y>0.04872</cdr:y>
    </cdr:from>
    <cdr:to>
      <cdr:x>0.23509</cdr:x>
      <cdr:y>0.12155</cdr:y>
    </cdr:to>
    <cdr:sp macro="" textlink="">
      <cdr:nvSpPr>
        <cdr:cNvPr id="6" name="ZoneTexte 5"/>
        <cdr:cNvSpPr txBox="1"/>
      </cdr:nvSpPr>
      <cdr:spPr>
        <a:xfrm xmlns:a="http://schemas.openxmlformats.org/drawingml/2006/main">
          <a:off x="580427" y="186877"/>
          <a:ext cx="1032933" cy="279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b="1">
              <a:latin typeface="Arial" pitchFamily="34" charset="0"/>
              <a:cs typeface="Arial" pitchFamily="34" charset="0"/>
              <a:sym typeface="Wingdings"/>
            </a:rPr>
            <a:t> </a:t>
          </a:r>
          <a:r>
            <a:rPr lang="fr-FR" sz="1200" b="1">
              <a:latin typeface="Arial" pitchFamily="34" charset="0"/>
              <a:cs typeface="Arial" pitchFamily="34" charset="0"/>
            </a:rPr>
            <a:t>EV/Ebitda</a:t>
          </a:r>
        </a:p>
      </cdr:txBody>
    </cdr:sp>
  </cdr:relSizeAnchor>
  <cdr:relSizeAnchor xmlns:cdr="http://schemas.openxmlformats.org/drawingml/2006/chartDrawing">
    <cdr:from>
      <cdr:x>0.80809</cdr:x>
      <cdr:y>0.8321</cdr:y>
    </cdr:from>
    <cdr:to>
      <cdr:x>0.9586</cdr:x>
      <cdr:y>0.90493</cdr:y>
    </cdr:to>
    <cdr:sp macro="" textlink="">
      <cdr:nvSpPr>
        <cdr:cNvPr id="7" name="ZoneTexte 1"/>
        <cdr:cNvSpPr txBox="1"/>
      </cdr:nvSpPr>
      <cdr:spPr>
        <a:xfrm xmlns:a="http://schemas.openxmlformats.org/drawingml/2006/main">
          <a:off x="5545667" y="3191933"/>
          <a:ext cx="1032933" cy="279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itchFamily="34" charset="0"/>
              <a:cs typeface="Arial" pitchFamily="34" charset="0"/>
              <a:sym typeface="Wingdings"/>
            </a:rPr>
            <a:t> </a:t>
          </a:r>
          <a:r>
            <a:rPr lang="fr-FR" sz="1200" b="1">
              <a:latin typeface="Arial" pitchFamily="34" charset="0"/>
              <a:cs typeface="Arial" pitchFamily="34" charset="0"/>
            </a:rPr>
            <a:t>Market</a:t>
          </a:r>
          <a:r>
            <a:rPr lang="fr-FR" sz="1200" b="1" baseline="0">
              <a:latin typeface="Arial" pitchFamily="34" charset="0"/>
              <a:cs typeface="Arial" pitchFamily="34" charset="0"/>
            </a:rPr>
            <a:t> Cap</a:t>
          </a:r>
          <a:endParaRPr lang="fr-FR" sz="1200" b="1">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0.85521</cdr:x>
      <cdr:y>0.68297</cdr:y>
    </cdr:from>
    <cdr:to>
      <cdr:x>0.96555</cdr:x>
      <cdr:y>0.7558</cdr:y>
    </cdr:to>
    <cdr:sp macro="" textlink="">
      <cdr:nvSpPr>
        <cdr:cNvPr id="6" name="ZoneTexte 5"/>
        <cdr:cNvSpPr txBox="1"/>
      </cdr:nvSpPr>
      <cdr:spPr>
        <a:xfrm xmlns:a="http://schemas.openxmlformats.org/drawingml/2006/main">
          <a:off x="6798734" y="2983009"/>
          <a:ext cx="877219" cy="3180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b="1">
              <a:latin typeface="Arial" pitchFamily="34" charset="0"/>
              <a:cs typeface="Arial" pitchFamily="34" charset="0"/>
              <a:sym typeface="Wingdings"/>
            </a:rPr>
            <a:t> </a:t>
          </a:r>
          <a:r>
            <a:rPr lang="fr-FR" sz="1200" b="1" baseline="0">
              <a:latin typeface="Arial" pitchFamily="34" charset="0"/>
              <a:cs typeface="Arial" pitchFamily="34" charset="0"/>
              <a:sym typeface="Wingdings"/>
            </a:rPr>
            <a:t> </a:t>
          </a:r>
          <a:r>
            <a:rPr lang="fr-FR" sz="1200" b="1">
              <a:latin typeface="Arial" pitchFamily="34" charset="0"/>
              <a:cs typeface="Arial" pitchFamily="34" charset="0"/>
            </a:rPr>
            <a:t>Ebitda</a:t>
          </a:r>
        </a:p>
      </cdr:txBody>
    </cdr:sp>
  </cdr:relSizeAnchor>
  <cdr:relSizeAnchor xmlns:cdr="http://schemas.openxmlformats.org/drawingml/2006/chartDrawing">
    <cdr:from>
      <cdr:x>0.07962</cdr:x>
      <cdr:y>0.0664</cdr:y>
    </cdr:from>
    <cdr:to>
      <cdr:x>0.23013</cdr:x>
      <cdr:y>0.13923</cdr:y>
    </cdr:to>
    <cdr:sp macro="" textlink="">
      <cdr:nvSpPr>
        <cdr:cNvPr id="7" name="ZoneTexte 1"/>
        <cdr:cNvSpPr txBox="1"/>
      </cdr:nvSpPr>
      <cdr:spPr>
        <a:xfrm xmlns:a="http://schemas.openxmlformats.org/drawingml/2006/main">
          <a:off x="632947" y="290006"/>
          <a:ext cx="1196523" cy="3180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latin typeface="Arial" pitchFamily="34" charset="0"/>
              <a:cs typeface="Arial" pitchFamily="34" charset="0"/>
              <a:sym typeface="Wingdings"/>
            </a:rPr>
            <a:t> </a:t>
          </a:r>
          <a:r>
            <a:rPr lang="fr-FR" sz="1200" b="1">
              <a:latin typeface="Arial" pitchFamily="34" charset="0"/>
              <a:cs typeface="Arial" pitchFamily="34" charset="0"/>
            </a:rPr>
            <a:t>EV</a:t>
          </a:r>
        </a:p>
      </cdr:txBody>
    </cdr:sp>
  </cdr:relSizeAnchor>
</c:userShapes>
</file>

<file path=xl/drawings/drawing5.xml><?xml version="1.0" encoding="utf-8"?>
<c:userShapes xmlns:c="http://schemas.openxmlformats.org/drawingml/2006/chart">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EV/Sales</a:t>
          </a:r>
        </a:p>
      </cdr:txBody>
    </cdr:sp>
  </cdr:relSizeAnchor>
  <cdr:relSizeAnchor xmlns:cdr="http://schemas.openxmlformats.org/drawingml/2006/chartDrawing">
    <cdr:from>
      <cdr:x>0.79965</cdr:x>
      <cdr:y>0.8196</cdr:y>
    </cdr:from>
    <cdr:to>
      <cdr:x>0.9334</cdr:x>
      <cdr:y>0.89087</cdr:y>
    </cdr:to>
    <cdr:sp macro="" textlink="">
      <cdr:nvSpPr>
        <cdr:cNvPr id="3" name="ZoneTexte 2"/>
        <cdr:cNvSpPr txBox="1"/>
      </cdr:nvSpPr>
      <cdr:spPr>
        <a:xfrm xmlns:a="http://schemas.openxmlformats.org/drawingml/2006/main">
          <a:off x="5348575" y="3115742"/>
          <a:ext cx="894609"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Mobile % Rev</a:t>
          </a:r>
        </a:p>
      </cdr:txBody>
    </cdr:sp>
  </cdr:relSizeAnchor>
</c:userShapes>
</file>

<file path=xl/drawings/drawing50.xml><?xml version="1.0" encoding="utf-8"?>
<xdr:wsDr xmlns:xdr="http://schemas.openxmlformats.org/drawingml/2006/spreadsheetDrawing" xmlns:a="http://schemas.openxmlformats.org/drawingml/2006/main">
  <xdr:twoCellAnchor editAs="oneCell">
    <xdr:from>
      <xdr:col>16</xdr:col>
      <xdr:colOff>238606</xdr:colOff>
      <xdr:row>100</xdr:row>
      <xdr:rowOff>80819</xdr:rowOff>
    </xdr:from>
    <xdr:to>
      <xdr:col>20</xdr:col>
      <xdr:colOff>353630</xdr:colOff>
      <xdr:row>105</xdr:row>
      <xdr:rowOff>131620</xdr:rowOff>
    </xdr:to>
    <xdr:pic>
      <xdr:nvPicPr>
        <xdr:cNvPr id="2" name="Picture 22"/>
        <xdr:cNvPicPr>
          <a:picLocks noChangeAspect="1" noChangeArrowheads="1"/>
        </xdr:cNvPicPr>
      </xdr:nvPicPr>
      <xdr:blipFill>
        <a:blip xmlns:r="http://schemas.openxmlformats.org/officeDocument/2006/relationships" r:embed="rId1" cstate="print"/>
        <a:srcRect l="2630" t="34477"/>
        <a:stretch>
          <a:fillRect/>
        </a:stretch>
      </xdr:blipFill>
      <xdr:spPr bwMode="auto">
        <a:xfrm>
          <a:off x="7824739" y="13288819"/>
          <a:ext cx="2202057" cy="897467"/>
        </a:xfrm>
        <a:prstGeom prst="rect">
          <a:avLst/>
        </a:prstGeom>
        <a:noFill/>
      </xdr:spPr>
    </xdr:pic>
    <xdr:clientData/>
  </xdr:twoCellAnchor>
  <xdr:twoCellAnchor editAs="oneCell">
    <xdr:from>
      <xdr:col>22</xdr:col>
      <xdr:colOff>404094</xdr:colOff>
      <xdr:row>100</xdr:row>
      <xdr:rowOff>18472</xdr:rowOff>
    </xdr:from>
    <xdr:to>
      <xdr:col>27</xdr:col>
      <xdr:colOff>55038</xdr:colOff>
      <xdr:row>106</xdr:row>
      <xdr:rowOff>1934</xdr:rowOff>
    </xdr:to>
    <xdr:pic>
      <xdr:nvPicPr>
        <xdr:cNvPr id="3" name="Picture 23"/>
        <xdr:cNvPicPr>
          <a:picLocks noChangeAspect="1" noChangeArrowheads="1"/>
        </xdr:cNvPicPr>
      </xdr:nvPicPr>
      <xdr:blipFill>
        <a:blip xmlns:r="http://schemas.openxmlformats.org/officeDocument/2006/relationships" r:embed="rId2" cstate="print"/>
        <a:srcRect r="942"/>
        <a:stretch>
          <a:fillRect/>
        </a:stretch>
      </xdr:blipFill>
      <xdr:spPr bwMode="auto">
        <a:xfrm>
          <a:off x="14221694" y="13226472"/>
          <a:ext cx="2106277" cy="995228"/>
        </a:xfrm>
        <a:prstGeom prst="rect">
          <a:avLst/>
        </a:prstGeom>
        <a:noFill/>
      </xdr:spPr>
    </xdr:pic>
    <xdr:clientData/>
  </xdr:twoCellAnchor>
  <xdr:twoCellAnchor editAs="oneCell">
    <xdr:from>
      <xdr:col>22</xdr:col>
      <xdr:colOff>108824</xdr:colOff>
      <xdr:row>116</xdr:row>
      <xdr:rowOff>47625</xdr:rowOff>
    </xdr:from>
    <xdr:to>
      <xdr:col>28</xdr:col>
      <xdr:colOff>48681</xdr:colOff>
      <xdr:row>127</xdr:row>
      <xdr:rowOff>20956</xdr:rowOff>
    </xdr:to>
    <xdr:pic>
      <xdr:nvPicPr>
        <xdr:cNvPr id="4" name="Picture 24"/>
        <xdr:cNvPicPr>
          <a:picLocks noChangeAspect="1" noChangeArrowheads="1"/>
        </xdr:cNvPicPr>
      </xdr:nvPicPr>
      <xdr:blipFill>
        <a:blip xmlns:r="http://schemas.openxmlformats.org/officeDocument/2006/relationships" r:embed="rId3" cstate="print"/>
        <a:srcRect/>
        <a:stretch>
          <a:fillRect/>
        </a:stretch>
      </xdr:blipFill>
      <xdr:spPr bwMode="auto">
        <a:xfrm>
          <a:off x="13215224" y="13123545"/>
          <a:ext cx="2850697" cy="1817370"/>
        </a:xfrm>
        <a:prstGeom prst="rect">
          <a:avLst/>
        </a:prstGeom>
        <a:noFill/>
      </xdr:spPr>
    </xdr:pic>
    <xdr:clientData/>
  </xdr:twoCellAnchor>
  <xdr:twoCellAnchor editAs="oneCell">
    <xdr:from>
      <xdr:col>22</xdr:col>
      <xdr:colOff>108824</xdr:colOff>
      <xdr:row>128</xdr:row>
      <xdr:rowOff>0</xdr:rowOff>
    </xdr:from>
    <xdr:to>
      <xdr:col>28</xdr:col>
      <xdr:colOff>48681</xdr:colOff>
      <xdr:row>138</xdr:row>
      <xdr:rowOff>152399</xdr:rowOff>
    </xdr:to>
    <xdr:pic>
      <xdr:nvPicPr>
        <xdr:cNvPr id="5" name="Picture 25"/>
        <xdr:cNvPicPr>
          <a:picLocks noChangeAspect="1" noChangeArrowheads="1"/>
        </xdr:cNvPicPr>
      </xdr:nvPicPr>
      <xdr:blipFill>
        <a:blip xmlns:r="http://schemas.openxmlformats.org/officeDocument/2006/relationships" r:embed="rId4" cstate="print"/>
        <a:srcRect/>
        <a:stretch>
          <a:fillRect/>
        </a:stretch>
      </xdr:blipFill>
      <xdr:spPr bwMode="auto">
        <a:xfrm>
          <a:off x="13215224" y="15087600"/>
          <a:ext cx="2850697" cy="1828800"/>
        </a:xfrm>
        <a:prstGeom prst="rect">
          <a:avLst/>
        </a:prstGeom>
        <a:noFill/>
      </xdr:spPr>
    </xdr:pic>
    <xdr:clientData/>
  </xdr:twoCellAnchor>
  <xdr:twoCellAnchor editAs="oneCell">
    <xdr:from>
      <xdr:col>16</xdr:col>
      <xdr:colOff>75080</xdr:colOff>
      <xdr:row>116</xdr:row>
      <xdr:rowOff>76200</xdr:rowOff>
    </xdr:from>
    <xdr:to>
      <xdr:col>21</xdr:col>
      <xdr:colOff>324725</xdr:colOff>
      <xdr:row>127</xdr:row>
      <xdr:rowOff>40979</xdr:rowOff>
    </xdr:to>
    <xdr:pic>
      <xdr:nvPicPr>
        <xdr:cNvPr id="6" name="Picture 26"/>
        <xdr:cNvPicPr>
          <a:picLocks noChangeAspect="1" noChangeArrowheads="1"/>
        </xdr:cNvPicPr>
      </xdr:nvPicPr>
      <xdr:blipFill>
        <a:blip xmlns:r="http://schemas.openxmlformats.org/officeDocument/2006/relationships" r:embed="rId5" cstate="print"/>
        <a:srcRect/>
        <a:stretch>
          <a:fillRect/>
        </a:stretch>
      </xdr:blipFill>
      <xdr:spPr bwMode="auto">
        <a:xfrm>
          <a:off x="10232540" y="13152120"/>
          <a:ext cx="2811234" cy="1808818"/>
        </a:xfrm>
        <a:prstGeom prst="rect">
          <a:avLst/>
        </a:prstGeom>
        <a:noFill/>
      </xdr:spPr>
    </xdr:pic>
    <xdr:clientData/>
  </xdr:twoCellAnchor>
  <xdr:twoCellAnchor editAs="oneCell">
    <xdr:from>
      <xdr:col>16</xdr:col>
      <xdr:colOff>61744</xdr:colOff>
      <xdr:row>127</xdr:row>
      <xdr:rowOff>152400</xdr:rowOff>
    </xdr:from>
    <xdr:to>
      <xdr:col>21</xdr:col>
      <xdr:colOff>345680</xdr:colOff>
      <xdr:row>139</xdr:row>
      <xdr:rowOff>9840</xdr:rowOff>
    </xdr:to>
    <xdr:pic>
      <xdr:nvPicPr>
        <xdr:cNvPr id="7" name="Picture 27"/>
        <xdr:cNvPicPr>
          <a:picLocks noChangeAspect="1" noChangeArrowheads="1"/>
        </xdr:cNvPicPr>
      </xdr:nvPicPr>
      <xdr:blipFill>
        <a:blip xmlns:r="http://schemas.openxmlformats.org/officeDocument/2006/relationships" r:embed="rId6" cstate="print"/>
        <a:srcRect/>
        <a:stretch>
          <a:fillRect/>
        </a:stretch>
      </xdr:blipFill>
      <xdr:spPr bwMode="auto">
        <a:xfrm>
          <a:off x="10219204" y="15072360"/>
          <a:ext cx="2845525" cy="1869119"/>
        </a:xfrm>
        <a:prstGeom prst="rect">
          <a:avLst/>
        </a:prstGeom>
        <a:noFill/>
      </xdr:spPr>
    </xdr:pic>
    <xdr:clientData/>
  </xdr:twoCellAnchor>
  <xdr:twoCellAnchor editAs="oneCell">
    <xdr:from>
      <xdr:col>28</xdr:col>
      <xdr:colOff>378246</xdr:colOff>
      <xdr:row>116</xdr:row>
      <xdr:rowOff>32386</xdr:rowOff>
    </xdr:from>
    <xdr:to>
      <xdr:col>34</xdr:col>
      <xdr:colOff>258503</xdr:colOff>
      <xdr:row>127</xdr:row>
      <xdr:rowOff>145467</xdr:rowOff>
    </xdr:to>
    <xdr:pic>
      <xdr:nvPicPr>
        <xdr:cNvPr id="8" name="Picture 28"/>
        <xdr:cNvPicPr>
          <a:picLocks noChangeAspect="1" noChangeArrowheads="1"/>
        </xdr:cNvPicPr>
      </xdr:nvPicPr>
      <xdr:blipFill>
        <a:blip xmlns:r="http://schemas.openxmlformats.org/officeDocument/2006/relationships" r:embed="rId7" cstate="print"/>
        <a:srcRect/>
        <a:stretch>
          <a:fillRect/>
        </a:stretch>
      </xdr:blipFill>
      <xdr:spPr bwMode="auto">
        <a:xfrm>
          <a:off x="17485146" y="16834486"/>
          <a:ext cx="2632982" cy="1999031"/>
        </a:xfrm>
        <a:prstGeom prst="rect">
          <a:avLst/>
        </a:prstGeom>
        <a:noFill/>
      </xdr:spPr>
    </xdr:pic>
    <xdr:clientData/>
  </xdr:twoCellAnchor>
  <xdr:twoCellAnchor editAs="oneCell">
    <xdr:from>
      <xdr:col>28</xdr:col>
      <xdr:colOff>414441</xdr:colOff>
      <xdr:row>128</xdr:row>
      <xdr:rowOff>13335</xdr:rowOff>
    </xdr:from>
    <xdr:to>
      <xdr:col>34</xdr:col>
      <xdr:colOff>88958</xdr:colOff>
      <xdr:row>140</xdr:row>
      <xdr:rowOff>53414</xdr:rowOff>
    </xdr:to>
    <xdr:pic>
      <xdr:nvPicPr>
        <xdr:cNvPr id="9" name="Picture 29"/>
        <xdr:cNvPicPr>
          <a:picLocks noChangeAspect="1" noChangeArrowheads="1"/>
        </xdr:cNvPicPr>
      </xdr:nvPicPr>
      <xdr:blipFill>
        <a:blip xmlns:r="http://schemas.openxmlformats.org/officeDocument/2006/relationships" r:embed="rId8" cstate="print"/>
        <a:srcRect/>
        <a:stretch>
          <a:fillRect/>
        </a:stretch>
      </xdr:blipFill>
      <xdr:spPr bwMode="auto">
        <a:xfrm>
          <a:off x="17521341" y="18872835"/>
          <a:ext cx="2427242" cy="2097480"/>
        </a:xfrm>
        <a:prstGeom prst="rect">
          <a:avLst/>
        </a:prstGeom>
        <a:noFill/>
      </xdr:spPr>
    </xdr:pic>
    <xdr:clientData/>
  </xdr:twoCellAnchor>
  <xdr:twoCellAnchor editAs="oneCell">
    <xdr:from>
      <xdr:col>34</xdr:col>
      <xdr:colOff>367088</xdr:colOff>
      <xdr:row>116</xdr:row>
      <xdr:rowOff>72391</xdr:rowOff>
    </xdr:from>
    <xdr:to>
      <xdr:col>40</xdr:col>
      <xdr:colOff>1328</xdr:colOff>
      <xdr:row>128</xdr:row>
      <xdr:rowOff>72941</xdr:rowOff>
    </xdr:to>
    <xdr:pic>
      <xdr:nvPicPr>
        <xdr:cNvPr id="10" name="Picture 30"/>
        <xdr:cNvPicPr>
          <a:picLocks noChangeAspect="1" noChangeArrowheads="1"/>
        </xdr:cNvPicPr>
      </xdr:nvPicPr>
      <xdr:blipFill>
        <a:blip xmlns:r="http://schemas.openxmlformats.org/officeDocument/2006/relationships" r:embed="rId9" cstate="print"/>
        <a:srcRect/>
        <a:stretch>
          <a:fillRect/>
        </a:stretch>
      </xdr:blipFill>
      <xdr:spPr bwMode="auto">
        <a:xfrm>
          <a:off x="20217188" y="16874491"/>
          <a:ext cx="2434590" cy="2057949"/>
        </a:xfrm>
        <a:prstGeom prst="rect">
          <a:avLst/>
        </a:prstGeom>
        <a:noFill/>
      </xdr:spPr>
    </xdr:pic>
    <xdr:clientData/>
  </xdr:twoCellAnchor>
  <xdr:twoCellAnchor editAs="oneCell">
    <xdr:from>
      <xdr:col>34</xdr:col>
      <xdr:colOff>334703</xdr:colOff>
      <xdr:row>128</xdr:row>
      <xdr:rowOff>15240</xdr:rowOff>
    </xdr:from>
    <xdr:to>
      <xdr:col>40</xdr:col>
      <xdr:colOff>218498</xdr:colOff>
      <xdr:row>140</xdr:row>
      <xdr:rowOff>159257</xdr:rowOff>
    </xdr:to>
    <xdr:pic>
      <xdr:nvPicPr>
        <xdr:cNvPr id="11" name="Picture 31"/>
        <xdr:cNvPicPr>
          <a:picLocks noChangeAspect="1" noChangeArrowheads="1"/>
        </xdr:cNvPicPr>
      </xdr:nvPicPr>
      <xdr:blipFill>
        <a:blip xmlns:r="http://schemas.openxmlformats.org/officeDocument/2006/relationships" r:embed="rId10" cstate="print"/>
        <a:srcRect/>
        <a:stretch>
          <a:fillRect/>
        </a:stretch>
      </xdr:blipFill>
      <xdr:spPr bwMode="auto">
        <a:xfrm>
          <a:off x="20184803" y="18874740"/>
          <a:ext cx="2684145" cy="2201418"/>
        </a:xfrm>
        <a:prstGeom prst="rect">
          <a:avLst/>
        </a:prstGeom>
        <a:noFill/>
      </xdr:spPr>
    </xdr:pic>
    <xdr:clientData/>
  </xdr:twoCellAnchor>
  <xdr:twoCellAnchor editAs="oneCell">
    <xdr:from>
      <xdr:col>15</xdr:col>
      <xdr:colOff>403860</xdr:colOff>
      <xdr:row>361</xdr:row>
      <xdr:rowOff>68580</xdr:rowOff>
    </xdr:from>
    <xdr:to>
      <xdr:col>24</xdr:col>
      <xdr:colOff>170248</xdr:colOff>
      <xdr:row>369</xdr:row>
      <xdr:rowOff>137160</xdr:rowOff>
    </xdr:to>
    <xdr:pic>
      <xdr:nvPicPr>
        <xdr:cNvPr id="12" name="Picture 32"/>
        <xdr:cNvPicPr>
          <a:picLocks noChangeAspect="1" noChangeArrowheads="1"/>
        </xdr:cNvPicPr>
      </xdr:nvPicPr>
      <xdr:blipFill>
        <a:blip xmlns:r="http://schemas.openxmlformats.org/officeDocument/2006/relationships" r:embed="rId11" cstate="print"/>
        <a:srcRect/>
        <a:stretch>
          <a:fillRect/>
        </a:stretch>
      </xdr:blipFill>
      <xdr:spPr bwMode="auto">
        <a:xfrm>
          <a:off x="10043160" y="37010340"/>
          <a:ext cx="4347278" cy="1409701"/>
        </a:xfrm>
        <a:prstGeom prst="rect">
          <a:avLst/>
        </a:prstGeom>
        <a:noFill/>
      </xdr:spPr>
    </xdr:pic>
    <xdr:clientData/>
  </xdr:twoCellAnchor>
  <xdr:twoCellAnchor editAs="oneCell">
    <xdr:from>
      <xdr:col>26</xdr:col>
      <xdr:colOff>403860</xdr:colOff>
      <xdr:row>363</xdr:row>
      <xdr:rowOff>38100</xdr:rowOff>
    </xdr:from>
    <xdr:to>
      <xdr:col>34</xdr:col>
      <xdr:colOff>20955</xdr:colOff>
      <xdr:row>368</xdr:row>
      <xdr:rowOff>15241</xdr:rowOff>
    </xdr:to>
    <xdr:pic>
      <xdr:nvPicPr>
        <xdr:cNvPr id="13" name="Picture 33"/>
        <xdr:cNvPicPr>
          <a:picLocks noChangeAspect="1" noChangeArrowheads="1"/>
        </xdr:cNvPicPr>
      </xdr:nvPicPr>
      <xdr:blipFill>
        <a:blip xmlns:r="http://schemas.openxmlformats.org/officeDocument/2006/relationships" r:embed="rId12" cstate="print"/>
        <a:srcRect/>
        <a:stretch>
          <a:fillRect/>
        </a:stretch>
      </xdr:blipFill>
      <xdr:spPr bwMode="auto">
        <a:xfrm>
          <a:off x="15392400" y="37315140"/>
          <a:ext cx="3284220" cy="815340"/>
        </a:xfrm>
        <a:prstGeom prst="rect">
          <a:avLst/>
        </a:prstGeom>
        <a:noFill/>
      </xdr:spPr>
    </xdr:pic>
    <xdr:clientData/>
  </xdr:twoCellAnchor>
  <xdr:twoCellAnchor editAs="oneCell">
    <xdr:from>
      <xdr:col>15</xdr:col>
      <xdr:colOff>472440</xdr:colOff>
      <xdr:row>369</xdr:row>
      <xdr:rowOff>152400</xdr:rowOff>
    </xdr:from>
    <xdr:to>
      <xdr:col>20</xdr:col>
      <xdr:colOff>261621</xdr:colOff>
      <xdr:row>377</xdr:row>
      <xdr:rowOff>114299</xdr:rowOff>
    </xdr:to>
    <xdr:pic>
      <xdr:nvPicPr>
        <xdr:cNvPr id="14" name="Picture 34"/>
        <xdr:cNvPicPr>
          <a:picLocks noChangeAspect="1" noChangeArrowheads="1"/>
        </xdr:cNvPicPr>
      </xdr:nvPicPr>
      <xdr:blipFill>
        <a:blip xmlns:r="http://schemas.openxmlformats.org/officeDocument/2006/relationships" r:embed="rId13" cstate="print"/>
        <a:srcRect/>
        <a:stretch>
          <a:fillRect/>
        </a:stretch>
      </xdr:blipFill>
      <xdr:spPr bwMode="auto">
        <a:xfrm>
          <a:off x="10111740" y="38435280"/>
          <a:ext cx="2430781" cy="1303019"/>
        </a:xfrm>
        <a:prstGeom prst="rect">
          <a:avLst/>
        </a:prstGeom>
        <a:noFill/>
      </xdr:spPr>
    </xdr:pic>
    <xdr:clientData/>
  </xdr:twoCellAnchor>
  <xdr:twoCellAnchor editAs="oneCell">
    <xdr:from>
      <xdr:col>24</xdr:col>
      <xdr:colOff>327660</xdr:colOff>
      <xdr:row>362</xdr:row>
      <xdr:rowOff>22860</xdr:rowOff>
    </xdr:from>
    <xdr:to>
      <xdr:col>25</xdr:col>
      <xdr:colOff>405765</xdr:colOff>
      <xdr:row>369</xdr:row>
      <xdr:rowOff>121557</xdr:rowOff>
    </xdr:to>
    <xdr:pic>
      <xdr:nvPicPr>
        <xdr:cNvPr id="15" name="Picture 35"/>
        <xdr:cNvPicPr>
          <a:picLocks noChangeAspect="1" noChangeArrowheads="1"/>
        </xdr:cNvPicPr>
      </xdr:nvPicPr>
      <xdr:blipFill>
        <a:blip xmlns:r="http://schemas.openxmlformats.org/officeDocument/2006/relationships" r:embed="rId14" cstate="print"/>
        <a:srcRect t="17622" r="11905"/>
        <a:stretch>
          <a:fillRect/>
        </a:stretch>
      </xdr:blipFill>
      <xdr:spPr bwMode="auto">
        <a:xfrm>
          <a:off x="14401800" y="37132260"/>
          <a:ext cx="563880" cy="1272177"/>
        </a:xfrm>
        <a:prstGeom prst="rect">
          <a:avLst/>
        </a:prstGeom>
        <a:noFill/>
      </xdr:spPr>
    </xdr:pic>
    <xdr:clientData/>
  </xdr:twoCellAnchor>
  <xdr:twoCellAnchor editAs="oneCell">
    <xdr:from>
      <xdr:col>20</xdr:col>
      <xdr:colOff>350520</xdr:colOff>
      <xdr:row>370</xdr:row>
      <xdr:rowOff>137159</xdr:rowOff>
    </xdr:from>
    <xdr:to>
      <xdr:col>21</xdr:col>
      <xdr:colOff>391385</xdr:colOff>
      <xdr:row>377</xdr:row>
      <xdr:rowOff>129540</xdr:rowOff>
    </xdr:to>
    <xdr:pic>
      <xdr:nvPicPr>
        <xdr:cNvPr id="16" name="Picture 36"/>
        <xdr:cNvPicPr>
          <a:picLocks noChangeAspect="1" noChangeArrowheads="1"/>
        </xdr:cNvPicPr>
      </xdr:nvPicPr>
      <xdr:blipFill>
        <a:blip xmlns:r="http://schemas.openxmlformats.org/officeDocument/2006/relationships" r:embed="rId15" cstate="print"/>
        <a:srcRect/>
        <a:stretch>
          <a:fillRect/>
        </a:stretch>
      </xdr:blipFill>
      <xdr:spPr bwMode="auto">
        <a:xfrm>
          <a:off x="12542520" y="38587679"/>
          <a:ext cx="517115" cy="1165861"/>
        </a:xfrm>
        <a:prstGeom prst="rect">
          <a:avLst/>
        </a:prstGeom>
        <a:noFill/>
      </xdr:spPr>
    </xdr:pic>
    <xdr:clientData/>
  </xdr:twoCellAnchor>
  <xdr:twoCellAnchor editAs="oneCell">
    <xdr:from>
      <xdr:col>42</xdr:col>
      <xdr:colOff>229657</xdr:colOff>
      <xdr:row>5</xdr:row>
      <xdr:rowOff>25586</xdr:rowOff>
    </xdr:from>
    <xdr:to>
      <xdr:col>53</xdr:col>
      <xdr:colOff>265048</xdr:colOff>
      <xdr:row>32</xdr:row>
      <xdr:rowOff>25587</xdr:rowOff>
    </xdr:to>
    <xdr:pic>
      <xdr:nvPicPr>
        <xdr:cNvPr id="17" name="Image 16" descr="bgc1.bmp"/>
        <xdr:cNvPicPr>
          <a:picLocks noChangeAspect="1"/>
        </xdr:cNvPicPr>
      </xdr:nvPicPr>
      <xdr:blipFill>
        <a:blip xmlns:r="http://schemas.openxmlformats.org/officeDocument/2006/relationships" r:embed="rId16" cstate="print"/>
        <a:srcRect t="8433" b="12503"/>
        <a:stretch>
          <a:fillRect/>
        </a:stretch>
      </xdr:blipFill>
      <xdr:spPr>
        <a:xfrm>
          <a:off x="24201281" y="877233"/>
          <a:ext cx="8049838" cy="4598895"/>
        </a:xfrm>
        <a:prstGeom prst="rect">
          <a:avLst/>
        </a:prstGeom>
      </xdr:spPr>
    </xdr:pic>
    <xdr:clientData/>
  </xdr:twoCellAnchor>
  <xdr:twoCellAnchor editAs="oneCell">
    <xdr:from>
      <xdr:col>23</xdr:col>
      <xdr:colOff>19050</xdr:colOff>
      <xdr:row>243</xdr:row>
      <xdr:rowOff>76200</xdr:rowOff>
    </xdr:from>
    <xdr:to>
      <xdr:col>30</xdr:col>
      <xdr:colOff>323850</xdr:colOff>
      <xdr:row>264</xdr:row>
      <xdr:rowOff>49530</xdr:rowOff>
    </xdr:to>
    <xdr:pic>
      <xdr:nvPicPr>
        <xdr:cNvPr id="2667572" name="Picture 52"/>
        <xdr:cNvPicPr>
          <a:picLocks noChangeAspect="1" noChangeArrowheads="1"/>
        </xdr:cNvPicPr>
      </xdr:nvPicPr>
      <xdr:blipFill>
        <a:blip xmlns:r="http://schemas.openxmlformats.org/officeDocument/2006/relationships" r:embed="rId17" cstate="print"/>
        <a:srcRect/>
        <a:stretch>
          <a:fillRect/>
        </a:stretch>
      </xdr:blipFill>
      <xdr:spPr bwMode="auto">
        <a:xfrm>
          <a:off x="15163800" y="39843075"/>
          <a:ext cx="3676650" cy="3573780"/>
        </a:xfrm>
        <a:prstGeom prst="rect">
          <a:avLst/>
        </a:prstGeom>
        <a:noFill/>
      </xdr:spPr>
    </xdr:pic>
    <xdr:clientData/>
  </xdr:twoCellAnchor>
  <xdr:twoCellAnchor editAs="oneCell">
    <xdr:from>
      <xdr:col>34</xdr:col>
      <xdr:colOff>66675</xdr:colOff>
      <xdr:row>212</xdr:row>
      <xdr:rowOff>76200</xdr:rowOff>
    </xdr:from>
    <xdr:to>
      <xdr:col>45</xdr:col>
      <xdr:colOff>283845</xdr:colOff>
      <xdr:row>230</xdr:row>
      <xdr:rowOff>41910</xdr:rowOff>
    </xdr:to>
    <xdr:pic>
      <xdr:nvPicPr>
        <xdr:cNvPr id="2667581" name="Picture 61"/>
        <xdr:cNvPicPr>
          <a:picLocks noChangeAspect="1" noChangeArrowheads="1"/>
        </xdr:cNvPicPr>
      </xdr:nvPicPr>
      <xdr:blipFill>
        <a:blip xmlns:r="http://schemas.openxmlformats.org/officeDocument/2006/relationships" r:embed="rId18" cstate="print"/>
        <a:srcRect/>
        <a:stretch>
          <a:fillRect/>
        </a:stretch>
      </xdr:blipFill>
      <xdr:spPr bwMode="auto">
        <a:xfrm>
          <a:off x="20307300" y="36242625"/>
          <a:ext cx="5636895" cy="3051810"/>
        </a:xfrm>
        <a:prstGeom prst="rect">
          <a:avLst/>
        </a:prstGeom>
        <a:noFill/>
      </xdr:spPr>
    </xdr:pic>
    <xdr:clientData/>
  </xdr:twoCellAnchor>
  <xdr:twoCellAnchor editAs="oneCell">
    <xdr:from>
      <xdr:col>34</xdr:col>
      <xdr:colOff>57150</xdr:colOff>
      <xdr:row>230</xdr:row>
      <xdr:rowOff>114300</xdr:rowOff>
    </xdr:from>
    <xdr:to>
      <xdr:col>45</xdr:col>
      <xdr:colOff>255270</xdr:colOff>
      <xdr:row>239</xdr:row>
      <xdr:rowOff>114301</xdr:rowOff>
    </xdr:to>
    <xdr:pic>
      <xdr:nvPicPr>
        <xdr:cNvPr id="2667582" name="Picture 62"/>
        <xdr:cNvPicPr>
          <a:picLocks noChangeAspect="1" noChangeArrowheads="1"/>
        </xdr:cNvPicPr>
      </xdr:nvPicPr>
      <xdr:blipFill>
        <a:blip xmlns:r="http://schemas.openxmlformats.org/officeDocument/2006/relationships" r:embed="rId19" cstate="print"/>
        <a:srcRect/>
        <a:stretch>
          <a:fillRect/>
        </a:stretch>
      </xdr:blipFill>
      <xdr:spPr bwMode="auto">
        <a:xfrm>
          <a:off x="20297775" y="39366825"/>
          <a:ext cx="5617845" cy="1543050"/>
        </a:xfrm>
        <a:prstGeom prst="rect">
          <a:avLst/>
        </a:prstGeom>
        <a:noFill/>
      </xdr:spPr>
    </xdr:pic>
    <xdr:clientData/>
  </xdr:twoCellAnchor>
  <xdr:twoCellAnchor editAs="oneCell">
    <xdr:from>
      <xdr:col>45</xdr:col>
      <xdr:colOff>219075</xdr:colOff>
      <xdr:row>230</xdr:row>
      <xdr:rowOff>114300</xdr:rowOff>
    </xdr:from>
    <xdr:to>
      <xdr:col>53</xdr:col>
      <xdr:colOff>291083</xdr:colOff>
      <xdr:row>239</xdr:row>
      <xdr:rowOff>85726</xdr:rowOff>
    </xdr:to>
    <xdr:pic>
      <xdr:nvPicPr>
        <xdr:cNvPr id="2667583" name="Picture 63"/>
        <xdr:cNvPicPr>
          <a:picLocks noChangeAspect="1" noChangeArrowheads="1"/>
        </xdr:cNvPicPr>
      </xdr:nvPicPr>
      <xdr:blipFill>
        <a:blip xmlns:r="http://schemas.openxmlformats.org/officeDocument/2006/relationships" r:embed="rId20" cstate="print"/>
        <a:srcRect/>
        <a:stretch>
          <a:fillRect/>
        </a:stretch>
      </xdr:blipFill>
      <xdr:spPr bwMode="auto">
        <a:xfrm>
          <a:off x="25879425" y="39366825"/>
          <a:ext cx="6396608" cy="1514475"/>
        </a:xfrm>
        <a:prstGeom prst="rect">
          <a:avLst/>
        </a:prstGeom>
        <a:noFill/>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25</xdr:col>
      <xdr:colOff>528615</xdr:colOff>
      <xdr:row>54</xdr:row>
      <xdr:rowOff>4508</xdr:rowOff>
    </xdr:from>
    <xdr:to>
      <xdr:col>27</xdr:col>
      <xdr:colOff>622824</xdr:colOff>
      <xdr:row>56</xdr:row>
      <xdr:rowOff>160589</xdr:rowOff>
    </xdr:to>
    <xdr:pic>
      <xdr:nvPicPr>
        <xdr:cNvPr id="2" name="Picture 3" descr=" S_n=a \sum_{k=0}^{n-1} q^{k} =a \frac{1-q^{n}}{1-q}"/>
        <xdr:cNvPicPr>
          <a:picLocks noChangeAspect="1" noChangeArrowheads="1"/>
        </xdr:cNvPicPr>
      </xdr:nvPicPr>
      <xdr:blipFill>
        <a:blip xmlns:r="http://schemas.openxmlformats.org/officeDocument/2006/relationships" r:embed="rId1" cstate="print"/>
        <a:srcRect/>
        <a:stretch>
          <a:fillRect/>
        </a:stretch>
      </xdr:blipFill>
      <xdr:spPr bwMode="auto">
        <a:xfrm>
          <a:off x="19011348" y="9173908"/>
          <a:ext cx="1482743" cy="494748"/>
        </a:xfrm>
        <a:prstGeom prst="rect">
          <a:avLst/>
        </a:prstGeom>
        <a:noFill/>
        <a:ln w="9525">
          <a:noFill/>
          <a:miter lim="800000"/>
          <a:headEnd/>
          <a:tailEnd/>
        </a:ln>
      </xdr:spPr>
    </xdr:pic>
    <xdr:clientData/>
  </xdr:twoCellAnchor>
  <xdr:twoCellAnchor>
    <xdr:from>
      <xdr:col>14</xdr:col>
      <xdr:colOff>59267</xdr:colOff>
      <xdr:row>51</xdr:row>
      <xdr:rowOff>93133</xdr:rowOff>
    </xdr:from>
    <xdr:to>
      <xdr:col>22</xdr:col>
      <xdr:colOff>750416</xdr:colOff>
      <xdr:row>51</xdr:row>
      <xdr:rowOff>93133</xdr:rowOff>
    </xdr:to>
    <xdr:cxnSp macro="">
      <xdr:nvCxnSpPr>
        <xdr:cNvPr id="4" name="Connecteur droit avec flèche 3"/>
        <xdr:cNvCxnSpPr/>
      </xdr:nvCxnSpPr>
      <xdr:spPr>
        <a:xfrm>
          <a:off x="13394267" y="9194800"/>
          <a:ext cx="7058082" cy="0"/>
        </a:xfrm>
        <a:prstGeom prst="straightConnector1">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33867</xdr:colOff>
      <xdr:row>65</xdr:row>
      <xdr:rowOff>33866</xdr:rowOff>
    </xdr:from>
    <xdr:to>
      <xdr:col>24</xdr:col>
      <xdr:colOff>245533</xdr:colOff>
      <xdr:row>70</xdr:row>
      <xdr:rowOff>93135</xdr:rowOff>
    </xdr:to>
    <xdr:cxnSp macro="">
      <xdr:nvCxnSpPr>
        <xdr:cNvPr id="9" name="Connecteur en angle 8"/>
        <xdr:cNvCxnSpPr/>
      </xdr:nvCxnSpPr>
      <xdr:spPr>
        <a:xfrm flipV="1">
          <a:off x="11573934" y="11065933"/>
          <a:ext cx="6460066" cy="914402"/>
        </a:xfrm>
        <a:prstGeom prst="bentConnector3">
          <a:avLst>
            <a:gd name="adj1" fmla="val 100066"/>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81678</xdr:colOff>
      <xdr:row>43</xdr:row>
      <xdr:rowOff>89647</xdr:rowOff>
    </xdr:from>
    <xdr:to>
      <xdr:col>22</xdr:col>
      <xdr:colOff>753036</xdr:colOff>
      <xdr:row>43</xdr:row>
      <xdr:rowOff>89647</xdr:rowOff>
    </xdr:to>
    <xdr:cxnSp macro="">
      <xdr:nvCxnSpPr>
        <xdr:cNvPr id="5" name="Connecteur droit avec flèche 4"/>
        <xdr:cNvCxnSpPr/>
      </xdr:nvCxnSpPr>
      <xdr:spPr>
        <a:xfrm flipV="1">
          <a:off x="14227984" y="7888941"/>
          <a:ext cx="4615828" cy="0"/>
        </a:xfrm>
        <a:prstGeom prst="straightConnector1">
          <a:avLst/>
        </a:prstGeom>
        <a:ln>
          <a:solidFill>
            <a:srgbClr val="FFC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2.xml><?xml version="1.0" encoding="utf-8"?>
<xdr:wsDr xmlns:xdr="http://schemas.openxmlformats.org/drawingml/2006/spreadsheetDrawing" xmlns:a="http://schemas.openxmlformats.org/drawingml/2006/main">
  <xdr:twoCellAnchor>
    <xdr:from>
      <xdr:col>170</xdr:col>
      <xdr:colOff>0</xdr:colOff>
      <xdr:row>1</xdr:row>
      <xdr:rowOff>123825</xdr:rowOff>
    </xdr:from>
    <xdr:to>
      <xdr:col>185</xdr:col>
      <xdr:colOff>66675</xdr:colOff>
      <xdr:row>27</xdr:row>
      <xdr:rowOff>38101</xdr:rowOff>
    </xdr:to>
    <xdr:cxnSp macro="">
      <xdr:nvCxnSpPr>
        <xdr:cNvPr id="3" name="Connecteur droit 2"/>
        <xdr:cNvCxnSpPr/>
      </xdr:nvCxnSpPr>
      <xdr:spPr>
        <a:xfrm flipV="1">
          <a:off x="132845175" y="295275"/>
          <a:ext cx="11782425" cy="4371976"/>
        </a:xfrm>
        <a:prstGeom prst="line">
          <a:avLst/>
        </a:prstGeom>
        <a:ln>
          <a:solidFill>
            <a:srgbClr val="FFC000"/>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609600</xdr:colOff>
      <xdr:row>3</xdr:row>
      <xdr:rowOff>133350</xdr:rowOff>
    </xdr:from>
    <xdr:to>
      <xdr:col>151</xdr:col>
      <xdr:colOff>619125</xdr:colOff>
      <xdr:row>27</xdr:row>
      <xdr:rowOff>47625</xdr:rowOff>
    </xdr:to>
    <xdr:cxnSp macro="">
      <xdr:nvCxnSpPr>
        <xdr:cNvPr id="5" name="Connecteur droit 4"/>
        <xdr:cNvCxnSpPr/>
      </xdr:nvCxnSpPr>
      <xdr:spPr>
        <a:xfrm flipV="1">
          <a:off x="94402275" y="647700"/>
          <a:ext cx="11725275" cy="4029075"/>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714375</xdr:colOff>
      <xdr:row>3</xdr:row>
      <xdr:rowOff>123825</xdr:rowOff>
    </xdr:from>
    <xdr:to>
      <xdr:col>54</xdr:col>
      <xdr:colOff>723900</xdr:colOff>
      <xdr:row>27</xdr:row>
      <xdr:rowOff>38100</xdr:rowOff>
    </xdr:to>
    <xdr:cxnSp macro="">
      <xdr:nvCxnSpPr>
        <xdr:cNvPr id="4" name="Connecteur droit 3"/>
        <xdr:cNvCxnSpPr/>
      </xdr:nvCxnSpPr>
      <xdr:spPr>
        <a:xfrm flipV="1">
          <a:off x="31242000" y="638175"/>
          <a:ext cx="11725275" cy="4029075"/>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c:userShapes xmlns:c="http://schemas.openxmlformats.org/drawingml/2006/chart">
  <cdr:relSizeAnchor xmlns:cdr="http://schemas.openxmlformats.org/drawingml/2006/chartDrawing">
    <cdr:from>
      <cdr:x>0.05696</cdr:x>
      <cdr:y>0.03787</cdr:y>
    </cdr:from>
    <cdr:to>
      <cdr:x>0.31899</cdr:x>
      <cdr:y>0.90869</cdr:y>
    </cdr:to>
    <cdr:sp macro="" textlink="">
      <cdr:nvSpPr>
        <cdr:cNvPr id="4" name="Rectangle 3"/>
        <cdr:cNvSpPr/>
      </cdr:nvSpPr>
      <cdr:spPr>
        <a:xfrm xmlns:a="http://schemas.openxmlformats.org/drawingml/2006/main">
          <a:off x="387738" y="143964"/>
          <a:ext cx="1783690" cy="3310453"/>
        </a:xfrm>
        <a:prstGeom xmlns:a="http://schemas.openxmlformats.org/drawingml/2006/main" prst="rect">
          <a:avLst/>
        </a:prstGeom>
        <a:solidFill xmlns:a="http://schemas.openxmlformats.org/drawingml/2006/main">
          <a:srgbClr val="EEECE1">
            <a:alpha val="38824"/>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0.6845</cdr:x>
      <cdr:y>0.03786</cdr:y>
    </cdr:from>
    <cdr:to>
      <cdr:x>0.94652</cdr:x>
      <cdr:y>0.90869</cdr:y>
    </cdr:to>
    <cdr:sp macro="" textlink="">
      <cdr:nvSpPr>
        <cdr:cNvPr id="5" name="Rectangle 4"/>
        <cdr:cNvSpPr/>
      </cdr:nvSpPr>
      <cdr:spPr>
        <a:xfrm xmlns:a="http://schemas.openxmlformats.org/drawingml/2006/main">
          <a:off x="4659510" y="143926"/>
          <a:ext cx="1783623" cy="3310491"/>
        </a:xfrm>
        <a:prstGeom xmlns:a="http://schemas.openxmlformats.org/drawingml/2006/main" prst="rect">
          <a:avLst/>
        </a:prstGeom>
        <a:solidFill xmlns:a="http://schemas.openxmlformats.org/drawingml/2006/main">
          <a:srgbClr val="EEECE1">
            <a:alpha val="38824"/>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0.59367</cdr:x>
      <cdr:y>0.03786</cdr:y>
    </cdr:from>
    <cdr:to>
      <cdr:x>0.68481</cdr:x>
      <cdr:y>0.90869</cdr:y>
    </cdr:to>
    <cdr:sp macro="" textlink="">
      <cdr:nvSpPr>
        <cdr:cNvPr id="7" name="Rectangle 6"/>
        <cdr:cNvSpPr/>
      </cdr:nvSpPr>
      <cdr:spPr>
        <a:xfrm xmlns:a="http://schemas.openxmlformats.org/drawingml/2006/main">
          <a:off x="4041230" y="143926"/>
          <a:ext cx="620408" cy="3310491"/>
        </a:xfrm>
        <a:prstGeom xmlns:a="http://schemas.openxmlformats.org/drawingml/2006/main" prst="rect">
          <a:avLst/>
        </a:prstGeom>
        <a:solidFill xmlns:a="http://schemas.openxmlformats.org/drawingml/2006/main">
          <a:srgbClr val="EEECE1">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0.32025</cdr:x>
      <cdr:y>0.03787</cdr:y>
    </cdr:from>
    <cdr:to>
      <cdr:x>0.41139</cdr:x>
      <cdr:y>0.90869</cdr:y>
    </cdr:to>
    <cdr:sp macro="" textlink="">
      <cdr:nvSpPr>
        <cdr:cNvPr id="6" name="Rectangle 5"/>
        <cdr:cNvSpPr/>
      </cdr:nvSpPr>
      <cdr:spPr>
        <a:xfrm xmlns:a="http://schemas.openxmlformats.org/drawingml/2006/main">
          <a:off x="2142035" y="143964"/>
          <a:ext cx="609605" cy="3310452"/>
        </a:xfrm>
        <a:prstGeom xmlns:a="http://schemas.openxmlformats.org/drawingml/2006/main" prst="rect">
          <a:avLst/>
        </a:prstGeom>
        <a:solidFill xmlns:a="http://schemas.openxmlformats.org/drawingml/2006/main">
          <a:srgbClr val="EEECE1">
            <a:alpha val="14902"/>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EV/Ebitda</a:t>
          </a:r>
        </a:p>
      </cdr:txBody>
    </cdr:sp>
  </cdr:relSizeAnchor>
  <cdr:relSizeAnchor xmlns:cdr="http://schemas.openxmlformats.org/drawingml/2006/chartDrawing">
    <cdr:from>
      <cdr:x>0.79458</cdr:x>
      <cdr:y>0.82406</cdr:y>
    </cdr:from>
    <cdr:to>
      <cdr:x>0.95823</cdr:x>
      <cdr:y>0.89533</cdr:y>
    </cdr:to>
    <cdr:sp macro="" textlink="">
      <cdr:nvSpPr>
        <cdr:cNvPr id="3" name="ZoneTexte 2"/>
        <cdr:cNvSpPr txBox="1"/>
      </cdr:nvSpPr>
      <cdr:spPr>
        <a:xfrm xmlns:a="http://schemas.openxmlformats.org/drawingml/2006/main">
          <a:off x="5314708" y="3132676"/>
          <a:ext cx="1094557"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0.06452</cdr:x>
      <cdr:y>0.12472</cdr:y>
    </cdr:from>
    <cdr:to>
      <cdr:x>0.18857</cdr:x>
      <cdr:y>0.25389</cdr:y>
    </cdr:to>
    <cdr:sp macro="" textlink="">
      <cdr:nvSpPr>
        <cdr:cNvPr id="9" name="Rectangle à coins arrondis 8"/>
        <cdr:cNvSpPr/>
      </cdr:nvSpPr>
      <cdr:spPr>
        <a:xfrm xmlns:a="http://schemas.openxmlformats.org/drawingml/2006/main">
          <a:off x="439184" y="474144"/>
          <a:ext cx="844433" cy="491044"/>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0.3342</cdr:x>
      <cdr:y>0.45212</cdr:y>
    </cdr:from>
    <cdr:to>
      <cdr:x>0.65825</cdr:x>
      <cdr:y>0.59911</cdr:y>
    </cdr:to>
    <cdr:sp macro="" textlink="">
      <cdr:nvSpPr>
        <cdr:cNvPr id="10" name="Rectangle à coins arrondis 9"/>
        <cdr:cNvSpPr/>
      </cdr:nvSpPr>
      <cdr:spPr>
        <a:xfrm xmlns:a="http://schemas.openxmlformats.org/drawingml/2006/main">
          <a:off x="2274940" y="1718750"/>
          <a:ext cx="2205873" cy="558784"/>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0.82552</cdr:x>
      <cdr:y>0.44766</cdr:y>
    </cdr:from>
    <cdr:to>
      <cdr:x>0.94957</cdr:x>
      <cdr:y>0.59242</cdr:y>
    </cdr:to>
    <cdr:sp macro="" textlink="">
      <cdr:nvSpPr>
        <cdr:cNvPr id="11" name="Rectangle à coins arrondis 10"/>
        <cdr:cNvSpPr/>
      </cdr:nvSpPr>
      <cdr:spPr>
        <a:xfrm xmlns:a="http://schemas.openxmlformats.org/drawingml/2006/main">
          <a:off x="5619451" y="1701811"/>
          <a:ext cx="844434" cy="550311"/>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0.30378</cdr:x>
      <cdr:y>0.24054</cdr:y>
    </cdr:from>
    <cdr:to>
      <cdr:x>0.75948</cdr:x>
      <cdr:y>0.43876</cdr:y>
    </cdr:to>
    <cdr:sp macro="" textlink="">
      <cdr:nvSpPr>
        <cdr:cNvPr id="12" name="Rectangle à coins arrondis 11"/>
        <cdr:cNvSpPr/>
      </cdr:nvSpPr>
      <cdr:spPr>
        <a:xfrm xmlns:a="http://schemas.openxmlformats.org/drawingml/2006/main" rot="21480000">
          <a:off x="2065291" y="914414"/>
          <a:ext cx="3098182" cy="753540"/>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0.0908</cdr:x>
      <cdr:y>0.25167</cdr:y>
    </cdr:from>
    <cdr:to>
      <cdr:x>0.83706</cdr:x>
      <cdr:y>0.48998</cdr:y>
    </cdr:to>
    <cdr:sp macro="" textlink="">
      <cdr:nvSpPr>
        <cdr:cNvPr id="14" name="Connecteur droit 13"/>
        <cdr:cNvSpPr/>
      </cdr:nvSpPr>
      <cdr:spPr>
        <a:xfrm xmlns:a="http://schemas.openxmlformats.org/drawingml/2006/main" flipV="1">
          <a:off x="618067" y="956733"/>
          <a:ext cx="5080000" cy="905934"/>
        </a:xfrm>
        <a:prstGeom xmlns:a="http://schemas.openxmlformats.org/drawingml/2006/main" prst="line">
          <a:avLst/>
        </a:prstGeom>
        <a:ln xmlns:a="http://schemas.openxmlformats.org/drawingml/2006/main">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0.44154</cdr:x>
      <cdr:y>0.4824</cdr:y>
    </cdr:from>
    <cdr:to>
      <cdr:x>0.8607</cdr:x>
      <cdr:y>0.49187</cdr:y>
    </cdr:to>
    <cdr:sp macro="" textlink="">
      <cdr:nvSpPr>
        <cdr:cNvPr id="17" name="Connecteur droit avec flèche 16"/>
        <cdr:cNvSpPr/>
      </cdr:nvSpPr>
      <cdr:spPr>
        <a:xfrm xmlns:a="http://schemas.openxmlformats.org/drawingml/2006/main" flipV="1">
          <a:off x="3005668" y="1833872"/>
          <a:ext cx="2853266" cy="36000"/>
        </a:xfrm>
        <a:prstGeom xmlns:a="http://schemas.openxmlformats.org/drawingml/2006/main" prst="straightConnector1">
          <a:avLst/>
        </a:prstGeom>
        <a:ln xmlns:a="http://schemas.openxmlformats.org/drawingml/2006/main">
          <a:solidFill>
            <a:sysClr val="windowText" lastClr="000000"/>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0.45522</cdr:x>
      <cdr:y>0.32739</cdr:y>
    </cdr:from>
    <cdr:to>
      <cdr:x>0.64937</cdr:x>
      <cdr:y>0.42316</cdr:y>
    </cdr:to>
    <cdr:sp macro="" textlink="">
      <cdr:nvSpPr>
        <cdr:cNvPr id="16" name="Rectangle à coins arrondis 15"/>
        <cdr:cNvSpPr/>
      </cdr:nvSpPr>
      <cdr:spPr>
        <a:xfrm xmlns:a="http://schemas.openxmlformats.org/drawingml/2006/main">
          <a:off x="3098800" y="1244585"/>
          <a:ext cx="1321591" cy="364073"/>
        </a:xfrm>
        <a:prstGeom xmlns:a="http://schemas.openxmlformats.org/drawingml/2006/main" prst="roundRect">
          <a:avLst/>
        </a:prstGeom>
        <a:noFill xmlns:a="http://schemas.openxmlformats.org/drawingml/2006/main"/>
        <a:ln xmlns:a="http://schemas.openxmlformats.org/drawingml/2006/main" w="9525">
          <a:solidFill>
            <a:schemeClr val="accent3">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7.xml><?xml version="1.0" encoding="utf-8"?>
<c:userShapes xmlns:c="http://schemas.openxmlformats.org/drawingml/2006/chart">
  <cdr:relSizeAnchor xmlns:cdr="http://schemas.openxmlformats.org/drawingml/2006/chartDrawing">
    <cdr:from>
      <cdr:x>0.32038</cdr:x>
      <cdr:y>0.04148</cdr:y>
    </cdr:from>
    <cdr:to>
      <cdr:x>0.41152</cdr:x>
      <cdr:y>0.90829</cdr:y>
    </cdr:to>
    <cdr:sp macro="" textlink="">
      <cdr:nvSpPr>
        <cdr:cNvPr id="6" name="Rectangle 5"/>
        <cdr:cNvSpPr/>
      </cdr:nvSpPr>
      <cdr:spPr>
        <a:xfrm xmlns:a="http://schemas.openxmlformats.org/drawingml/2006/main">
          <a:off x="2159203" y="160862"/>
          <a:ext cx="614235" cy="3361258"/>
        </a:xfrm>
        <a:prstGeom xmlns:a="http://schemas.openxmlformats.org/drawingml/2006/main" prst="rect">
          <a:avLst/>
        </a:prstGeom>
        <a:solidFill xmlns:a="http://schemas.openxmlformats.org/drawingml/2006/main">
          <a:srgbClr val="EEECE1">
            <a:alpha val="14902"/>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0.06089</cdr:x>
      <cdr:y>0.04148</cdr:y>
    </cdr:from>
    <cdr:to>
      <cdr:x>0.32292</cdr:x>
      <cdr:y>0.90829</cdr:y>
    </cdr:to>
    <cdr:sp macro="" textlink="">
      <cdr:nvSpPr>
        <cdr:cNvPr id="4" name="Rectangle 3"/>
        <cdr:cNvSpPr/>
      </cdr:nvSpPr>
      <cdr:spPr>
        <a:xfrm xmlns:a="http://schemas.openxmlformats.org/drawingml/2006/main">
          <a:off x="407273" y="160848"/>
          <a:ext cx="1752631" cy="3361259"/>
        </a:xfrm>
        <a:prstGeom xmlns:a="http://schemas.openxmlformats.org/drawingml/2006/main" prst="rect">
          <a:avLst/>
        </a:prstGeom>
        <a:solidFill xmlns:a="http://schemas.openxmlformats.org/drawingml/2006/main">
          <a:srgbClr val="EEECE1">
            <a:alpha val="38824"/>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0.59972</cdr:x>
      <cdr:y>0.0393</cdr:y>
    </cdr:from>
    <cdr:to>
      <cdr:x>0.68778</cdr:x>
      <cdr:y>0.90611</cdr:y>
    </cdr:to>
    <cdr:sp macro="" textlink="">
      <cdr:nvSpPr>
        <cdr:cNvPr id="7" name="Rectangle 6"/>
        <cdr:cNvSpPr/>
      </cdr:nvSpPr>
      <cdr:spPr>
        <a:xfrm xmlns:a="http://schemas.openxmlformats.org/drawingml/2006/main">
          <a:off x="4041792" y="152395"/>
          <a:ext cx="593477" cy="3361258"/>
        </a:xfrm>
        <a:prstGeom xmlns:a="http://schemas.openxmlformats.org/drawingml/2006/main" prst="rect">
          <a:avLst/>
        </a:prstGeom>
        <a:solidFill xmlns:a="http://schemas.openxmlformats.org/drawingml/2006/main">
          <a:srgbClr val="EEECE1">
            <a:alpha val="14902"/>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0.68608</cdr:x>
      <cdr:y>0.0393</cdr:y>
    </cdr:from>
    <cdr:to>
      <cdr:x>0.9481</cdr:x>
      <cdr:y>0.90611</cdr:y>
    </cdr:to>
    <cdr:sp macro="" textlink="">
      <cdr:nvSpPr>
        <cdr:cNvPr id="5" name="Rectangle 4"/>
        <cdr:cNvSpPr/>
      </cdr:nvSpPr>
      <cdr:spPr>
        <a:xfrm xmlns:a="http://schemas.openxmlformats.org/drawingml/2006/main">
          <a:off x="4574582" y="149251"/>
          <a:ext cx="1747120" cy="3291761"/>
        </a:xfrm>
        <a:prstGeom xmlns:a="http://schemas.openxmlformats.org/drawingml/2006/main" prst="rect">
          <a:avLst/>
        </a:prstGeom>
        <a:solidFill xmlns:a="http://schemas.openxmlformats.org/drawingml/2006/main">
          <a:srgbClr val="EEECE1">
            <a:alpha val="38824"/>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EV/Ebitda</a:t>
          </a:r>
        </a:p>
      </cdr:txBody>
    </cdr:sp>
  </cdr:relSizeAnchor>
  <cdr:relSizeAnchor xmlns:cdr="http://schemas.openxmlformats.org/drawingml/2006/chartDrawing">
    <cdr:from>
      <cdr:x>0.79458</cdr:x>
      <cdr:y>0.82406</cdr:y>
    </cdr:from>
    <cdr:to>
      <cdr:x>0.95823</cdr:x>
      <cdr:y>0.89533</cdr:y>
    </cdr:to>
    <cdr:sp macro="" textlink="">
      <cdr:nvSpPr>
        <cdr:cNvPr id="3" name="ZoneTexte 2"/>
        <cdr:cNvSpPr txBox="1"/>
      </cdr:nvSpPr>
      <cdr:spPr>
        <a:xfrm xmlns:a="http://schemas.openxmlformats.org/drawingml/2006/main">
          <a:off x="5314708" y="3132676"/>
          <a:ext cx="1094557"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 Mobile</a:t>
          </a:r>
        </a:p>
      </cdr:txBody>
    </cdr:sp>
  </cdr:relSizeAnchor>
  <cdr:relSizeAnchor xmlns:cdr="http://schemas.openxmlformats.org/drawingml/2006/chartDrawing">
    <cdr:from>
      <cdr:x>0.09293</cdr:x>
      <cdr:y>0.23303</cdr:y>
    </cdr:from>
    <cdr:to>
      <cdr:x>0.81408</cdr:x>
      <cdr:y>0.45633</cdr:y>
    </cdr:to>
    <cdr:sp macro="" textlink="">
      <cdr:nvSpPr>
        <cdr:cNvPr id="9" name="Connecteur droit 8"/>
        <cdr:cNvSpPr/>
      </cdr:nvSpPr>
      <cdr:spPr>
        <a:xfrm xmlns:a="http://schemas.openxmlformats.org/drawingml/2006/main" flipV="1">
          <a:off x="592444" y="872066"/>
          <a:ext cx="4597622" cy="835636"/>
        </a:xfrm>
        <a:prstGeom xmlns:a="http://schemas.openxmlformats.org/drawingml/2006/main" prst="line">
          <a:avLst/>
        </a:prstGeom>
        <a:noFill xmlns:a="http://schemas.openxmlformats.org/drawingml/2006/main"/>
        <a:ln xmlns:a="http://schemas.openxmlformats.org/drawingml/2006/main" w="9525" cap="flat" cmpd="sng" algn="ctr">
          <a:solidFill>
            <a:srgbClr val="EEECE1">
              <a:lumMod val="50000"/>
            </a:srgbClr>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0.29585</cdr:x>
      <cdr:y>0.49237</cdr:y>
    </cdr:from>
    <cdr:to>
      <cdr:x>0.64533</cdr:x>
      <cdr:y>0.66169</cdr:y>
    </cdr:to>
    <cdr:sp macro="" textlink="">
      <cdr:nvSpPr>
        <cdr:cNvPr id="10" name="Rectangle à coins arrondis 9"/>
        <cdr:cNvSpPr/>
      </cdr:nvSpPr>
      <cdr:spPr>
        <a:xfrm xmlns:a="http://schemas.openxmlformats.org/drawingml/2006/main" rot="21337681">
          <a:off x="1886171" y="1842593"/>
          <a:ext cx="2228058" cy="633632"/>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0.81655</cdr:x>
      <cdr:y>0.5786</cdr:y>
    </cdr:from>
    <cdr:to>
      <cdr:x>0.96354</cdr:x>
      <cdr:y>0.64629</cdr:y>
    </cdr:to>
    <cdr:sp macro="" textlink="">
      <cdr:nvSpPr>
        <cdr:cNvPr id="11" name="Rectangle à coins arrondis 10"/>
        <cdr:cNvSpPr/>
      </cdr:nvSpPr>
      <cdr:spPr>
        <a:xfrm xmlns:a="http://schemas.openxmlformats.org/drawingml/2006/main">
          <a:off x="5461646" y="2243675"/>
          <a:ext cx="983167" cy="262483"/>
        </a:xfrm>
        <a:prstGeom xmlns:a="http://schemas.openxmlformats.org/drawingml/2006/main" prst="roundRect">
          <a:avLst/>
        </a:prstGeom>
        <a:noFill xmlns:a="http://schemas.openxmlformats.org/drawingml/2006/main"/>
        <a:ln xmlns:a="http://schemas.openxmlformats.org/drawingml/2006/main" w="9525" cap="flat" cmpd="sng" algn="ctr">
          <a:solidFill>
            <a:schemeClr val="bg2">
              <a:lumMod val="50000"/>
            </a:scheme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0.13743</cdr:x>
      <cdr:y>0.13894</cdr:y>
    </cdr:from>
    <cdr:to>
      <cdr:x>0.38707</cdr:x>
      <cdr:y>0.20662</cdr:y>
    </cdr:to>
    <cdr:sp macro="" textlink="">
      <cdr:nvSpPr>
        <cdr:cNvPr id="12" name="Rectangle à coins arrondis 11"/>
        <cdr:cNvSpPr/>
      </cdr:nvSpPr>
      <cdr:spPr>
        <a:xfrm xmlns:a="http://schemas.openxmlformats.org/drawingml/2006/main" rot="21396245">
          <a:off x="876167" y="519968"/>
          <a:ext cx="1591554" cy="253276"/>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0.41454</cdr:x>
      <cdr:y>0.54586</cdr:y>
    </cdr:from>
    <cdr:to>
      <cdr:x>0.8668</cdr:x>
      <cdr:y>0.61572</cdr:y>
    </cdr:to>
    <cdr:sp macro="" textlink="">
      <cdr:nvSpPr>
        <cdr:cNvPr id="14" name="Connecteur droit avec flèche 13"/>
        <cdr:cNvSpPr/>
      </cdr:nvSpPr>
      <cdr:spPr>
        <a:xfrm xmlns:a="http://schemas.openxmlformats.org/drawingml/2006/main">
          <a:off x="2772736" y="2116691"/>
          <a:ext cx="3025016" cy="270899"/>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headEnd type="none" w="med" len="med"/>
          <a:tailEnd type="triangle" w="med" len="me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0.27513</cdr:x>
      <cdr:y>0.27828</cdr:y>
    </cdr:from>
    <cdr:to>
      <cdr:x>0.75879</cdr:x>
      <cdr:y>0.49057</cdr:y>
    </cdr:to>
    <cdr:sp macro="" textlink="">
      <cdr:nvSpPr>
        <cdr:cNvPr id="15" name="Rectangle à coins arrondis 14"/>
        <cdr:cNvSpPr/>
      </cdr:nvSpPr>
      <cdr:spPr>
        <a:xfrm xmlns:a="http://schemas.openxmlformats.org/drawingml/2006/main">
          <a:off x="1798323" y="998991"/>
          <a:ext cx="3161330" cy="762077"/>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0.04684</cdr:x>
      <cdr:y>0.0354</cdr:y>
    </cdr:from>
    <cdr:to>
      <cdr:x>0.30886</cdr:x>
      <cdr:y>0.9085</cdr:y>
    </cdr:to>
    <cdr:sp macro="" textlink="">
      <cdr:nvSpPr>
        <cdr:cNvPr id="4" name="Rectangle 3"/>
        <cdr:cNvSpPr/>
      </cdr:nvSpPr>
      <cdr:spPr>
        <a:xfrm xmlns:a="http://schemas.openxmlformats.org/drawingml/2006/main">
          <a:off x="313276" y="135473"/>
          <a:ext cx="1752564" cy="3341296"/>
        </a:xfrm>
        <a:prstGeom xmlns:a="http://schemas.openxmlformats.org/drawingml/2006/main" prst="rect">
          <a:avLst/>
        </a:prstGeom>
        <a:solidFill xmlns:a="http://schemas.openxmlformats.org/drawingml/2006/main">
          <a:srgbClr val="EEECE1">
            <a:alpha val="38824"/>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0.68734</cdr:x>
      <cdr:y>0.0354</cdr:y>
    </cdr:from>
    <cdr:to>
      <cdr:x>0.94937</cdr:x>
      <cdr:y>0.9085</cdr:y>
    </cdr:to>
    <cdr:sp macro="" textlink="">
      <cdr:nvSpPr>
        <cdr:cNvPr id="5" name="Rectangle 4"/>
        <cdr:cNvSpPr/>
      </cdr:nvSpPr>
      <cdr:spPr>
        <a:xfrm xmlns:a="http://schemas.openxmlformats.org/drawingml/2006/main">
          <a:off x="4597387" y="135473"/>
          <a:ext cx="1752631" cy="3341296"/>
        </a:xfrm>
        <a:prstGeom xmlns:a="http://schemas.openxmlformats.org/drawingml/2006/main" prst="rect">
          <a:avLst/>
        </a:prstGeom>
        <a:solidFill xmlns:a="http://schemas.openxmlformats.org/drawingml/2006/main">
          <a:srgbClr val="EEECE1">
            <a:alpha val="38824"/>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0.30633</cdr:x>
      <cdr:y>0.0354</cdr:y>
    </cdr:from>
    <cdr:to>
      <cdr:x>0.39747</cdr:x>
      <cdr:y>0.9085</cdr:y>
    </cdr:to>
    <cdr:sp macro="" textlink="">
      <cdr:nvSpPr>
        <cdr:cNvPr id="6" name="Rectangle 5"/>
        <cdr:cNvSpPr/>
      </cdr:nvSpPr>
      <cdr:spPr>
        <a:xfrm xmlns:a="http://schemas.openxmlformats.org/drawingml/2006/main">
          <a:off x="2048917" y="135473"/>
          <a:ext cx="609605" cy="3341296"/>
        </a:xfrm>
        <a:prstGeom xmlns:a="http://schemas.openxmlformats.org/drawingml/2006/main" prst="rect">
          <a:avLst/>
        </a:prstGeom>
        <a:solidFill xmlns:a="http://schemas.openxmlformats.org/drawingml/2006/main">
          <a:srgbClr val="EEECE1">
            <a:alpha val="14902"/>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0.59494</cdr:x>
      <cdr:y>0.0354</cdr:y>
    </cdr:from>
    <cdr:to>
      <cdr:x>0.68608</cdr:x>
      <cdr:y>0.9085</cdr:y>
    </cdr:to>
    <cdr:sp macro="" textlink="">
      <cdr:nvSpPr>
        <cdr:cNvPr id="7" name="Rectangle 6"/>
        <cdr:cNvSpPr/>
      </cdr:nvSpPr>
      <cdr:spPr>
        <a:xfrm xmlns:a="http://schemas.openxmlformats.org/drawingml/2006/main">
          <a:off x="3979354" y="135473"/>
          <a:ext cx="609605" cy="3341296"/>
        </a:xfrm>
        <a:prstGeom xmlns:a="http://schemas.openxmlformats.org/drawingml/2006/main" prst="rect">
          <a:avLst/>
        </a:prstGeom>
        <a:solidFill xmlns:a="http://schemas.openxmlformats.org/drawingml/2006/main">
          <a:srgbClr val="EEECE1">
            <a:alpha val="14902"/>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0.0773</cdr:x>
      <cdr:y>0.03118</cdr:y>
    </cdr:from>
    <cdr:to>
      <cdr:x>0.20982</cdr:x>
      <cdr:y>0.11359</cdr:y>
    </cdr:to>
    <cdr:sp macro="" textlink="">
      <cdr:nvSpPr>
        <cdr:cNvPr id="2" name="ZoneTexte 1"/>
        <cdr:cNvSpPr txBox="1"/>
      </cdr:nvSpPr>
      <cdr:spPr>
        <a:xfrm xmlns:a="http://schemas.openxmlformats.org/drawingml/2006/main">
          <a:off x="533401" y="118534"/>
          <a:ext cx="914400" cy="313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Adj. EV/Ebitda</a:t>
          </a:r>
        </a:p>
      </cdr:txBody>
    </cdr:sp>
  </cdr:relSizeAnchor>
  <cdr:relSizeAnchor xmlns:cdr="http://schemas.openxmlformats.org/drawingml/2006/chartDrawing">
    <cdr:from>
      <cdr:x>0.79458</cdr:x>
      <cdr:y>0.82406</cdr:y>
    </cdr:from>
    <cdr:to>
      <cdr:x>0.95823</cdr:x>
      <cdr:y>0.89533</cdr:y>
    </cdr:to>
    <cdr:sp macro="" textlink="">
      <cdr:nvSpPr>
        <cdr:cNvPr id="3" name="ZoneTexte 2"/>
        <cdr:cNvSpPr txBox="1"/>
      </cdr:nvSpPr>
      <cdr:spPr>
        <a:xfrm xmlns:a="http://schemas.openxmlformats.org/drawingml/2006/main">
          <a:off x="5314708" y="3132676"/>
          <a:ext cx="1094557" cy="270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200">
              <a:latin typeface="Arial" pitchFamily="34" charset="0"/>
              <a:cs typeface="Arial" pitchFamily="34" charset="0"/>
            </a:rPr>
            <a:t>% Mobile</a:t>
          </a:r>
        </a:p>
      </cdr:txBody>
    </cdr:sp>
  </cdr:relSizeAnchor>
  <cdr:relSizeAnchor xmlns:cdr="http://schemas.openxmlformats.org/drawingml/2006/chartDrawing">
    <cdr:from>
      <cdr:x>0.08228</cdr:x>
      <cdr:y>0.18584</cdr:y>
    </cdr:from>
    <cdr:to>
      <cdr:x>0.85443</cdr:x>
      <cdr:y>0.36726</cdr:y>
    </cdr:to>
    <cdr:sp macro="" textlink="">
      <cdr:nvSpPr>
        <cdr:cNvPr id="9" name="Connecteur droit 8"/>
        <cdr:cNvSpPr/>
      </cdr:nvSpPr>
      <cdr:spPr>
        <a:xfrm xmlns:a="http://schemas.openxmlformats.org/drawingml/2006/main" flipV="1">
          <a:off x="550335" y="711200"/>
          <a:ext cx="5164666" cy="694267"/>
        </a:xfrm>
        <a:prstGeom xmlns:a="http://schemas.openxmlformats.org/drawingml/2006/main" prst="line">
          <a:avLst/>
        </a:prstGeom>
        <a:noFill xmlns:a="http://schemas.openxmlformats.org/drawingml/2006/main"/>
        <a:ln xmlns:a="http://schemas.openxmlformats.org/drawingml/2006/main" w="9525" cap="flat" cmpd="sng" algn="ctr">
          <a:solidFill>
            <a:srgbClr val="EEECE1">
              <a:lumMod val="50000"/>
            </a:srgbClr>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0.33283</cdr:x>
      <cdr:y>0.32259</cdr:y>
    </cdr:from>
    <cdr:to>
      <cdr:x>0.64347</cdr:x>
      <cdr:y>0.53702</cdr:y>
    </cdr:to>
    <cdr:sp macro="" textlink="">
      <cdr:nvSpPr>
        <cdr:cNvPr id="10" name="Rectangle à coins arrondis 9"/>
        <cdr:cNvSpPr/>
      </cdr:nvSpPr>
      <cdr:spPr>
        <a:xfrm xmlns:a="http://schemas.openxmlformats.org/drawingml/2006/main" rot="21307703">
          <a:off x="2226174" y="1234536"/>
          <a:ext cx="2077795" cy="820610"/>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fr-FR"/>
        </a:p>
      </cdr:txBody>
    </cdr:sp>
  </cdr:relSizeAnchor>
  <cdr:relSizeAnchor xmlns:cdr="http://schemas.openxmlformats.org/drawingml/2006/chartDrawing">
    <cdr:from>
      <cdr:x>0.4519</cdr:x>
      <cdr:y>0.36947</cdr:y>
    </cdr:from>
    <cdr:to>
      <cdr:x>0.85063</cdr:x>
      <cdr:y>0.47345</cdr:y>
    </cdr:to>
    <cdr:sp macro="" textlink="">
      <cdr:nvSpPr>
        <cdr:cNvPr id="11" name="Connecteur droit avec flèche 10"/>
        <cdr:cNvSpPr/>
      </cdr:nvSpPr>
      <cdr:spPr>
        <a:xfrm xmlns:a="http://schemas.openxmlformats.org/drawingml/2006/main" flipV="1">
          <a:off x="3022608" y="1413933"/>
          <a:ext cx="2666992" cy="397928"/>
        </a:xfrm>
        <a:prstGeom xmlns:a="http://schemas.openxmlformats.org/drawingml/2006/main" prst="straightConnector1">
          <a:avLst/>
        </a:prstGeom>
        <a:noFill xmlns:a="http://schemas.openxmlformats.org/drawingml/2006/main"/>
        <a:ln xmlns:a="http://schemas.openxmlformats.org/drawingml/2006/main" w="9525" cap="flat" cmpd="sng" algn="ctr">
          <a:solidFill>
            <a:sysClr val="windowText" lastClr="000000"/>
          </a:solidFill>
          <a:prstDash val="solid"/>
          <a:headEnd type="none" w="med" len="med"/>
          <a:tailEnd type="triangle" w="med" len="me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fr-FR"/>
        </a:p>
      </cdr:txBody>
    </cdr:sp>
  </cdr:relSizeAnchor>
  <cdr:relSizeAnchor xmlns:cdr="http://schemas.openxmlformats.org/drawingml/2006/chartDrawing">
    <cdr:from>
      <cdr:x>0.29328</cdr:x>
      <cdr:y>0.11316</cdr:y>
    </cdr:from>
    <cdr:to>
      <cdr:x>0.72459</cdr:x>
      <cdr:y>0.40152</cdr:y>
    </cdr:to>
    <cdr:sp macro="" textlink="">
      <cdr:nvSpPr>
        <cdr:cNvPr id="12" name="Rectangle à coins arrondis 11"/>
        <cdr:cNvSpPr/>
      </cdr:nvSpPr>
      <cdr:spPr>
        <a:xfrm xmlns:a="http://schemas.openxmlformats.org/drawingml/2006/main" rot="491642">
          <a:off x="1961656" y="433070"/>
          <a:ext cx="2884889" cy="1103532"/>
        </a:xfrm>
        <a:prstGeom xmlns:a="http://schemas.openxmlformats.org/drawingml/2006/main" prst="roundRect">
          <a:avLst/>
        </a:prstGeom>
        <a:noFill xmlns:a="http://schemas.openxmlformats.org/drawingml/2006/main"/>
        <a:ln xmlns:a="http://schemas.openxmlformats.org/drawingml/2006/main" w="9525" cap="flat" cmpd="sng" algn="ctr">
          <a:solidFill>
            <a:srgbClr val="9BBB59">
              <a:lumMod val="50000"/>
            </a:srgbClr>
          </a:solidFill>
          <a:prstDash val="dash"/>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0.53456</cdr:x>
      <cdr:y>0.03815</cdr:y>
    </cdr:from>
    <cdr:to>
      <cdr:x>0.71582</cdr:x>
      <cdr:y>0.82073</cdr:y>
    </cdr:to>
    <cdr:sp macro="" textlink="">
      <cdr:nvSpPr>
        <cdr:cNvPr id="2" name="Rectangle 1"/>
        <cdr:cNvSpPr/>
      </cdr:nvSpPr>
      <cdr:spPr>
        <a:xfrm xmlns:a="http://schemas.openxmlformats.org/drawingml/2006/main">
          <a:off x="3564793" y="147404"/>
          <a:ext cx="1208752" cy="3024000"/>
        </a:xfrm>
        <a:prstGeom xmlns:a="http://schemas.openxmlformats.org/drawingml/2006/main" prst="rect">
          <a:avLst/>
        </a:prstGeom>
        <a:solidFill xmlns:a="http://schemas.openxmlformats.org/drawingml/2006/main">
          <a:srgbClr val="F2F2F2">
            <a:alpha val="47843"/>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dr:relSizeAnchor xmlns:cdr="http://schemas.openxmlformats.org/drawingml/2006/chartDrawing">
    <cdr:from>
      <cdr:x>0.84025</cdr:x>
      <cdr:y>0.03815</cdr:y>
    </cdr:from>
    <cdr:to>
      <cdr:x>0.94931</cdr:x>
      <cdr:y>0.82073</cdr:y>
    </cdr:to>
    <cdr:sp macro="" textlink="">
      <cdr:nvSpPr>
        <cdr:cNvPr id="3" name="Rectangle 2"/>
        <cdr:cNvSpPr/>
      </cdr:nvSpPr>
      <cdr:spPr>
        <a:xfrm xmlns:a="http://schemas.openxmlformats.org/drawingml/2006/main">
          <a:off x="5603282" y="147404"/>
          <a:ext cx="727300" cy="3024000"/>
        </a:xfrm>
        <a:prstGeom xmlns:a="http://schemas.openxmlformats.org/drawingml/2006/main" prst="rect">
          <a:avLst/>
        </a:prstGeom>
        <a:solidFill xmlns:a="http://schemas.openxmlformats.org/drawingml/2006/main">
          <a:srgbClr val="F2F2F2">
            <a:alpha val="47843"/>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r-FR"/>
        </a:p>
      </cdr:txBody>
    </cdr:sp>
  </cdr:relSizeAnchor>
  <cdr:relSizeAnchor xmlns:cdr="http://schemas.openxmlformats.org/drawingml/2006/chartDrawing">
    <cdr:from>
      <cdr:x>0.52842</cdr:x>
      <cdr:y>0.05047</cdr:y>
    </cdr:from>
    <cdr:to>
      <cdr:x>0.71889</cdr:x>
      <cdr:y>0.14039</cdr:y>
    </cdr:to>
    <cdr:sp macro="" textlink="">
      <cdr:nvSpPr>
        <cdr:cNvPr id="4" name="ZoneTexte 3"/>
        <cdr:cNvSpPr txBox="1"/>
      </cdr:nvSpPr>
      <cdr:spPr>
        <a:xfrm xmlns:a="http://schemas.openxmlformats.org/drawingml/2006/main">
          <a:off x="3523817" y="195030"/>
          <a:ext cx="1270215" cy="3474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100">
              <a:solidFill>
                <a:schemeClr val="bg1">
                  <a:lumMod val="50000"/>
                </a:schemeClr>
              </a:solidFill>
              <a:latin typeface="Arial" pitchFamily="34" charset="0"/>
              <a:cs typeface="Arial" pitchFamily="34" charset="0"/>
            </a:rPr>
            <a:t>N/a</a:t>
          </a:r>
          <a:r>
            <a:rPr lang="fr-FR" sz="1100" baseline="0">
              <a:solidFill>
                <a:schemeClr val="bg1">
                  <a:lumMod val="50000"/>
                </a:schemeClr>
              </a:solidFill>
              <a:latin typeface="Arial" pitchFamily="34" charset="0"/>
              <a:cs typeface="Arial" pitchFamily="34" charset="0"/>
            </a:rPr>
            <a:t> (interpolation)</a:t>
          </a:r>
          <a:endParaRPr lang="fr-FR" sz="110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0.85561</cdr:x>
      <cdr:y>0.05047</cdr:y>
    </cdr:from>
    <cdr:to>
      <cdr:x>0.94009</cdr:x>
      <cdr:y>0.13222</cdr:y>
    </cdr:to>
    <cdr:sp macro="" textlink="">
      <cdr:nvSpPr>
        <cdr:cNvPr id="5" name="ZoneTexte 1"/>
        <cdr:cNvSpPr txBox="1"/>
      </cdr:nvSpPr>
      <cdr:spPr>
        <a:xfrm xmlns:a="http://schemas.openxmlformats.org/drawingml/2006/main">
          <a:off x="5705721" y="195030"/>
          <a:ext cx="563399" cy="31586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aseline="0">
              <a:solidFill>
                <a:schemeClr val="bg1">
                  <a:lumMod val="50000"/>
                </a:schemeClr>
              </a:solidFill>
              <a:latin typeface="Arial" pitchFamily="34" charset="0"/>
              <a:cs typeface="Arial" pitchFamily="34" charset="0"/>
            </a:rPr>
            <a:t>Idem</a:t>
          </a:r>
          <a:endParaRPr lang="fr-FR" sz="110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0.04571</cdr:x>
      <cdr:y>0.05177</cdr:y>
    </cdr:from>
    <cdr:to>
      <cdr:x>0.34294</cdr:x>
      <cdr:y>0.13064</cdr:y>
    </cdr:to>
    <cdr:sp macro="" textlink="">
      <cdr:nvSpPr>
        <cdr:cNvPr id="6" name="ZoneTexte 5"/>
        <cdr:cNvSpPr txBox="1"/>
      </cdr:nvSpPr>
      <cdr:spPr>
        <a:xfrm xmlns:a="http://schemas.openxmlformats.org/drawingml/2006/main">
          <a:off x="268586" y="190324"/>
          <a:ext cx="1746480" cy="2899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200">
              <a:latin typeface="Arial" pitchFamily="34" charset="0"/>
              <a:cs typeface="Arial" pitchFamily="34" charset="0"/>
            </a:rPr>
            <a:t>EV/Ebitda (not OL-adj.)</a:t>
          </a:r>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10.bin"/><Relationship Id="rId1" Type="http://schemas.openxmlformats.org/officeDocument/2006/relationships/hyperlink" Target="https://www.fitchratings.com/creditdesk/reports/report_frame.cfm?rpt_id=462222"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2.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hyperlink" Target="http://pages.stern.nyu.edu/~adamodar/New_Home_Page/valquestions/mktvalofdebt.htm" TargetMode="External"/><Relationship Id="rId7" Type="http://schemas.openxmlformats.org/officeDocument/2006/relationships/comments" Target="../comments2.xml"/><Relationship Id="rId2" Type="http://schemas.openxmlformats.org/officeDocument/2006/relationships/hyperlink" Target="http://pages.stern.nyu.edu/~adamodar/New_Home_Page/AccPrimer/lease.htm" TargetMode="External"/><Relationship Id="rId1" Type="http://schemas.openxmlformats.org/officeDocument/2006/relationships/hyperlink" Target="http://www.stern.nyu.edu/~adamodar/pc/datasets/betaEurope.xls" TargetMode="External"/><Relationship Id="rId6" Type="http://schemas.openxmlformats.org/officeDocument/2006/relationships/vmlDrawing" Target="../drawings/vmlDrawing2.vml"/><Relationship Id="rId5" Type="http://schemas.openxmlformats.org/officeDocument/2006/relationships/printerSettings" Target="../printerSettings/printerSettings2.bin"/><Relationship Id="rId4" Type="http://schemas.openxmlformats.org/officeDocument/2006/relationships/hyperlink" Target="http://www.brattle.com/system/publications/pdfs/000/004/822/original/The_WACC_for_mobile__fixed-line_and_cable_termination_rates_Harris_Stirzaker_Fischietti_Mar_15_2012.pdf?1378772132"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fitchratings.com/creditdesk/reports/report_frame.cfm?rpt_id=723216" TargetMode="External"/><Relationship Id="rId1" Type="http://schemas.openxmlformats.org/officeDocument/2006/relationships/hyperlink" Target="http://people.stern.nyu.edu/adamodar/pdfiles/damodaran2ed/ch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www.filo-fisc.be/Downloads/intnotionnels.pdf" TargetMode="External"/><Relationship Id="rId7" Type="http://schemas.openxmlformats.org/officeDocument/2006/relationships/drawing" Target="../drawings/drawing15.xml"/><Relationship Id="rId2" Type="http://schemas.openxmlformats.org/officeDocument/2006/relationships/hyperlink" Target="mailto:albert.wolss@minfin.fed.be" TargetMode="External"/><Relationship Id="rId1" Type="http://schemas.openxmlformats.org/officeDocument/2006/relationships/hyperlink" Target="http://finances.belgium.be/fr/entreprises/impot_des_societes/avantages_fiscaux/deduction_interet_notionnel/" TargetMode="External"/><Relationship Id="rId6" Type="http://schemas.openxmlformats.org/officeDocument/2006/relationships/printerSettings" Target="../printerSettings/printerSettings4.bin"/><Relationship Id="rId5" Type="http://schemas.openxmlformats.org/officeDocument/2006/relationships/hyperlink" Target="http://www.accountingtools.com/questions-and-answers/what-does-negative-stockholders-equity-mean.html" TargetMode="External"/><Relationship Id="rId4" Type="http://schemas.openxmlformats.org/officeDocument/2006/relationships/hyperlink" Target="http://www.cefip.be/fr/reserve-d-investissement-ou-deduction-des-interets-notionnels" TargetMode="External"/><Relationship Id="rId9"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hyperlink" Target="http://www.standardandpoors.com/prot/ratings/articles/en/eu/?articleType=HTML&amp;assetID=1245360780336" TargetMode="External"/><Relationship Id="rId13" Type="http://schemas.openxmlformats.org/officeDocument/2006/relationships/hyperlink" Target="http://www.wallstreetprep.com/blog/ebitda-vs-cash-flows-from-operations-vs-free-cash-flows/" TargetMode="External"/><Relationship Id="rId18" Type="http://schemas.openxmlformats.org/officeDocument/2006/relationships/hyperlink" Target="http://www.standardandpoors.com/prot/ratings/articles/en/eu/?articleType=HTML&amp;assetID=1245361742085" TargetMode="External"/><Relationship Id="rId3" Type="http://schemas.openxmlformats.org/officeDocument/2006/relationships/hyperlink" Target="http://www.standardandpoors.com/prot/ratings/articles/en/eu/?articleType=HTML&amp;assetID=1245358650210" TargetMode="External"/><Relationship Id="rId21" Type="http://schemas.openxmlformats.org/officeDocument/2006/relationships/vmlDrawing" Target="../drawings/vmlDrawing5.vml"/><Relationship Id="rId7" Type="http://schemas.openxmlformats.org/officeDocument/2006/relationships/hyperlink" Target="http://www.uic.edu/classes/actg/actg516rtr/Readings/Bond-Ratings/S&amp;P-Corporate-Criteria-RR-2003.pdf" TargetMode="External"/><Relationship Id="rId12" Type="http://schemas.openxmlformats.org/officeDocument/2006/relationships/hyperlink" Target="https://www.moodys.com/researchdocumentcontentpage.aspx?docid=PBC_146179" TargetMode="External"/><Relationship Id="rId17" Type="http://schemas.openxmlformats.org/officeDocument/2006/relationships/hyperlink" Target="http://www.standardandpoors.com/prot/ratings/articles/en/eu/?articleType=HTML&amp;assetID=1245360477058" TargetMode="External"/><Relationship Id="rId2" Type="http://schemas.openxmlformats.org/officeDocument/2006/relationships/hyperlink" Target="http://www.ciratings.com/page/rating-definitions/foreign-local-currency-ratings" TargetMode="External"/><Relationship Id="rId16" Type="http://schemas.openxmlformats.org/officeDocument/2006/relationships/hyperlink" Target="http://www.standardandpoors.com/prot/ratings/articles/en/eu/?articleType=HTML&amp;assetID=1245360302817" TargetMode="External"/><Relationship Id="rId20" Type="http://schemas.openxmlformats.org/officeDocument/2006/relationships/drawing" Target="../drawings/drawing32.xml"/><Relationship Id="rId1" Type="http://schemas.openxmlformats.org/officeDocument/2006/relationships/hyperlink" Target="http://countryeconomy.com/ratings" TargetMode="External"/><Relationship Id="rId6" Type="http://schemas.openxmlformats.org/officeDocument/2006/relationships/hyperlink" Target="https://www.fitchratings.com/creditdesk/reports/report_frame.cfm?rpt_id=715139" TargetMode="External"/><Relationship Id="rId11" Type="http://schemas.openxmlformats.org/officeDocument/2006/relationships/hyperlink" Target="https://www.moodys.com/researchdocumentcontentpage.aspx?docid=PBC_126031" TargetMode="External"/><Relationship Id="rId5" Type="http://schemas.openxmlformats.org/officeDocument/2006/relationships/hyperlink" Target="https://www.fitchratings.com/creditdesk/reports/report_frame.cfm?rpt_id=723216" TargetMode="External"/><Relationship Id="rId15" Type="http://schemas.openxmlformats.org/officeDocument/2006/relationships/hyperlink" Target="https://www.moodys.com/researchdocumentcontentpage.aspx?docid=PBC_114838" TargetMode="External"/><Relationship Id="rId10" Type="http://schemas.openxmlformats.org/officeDocument/2006/relationships/hyperlink" Target="https://www.moodys.com/researchdocumentcontentpage.aspx?docid=PBC_129659" TargetMode="External"/><Relationship Id="rId19" Type="http://schemas.openxmlformats.org/officeDocument/2006/relationships/printerSettings" Target="../printerSettings/printerSettings5.bin"/><Relationship Id="rId4" Type="http://schemas.openxmlformats.org/officeDocument/2006/relationships/hyperlink" Target="http://www.standardandpoors.com/prot/ratings/articles/en/eu/?articleType=HTML&amp;assetID=1245360409476" TargetMode="External"/><Relationship Id="rId9" Type="http://schemas.openxmlformats.org/officeDocument/2006/relationships/hyperlink" Target="https://www.moodys.com/researchdocumentcontentpage.aspx?docid=PBC_79004" TargetMode="External"/><Relationship Id="rId14" Type="http://schemas.openxmlformats.org/officeDocument/2006/relationships/hyperlink" Target="https://www.fitchratings.com/creditdesk/reports/report_frame.cfm?rpt_id=462222" TargetMode="External"/><Relationship Id="rId22" Type="http://schemas.openxmlformats.org/officeDocument/2006/relationships/comments" Target="../comments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0.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6" tint="-0.499984740745262"/>
  </sheetPr>
  <dimension ref="B1:V59"/>
  <sheetViews>
    <sheetView showGridLines="0" tabSelected="1" topLeftCell="B1" zoomScale="90" zoomScaleNormal="90" workbookViewId="0">
      <pane ySplit="3" topLeftCell="A4" activePane="bottomLeft" state="frozen"/>
      <selection activeCell="B1" sqref="B1"/>
      <selection pane="bottomLeft" activeCell="E18" sqref="E18"/>
    </sheetView>
  </sheetViews>
  <sheetFormatPr baseColWidth="10" defaultRowHeight="13.2"/>
  <cols>
    <col min="1" max="1" width="1.109375" style="1552" customWidth="1"/>
    <col min="2" max="2" width="3.33203125" style="1552" customWidth="1"/>
    <col min="3" max="3" width="11.6640625" style="1553" customWidth="1"/>
    <col min="4" max="4" width="13.6640625" style="1552" customWidth="1"/>
    <col min="5" max="5" width="7.21875" style="1552" customWidth="1"/>
    <col min="6" max="8" width="11.6640625" style="1552" customWidth="1"/>
    <col min="9" max="9" width="13" style="1552" customWidth="1"/>
    <col min="10" max="14" width="11.6640625" style="1552" customWidth="1"/>
    <col min="15" max="15" width="7.88671875" style="1552" customWidth="1"/>
    <col min="16" max="16" width="3.33203125" style="1552" customWidth="1"/>
    <col min="17" max="17" width="11.5546875" style="1931"/>
    <col min="18" max="18" width="14.5546875" style="1931" customWidth="1"/>
    <col min="19" max="22" width="11.5546875" style="1931"/>
    <col min="23" max="16384" width="11.5546875" style="1552"/>
  </cols>
  <sheetData>
    <row r="1" spans="2:22" ht="4.2" customHeight="1"/>
    <row r="2" spans="2:22" ht="5.4" customHeight="1">
      <c r="B2" s="1554"/>
      <c r="C2" s="1555"/>
      <c r="D2" s="1554"/>
      <c r="E2" s="1554"/>
      <c r="F2" s="1554"/>
      <c r="G2" s="1554"/>
      <c r="H2" s="1554"/>
      <c r="I2" s="1554"/>
      <c r="J2" s="1554"/>
      <c r="K2" s="1554"/>
      <c r="L2" s="1554"/>
      <c r="M2" s="1554"/>
      <c r="N2" s="1554"/>
      <c r="O2" s="1554"/>
      <c r="Q2" s="1932"/>
      <c r="R2" s="1932"/>
      <c r="S2" s="1932"/>
      <c r="T2" s="1932"/>
      <c r="U2" s="1932"/>
      <c r="V2" s="1932"/>
    </row>
    <row r="3" spans="2:22">
      <c r="B3" s="1554"/>
      <c r="C3" s="1556" t="s">
        <v>1468</v>
      </c>
      <c r="D3" s="1557"/>
      <c r="E3" s="1554"/>
      <c r="F3" s="1556" t="s">
        <v>2621</v>
      </c>
      <c r="G3" s="1556"/>
      <c r="H3" s="1556"/>
      <c r="I3" s="1556"/>
      <c r="J3" s="1556"/>
      <c r="K3" s="1556"/>
      <c r="L3" s="1557"/>
      <c r="M3" s="1557"/>
      <c r="N3" s="1557"/>
      <c r="O3" s="1554"/>
      <c r="Q3" s="1933" t="s">
        <v>1524</v>
      </c>
      <c r="R3" s="1934"/>
      <c r="S3" s="1935"/>
      <c r="T3" s="1935"/>
      <c r="U3" s="1935"/>
      <c r="V3" s="1935"/>
    </row>
    <row r="4" spans="2:22">
      <c r="B4" s="1554"/>
      <c r="C4" s="1555"/>
      <c r="D4" s="1554"/>
      <c r="E4" s="1554"/>
      <c r="F4" s="1554"/>
      <c r="G4" s="1554"/>
      <c r="H4" s="1554"/>
      <c r="I4" s="1554"/>
      <c r="J4" s="1554"/>
      <c r="K4" s="1554"/>
      <c r="L4" s="1554"/>
      <c r="M4" s="1554"/>
      <c r="N4" s="1554"/>
      <c r="O4" s="1554"/>
      <c r="Q4" s="1935"/>
      <c r="R4" s="1935"/>
      <c r="S4" s="1935"/>
      <c r="T4" s="1935"/>
      <c r="U4" s="1935"/>
      <c r="V4" s="1935"/>
    </row>
    <row r="5" spans="2:22" ht="13.2" customHeight="1">
      <c r="B5" s="1554"/>
      <c r="C5" s="1558" t="s">
        <v>1234</v>
      </c>
      <c r="D5" s="1559"/>
      <c r="E5" s="2475"/>
      <c r="F5" s="3143" t="s">
        <v>1531</v>
      </c>
      <c r="G5" s="3143"/>
      <c r="H5" s="3143"/>
      <c r="I5" s="3143"/>
      <c r="J5" s="3143"/>
      <c r="K5" s="3143"/>
      <c r="L5" s="3143"/>
      <c r="M5" s="3143"/>
      <c r="N5" s="3143"/>
      <c r="O5" s="1554"/>
      <c r="Q5" s="1936"/>
      <c r="R5" s="1936"/>
      <c r="S5" s="1936"/>
      <c r="T5" s="1936"/>
      <c r="U5" s="1936"/>
      <c r="V5" s="1936"/>
    </row>
    <row r="6" spans="2:22">
      <c r="B6" s="1554"/>
      <c r="C6" s="1563"/>
      <c r="D6" s="1555"/>
      <c r="E6" s="1560"/>
      <c r="F6" s="3143"/>
      <c r="G6" s="3143"/>
      <c r="H6" s="3143"/>
      <c r="I6" s="3143"/>
      <c r="J6" s="3143"/>
      <c r="K6" s="3143"/>
      <c r="L6" s="3143"/>
      <c r="M6" s="3143"/>
      <c r="N6" s="3143"/>
      <c r="O6" s="1554"/>
      <c r="Q6" s="1936"/>
      <c r="R6" s="1936"/>
      <c r="S6" s="1936"/>
      <c r="T6" s="1936"/>
      <c r="U6" s="1936"/>
      <c r="V6" s="1936"/>
    </row>
    <row r="7" spans="2:22">
      <c r="B7" s="1554"/>
      <c r="C7" s="1555"/>
      <c r="D7" s="1554"/>
      <c r="E7" s="1554"/>
      <c r="F7" s="1554"/>
      <c r="G7" s="1554"/>
      <c r="H7" s="1554"/>
      <c r="I7" s="1554"/>
      <c r="J7" s="1554"/>
      <c r="K7" s="1554"/>
      <c r="L7" s="1554"/>
      <c r="M7" s="1554"/>
      <c r="N7" s="1554"/>
      <c r="O7" s="1554"/>
      <c r="Q7" s="1935"/>
      <c r="R7" s="1935"/>
      <c r="S7" s="1935"/>
      <c r="T7" s="1935"/>
      <c r="U7" s="1935"/>
      <c r="V7" s="1935"/>
    </row>
    <row r="8" spans="2:22" ht="13.2" customHeight="1">
      <c r="B8" s="1554"/>
      <c r="C8" s="1561" t="s">
        <v>1232</v>
      </c>
      <c r="D8" s="1562"/>
      <c r="E8" s="1560"/>
      <c r="F8" s="3143" t="s">
        <v>2615</v>
      </c>
      <c r="G8" s="3143"/>
      <c r="H8" s="3143"/>
      <c r="I8" s="3143"/>
      <c r="J8" s="3143"/>
      <c r="K8" s="3143"/>
      <c r="L8" s="3143"/>
      <c r="M8" s="3143"/>
      <c r="N8" s="3143"/>
      <c r="O8" s="1554"/>
      <c r="Q8" s="1936"/>
      <c r="R8" s="1936"/>
      <c r="S8" s="1936"/>
      <c r="T8" s="1936"/>
      <c r="U8" s="1936"/>
      <c r="V8" s="1936"/>
    </row>
    <row r="9" spans="2:22">
      <c r="B9" s="1554"/>
      <c r="C9" s="1563"/>
      <c r="D9" s="1554"/>
      <c r="E9" s="1560"/>
      <c r="F9" s="3143"/>
      <c r="G9" s="3143"/>
      <c r="H9" s="3143"/>
      <c r="I9" s="3143"/>
      <c r="J9" s="3143"/>
      <c r="K9" s="3143"/>
      <c r="L9" s="3143"/>
      <c r="M9" s="3143"/>
      <c r="N9" s="3143"/>
      <c r="O9" s="1554"/>
      <c r="Q9" s="1936"/>
      <c r="R9" s="1936"/>
      <c r="S9" s="1936"/>
      <c r="T9" s="1936"/>
      <c r="U9" s="1936"/>
      <c r="V9" s="1936"/>
    </row>
    <row r="10" spans="2:22" ht="13.2" customHeight="1">
      <c r="B10" s="1554"/>
      <c r="C10" s="1563"/>
      <c r="D10" s="1554"/>
      <c r="E10" s="1554"/>
      <c r="F10" s="1491" t="s">
        <v>2613</v>
      </c>
      <c r="G10" s="1491"/>
      <c r="H10" s="1491"/>
      <c r="I10" s="1491"/>
      <c r="J10" s="1491"/>
      <c r="K10" s="1491"/>
      <c r="L10" s="1491"/>
      <c r="M10" s="1491"/>
      <c r="N10" s="1491"/>
      <c r="O10" s="1554"/>
      <c r="Q10" s="1936"/>
      <c r="R10" s="1936"/>
      <c r="S10" s="1936"/>
      <c r="T10" s="1936"/>
      <c r="U10" s="1936"/>
      <c r="V10" s="1936"/>
    </row>
    <row r="11" spans="2:22">
      <c r="B11" s="1554"/>
      <c r="C11" s="1563"/>
      <c r="D11" s="1554"/>
      <c r="E11" s="1554"/>
      <c r="F11" s="1491" t="s">
        <v>2614</v>
      </c>
      <c r="G11" s="1491"/>
      <c r="H11" s="1491"/>
      <c r="I11" s="1491"/>
      <c r="J11" s="1491"/>
      <c r="K11" s="1491"/>
      <c r="L11" s="1491"/>
      <c r="M11" s="1491"/>
      <c r="N11" s="1491"/>
      <c r="O11" s="1554"/>
      <c r="Q11" s="1936"/>
      <c r="R11" s="1936"/>
      <c r="S11" s="1936"/>
      <c r="T11" s="1936"/>
      <c r="U11" s="1936"/>
      <c r="V11" s="1936"/>
    </row>
    <row r="12" spans="2:22">
      <c r="B12" s="1554"/>
      <c r="C12" s="1563"/>
      <c r="D12" s="1554"/>
      <c r="E12" s="1560"/>
      <c r="F12" s="1491" t="s">
        <v>2612</v>
      </c>
      <c r="G12" s="1783"/>
      <c r="H12" s="1783"/>
      <c r="I12" s="1783"/>
      <c r="J12" s="1783"/>
      <c r="K12" s="1783"/>
      <c r="L12" s="1783"/>
      <c r="M12" s="1783"/>
      <c r="N12" s="1783"/>
      <c r="O12" s="1554"/>
      <c r="Q12" s="1936"/>
      <c r="R12" s="1936"/>
      <c r="S12" s="1936"/>
      <c r="T12" s="1936"/>
      <c r="U12" s="1936"/>
      <c r="V12" s="1936"/>
    </row>
    <row r="13" spans="2:22">
      <c r="B13" s="1554"/>
      <c r="C13" s="1563"/>
      <c r="D13" s="1554"/>
      <c r="E13" s="1554"/>
      <c r="F13" s="1554"/>
      <c r="G13" s="1554"/>
      <c r="H13" s="1554"/>
      <c r="I13" s="1554"/>
      <c r="J13" s="1554"/>
      <c r="K13" s="1554"/>
      <c r="L13" s="1554"/>
      <c r="M13" s="1554"/>
      <c r="N13" s="1554"/>
      <c r="O13" s="1554"/>
      <c r="Q13" s="1935"/>
      <c r="R13" s="1935"/>
      <c r="S13" s="1935"/>
      <c r="T13" s="1935"/>
      <c r="U13" s="1935"/>
      <c r="V13" s="1935"/>
    </row>
    <row r="14" spans="2:22" ht="13.2" customHeight="1">
      <c r="B14" s="1554"/>
      <c r="C14" s="1561" t="s">
        <v>1349</v>
      </c>
      <c r="D14" s="1562"/>
      <c r="E14" s="1560"/>
      <c r="F14" s="3143" t="s">
        <v>2616</v>
      </c>
      <c r="G14" s="3143"/>
      <c r="H14" s="3143"/>
      <c r="I14" s="3143"/>
      <c r="J14" s="3143"/>
      <c r="K14" s="3143"/>
      <c r="L14" s="3143"/>
      <c r="M14" s="3143"/>
      <c r="N14" s="3143"/>
      <c r="O14" s="1554"/>
      <c r="Q14" s="1936"/>
      <c r="R14" s="1936"/>
      <c r="S14" s="1936"/>
      <c r="T14" s="1936"/>
      <c r="U14" s="1936"/>
      <c r="V14" s="1936"/>
    </row>
    <row r="15" spans="2:22">
      <c r="B15" s="1554"/>
      <c r="C15" s="1555"/>
      <c r="D15" s="1554"/>
      <c r="E15" s="1554"/>
      <c r="F15" s="3143"/>
      <c r="G15" s="3143"/>
      <c r="H15" s="3143"/>
      <c r="I15" s="3143"/>
      <c r="J15" s="3143"/>
      <c r="K15" s="3143"/>
      <c r="L15" s="3143"/>
      <c r="M15" s="3143"/>
      <c r="N15" s="3143"/>
      <c r="O15" s="1554"/>
      <c r="Q15" s="1936"/>
      <c r="R15" s="1936"/>
      <c r="S15" s="1936"/>
      <c r="T15" s="1936"/>
      <c r="U15" s="1936"/>
      <c r="V15" s="1936"/>
    </row>
    <row r="16" spans="2:22">
      <c r="B16" s="1554"/>
      <c r="C16" s="1555"/>
      <c r="D16" s="1554"/>
      <c r="E16" s="1560"/>
      <c r="F16" s="1491" t="s">
        <v>1522</v>
      </c>
      <c r="G16" s="1554"/>
      <c r="H16" s="1554"/>
      <c r="I16" s="1554"/>
      <c r="J16" s="1554"/>
      <c r="K16" s="1554"/>
      <c r="L16" s="1554"/>
      <c r="M16" s="1554"/>
      <c r="N16" s="1554"/>
      <c r="O16" s="1554"/>
      <c r="Q16" s="1936"/>
      <c r="R16" s="1936"/>
      <c r="S16" s="1936"/>
      <c r="T16" s="1936"/>
      <c r="U16" s="1936"/>
      <c r="V16" s="1936"/>
    </row>
    <row r="17" spans="2:22" ht="13.2" customHeight="1">
      <c r="B17" s="1554"/>
      <c r="C17" s="1555"/>
      <c r="D17" s="1554"/>
      <c r="E17" s="1554"/>
      <c r="F17" s="1491" t="s">
        <v>2624</v>
      </c>
      <c r="G17" s="1783"/>
      <c r="H17" s="1783"/>
      <c r="I17" s="1783"/>
      <c r="J17" s="1783"/>
      <c r="K17" s="1783"/>
      <c r="L17" s="1783"/>
      <c r="M17" s="1783"/>
      <c r="N17" s="1783"/>
      <c r="O17" s="1554"/>
      <c r="Q17" s="1936"/>
      <c r="R17" s="1936"/>
      <c r="S17" s="1936"/>
      <c r="T17" s="1936"/>
      <c r="U17" s="1936"/>
      <c r="V17" s="1936"/>
    </row>
    <row r="18" spans="2:22">
      <c r="B18" s="1554"/>
      <c r="C18" s="1555"/>
      <c r="D18" s="1554"/>
      <c r="E18" s="1491"/>
      <c r="F18" s="3143" t="s">
        <v>1529</v>
      </c>
      <c r="G18" s="3143"/>
      <c r="H18" s="3143"/>
      <c r="I18" s="231" t="s">
        <v>757</v>
      </c>
      <c r="J18" s="231" t="s">
        <v>798</v>
      </c>
      <c r="K18" s="231" t="s">
        <v>799</v>
      </c>
      <c r="L18" s="231" t="s">
        <v>37</v>
      </c>
      <c r="M18" s="231" t="s">
        <v>1523</v>
      </c>
      <c r="N18" s="231" t="s">
        <v>38</v>
      </c>
      <c r="O18" s="1554"/>
      <c r="Q18" s="1936"/>
      <c r="R18" s="1936"/>
      <c r="S18" s="1936"/>
      <c r="T18" s="1936"/>
      <c r="U18" s="1936"/>
      <c r="V18" s="1936"/>
    </row>
    <row r="19" spans="2:22">
      <c r="B19" s="1554"/>
      <c r="C19" s="1555"/>
      <c r="D19" s="1554"/>
      <c r="E19" s="1554"/>
      <c r="F19" s="3143"/>
      <c r="G19" s="3143"/>
      <c r="H19" s="3143"/>
      <c r="I19" s="1794" t="s">
        <v>1527</v>
      </c>
      <c r="J19" s="1790">
        <f>'GEARINGS, E&amp;Enot'!$T$323</f>
        <v>0.4729330941660323</v>
      </c>
      <c r="K19" s="1790">
        <f>'GEARINGS, E&amp;Enot'!$T$327</f>
        <v>0.27500000000000002</v>
      </c>
      <c r="L19" s="1550">
        <f>'GEARINGS, E&amp;Enot'!$X$323</f>
        <v>0.4</v>
      </c>
      <c r="M19" s="1550">
        <f>'GEARINGS, E&amp;Enot'!$AA$323</f>
        <v>0.28041293785321875</v>
      </c>
      <c r="N19" s="1550">
        <f>'GEARINGS, E&amp;Enot'!$AD$323</f>
        <v>0.44444444444444442</v>
      </c>
      <c r="O19" s="1554"/>
      <c r="Q19" s="1936"/>
      <c r="R19" s="1936"/>
      <c r="S19" s="1936"/>
      <c r="T19" s="1936"/>
      <c r="U19" s="1936"/>
      <c r="V19" s="1936"/>
    </row>
    <row r="20" spans="2:22">
      <c r="B20" s="1554"/>
      <c r="C20" s="1555"/>
      <c r="D20" s="1554"/>
      <c r="E20" s="1554"/>
      <c r="F20" s="3143"/>
      <c r="G20" s="3143"/>
      <c r="H20" s="3143"/>
      <c r="I20" s="1791" t="s">
        <v>1530</v>
      </c>
      <c r="J20" s="1792">
        <f>'GEARINGS, E&amp;Enot'!$T$348</f>
        <v>0.48681573444260695</v>
      </c>
      <c r="K20" s="1792">
        <f>'GEARINGS, E&amp;Enot'!$T$351</f>
        <v>0.18333333333333335</v>
      </c>
      <c r="L20" s="1446">
        <f>'GEARINGS, E&amp;Enot'!$X$348</f>
        <v>0.374</v>
      </c>
      <c r="M20" s="1446">
        <f>'GEARINGS, E&amp;Enot'!$AA$348</f>
        <v>0.1914853784153166</v>
      </c>
      <c r="N20" s="1446">
        <f>'GEARINGS, E&amp;Enot'!$AD$348</f>
        <v>0.44444444444444442</v>
      </c>
      <c r="O20" s="1554"/>
      <c r="Q20" s="1936"/>
      <c r="R20" s="1936"/>
      <c r="S20" s="1936"/>
      <c r="T20" s="1936"/>
      <c r="U20" s="1936"/>
      <c r="V20" s="1936"/>
    </row>
    <row r="21" spans="2:22">
      <c r="B21" s="1554"/>
      <c r="C21" s="1555"/>
      <c r="D21" s="1554"/>
      <c r="E21" s="1491"/>
      <c r="F21" s="3143"/>
      <c r="G21" s="3143"/>
      <c r="H21" s="3143"/>
      <c r="I21" s="3729">
        <v>2010</v>
      </c>
      <c r="J21" s="3730">
        <v>0.4</v>
      </c>
      <c r="K21" s="3730">
        <v>0.25</v>
      </c>
      <c r="L21" s="3730">
        <v>0.32</v>
      </c>
      <c r="M21" s="3732"/>
      <c r="N21" s="3732"/>
      <c r="O21" s="1554"/>
      <c r="Q21" s="1936"/>
      <c r="R21" s="1936"/>
      <c r="S21" s="1936"/>
      <c r="T21" s="1936"/>
      <c r="U21" s="1936"/>
      <c r="V21" s="1936"/>
    </row>
    <row r="22" spans="2:22">
      <c r="B22" s="1554"/>
      <c r="C22" s="1555"/>
      <c r="D22" s="1554"/>
      <c r="E22" s="1554"/>
      <c r="F22" s="1851"/>
      <c r="G22" s="1851"/>
      <c r="H22" s="1851"/>
      <c r="I22" s="1901"/>
      <c r="J22" s="1902"/>
      <c r="K22" s="1902"/>
      <c r="L22" s="1586"/>
      <c r="M22" s="1586"/>
      <c r="N22" s="1586"/>
      <c r="O22" s="1554"/>
      <c r="Q22" s="1935"/>
      <c r="R22" s="1935"/>
      <c r="S22" s="1935"/>
      <c r="T22" s="1935"/>
      <c r="U22" s="1935"/>
      <c r="V22" s="1935"/>
    </row>
    <row r="23" spans="2:22">
      <c r="B23" s="1554"/>
      <c r="C23" s="1561" t="s">
        <v>1782</v>
      </c>
      <c r="D23" s="1562"/>
      <c r="E23" s="1560"/>
      <c r="F23" s="3143" t="s">
        <v>2618</v>
      </c>
      <c r="G23" s="3143"/>
      <c r="H23" s="3143"/>
      <c r="I23" s="3143"/>
      <c r="J23" s="3143"/>
      <c r="K23" s="3143"/>
      <c r="L23" s="3143"/>
      <c r="M23" s="3143"/>
      <c r="N23" s="3143"/>
      <c r="O23" s="1554"/>
      <c r="Q23" s="1936"/>
      <c r="R23" s="1936"/>
      <c r="S23" s="1936"/>
      <c r="T23" s="1936"/>
      <c r="U23" s="1936"/>
      <c r="V23" s="1936"/>
    </row>
    <row r="24" spans="2:22">
      <c r="B24" s="1554"/>
      <c r="C24" s="2158" t="s">
        <v>2617</v>
      </c>
      <c r="D24" s="1554"/>
      <c r="E24" s="1554"/>
      <c r="F24" s="3143"/>
      <c r="G24" s="3143"/>
      <c r="H24" s="3143"/>
      <c r="I24" s="3143"/>
      <c r="J24" s="3143"/>
      <c r="K24" s="3143"/>
      <c r="L24" s="3143"/>
      <c r="M24" s="3143"/>
      <c r="N24" s="3143"/>
      <c r="O24" s="1554"/>
      <c r="Q24" s="1936"/>
      <c r="R24" s="1936"/>
      <c r="S24" s="1936"/>
      <c r="T24" s="1936"/>
      <c r="U24" s="1936"/>
      <c r="V24" s="1936"/>
    </row>
    <row r="25" spans="2:22">
      <c r="B25" s="1554"/>
      <c r="C25" s="1563"/>
      <c r="D25" s="1554"/>
      <c r="E25" s="1554"/>
      <c r="F25" s="1491" t="s">
        <v>2666</v>
      </c>
      <c r="G25" s="1491"/>
      <c r="H25" s="1491"/>
      <c r="I25" s="2137"/>
      <c r="J25" s="231" t="s">
        <v>798</v>
      </c>
      <c r="K25" s="231" t="s">
        <v>799</v>
      </c>
      <c r="L25" s="231" t="s">
        <v>37</v>
      </c>
      <c r="M25" s="231" t="s">
        <v>1523</v>
      </c>
      <c r="N25" s="231" t="s">
        <v>38</v>
      </c>
      <c r="O25" s="1554"/>
      <c r="Q25" s="1936"/>
      <c r="R25" s="1936"/>
      <c r="S25" s="1936"/>
      <c r="T25" s="1936"/>
      <c r="U25" s="1936"/>
      <c r="V25" s="1936"/>
    </row>
    <row r="26" spans="2:22">
      <c r="B26" s="1554"/>
      <c r="C26" s="1563"/>
      <c r="D26" s="1554"/>
      <c r="E26" s="1554"/>
      <c r="F26" s="3143" t="s">
        <v>2667</v>
      </c>
      <c r="G26" s="3143"/>
      <c r="H26" s="3143"/>
      <c r="I26" s="1794" t="s">
        <v>2088</v>
      </c>
      <c r="J26" s="2247">
        <f>'OUTPUTS &amp; Inputs'!$I$11</f>
        <v>0.81672559734276229</v>
      </c>
      <c r="K26" s="2247">
        <f>'OUTPUTS &amp; Inputs'!$O$11</f>
        <v>0.14705882352941177</v>
      </c>
      <c r="L26" s="2248">
        <f>'OUTPUTS &amp; Inputs'!$C$11</f>
        <v>0.55555555555555558</v>
      </c>
      <c r="M26" s="2248">
        <f>'OUTPUTS &amp; Inputs'!$L$11</f>
        <v>0.14705882352941177</v>
      </c>
      <c r="N26" s="2248">
        <f>'OUTPUTS &amp; Inputs'!$F$11</f>
        <v>0.69618557805635917</v>
      </c>
      <c r="O26" s="1554"/>
      <c r="Q26" s="1936"/>
      <c r="R26" s="1936"/>
      <c r="S26" s="1936"/>
      <c r="T26" s="1936"/>
      <c r="U26" s="1936"/>
      <c r="V26" s="1936"/>
    </row>
    <row r="27" spans="2:22">
      <c r="B27" s="1554"/>
      <c r="C27" s="1563"/>
      <c r="D27" s="1554"/>
      <c r="E27" s="1554"/>
      <c r="F27" s="3143"/>
      <c r="G27" s="3143"/>
      <c r="H27" s="3143"/>
      <c r="I27" s="2251" t="s">
        <v>1780</v>
      </c>
      <c r="J27" s="2249">
        <f>'GEARINGS, E&amp;Enot'!$U$516</f>
        <v>0.61839386151869868</v>
      </c>
      <c r="K27" s="2249">
        <f>'GEARINGS, E&amp;Enot'!$X$516</f>
        <v>0.15316246544757475</v>
      </c>
      <c r="L27" s="2250">
        <f>'GEARINGS, E&amp;Enot'!$U$509</f>
        <v>0.47885276553724515</v>
      </c>
      <c r="M27" s="2250">
        <f>'GEARINGS, E&amp;Enot'!$X$509</f>
        <v>0.15201893592079752</v>
      </c>
      <c r="N27" s="2250">
        <f>'GEARINGS, E&amp;Enot'!$AA$509</f>
        <v>0.5556173156323887</v>
      </c>
      <c r="O27" s="1554"/>
      <c r="Q27" s="1936"/>
      <c r="R27" s="1936"/>
      <c r="S27" s="1936"/>
      <c r="T27" s="1936"/>
      <c r="U27" s="1936"/>
      <c r="V27" s="1936"/>
    </row>
    <row r="28" spans="2:22">
      <c r="B28" s="1554"/>
      <c r="C28" s="1563"/>
      <c r="D28" s="1554"/>
      <c r="E28" s="1554"/>
      <c r="F28" s="3143"/>
      <c r="G28" s="3143"/>
      <c r="H28" s="3143"/>
      <c r="I28" s="3729">
        <v>2010</v>
      </c>
      <c r="J28" s="3729">
        <v>0.32</v>
      </c>
      <c r="K28" s="3729">
        <v>0.24</v>
      </c>
      <c r="L28" s="3729">
        <v>0.28000000000000003</v>
      </c>
      <c r="M28" s="3732"/>
      <c r="N28" s="3732"/>
      <c r="O28" s="1554"/>
      <c r="Q28" s="1936"/>
      <c r="R28" s="1936"/>
      <c r="S28" s="1936"/>
      <c r="T28" s="1936"/>
      <c r="U28" s="1936"/>
      <c r="V28" s="1936"/>
    </row>
    <row r="29" spans="2:22">
      <c r="B29" s="1554"/>
      <c r="C29" s="1555"/>
      <c r="D29" s="1554"/>
      <c r="E29" s="1554"/>
      <c r="F29" s="1585"/>
      <c r="G29" s="1586"/>
      <c r="H29" s="1586"/>
      <c r="I29" s="1586"/>
      <c r="J29" s="1586"/>
      <c r="K29" s="1586"/>
      <c r="L29" s="1554"/>
      <c r="M29" s="1554"/>
      <c r="N29" s="1554"/>
      <c r="O29" s="1554"/>
      <c r="Q29" s="1935"/>
      <c r="R29" s="1935"/>
      <c r="S29" s="1935"/>
      <c r="T29" s="1935"/>
      <c r="U29" s="1935"/>
      <c r="V29" s="1935"/>
    </row>
    <row r="30" spans="2:22">
      <c r="B30" s="1554"/>
      <c r="C30" s="3725" t="s">
        <v>1354</v>
      </c>
      <c r="D30" s="1562"/>
      <c r="E30" s="1587"/>
      <c r="F30" s="1491" t="s">
        <v>2665</v>
      </c>
      <c r="G30" s="1554"/>
      <c r="H30" s="1554"/>
      <c r="I30" s="1554"/>
      <c r="J30" s="1554"/>
      <c r="K30" s="1554"/>
      <c r="L30" s="1554"/>
      <c r="M30" s="1554"/>
      <c r="N30" s="1554"/>
      <c r="O30" s="1554"/>
      <c r="Q30" s="1936"/>
      <c r="R30" s="1936"/>
      <c r="S30" s="1936"/>
      <c r="T30" s="1936"/>
      <c r="U30" s="1936"/>
      <c r="V30" s="1936"/>
    </row>
    <row r="31" spans="2:22">
      <c r="B31" s="1554"/>
      <c r="C31" s="1555"/>
      <c r="D31" s="1554"/>
      <c r="E31" s="1554"/>
      <c r="F31" s="3143" t="s">
        <v>2673</v>
      </c>
      <c r="G31" s="3143"/>
      <c r="H31" s="3143"/>
      <c r="I31" s="3143"/>
      <c r="J31" s="3143"/>
      <c r="K31" s="3143"/>
      <c r="L31" s="3143"/>
      <c r="M31" s="3143"/>
      <c r="N31" s="3143"/>
      <c r="O31" s="1554"/>
      <c r="Q31" s="1936"/>
      <c r="R31" s="1936"/>
      <c r="S31" s="1936"/>
      <c r="T31" s="1936"/>
      <c r="U31" s="1936"/>
      <c r="V31" s="1936"/>
    </row>
    <row r="32" spans="2:22">
      <c r="B32" s="1554"/>
      <c r="C32" s="1555"/>
      <c r="D32" s="1554"/>
      <c r="E32" s="1554"/>
      <c r="F32" s="3143"/>
      <c r="G32" s="3143"/>
      <c r="H32" s="3143"/>
      <c r="I32" s="3143"/>
      <c r="J32" s="3143"/>
      <c r="K32" s="3143"/>
      <c r="L32" s="3143"/>
      <c r="M32" s="3143"/>
      <c r="N32" s="3143"/>
      <c r="O32" s="1554"/>
      <c r="Q32" s="1936"/>
      <c r="R32" s="1936"/>
      <c r="S32" s="1936"/>
      <c r="T32" s="1936"/>
      <c r="U32" s="1936"/>
      <c r="V32" s="1936"/>
    </row>
    <row r="33" spans="2:22">
      <c r="B33" s="1554"/>
      <c r="C33" s="1555"/>
      <c r="D33" s="1554"/>
      <c r="E33" s="1554"/>
      <c r="F33" s="3143" t="s">
        <v>2674</v>
      </c>
      <c r="G33" s="3143"/>
      <c r="H33" s="3143"/>
      <c r="I33" s="2938"/>
      <c r="J33" s="3728" t="s">
        <v>798</v>
      </c>
      <c r="K33" s="3728" t="s">
        <v>799</v>
      </c>
      <c r="L33" s="3728" t="s">
        <v>37</v>
      </c>
      <c r="M33" s="3728" t="s">
        <v>1523</v>
      </c>
      <c r="N33" s="3728" t="s">
        <v>38</v>
      </c>
      <c r="O33" s="1554"/>
      <c r="Q33" s="1936"/>
      <c r="R33" s="1936"/>
      <c r="S33" s="1936"/>
      <c r="T33" s="1936"/>
      <c r="U33" s="1936"/>
      <c r="V33" s="1936"/>
    </row>
    <row r="34" spans="2:22">
      <c r="B34" s="1554"/>
      <c r="C34" s="1555"/>
      <c r="D34" s="1554"/>
      <c r="E34" s="1554"/>
      <c r="F34" s="3143"/>
      <c r="G34" s="3143"/>
      <c r="H34" s="3143"/>
      <c r="I34" s="597" t="s">
        <v>2668</v>
      </c>
      <c r="J34" s="2967" t="s">
        <v>1416</v>
      </c>
      <c r="K34" s="2967" t="s">
        <v>1414</v>
      </c>
      <c r="L34" s="2967" t="s">
        <v>1414</v>
      </c>
      <c r="M34" s="2967"/>
      <c r="N34" s="2967" t="s">
        <v>2670</v>
      </c>
      <c r="O34" s="1554"/>
      <c r="Q34" s="1936"/>
      <c r="R34" s="1936"/>
      <c r="S34" s="1936"/>
      <c r="T34" s="1936"/>
      <c r="U34" s="1936"/>
      <c r="V34" s="1936"/>
    </row>
    <row r="35" spans="2:22">
      <c r="B35" s="1554"/>
      <c r="C35" s="1555"/>
      <c r="D35" s="1554"/>
      <c r="E35" s="1554"/>
      <c r="F35" s="3143"/>
      <c r="G35" s="3143"/>
      <c r="H35" s="3143"/>
      <c r="I35" s="597" t="s">
        <v>2672</v>
      </c>
      <c r="J35" s="2967" t="s">
        <v>2669</v>
      </c>
      <c r="K35" s="2967" t="s">
        <v>2671</v>
      </c>
      <c r="L35" s="2967" t="s">
        <v>1454</v>
      </c>
      <c r="M35" s="2967"/>
      <c r="N35" s="2967" t="s">
        <v>2669</v>
      </c>
      <c r="O35" s="1554"/>
      <c r="Q35" s="1936"/>
      <c r="R35" s="1936"/>
      <c r="S35" s="1936"/>
      <c r="T35" s="1936"/>
      <c r="U35" s="1936"/>
      <c r="V35" s="1936"/>
    </row>
    <row r="36" spans="2:22">
      <c r="B36" s="1554"/>
      <c r="C36" s="1555"/>
      <c r="D36" s="1554"/>
      <c r="E36" s="1554"/>
      <c r="F36" s="3143"/>
      <c r="G36" s="3143"/>
      <c r="H36" s="3143"/>
      <c r="I36" s="3731" t="s">
        <v>805</v>
      </c>
      <c r="J36" s="1175" t="str">
        <f>RATINGS!E753</f>
        <v>BBB</v>
      </c>
      <c r="K36" s="1175" t="str">
        <f>RATINGS!J753</f>
        <v>BBB</v>
      </c>
      <c r="L36" s="2967" t="str">
        <f>RATINGS!E749</f>
        <v>A-</v>
      </c>
      <c r="M36" s="2967" t="str">
        <f>RATINGS!J749</f>
        <v>BBB</v>
      </c>
      <c r="N36" s="2967" t="str">
        <f>RATINGS!O749</f>
        <v>B+</v>
      </c>
      <c r="O36" s="1554"/>
      <c r="Q36" s="1936"/>
      <c r="R36" s="1936"/>
      <c r="S36" s="1936"/>
      <c r="T36" s="1936"/>
      <c r="U36" s="1936"/>
      <c r="V36" s="1936"/>
    </row>
    <row r="37" spans="2:22">
      <c r="B37" s="1554"/>
      <c r="C37" s="1555"/>
      <c r="D37" s="1554"/>
      <c r="E37" s="1554"/>
      <c r="F37" s="1491" t="s">
        <v>2675</v>
      </c>
      <c r="G37" s="1554"/>
      <c r="H37" s="1554"/>
      <c r="I37" s="597">
        <v>2010</v>
      </c>
      <c r="J37" s="2967" t="str">
        <f>RATINGS!E754</f>
        <v>BBB+</v>
      </c>
      <c r="K37" s="2967" t="str">
        <f>RATINGS!J754</f>
        <v>A-</v>
      </c>
      <c r="L37" s="2967" t="str">
        <f>RATINGS!E750</f>
        <v>A</v>
      </c>
      <c r="M37" s="3732"/>
      <c r="N37" s="3732"/>
      <c r="O37" s="1554"/>
      <c r="Q37" s="1936"/>
      <c r="R37" s="1936"/>
      <c r="S37" s="1936"/>
      <c r="T37" s="1936"/>
      <c r="U37" s="1936"/>
      <c r="V37" s="1936"/>
    </row>
    <row r="38" spans="2:22">
      <c r="B38" s="1554"/>
      <c r="C38" s="1555"/>
      <c r="D38" s="1554"/>
      <c r="E38" s="1554"/>
      <c r="F38" s="1491"/>
      <c r="G38" s="1554"/>
      <c r="H38" s="1554"/>
      <c r="I38" s="1554"/>
      <c r="J38" s="1554"/>
      <c r="K38" s="1554"/>
      <c r="L38" s="1554"/>
      <c r="M38" s="1554"/>
      <c r="N38" s="1554"/>
      <c r="O38" s="1554"/>
      <c r="Q38" s="1935"/>
      <c r="R38" s="1935"/>
      <c r="S38" s="1935"/>
      <c r="T38" s="1935"/>
      <c r="U38" s="1935"/>
      <c r="V38" s="1935"/>
    </row>
    <row r="39" spans="2:22">
      <c r="B39" s="1554"/>
      <c r="C39" s="1564" t="s">
        <v>1686</v>
      </c>
      <c r="D39" s="1565"/>
      <c r="E39" s="1554"/>
      <c r="F39" s="1566" t="s">
        <v>2619</v>
      </c>
      <c r="G39" s="1554"/>
      <c r="H39" s="1554"/>
      <c r="I39" s="1554"/>
      <c r="J39" s="1554"/>
      <c r="K39" s="1554"/>
      <c r="L39" s="1554"/>
      <c r="M39" s="1554"/>
      <c r="N39" s="1554"/>
      <c r="O39" s="1554"/>
      <c r="Q39" s="1935"/>
      <c r="R39" s="1935"/>
      <c r="S39" s="1935"/>
      <c r="T39" s="1935"/>
      <c r="U39" s="1935"/>
      <c r="V39" s="1935"/>
    </row>
    <row r="40" spans="2:22" ht="5.4" customHeight="1">
      <c r="B40" s="1554"/>
      <c r="C40" s="1555"/>
      <c r="D40" s="1554"/>
      <c r="E40" s="1554"/>
      <c r="F40" s="1554"/>
      <c r="G40" s="1554"/>
      <c r="H40" s="1554"/>
      <c r="I40" s="1554"/>
      <c r="J40" s="1554"/>
      <c r="K40" s="1554"/>
      <c r="L40" s="1554"/>
      <c r="M40" s="1554"/>
      <c r="N40" s="1554"/>
      <c r="O40" s="1554"/>
      <c r="Q40" s="1935"/>
      <c r="R40" s="1935"/>
      <c r="S40" s="1935"/>
      <c r="T40" s="1935"/>
      <c r="U40" s="1935"/>
      <c r="V40" s="1935"/>
    </row>
    <row r="41" spans="2:22">
      <c r="B41" s="1554"/>
      <c r="C41" s="1567" t="s">
        <v>1236</v>
      </c>
      <c r="D41" s="1554"/>
      <c r="E41" s="1554"/>
      <c r="F41" s="1491" t="s">
        <v>2620</v>
      </c>
      <c r="G41" s="1554"/>
      <c r="H41" s="1554"/>
      <c r="I41" s="1554"/>
      <c r="J41" s="1554"/>
      <c r="K41" s="1554"/>
      <c r="L41" s="1554"/>
      <c r="M41" s="1554"/>
      <c r="N41" s="1554"/>
      <c r="O41" s="1554"/>
      <c r="Q41" s="1935"/>
      <c r="R41" s="1935"/>
      <c r="S41" s="1935"/>
      <c r="T41" s="1935"/>
      <c r="U41" s="1935"/>
      <c r="V41" s="1935"/>
    </row>
    <row r="42" spans="2:22" ht="5.4" customHeight="1">
      <c r="B42" s="1554"/>
      <c r="C42" s="1555"/>
      <c r="D42" s="1554"/>
      <c r="E42" s="1554"/>
      <c r="F42" s="1554"/>
      <c r="G42" s="1554"/>
      <c r="H42" s="1554"/>
      <c r="I42" s="1554"/>
      <c r="J42" s="1554"/>
      <c r="K42" s="1554"/>
      <c r="L42" s="1554"/>
      <c r="M42" s="1554"/>
      <c r="N42" s="1554"/>
      <c r="O42" s="1554"/>
      <c r="Q42" s="1935"/>
      <c r="R42" s="1935"/>
      <c r="S42" s="1935"/>
      <c r="T42" s="1935"/>
      <c r="U42" s="1935"/>
      <c r="V42" s="1935"/>
    </row>
    <row r="43" spans="2:22">
      <c r="B43" s="1554"/>
      <c r="C43" s="1568" t="s">
        <v>1235</v>
      </c>
      <c r="D43" s="1565"/>
      <c r="E43" s="1554"/>
      <c r="F43" s="1491" t="s">
        <v>1685</v>
      </c>
      <c r="G43" s="1554"/>
      <c r="H43" s="1554"/>
      <c r="I43" s="1554"/>
      <c r="J43" s="1554"/>
      <c r="K43" s="1554"/>
      <c r="L43" s="1554"/>
      <c r="M43" s="1491"/>
      <c r="N43" s="1554"/>
      <c r="O43" s="1554"/>
      <c r="P43" s="1569"/>
      <c r="Q43" s="1936"/>
      <c r="R43" s="1936"/>
      <c r="S43" s="1936"/>
      <c r="T43" s="1936"/>
      <c r="U43" s="1936"/>
      <c r="V43" s="1936"/>
    </row>
    <row r="44" spans="2:22" ht="5.4" customHeight="1">
      <c r="B44" s="1554"/>
      <c r="C44" s="1555"/>
      <c r="D44" s="1554"/>
      <c r="E44" s="1554"/>
      <c r="F44" s="1491"/>
      <c r="G44" s="1554"/>
      <c r="H44" s="1554"/>
      <c r="I44" s="1554"/>
      <c r="J44" s="1554"/>
      <c r="K44" s="1554"/>
      <c r="L44" s="1554"/>
      <c r="M44" s="1554"/>
      <c r="N44" s="1554"/>
      <c r="O44" s="1554"/>
      <c r="Q44" s="1936"/>
      <c r="R44" s="1936"/>
      <c r="S44" s="1936"/>
      <c r="T44" s="1936"/>
      <c r="U44" s="1936"/>
      <c r="V44" s="1936"/>
    </row>
    <row r="45" spans="2:22">
      <c r="B45" s="1554"/>
      <c r="C45" s="1567" t="s">
        <v>1264</v>
      </c>
      <c r="D45" s="1554"/>
      <c r="E45" s="1554"/>
      <c r="F45" s="1491" t="s">
        <v>1265</v>
      </c>
      <c r="G45" s="1554"/>
      <c r="H45" s="1554"/>
      <c r="I45" s="1554"/>
      <c r="J45" s="1554"/>
      <c r="K45" s="1554"/>
      <c r="L45" s="1554"/>
      <c r="M45" s="1554"/>
      <c r="N45" s="1554"/>
      <c r="O45" s="1554"/>
      <c r="Q45" s="1935"/>
      <c r="R45" s="1935"/>
      <c r="S45" s="1935"/>
      <c r="T45" s="1935"/>
      <c r="U45" s="1935"/>
      <c r="V45" s="1935"/>
    </row>
    <row r="46" spans="2:22" ht="5.4" customHeight="1">
      <c r="B46" s="1554"/>
      <c r="C46" s="1555"/>
      <c r="D46" s="1554"/>
      <c r="E46" s="1554"/>
      <c r="F46" s="1554"/>
      <c r="G46" s="1554"/>
      <c r="H46" s="1554"/>
      <c r="I46" s="1554"/>
      <c r="J46" s="1554"/>
      <c r="K46" s="1554"/>
      <c r="L46" s="1554"/>
      <c r="M46" s="1554"/>
      <c r="N46" s="1554"/>
      <c r="O46" s="1554"/>
      <c r="Q46" s="1935"/>
      <c r="R46" s="1935"/>
      <c r="S46" s="1935"/>
      <c r="T46" s="1935"/>
      <c r="U46" s="1935"/>
      <c r="V46" s="1935"/>
    </row>
    <row r="47" spans="2:22">
      <c r="B47" s="1554"/>
      <c r="C47" s="1564" t="s">
        <v>1175</v>
      </c>
      <c r="D47" s="1565"/>
      <c r="E47" s="1554"/>
      <c r="F47" s="1491" t="s">
        <v>1266</v>
      </c>
      <c r="G47" s="1554"/>
      <c r="H47" s="1554"/>
      <c r="I47" s="1554"/>
      <c r="J47" s="1554"/>
      <c r="K47" s="1554"/>
      <c r="L47" s="1554"/>
      <c r="M47" s="1554"/>
      <c r="N47" s="1554"/>
      <c r="O47" s="1554"/>
      <c r="Q47" s="1936"/>
      <c r="R47" s="1936"/>
      <c r="S47" s="1936"/>
      <c r="T47" s="1936"/>
      <c r="U47" s="1936"/>
      <c r="V47" s="1936"/>
    </row>
    <row r="48" spans="2:22" ht="5.4" customHeight="1">
      <c r="B48" s="1554"/>
      <c r="C48" s="1555"/>
      <c r="D48" s="1554"/>
      <c r="E48" s="1554"/>
      <c r="F48" s="1554"/>
      <c r="G48" s="1554"/>
      <c r="H48" s="1554"/>
      <c r="I48" s="1554"/>
      <c r="J48" s="1554"/>
      <c r="K48" s="1554"/>
      <c r="L48" s="1554"/>
      <c r="M48" s="1554"/>
      <c r="N48" s="1554"/>
      <c r="O48" s="1554"/>
      <c r="Q48" s="1936"/>
      <c r="R48" s="1936"/>
      <c r="S48" s="1936"/>
      <c r="T48" s="1936"/>
      <c r="U48" s="1936"/>
      <c r="V48" s="1936"/>
    </row>
    <row r="49" spans="2:22">
      <c r="B49" s="1554"/>
      <c r="C49" s="1567" t="s">
        <v>1267</v>
      </c>
      <c r="D49" s="1554"/>
      <c r="E49" s="1554"/>
      <c r="F49" s="1491" t="s">
        <v>1532</v>
      </c>
      <c r="G49" s="1554"/>
      <c r="H49" s="1554"/>
      <c r="I49" s="1554"/>
      <c r="J49" s="1554"/>
      <c r="K49" s="1554"/>
      <c r="L49" s="1554"/>
      <c r="M49" s="1554"/>
      <c r="N49" s="1554"/>
      <c r="O49" s="1554"/>
      <c r="Q49" s="1935"/>
      <c r="R49" s="1935"/>
      <c r="S49" s="1935"/>
      <c r="T49" s="1935"/>
      <c r="U49" s="1935"/>
      <c r="V49" s="1935"/>
    </row>
    <row r="50" spans="2:22" ht="5.4" customHeight="1">
      <c r="B50" s="1554"/>
      <c r="C50" s="1555"/>
      <c r="D50" s="1554"/>
      <c r="E50" s="1554"/>
      <c r="F50" s="1554"/>
      <c r="G50" s="1554"/>
      <c r="H50" s="1554"/>
      <c r="I50" s="1554"/>
      <c r="J50" s="1554"/>
      <c r="K50" s="1554"/>
      <c r="L50" s="1554"/>
      <c r="M50" s="1554"/>
      <c r="N50" s="1554"/>
      <c r="O50" s="1554"/>
    </row>
    <row r="51" spans="2:22" s="1571" customFormat="1">
      <c r="B51" s="1570"/>
      <c r="C51" s="3088" t="s">
        <v>1268</v>
      </c>
      <c r="D51" s="3081"/>
      <c r="E51" s="3081"/>
      <c r="F51" s="3081" t="s">
        <v>2568</v>
      </c>
      <c r="G51" s="3081"/>
      <c r="H51" s="1570"/>
      <c r="I51" s="3081"/>
      <c r="J51" s="3081"/>
      <c r="K51" s="3081"/>
      <c r="L51" s="3081"/>
      <c r="M51" s="3096" t="s">
        <v>2569</v>
      </c>
      <c r="N51" s="3097" t="s">
        <v>2570</v>
      </c>
      <c r="O51" s="1570"/>
      <c r="Q51" s="1931"/>
      <c r="R51" s="1931"/>
      <c r="S51" s="1931"/>
      <c r="T51" s="1931"/>
      <c r="U51" s="1931"/>
      <c r="V51" s="1931"/>
    </row>
    <row r="52" spans="2:22" ht="5.4" customHeight="1">
      <c r="B52" s="1554"/>
      <c r="C52" s="1555"/>
      <c r="D52" s="1554"/>
      <c r="E52" s="1554"/>
      <c r="F52" s="1554"/>
      <c r="G52" s="1554"/>
      <c r="H52" s="1554"/>
      <c r="I52" s="1554"/>
      <c r="J52" s="1554"/>
      <c r="K52" s="1554"/>
      <c r="L52" s="1554"/>
      <c r="M52" s="1554"/>
      <c r="N52" s="1554"/>
      <c r="O52" s="1554"/>
    </row>
    <row r="53" spans="2:22" s="3086" customFormat="1" ht="11.4">
      <c r="B53" s="3083"/>
      <c r="C53" s="3084" t="s">
        <v>1269</v>
      </c>
      <c r="D53" s="3085"/>
      <c r="E53" s="3085"/>
      <c r="F53" s="3085" t="s">
        <v>1270</v>
      </c>
      <c r="G53" s="3083"/>
      <c r="H53" s="3083"/>
      <c r="I53" s="3083"/>
      <c r="J53" s="3083"/>
      <c r="K53" s="3083"/>
      <c r="L53" s="3083"/>
      <c r="M53" s="3083"/>
      <c r="N53" s="3082" t="s">
        <v>2610</v>
      </c>
      <c r="O53" s="3083"/>
      <c r="Q53" s="3087"/>
      <c r="R53" s="3087"/>
      <c r="S53" s="3087"/>
      <c r="T53" s="3087"/>
      <c r="U53" s="3087"/>
      <c r="V53" s="3087"/>
    </row>
    <row r="54" spans="2:22" ht="5.4" customHeight="1">
      <c r="B54" s="1554"/>
      <c r="C54" s="1572"/>
      <c r="D54" s="1554"/>
      <c r="E54" s="1554"/>
      <c r="F54" s="1491"/>
      <c r="G54" s="1554"/>
      <c r="H54" s="1554"/>
      <c r="I54" s="1554"/>
      <c r="J54" s="1554"/>
      <c r="K54" s="1554"/>
      <c r="L54" s="1554"/>
      <c r="M54" s="1554"/>
      <c r="N54" s="1554"/>
      <c r="O54" s="1554"/>
    </row>
    <row r="55" spans="2:22" ht="5.4" customHeight="1">
      <c r="B55" s="1554"/>
      <c r="C55" s="1573"/>
      <c r="D55" s="1573"/>
      <c r="E55" s="1573"/>
      <c r="F55" s="1573"/>
      <c r="G55" s="1554"/>
      <c r="H55" s="1573"/>
      <c r="I55" s="1554"/>
      <c r="J55" s="1554"/>
      <c r="K55" s="1554"/>
      <c r="L55" s="1554"/>
      <c r="M55" s="1554"/>
      <c r="N55" s="1554"/>
      <c r="O55" s="1554"/>
    </row>
    <row r="56" spans="2:22" ht="13.2" customHeight="1">
      <c r="B56" s="1554"/>
      <c r="C56" s="1574"/>
      <c r="D56" s="1575"/>
      <c r="E56" s="1574"/>
      <c r="F56" s="1576" t="s">
        <v>56</v>
      </c>
      <c r="G56" s="1574"/>
      <c r="H56" s="1574"/>
      <c r="I56" s="1575"/>
      <c r="J56" s="1575"/>
      <c r="K56" s="1575"/>
      <c r="L56" s="1575"/>
      <c r="M56" s="1575"/>
      <c r="N56" s="3098" t="s">
        <v>2551</v>
      </c>
      <c r="O56" s="1575"/>
    </row>
    <row r="57" spans="2:22">
      <c r="B57" s="1554"/>
      <c r="C57" s="1577"/>
      <c r="D57" s="1554"/>
      <c r="E57" s="1578"/>
      <c r="F57" s="1578" t="s">
        <v>57</v>
      </c>
      <c r="G57" s="1577"/>
      <c r="H57" s="1577"/>
      <c r="I57" s="1554"/>
      <c r="J57" s="1554"/>
      <c r="K57" s="1554"/>
      <c r="L57" s="1554"/>
      <c r="M57" s="1554"/>
      <c r="N57" s="1554"/>
      <c r="O57" s="1554"/>
    </row>
    <row r="58" spans="2:22">
      <c r="B58" s="1554"/>
      <c r="C58" s="1577"/>
      <c r="D58" s="1554"/>
      <c r="E58" s="1578"/>
      <c r="F58" s="1578" t="s">
        <v>58</v>
      </c>
      <c r="G58" s="1577"/>
      <c r="H58" s="1577"/>
      <c r="I58" s="1554"/>
      <c r="J58" s="1554"/>
      <c r="K58" s="1554"/>
      <c r="L58" s="1554"/>
      <c r="M58" s="1554"/>
      <c r="N58" s="1579"/>
      <c r="O58" s="1554"/>
    </row>
    <row r="59" spans="2:22" ht="6.6" customHeight="1">
      <c r="B59" s="1554"/>
      <c r="C59" s="1577"/>
      <c r="D59" s="1577"/>
      <c r="E59" s="1577"/>
      <c r="F59" s="1577"/>
      <c r="G59" s="1577"/>
      <c r="H59" s="1577"/>
      <c r="I59" s="1554"/>
      <c r="J59" s="1554"/>
      <c r="K59" s="1554"/>
      <c r="L59" s="1554"/>
      <c r="M59" s="1554"/>
      <c r="N59" s="1554"/>
      <c r="O59" s="1554"/>
    </row>
  </sheetData>
  <mergeCells count="8">
    <mergeCell ref="F31:N32"/>
    <mergeCell ref="F33:H36"/>
    <mergeCell ref="F26:H28"/>
    <mergeCell ref="F5:N6"/>
    <mergeCell ref="F8:N9"/>
    <mergeCell ref="F14:N15"/>
    <mergeCell ref="F18:H21"/>
    <mergeCell ref="F23:N24"/>
  </mergeCells>
  <hyperlinks>
    <hyperlink ref="C43" location="'SEGMENTS Data &amp; Estimates'!A1" display="'SEGMENTS Data &amp; Estimates'!A1"/>
    <hyperlink ref="C45" location="Calculations!A1" display="Calculations"/>
    <hyperlink ref="C49" location="'Bloom Cleaner Data'!A1" display="GEARING Cleaner Data"/>
    <hyperlink ref="C51" location="'(Bloom Raw Data)'!A1" display="(Bloomberg Raw Data)"/>
    <hyperlink ref="C5" location="'NOTE 2'!A1" display="'NOTE 2'!A1"/>
    <hyperlink ref="C8" location="PROFILES!A1" display="PROFILES!A1"/>
    <hyperlink ref="C14" location="'GEARINGS, E&amp;Enot'!A1" display="GEARINGS"/>
    <hyperlink ref="C39" location="'OUTPUTS &amp; Inputs'!A1" display="'OUTPUTS &amp; Inputs'!A1"/>
    <hyperlink ref="C41" location="Ranking!A1" display="Ranking!A1"/>
    <hyperlink ref="C47" location="'Operating Leases'!A1" display="'Operating Leases'"/>
    <hyperlink ref="C53" location="'(Bloom Data Not Used or NA)'!A1" display="'(Bloom Data Not Used or NA)'!A1"/>
    <hyperlink ref="C30" location="RATINGS!A1" display="RATINGS"/>
    <hyperlink ref="C23" location="'GEARINGS, E&amp;Enot'!A352" display="E/Enot"/>
  </hyperlink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sheetPr>
    <tabColor rgb="FFFFFF99"/>
  </sheetPr>
  <dimension ref="A1:CB88"/>
  <sheetViews>
    <sheetView showGridLines="0" zoomScale="90" zoomScaleNormal="90" workbookViewId="0">
      <pane xSplit="2" ySplit="3" topLeftCell="W4" activePane="bottomRight" state="frozen"/>
      <selection pane="topRight" activeCell="C1" sqref="C1"/>
      <selection pane="bottomLeft" activeCell="A4" sqref="A4"/>
      <selection pane="bottomRight" activeCell="AR28" sqref="AR28"/>
    </sheetView>
  </sheetViews>
  <sheetFormatPr baseColWidth="10" defaultRowHeight="13.2"/>
  <cols>
    <col min="1" max="1" width="15.77734375" customWidth="1"/>
    <col min="2" max="2" width="11.109375" style="35" customWidth="1"/>
    <col min="3" max="3" width="19.109375" style="1" customWidth="1"/>
    <col min="4" max="4" width="9" customWidth="1"/>
    <col min="5" max="5" width="9.33203125" bestFit="1" customWidth="1"/>
    <col min="6" max="6" width="9" bestFit="1" customWidth="1"/>
    <col min="7" max="7" width="10.21875" customWidth="1"/>
    <col min="8" max="8" width="10.109375" bestFit="1" customWidth="1"/>
    <col min="9" max="9" width="10.77734375" bestFit="1" customWidth="1"/>
    <col min="10" max="12" width="10.109375" bestFit="1" customWidth="1"/>
    <col min="13" max="13" width="11.5546875" customWidth="1"/>
    <col min="15" max="23" width="10.109375" customWidth="1"/>
    <col min="24" max="27" width="10.109375" style="1" customWidth="1"/>
    <col min="28" max="28" width="10.5546875" customWidth="1"/>
    <col min="29" max="39" width="10.109375" customWidth="1"/>
    <col min="40" max="43" width="10.109375" style="7" hidden="1" customWidth="1"/>
    <col min="44" max="44" width="10.109375" style="7" customWidth="1"/>
    <col min="45" max="45" width="10.109375" style="2696" customWidth="1"/>
    <col min="46" max="78" width="10.109375" customWidth="1"/>
    <col min="80" max="80" width="11.5546875" style="34"/>
  </cols>
  <sheetData>
    <row r="1" spans="1:80">
      <c r="A1" s="110" t="s">
        <v>1175</v>
      </c>
      <c r="B1" s="2778"/>
      <c r="C1" s="226"/>
      <c r="X1"/>
      <c r="Y1"/>
      <c r="Z1"/>
      <c r="AA1"/>
      <c r="AC1" s="1"/>
      <c r="AD1" s="1"/>
      <c r="AG1" s="1"/>
      <c r="AH1" s="1"/>
      <c r="AI1" s="1"/>
      <c r="AJ1" s="1"/>
      <c r="AV1" s="145">
        <v>1</v>
      </c>
      <c r="AW1" s="145">
        <v>2</v>
      </c>
      <c r="AX1" s="145">
        <v>3</v>
      </c>
      <c r="AZ1" s="145">
        <v>1</v>
      </c>
      <c r="BA1" s="145">
        <v>2</v>
      </c>
      <c r="BB1" s="145">
        <v>3</v>
      </c>
      <c r="BD1" s="145">
        <v>1</v>
      </c>
      <c r="BE1" s="145">
        <v>2</v>
      </c>
      <c r="BF1" s="145">
        <v>3</v>
      </c>
      <c r="BK1" s="4" t="s">
        <v>1150</v>
      </c>
      <c r="BM1" s="145">
        <v>1</v>
      </c>
      <c r="BN1" s="145">
        <v>2</v>
      </c>
      <c r="BO1" s="145">
        <v>3</v>
      </c>
      <c r="BQ1" s="145">
        <v>1</v>
      </c>
      <c r="BR1" s="145">
        <v>2</v>
      </c>
      <c r="BS1" s="145">
        <v>3</v>
      </c>
      <c r="BU1" s="145">
        <v>1</v>
      </c>
      <c r="BV1" s="145">
        <v>2</v>
      </c>
      <c r="BW1" s="145">
        <v>3</v>
      </c>
    </row>
    <row r="2" spans="1:80">
      <c r="A2" s="1630" t="s">
        <v>2581</v>
      </c>
      <c r="B2" s="3106"/>
      <c r="C2" s="3100" t="s">
        <v>747</v>
      </c>
      <c r="D2" s="3661" t="s">
        <v>749</v>
      </c>
      <c r="E2" s="3662"/>
      <c r="F2" s="3663"/>
      <c r="G2" s="1634">
        <v>40178</v>
      </c>
      <c r="H2" s="1635">
        <f>G2</f>
        <v>40178</v>
      </c>
      <c r="I2" s="1635">
        <f t="shared" ref="I2:N2" si="0">H2</f>
        <v>40178</v>
      </c>
      <c r="J2" s="1635">
        <f t="shared" si="0"/>
        <v>40178</v>
      </c>
      <c r="K2" s="1636">
        <f t="shared" si="0"/>
        <v>40178</v>
      </c>
      <c r="L2" s="1634">
        <f t="shared" si="0"/>
        <v>40178</v>
      </c>
      <c r="M2" s="1635">
        <f t="shared" si="0"/>
        <v>40178</v>
      </c>
      <c r="N2" s="1635">
        <f t="shared" si="0"/>
        <v>40178</v>
      </c>
      <c r="O2" s="1634">
        <v>40543</v>
      </c>
      <c r="P2" s="1635">
        <f>O2</f>
        <v>40543</v>
      </c>
      <c r="Q2" s="1635">
        <f t="shared" ref="Q2:V2" si="1">P2</f>
        <v>40543</v>
      </c>
      <c r="R2" s="1635">
        <f t="shared" si="1"/>
        <v>40543</v>
      </c>
      <c r="S2" s="1636">
        <f t="shared" si="1"/>
        <v>40543</v>
      </c>
      <c r="T2" s="1634">
        <f t="shared" si="1"/>
        <v>40543</v>
      </c>
      <c r="U2" s="1635">
        <f t="shared" si="1"/>
        <v>40543</v>
      </c>
      <c r="V2" s="1635">
        <f t="shared" si="1"/>
        <v>40543</v>
      </c>
      <c r="W2" s="1634">
        <v>40908</v>
      </c>
      <c r="X2" s="1635">
        <f>W2</f>
        <v>40908</v>
      </c>
      <c r="Y2" s="1635">
        <f t="shared" ref="Y2:AD2" si="2">X2</f>
        <v>40908</v>
      </c>
      <c r="Z2" s="1635">
        <f t="shared" si="2"/>
        <v>40908</v>
      </c>
      <c r="AA2" s="1636">
        <f t="shared" si="2"/>
        <v>40908</v>
      </c>
      <c r="AB2" s="1634">
        <f t="shared" si="2"/>
        <v>40908</v>
      </c>
      <c r="AC2" s="1635">
        <f t="shared" si="2"/>
        <v>40908</v>
      </c>
      <c r="AD2" s="1635">
        <f t="shared" si="2"/>
        <v>40908</v>
      </c>
      <c r="AE2" s="1634">
        <v>41274</v>
      </c>
      <c r="AF2" s="1635">
        <f>AE2</f>
        <v>41274</v>
      </c>
      <c r="AG2" s="1635">
        <f t="shared" ref="AG2:AL2" si="3">AF2</f>
        <v>41274</v>
      </c>
      <c r="AH2" s="1635">
        <f t="shared" si="3"/>
        <v>41274</v>
      </c>
      <c r="AI2" s="1636">
        <f t="shared" si="3"/>
        <v>41274</v>
      </c>
      <c r="AJ2" s="1634">
        <f t="shared" si="3"/>
        <v>41274</v>
      </c>
      <c r="AK2" s="1635">
        <f t="shared" si="3"/>
        <v>41274</v>
      </c>
      <c r="AL2" s="1635">
        <f t="shared" si="3"/>
        <v>41274</v>
      </c>
      <c r="AN2" s="24">
        <v>40178</v>
      </c>
      <c r="AO2" s="24">
        <v>40543</v>
      </c>
      <c r="AP2" s="24">
        <v>40908</v>
      </c>
      <c r="AQ2" s="24">
        <v>41274</v>
      </c>
      <c r="AR2" s="11" t="s">
        <v>2083</v>
      </c>
      <c r="AT2" s="187" t="s">
        <v>742</v>
      </c>
      <c r="AU2" s="5">
        <v>40178</v>
      </c>
      <c r="AV2" s="5">
        <v>40268</v>
      </c>
      <c r="AW2" s="5">
        <v>40359</v>
      </c>
      <c r="AX2" s="5">
        <v>40451</v>
      </c>
      <c r="AY2" s="5">
        <v>40543</v>
      </c>
      <c r="AZ2" s="5">
        <v>40633</v>
      </c>
      <c r="BA2" s="5">
        <v>40724</v>
      </c>
      <c r="BB2" s="5">
        <v>40816</v>
      </c>
      <c r="BC2" s="5">
        <v>40908</v>
      </c>
      <c r="BD2" s="5">
        <v>40999</v>
      </c>
      <c r="BE2" s="5">
        <v>41090</v>
      </c>
      <c r="BF2" s="5">
        <v>41182</v>
      </c>
      <c r="BG2" s="5">
        <v>41274</v>
      </c>
      <c r="BH2" s="5">
        <v>41364</v>
      </c>
      <c r="BI2" s="24">
        <v>41455</v>
      </c>
      <c r="BJ2" s="24"/>
      <c r="BK2" s="187" t="s">
        <v>742</v>
      </c>
      <c r="BL2" s="5">
        <v>40178</v>
      </c>
      <c r="BM2" s="5">
        <v>40268</v>
      </c>
      <c r="BN2" s="5">
        <v>40359</v>
      </c>
      <c r="BO2" s="5">
        <v>40451</v>
      </c>
      <c r="BP2" s="5">
        <v>40543</v>
      </c>
      <c r="BQ2" s="5">
        <v>40633</v>
      </c>
      <c r="BR2" s="5">
        <v>40724</v>
      </c>
      <c r="BS2" s="5">
        <v>40816</v>
      </c>
      <c r="BT2" s="5">
        <v>40908</v>
      </c>
      <c r="BU2" s="5">
        <v>40999</v>
      </c>
      <c r="BV2" s="5">
        <v>41090</v>
      </c>
      <c r="BW2" s="5">
        <v>41182</v>
      </c>
      <c r="BX2" s="5">
        <v>41274</v>
      </c>
      <c r="BY2" s="5">
        <v>41364</v>
      </c>
      <c r="BZ2" s="24">
        <v>41455</v>
      </c>
      <c r="CB2" s="2306" t="s">
        <v>1816</v>
      </c>
    </row>
    <row r="3" spans="1:80">
      <c r="A3" s="1277" t="s">
        <v>407</v>
      </c>
      <c r="B3" s="1276">
        <v>8</v>
      </c>
      <c r="C3" s="3101" t="s">
        <v>746</v>
      </c>
      <c r="D3" s="1633" t="s">
        <v>748</v>
      </c>
      <c r="E3" s="1633" t="s">
        <v>750</v>
      </c>
      <c r="F3" s="1633" t="s">
        <v>758</v>
      </c>
      <c r="G3" s="1634" t="s">
        <v>446</v>
      </c>
      <c r="H3" s="1277" t="s">
        <v>103</v>
      </c>
      <c r="I3" s="1277" t="s">
        <v>408</v>
      </c>
      <c r="J3" s="1277" t="s">
        <v>409</v>
      </c>
      <c r="K3" s="1637" t="s">
        <v>412</v>
      </c>
      <c r="L3" s="1634" t="s">
        <v>744</v>
      </c>
      <c r="M3" s="1638" t="s">
        <v>445</v>
      </c>
      <c r="N3" s="1639" t="s">
        <v>745</v>
      </c>
      <c r="O3" s="1634" t="s">
        <v>446</v>
      </c>
      <c r="P3" s="1277" t="s">
        <v>103</v>
      </c>
      <c r="Q3" s="1277" t="s">
        <v>408</v>
      </c>
      <c r="R3" s="1277" t="s">
        <v>409</v>
      </c>
      <c r="S3" s="1637" t="s">
        <v>412</v>
      </c>
      <c r="T3" s="1634" t="s">
        <v>744</v>
      </c>
      <c r="U3" s="1638" t="s">
        <v>445</v>
      </c>
      <c r="V3" s="1639" t="s">
        <v>745</v>
      </c>
      <c r="W3" s="1634" t="s">
        <v>446</v>
      </c>
      <c r="X3" s="1277" t="s">
        <v>103</v>
      </c>
      <c r="Y3" s="1277" t="s">
        <v>408</v>
      </c>
      <c r="Z3" s="1277" t="s">
        <v>409</v>
      </c>
      <c r="AA3" s="1637" t="s">
        <v>412</v>
      </c>
      <c r="AB3" s="1634" t="s">
        <v>744</v>
      </c>
      <c r="AC3" s="1638" t="s">
        <v>445</v>
      </c>
      <c r="AD3" s="1639" t="s">
        <v>745</v>
      </c>
      <c r="AE3" s="1634" t="s">
        <v>446</v>
      </c>
      <c r="AF3" s="1277" t="s">
        <v>103</v>
      </c>
      <c r="AG3" s="1277" t="s">
        <v>408</v>
      </c>
      <c r="AH3" s="1277" t="s">
        <v>409</v>
      </c>
      <c r="AI3" s="1637" t="s">
        <v>412</v>
      </c>
      <c r="AJ3" s="1634" t="s">
        <v>744</v>
      </c>
      <c r="AK3" s="1638" t="s">
        <v>445</v>
      </c>
      <c r="AL3" s="1639" t="s">
        <v>745</v>
      </c>
      <c r="AN3" s="11" t="s">
        <v>2081</v>
      </c>
      <c r="AO3" s="11" t="s">
        <v>2081</v>
      </c>
      <c r="AP3" s="11" t="s">
        <v>2081</v>
      </c>
      <c r="AQ3" s="11" t="s">
        <v>2081</v>
      </c>
      <c r="AR3" s="11" t="s">
        <v>2082</v>
      </c>
      <c r="AT3" s="187" t="s">
        <v>743</v>
      </c>
      <c r="AU3" s="4" t="s">
        <v>741</v>
      </c>
      <c r="AV3" s="4" t="s">
        <v>741</v>
      </c>
      <c r="AW3" s="4" t="s">
        <v>741</v>
      </c>
      <c r="AX3" s="4" t="s">
        <v>741</v>
      </c>
      <c r="AY3" s="4" t="s">
        <v>741</v>
      </c>
      <c r="AZ3" s="4" t="s">
        <v>741</v>
      </c>
      <c r="BA3" s="4" t="s">
        <v>741</v>
      </c>
      <c r="BB3" s="4" t="s">
        <v>741</v>
      </c>
      <c r="BC3" s="4" t="s">
        <v>741</v>
      </c>
      <c r="BD3" s="4" t="s">
        <v>741</v>
      </c>
      <c r="BE3" s="4" t="s">
        <v>741</v>
      </c>
      <c r="BF3" s="4" t="s">
        <v>741</v>
      </c>
      <c r="BG3" s="4" t="s">
        <v>741</v>
      </c>
      <c r="BH3" s="4" t="s">
        <v>741</v>
      </c>
      <c r="BI3" s="4" t="s">
        <v>741</v>
      </c>
      <c r="BJ3" s="4"/>
      <c r="BK3" s="187" t="s">
        <v>743</v>
      </c>
      <c r="BL3" s="4" t="s">
        <v>1149</v>
      </c>
      <c r="BM3" s="4" t="s">
        <v>1149</v>
      </c>
      <c r="BN3" s="4" t="s">
        <v>1149</v>
      </c>
      <c r="BO3" s="4" t="s">
        <v>1149</v>
      </c>
      <c r="BP3" s="4" t="s">
        <v>1149</v>
      </c>
      <c r="BQ3" s="4" t="s">
        <v>1149</v>
      </c>
      <c r="BR3" s="4" t="s">
        <v>1149</v>
      </c>
      <c r="BS3" s="4" t="s">
        <v>1149</v>
      </c>
      <c r="BT3" s="4" t="s">
        <v>1149</v>
      </c>
      <c r="BU3" s="4" t="s">
        <v>1149</v>
      </c>
      <c r="BV3" s="4" t="s">
        <v>1149</v>
      </c>
      <c r="BW3" s="4" t="s">
        <v>1149</v>
      </c>
      <c r="BX3" s="4" t="s">
        <v>1149</v>
      </c>
      <c r="BY3" s="4" t="s">
        <v>1149</v>
      </c>
      <c r="BZ3" s="4" t="s">
        <v>1149</v>
      </c>
    </row>
    <row r="4" spans="1:80">
      <c r="A4" s="462"/>
      <c r="B4" s="3107"/>
      <c r="C4" s="3102"/>
      <c r="D4" s="1269"/>
      <c r="E4" s="1269"/>
      <c r="F4" s="33"/>
      <c r="G4" s="6"/>
      <c r="H4" s="6"/>
      <c r="I4" s="6"/>
      <c r="J4" s="6"/>
      <c r="K4" s="6"/>
      <c r="L4" s="6"/>
      <c r="M4" s="6"/>
      <c r="N4" s="6"/>
      <c r="O4" s="8"/>
      <c r="P4" s="6"/>
      <c r="Q4" s="6"/>
      <c r="R4" s="6"/>
      <c r="S4" s="6"/>
      <c r="T4" s="6"/>
      <c r="U4" s="6"/>
      <c r="V4" s="6"/>
      <c r="W4" s="8"/>
      <c r="X4" s="6"/>
      <c r="Y4" s="6"/>
      <c r="Z4" s="6"/>
      <c r="AA4" s="6"/>
      <c r="AB4" s="6"/>
      <c r="AC4" s="6"/>
      <c r="AD4" s="6"/>
      <c r="AE4" s="8"/>
      <c r="AF4" s="6"/>
      <c r="AG4" s="6"/>
      <c r="AH4" s="6"/>
      <c r="AI4" s="6"/>
      <c r="AJ4" s="6"/>
      <c r="AK4" s="6"/>
      <c r="AL4" s="33"/>
    </row>
    <row r="5" spans="1:80">
      <c r="A5" s="31" t="s">
        <v>502</v>
      </c>
      <c r="B5" s="83" t="s">
        <v>52</v>
      </c>
      <c r="C5" s="3103">
        <f t="shared" ref="C5:C27" si="4">AVERAGE(L5,T5,AB5,AJ5)</f>
        <v>0.37382176061566441</v>
      </c>
      <c r="D5" s="1263">
        <f>CALCULATIONS!IB5</f>
        <v>7.2799548070315856E-2</v>
      </c>
      <c r="E5" s="1263">
        <f>CALCULATIONS!IC5</f>
        <v>0.14127907721011346</v>
      </c>
      <c r="F5" s="488">
        <f>CALCULATIONS!IW5</f>
        <v>0.34346263458677162</v>
      </c>
      <c r="G5" s="464">
        <f>'Bloom Cleaner Data'!AJ5</f>
        <v>24548</v>
      </c>
      <c r="H5" s="464" t="str">
        <f>RATINGS!D782</f>
        <v>BBB+</v>
      </c>
      <c r="I5" s="465">
        <f t="shared" ref="I5:I27" si="5">INDEX($D$39:$K$49,MATCH(H5,$A$39:$A$49,0),MATCH(J5,$D$38:$K$38,0))/100</f>
        <v>4.4912000000000001E-2</v>
      </c>
      <c r="J5" s="195">
        <f>$B$3</f>
        <v>8</v>
      </c>
      <c r="K5" s="466">
        <f>(1-1/(1+I5)^J5)/I5*G5/J5</f>
        <v>20246.755045418417</v>
      </c>
      <c r="L5" s="467">
        <f>K5/('Bloom Cleaner Data'!T5)</f>
        <v>0.45840325677908023</v>
      </c>
      <c r="M5" s="467">
        <f>K5/('Bloom Cleaner Data'!T5+K5)</f>
        <v>0.31431859099894993</v>
      </c>
      <c r="N5" s="467">
        <f t="shared" ref="N5:N14" si="6">K5/G5</f>
        <v>0.82478226517102882</v>
      </c>
      <c r="O5" s="188">
        <f>'Bloom Cleaner Data'!AK5</f>
        <v>17663</v>
      </c>
      <c r="P5" s="464" t="str">
        <f>RATINGS!H782</f>
        <v>BBB+</v>
      </c>
      <c r="Q5" s="465">
        <f t="shared" ref="Q5:Q27" si="7">INDEX($D$39:$K$49,MATCH(P5,$A$39:$A$49,0),MATCH(R5,$D$38:$K$38,0))/100</f>
        <v>4.4912000000000001E-2</v>
      </c>
      <c r="R5" s="195">
        <f>$B$3</f>
        <v>8</v>
      </c>
      <c r="S5" s="466">
        <f>(1-1/(1+Q5)^R5)/Q5*O5/R5</f>
        <v>14568.129149715882</v>
      </c>
      <c r="T5" s="467">
        <f>S5/('Bloom Cleaner Data'!X5)</f>
        <v>0.32112439160860295</v>
      </c>
      <c r="U5" s="467">
        <f>S5/('Bloom Cleaner Data'!X5+S5)</f>
        <v>0.24306900519609773</v>
      </c>
      <c r="V5" s="467">
        <f t="shared" ref="V5:V14" si="8">S5/O5</f>
        <v>0.82478226517102882</v>
      </c>
      <c r="W5" s="188">
        <f>'Bloom Cleaner Data'!AL5</f>
        <v>17470</v>
      </c>
      <c r="X5" s="95" t="str">
        <f>RATINGS!L782</f>
        <v>BBB+</v>
      </c>
      <c r="Y5" s="465">
        <f t="shared" ref="Y5:Y27" si="9">INDEX($D$39:$K$49,MATCH(X5,$A$39:$A$49,0),MATCH(Z5,$D$38:$K$38,0))/100</f>
        <v>4.4912000000000001E-2</v>
      </c>
      <c r="Z5" s="195">
        <f>$B$3</f>
        <v>8</v>
      </c>
      <c r="AA5" s="466">
        <f>(1-1/(1+Y5)^Z5)/Y5*W5/Z5</f>
        <v>14408.946172537873</v>
      </c>
      <c r="AB5" s="467">
        <f>AA5/('Bloom Cleaner Data'!AB5)</f>
        <v>0.34147658954730004</v>
      </c>
      <c r="AC5" s="467">
        <f>AA5/('Bloom Cleaner Data'!AB5+AA5)</f>
        <v>0.25455277580545488</v>
      </c>
      <c r="AD5" s="467">
        <f t="shared" ref="AD5:AD27" si="10">AA5/W5</f>
        <v>0.82478226517102882</v>
      </c>
      <c r="AE5" s="188">
        <f>'Bloom Cleaner Data'!AM5</f>
        <v>17502</v>
      </c>
      <c r="AF5" s="95" t="str">
        <f>RATINGS!P782</f>
        <v>BBB+</v>
      </c>
      <c r="AG5" s="465">
        <f t="shared" ref="AG5:AG27" si="11">INDEX($D$39:$K$49,MATCH(AF5,$A$39:$A$49,0),MATCH(AH5,$D$38:$K$38,0))/100</f>
        <v>4.4912000000000001E-2</v>
      </c>
      <c r="AH5" s="195">
        <f>$B$3</f>
        <v>8</v>
      </c>
      <c r="AI5" s="466">
        <f>(1-1/(1+AG5)^AH5)/AG5*AE5/AH5</f>
        <v>14435.339205023347</v>
      </c>
      <c r="AJ5" s="467">
        <f>AI5/('Bloom Cleaner Data'!AF5)</f>
        <v>0.37428280452767443</v>
      </c>
      <c r="AK5" s="467">
        <f>AI5/('Bloom Cleaner Data'!AF5+AI5)</f>
        <v>0.27234773170018034</v>
      </c>
      <c r="AL5" s="468">
        <f t="shared" ref="AL5:AL27" si="12">AI5/AE5</f>
        <v>0.82478226517102882</v>
      </c>
      <c r="AN5" s="18">
        <f>K5/G5</f>
        <v>0.82478226517102882</v>
      </c>
      <c r="AO5" s="18">
        <f>S5/O5</f>
        <v>0.82478226517102882</v>
      </c>
      <c r="AP5" s="18">
        <f>AA5/W5</f>
        <v>0.82478226517102882</v>
      </c>
      <c r="AQ5" s="18">
        <f>AI5/AE5</f>
        <v>0.82478226517102882</v>
      </c>
      <c r="AR5" s="10">
        <f>AVERAGE(AO5:AQ5)</f>
        <v>0.82478226517102871</v>
      </c>
      <c r="AU5" s="13">
        <f t="shared" ref="AU5:AU27" si="13">K5</f>
        <v>20246.755045418417</v>
      </c>
      <c r="AV5" s="26">
        <f t="shared" ref="AV5:AX27" si="14">$AU5+($AY5-$AU5)*AV$1/4</f>
        <v>18827.098571492781</v>
      </c>
      <c r="AW5" s="26">
        <f t="shared" si="14"/>
        <v>17407.442097567149</v>
      </c>
      <c r="AX5" s="26">
        <f t="shared" si="14"/>
        <v>15987.785623641515</v>
      </c>
      <c r="AY5" s="13">
        <f t="shared" ref="AY5:AY27" si="15">S5</f>
        <v>14568.129149715882</v>
      </c>
      <c r="AZ5" s="26">
        <f t="shared" ref="AZ5:BB27" si="16">$AY5+($BC5-$AY5)*AZ$1/4</f>
        <v>14528.333405421379</v>
      </c>
      <c r="BA5" s="26">
        <f t="shared" si="16"/>
        <v>14488.537661126877</v>
      </c>
      <c r="BB5" s="26">
        <f t="shared" si="16"/>
        <v>14448.741916832376</v>
      </c>
      <c r="BC5" s="13">
        <f t="shared" ref="BC5:BC27" si="17">AA5</f>
        <v>14408.946172537873</v>
      </c>
      <c r="BD5" s="26">
        <f t="shared" ref="BD5:BF27" si="18">$BC5+($BG5-$BC5)*BD$1/4</f>
        <v>14415.544430659242</v>
      </c>
      <c r="BE5" s="26">
        <f t="shared" si="18"/>
        <v>14422.14268878061</v>
      </c>
      <c r="BF5" s="26">
        <f t="shared" si="18"/>
        <v>14428.740946901979</v>
      </c>
      <c r="BG5" s="13">
        <f>AI5</f>
        <v>14435.339205023347</v>
      </c>
      <c r="BH5" s="26">
        <f>BG5</f>
        <v>14435.339205023347</v>
      </c>
      <c r="BI5" s="26">
        <f>BH5</f>
        <v>14435.339205023347</v>
      </c>
      <c r="BJ5" s="26"/>
      <c r="BL5" s="13">
        <f>G5/(J5-1)</f>
        <v>3506.8571428571427</v>
      </c>
      <c r="BM5" s="26">
        <f>$BL5+($BP5-$BL5)*BM$1/4</f>
        <v>3182.1116071428569</v>
      </c>
      <c r="BN5" s="26">
        <f t="shared" ref="BN5:BO20" si="19">$BL5+($BP5-$BL5)*BN$1/4</f>
        <v>2857.3660714285716</v>
      </c>
      <c r="BO5" s="26">
        <f t="shared" si="19"/>
        <v>2532.6205357142858</v>
      </c>
      <c r="BP5" s="13">
        <f>O5/R5</f>
        <v>2207.875</v>
      </c>
      <c r="BQ5" s="26">
        <f>$BP5+($BT5-$BP5)*BQ$1/4</f>
        <v>2201.84375</v>
      </c>
      <c r="BR5" s="26">
        <f t="shared" ref="BR5:BS20" si="20">$BP5+($BT5-$BP5)*BR$1/4</f>
        <v>2195.8125</v>
      </c>
      <c r="BS5" s="26">
        <f t="shared" si="20"/>
        <v>2189.78125</v>
      </c>
      <c r="BT5" s="13">
        <f t="shared" ref="BT5:BT11" si="21">W5/Z5</f>
        <v>2183.75</v>
      </c>
      <c r="BU5" s="26">
        <f>$BT5+($BX5-$BT5)*BU$1/4</f>
        <v>2184.75</v>
      </c>
      <c r="BV5" s="26">
        <f t="shared" ref="BV5:BW20" si="22">$BT5+($BX5-$BT5)*BV$1/4</f>
        <v>2185.75</v>
      </c>
      <c r="BW5" s="26">
        <f t="shared" si="22"/>
        <v>2186.75</v>
      </c>
      <c r="BX5" s="13">
        <f>AE5/AH5</f>
        <v>2187.75</v>
      </c>
      <c r="BY5" s="26">
        <f>BX5</f>
        <v>2187.75</v>
      </c>
      <c r="BZ5" s="26">
        <f>BY5</f>
        <v>2187.75</v>
      </c>
    </row>
    <row r="6" spans="1:80">
      <c r="A6" s="31" t="s">
        <v>389</v>
      </c>
      <c r="B6" s="83" t="s">
        <v>278</v>
      </c>
      <c r="C6" s="3103">
        <f t="shared" si="4"/>
        <v>2.7961278082264694E-2</v>
      </c>
      <c r="D6" s="1263">
        <f>CALCULATIONS!IB6</f>
        <v>6.4842828807925579E-3</v>
      </c>
      <c r="E6" s="1263">
        <f>CALCULATIONS!IC6</f>
        <v>1.3219701596443154E-2</v>
      </c>
      <c r="F6" s="488">
        <f>CALCULATIONS!IW6</f>
        <v>2.647280349562214E-2</v>
      </c>
      <c r="G6" s="464">
        <f>'Bloom Cleaner Data'!AJ6</f>
        <v>122.795</v>
      </c>
      <c r="H6" s="464" t="str">
        <f>RATINGS!D783</f>
        <v>BBB</v>
      </c>
      <c r="I6" s="465">
        <f t="shared" si="5"/>
        <v>4.9021999999999996E-2</v>
      </c>
      <c r="J6" s="195">
        <f t="shared" ref="J6:J27" si="23">$B$3</f>
        <v>8</v>
      </c>
      <c r="K6" s="466">
        <f t="shared" ref="K6:K27" si="24">(1-1/(1+I6)^J6)/I6*G6/J6</f>
        <v>99.599669283650783</v>
      </c>
      <c r="L6" s="467">
        <f>K6/('Bloom Cleaner Data'!T6)</f>
        <v>3.1666089919165613E-2</v>
      </c>
      <c r="M6" s="467">
        <f>K6/('Bloom Cleaner Data'!T6+K6)</f>
        <v>3.0694126935631616E-2</v>
      </c>
      <c r="N6" s="467">
        <f t="shared" si="6"/>
        <v>0.81110525089499397</v>
      </c>
      <c r="O6" s="188">
        <f>'Bloom Cleaner Data'!AK6</f>
        <v>109.989</v>
      </c>
      <c r="P6" s="464" t="str">
        <f>RATINGS!H783</f>
        <v>BBB</v>
      </c>
      <c r="Q6" s="465">
        <f t="shared" si="7"/>
        <v>4.9021999999999996E-2</v>
      </c>
      <c r="R6" s="195">
        <f t="shared" ref="R6:R27" si="25">$B$3</f>
        <v>8</v>
      </c>
      <c r="S6" s="466">
        <f t="shared" ref="S6:S27" si="26">(1-1/(1+Q6)^R6)/Q6*O6/R6</f>
        <v>89.212655440689488</v>
      </c>
      <c r="T6" s="467">
        <f>S6/('Bloom Cleaner Data'!X6)</f>
        <v>2.6630476477815954E-2</v>
      </c>
      <c r="U6" s="467">
        <f>S6/('Bloom Cleaner Data'!X6+S6)</f>
        <v>2.593969016893042E-2</v>
      </c>
      <c r="V6" s="467">
        <f t="shared" si="8"/>
        <v>0.81110525089499386</v>
      </c>
      <c r="W6" s="188">
        <f>'Bloom Cleaner Data'!AL6</f>
        <v>109.435</v>
      </c>
      <c r="X6" s="95" t="str">
        <f>RATINGS!L783</f>
        <v>BBB</v>
      </c>
      <c r="Y6" s="465">
        <f t="shared" si="9"/>
        <v>4.9021999999999996E-2</v>
      </c>
      <c r="Z6" s="195">
        <f t="shared" ref="Z6:Z27" si="27">$B$3</f>
        <v>8</v>
      </c>
      <c r="AA6" s="466">
        <f t="shared" ref="AA6:AA27" si="28">(1-1/(1+Y6)^Z6)/Y6*W6/Z6</f>
        <v>88.763303131693661</v>
      </c>
      <c r="AB6" s="467">
        <f>AA6/('Bloom Cleaner Data'!AB6)</f>
        <v>2.6709273674318367E-2</v>
      </c>
      <c r="AC6" s="467">
        <f>AA6/('Bloom Cleaner Data'!AB6+AA6)</f>
        <v>2.6014446697976153E-2</v>
      </c>
      <c r="AD6" s="467">
        <f t="shared" si="10"/>
        <v>0.81110525089499397</v>
      </c>
      <c r="AE6" s="188">
        <f>'Bloom Cleaner Data'!AM6</f>
        <v>105.739</v>
      </c>
      <c r="AF6" s="95" t="str">
        <f>RATINGS!P783</f>
        <v>BBB</v>
      </c>
      <c r="AG6" s="465">
        <f t="shared" si="11"/>
        <v>4.9021999999999996E-2</v>
      </c>
      <c r="AH6" s="195">
        <f t="shared" ref="AH6:AH27" si="29">$B$3</f>
        <v>8</v>
      </c>
      <c r="AI6" s="466">
        <f t="shared" ref="AI6:AI27" si="30">(1-1/(1+AG6)^AH6)/AG6*AE6/AH6</f>
        <v>85.765458124385773</v>
      </c>
      <c r="AJ6" s="467">
        <f>AI6/('Bloom Cleaner Data'!AF6)</f>
        <v>2.6839272257758836E-2</v>
      </c>
      <c r="AK6" s="467">
        <f>AI6/('Bloom Cleaner Data'!AF6+AI6)</f>
        <v>2.613775396294114E-2</v>
      </c>
      <c r="AL6" s="468">
        <f t="shared" si="12"/>
        <v>0.81110525089499397</v>
      </c>
      <c r="AN6" s="18">
        <f t="shared" ref="AN6:AN27" si="31">K6/G6</f>
        <v>0.81110525089499397</v>
      </c>
      <c r="AO6" s="18">
        <f t="shared" ref="AO6:AO27" si="32">S6/O6</f>
        <v>0.81110525089499386</v>
      </c>
      <c r="AP6" s="18">
        <f t="shared" ref="AP6:AP27" si="33">AA6/W6</f>
        <v>0.81110525089499397</v>
      </c>
      <c r="AQ6" s="18">
        <f t="shared" ref="AQ6:AQ27" si="34">AI6/AE6</f>
        <v>0.81110525089499397</v>
      </c>
      <c r="AR6" s="10">
        <f t="shared" ref="AR6:AR27" si="35">AVERAGE(AO6:AQ6)</f>
        <v>0.81110525089499397</v>
      </c>
      <c r="AU6" s="13">
        <f t="shared" si="13"/>
        <v>99.599669283650783</v>
      </c>
      <c r="AV6" s="26">
        <f t="shared" si="14"/>
        <v>97.002915822910467</v>
      </c>
      <c r="AW6" s="26">
        <f t="shared" si="14"/>
        <v>94.406162362170136</v>
      </c>
      <c r="AX6" s="26">
        <f t="shared" si="14"/>
        <v>91.809408901429805</v>
      </c>
      <c r="AY6" s="13">
        <f t="shared" si="15"/>
        <v>89.212655440689488</v>
      </c>
      <c r="AZ6" s="26">
        <f t="shared" si="16"/>
        <v>89.100317363440524</v>
      </c>
      <c r="BA6" s="26">
        <f t="shared" si="16"/>
        <v>88.987979286191575</v>
      </c>
      <c r="BB6" s="26">
        <f t="shared" si="16"/>
        <v>88.875641208942625</v>
      </c>
      <c r="BC6" s="13">
        <f t="shared" si="17"/>
        <v>88.763303131693661</v>
      </c>
      <c r="BD6" s="26">
        <f t="shared" si="18"/>
        <v>88.013841879866689</v>
      </c>
      <c r="BE6" s="26">
        <f t="shared" si="18"/>
        <v>87.264380628039717</v>
      </c>
      <c r="BF6" s="26">
        <f t="shared" si="18"/>
        <v>86.514919376212745</v>
      </c>
      <c r="BG6" s="13">
        <f t="shared" ref="BG6:BG27" si="36">AI6</f>
        <v>85.765458124385773</v>
      </c>
      <c r="BH6" s="26">
        <f t="shared" ref="BH6:BI27" si="37">BG6</f>
        <v>85.765458124385773</v>
      </c>
      <c r="BI6" s="26">
        <f t="shared" si="37"/>
        <v>85.765458124385773</v>
      </c>
      <c r="BJ6" s="26"/>
      <c r="BL6" s="13">
        <f t="shared" ref="BL6:BL27" si="38">G6/(J6-1)</f>
        <v>17.542142857142856</v>
      </c>
      <c r="BM6" s="26">
        <f t="shared" ref="BM6:BO27" si="39">$BL6+($BP6-$BL6)*BM$1/4</f>
        <v>16.593763392857142</v>
      </c>
      <c r="BN6" s="26">
        <f t="shared" si="19"/>
        <v>15.645383928571428</v>
      </c>
      <c r="BO6" s="26">
        <f t="shared" si="19"/>
        <v>14.697004464285715</v>
      </c>
      <c r="BP6" s="13">
        <f t="shared" ref="BP6:BP27" si="40">O6/R6</f>
        <v>13.748625000000001</v>
      </c>
      <c r="BQ6" s="26">
        <f t="shared" ref="BQ6:BS27" si="41">$BP6+($BT6-$BP6)*BQ$1/4</f>
        <v>13.731312500000001</v>
      </c>
      <c r="BR6" s="26">
        <f t="shared" si="20"/>
        <v>13.714</v>
      </c>
      <c r="BS6" s="26">
        <f t="shared" si="20"/>
        <v>13.696687499999999</v>
      </c>
      <c r="BT6" s="13">
        <f t="shared" si="21"/>
        <v>13.679375</v>
      </c>
      <c r="BU6" s="26">
        <f t="shared" ref="BU6:BW26" si="42">$BT6+($BX6-$BT6)*BU$1/4</f>
        <v>13.563874999999999</v>
      </c>
      <c r="BV6" s="26">
        <f t="shared" si="22"/>
        <v>13.448375</v>
      </c>
      <c r="BW6" s="26">
        <f t="shared" si="22"/>
        <v>13.332875000000001</v>
      </c>
      <c r="BX6" s="13">
        <f t="shared" ref="BX6:BX27" si="43">AE6/AH6</f>
        <v>13.217375000000001</v>
      </c>
      <c r="BY6" s="26">
        <f t="shared" ref="BY6:BY27" si="44">BX6</f>
        <v>13.217375000000001</v>
      </c>
      <c r="BZ6" s="26">
        <f t="shared" ref="BZ6:BZ27" si="45">BY6</f>
        <v>13.217375000000001</v>
      </c>
    </row>
    <row r="7" spans="1:80" s="1221" customFormat="1">
      <c r="A7" s="1214" t="s">
        <v>323</v>
      </c>
      <c r="B7" s="1476" t="s">
        <v>772</v>
      </c>
      <c r="C7" s="3104">
        <f t="shared" si="4"/>
        <v>0.16459885189047749</v>
      </c>
      <c r="D7" s="1264">
        <f>CALCULATIONS!IB7</f>
        <v>2.3186825311846848E-2</v>
      </c>
      <c r="E7" s="1264">
        <f>CALCULATIONS!IC7</f>
        <v>0.13338182932260462</v>
      </c>
      <c r="F7" s="1215">
        <f>CALCULATIONS!IW7</f>
        <v>0.16567978274254216</v>
      </c>
      <c r="G7" s="1216">
        <f>'Bloom Cleaner Data'!AJ7</f>
        <v>325</v>
      </c>
      <c r="H7" s="1216" t="str">
        <f>RATINGS!D784</f>
        <v>A</v>
      </c>
      <c r="I7" s="1217">
        <f t="shared" si="5"/>
        <v>4.1006999999999995E-2</v>
      </c>
      <c r="J7" s="1216">
        <f t="shared" si="23"/>
        <v>8</v>
      </c>
      <c r="K7" s="1218">
        <f t="shared" si="24"/>
        <v>272.38400340378695</v>
      </c>
      <c r="L7" s="736">
        <f>K7/('Bloom Cleaner Data'!T7)</f>
        <v>0.15311073828206123</v>
      </c>
      <c r="M7" s="736">
        <f>K7/('Bloom Cleaner Data'!T7+K7)</f>
        <v>0.13278060224308566</v>
      </c>
      <c r="N7" s="736">
        <f t="shared" si="6"/>
        <v>0.83810462585780598</v>
      </c>
      <c r="O7" s="1219">
        <f>'Bloom Cleaner Data'!AK7</f>
        <v>329</v>
      </c>
      <c r="P7" s="1216" t="str">
        <f>RATINGS!H784</f>
        <v>A</v>
      </c>
      <c r="Q7" s="1217">
        <f t="shared" si="7"/>
        <v>4.1006999999999995E-2</v>
      </c>
      <c r="R7" s="1216">
        <f t="shared" si="25"/>
        <v>8</v>
      </c>
      <c r="S7" s="1218">
        <f t="shared" si="26"/>
        <v>275.73642190721819</v>
      </c>
      <c r="T7" s="736">
        <f>S7/('Bloom Cleaner Data'!X7)</f>
        <v>0.17652779891627285</v>
      </c>
      <c r="U7" s="736">
        <f>S7/('Bloom Cleaner Data'!X7+S7)</f>
        <v>0.15004133270703565</v>
      </c>
      <c r="V7" s="736">
        <f t="shared" si="8"/>
        <v>0.83810462585780598</v>
      </c>
      <c r="W7" s="1219">
        <f>'Bloom Cleaner Data'!AL7</f>
        <v>330</v>
      </c>
      <c r="X7" s="2121" t="str">
        <f>RATINGS!L784</f>
        <v>A</v>
      </c>
      <c r="Y7" s="1217">
        <f t="shared" si="9"/>
        <v>4.1006999999999995E-2</v>
      </c>
      <c r="Z7" s="1216">
        <f t="shared" si="27"/>
        <v>8</v>
      </c>
      <c r="AA7" s="1218">
        <f t="shared" si="28"/>
        <v>276.57452653307598</v>
      </c>
      <c r="AB7" s="736">
        <f>AA7/('Bloom Cleaner Data'!AB7)</f>
        <v>0.17114760305264604</v>
      </c>
      <c r="AC7" s="736">
        <f>AA7/('Bloom Cleaner Data'!AB7+AA7)</f>
        <v>0.14613666339455633</v>
      </c>
      <c r="AD7" s="736">
        <f t="shared" si="10"/>
        <v>0.83810462585780598</v>
      </c>
      <c r="AE7" s="1219">
        <f>'Bloom Cleaner Data'!AM7</f>
        <v>318</v>
      </c>
      <c r="AF7" s="2121" t="str">
        <f>RATINGS!P784</f>
        <v>A</v>
      </c>
      <c r="AG7" s="1217">
        <f t="shared" si="11"/>
        <v>4.1006999999999995E-2</v>
      </c>
      <c r="AH7" s="1216">
        <f t="shared" si="29"/>
        <v>8</v>
      </c>
      <c r="AI7" s="1218">
        <f t="shared" si="30"/>
        <v>266.51727102278232</v>
      </c>
      <c r="AJ7" s="736">
        <f>AI7/('Bloom Cleaner Data'!AF7)</f>
        <v>0.15760926731092981</v>
      </c>
      <c r="AK7" s="736">
        <f>AI7/('Bloom Cleaner Data'!AF7+AI7)</f>
        <v>0.1361506613341551</v>
      </c>
      <c r="AL7" s="1220">
        <f t="shared" si="12"/>
        <v>0.8381046258578061</v>
      </c>
      <c r="AN7" s="731">
        <f t="shared" si="31"/>
        <v>0.83810462585780598</v>
      </c>
      <c r="AO7" s="731">
        <f t="shared" si="32"/>
        <v>0.83810462585780598</v>
      </c>
      <c r="AP7" s="731">
        <f t="shared" si="33"/>
        <v>0.83810462585780598</v>
      </c>
      <c r="AQ7" s="731">
        <f t="shared" si="34"/>
        <v>0.8381046258578061</v>
      </c>
      <c r="AR7" s="730">
        <f t="shared" si="35"/>
        <v>0.83810462585780598</v>
      </c>
      <c r="AU7" s="729">
        <f t="shared" si="13"/>
        <v>272.38400340378695</v>
      </c>
      <c r="AV7" s="744">
        <f t="shared" si="14"/>
        <v>273.22210802964474</v>
      </c>
      <c r="AW7" s="744">
        <f t="shared" si="14"/>
        <v>274.0602126555026</v>
      </c>
      <c r="AX7" s="744">
        <f t="shared" si="14"/>
        <v>274.89831728136039</v>
      </c>
      <c r="AY7" s="729">
        <f t="shared" si="15"/>
        <v>275.73642190721819</v>
      </c>
      <c r="AZ7" s="744">
        <f t="shared" si="16"/>
        <v>275.94594806368264</v>
      </c>
      <c r="BA7" s="744">
        <f t="shared" si="16"/>
        <v>276.15547422014708</v>
      </c>
      <c r="BB7" s="744">
        <f t="shared" si="16"/>
        <v>276.36500037661153</v>
      </c>
      <c r="BC7" s="729">
        <f t="shared" si="17"/>
        <v>276.57452653307598</v>
      </c>
      <c r="BD7" s="744">
        <f t="shared" si="18"/>
        <v>274.0602126555026</v>
      </c>
      <c r="BE7" s="744">
        <f t="shared" si="18"/>
        <v>271.54589877792915</v>
      </c>
      <c r="BF7" s="744">
        <f t="shared" si="18"/>
        <v>269.03158490035571</v>
      </c>
      <c r="BG7" s="729">
        <f t="shared" si="36"/>
        <v>266.51727102278232</v>
      </c>
      <c r="BH7" s="744">
        <f t="shared" si="37"/>
        <v>266.51727102278232</v>
      </c>
      <c r="BI7" s="744">
        <f t="shared" si="37"/>
        <v>266.51727102278232</v>
      </c>
      <c r="BJ7" s="744"/>
      <c r="BL7" s="729">
        <f t="shared" si="38"/>
        <v>46.428571428571431</v>
      </c>
      <c r="BM7" s="744">
        <f t="shared" si="39"/>
        <v>45.102678571428569</v>
      </c>
      <c r="BN7" s="744">
        <f t="shared" si="19"/>
        <v>43.776785714285715</v>
      </c>
      <c r="BO7" s="744">
        <f t="shared" si="19"/>
        <v>42.450892857142861</v>
      </c>
      <c r="BP7" s="729">
        <f t="shared" si="40"/>
        <v>41.125</v>
      </c>
      <c r="BQ7" s="744">
        <f t="shared" si="41"/>
        <v>41.15625</v>
      </c>
      <c r="BR7" s="744">
        <f t="shared" si="20"/>
        <v>41.1875</v>
      </c>
      <c r="BS7" s="744">
        <f t="shared" si="20"/>
        <v>41.21875</v>
      </c>
      <c r="BT7" s="729">
        <f t="shared" si="21"/>
        <v>41.25</v>
      </c>
      <c r="BU7" s="744">
        <f t="shared" si="42"/>
        <v>40.875</v>
      </c>
      <c r="BV7" s="744">
        <f t="shared" si="22"/>
        <v>40.5</v>
      </c>
      <c r="BW7" s="744">
        <f t="shared" si="22"/>
        <v>40.125</v>
      </c>
      <c r="BX7" s="729">
        <f t="shared" si="43"/>
        <v>39.75</v>
      </c>
      <c r="BY7" s="744">
        <f t="shared" si="44"/>
        <v>39.75</v>
      </c>
      <c r="BZ7" s="744">
        <f t="shared" si="45"/>
        <v>39.75</v>
      </c>
      <c r="CB7" s="2378"/>
    </row>
    <row r="8" spans="1:80" s="1221" customFormat="1">
      <c r="A8" s="1214" t="s">
        <v>323</v>
      </c>
      <c r="B8" s="1476" t="s">
        <v>773</v>
      </c>
      <c r="C8" s="3104">
        <f t="shared" si="4"/>
        <v>1.1187837190393966</v>
      </c>
      <c r="D8" s="1264">
        <f>CALCULATIONS!IB8</f>
        <v>0.10729022798540988</v>
      </c>
      <c r="E8" s="1264">
        <f>CALCULATIONS!IC8</f>
        <v>0.65064148250965514</v>
      </c>
      <c r="F8" s="1215">
        <f>CALCULATIONS!IW8</f>
        <v>0.91004578331972896</v>
      </c>
      <c r="G8" s="1216">
        <f>'Bloom Cleaner Data'!AJ8</f>
        <v>420.51799999999997</v>
      </c>
      <c r="H8" s="1216" t="str">
        <f>RATINGS!D785</f>
        <v>BBB-</v>
      </c>
      <c r="I8" s="1217">
        <f t="shared" si="5"/>
        <v>5.4413999999999997E-2</v>
      </c>
      <c r="J8" s="1216">
        <f t="shared" si="23"/>
        <v>8</v>
      </c>
      <c r="K8" s="1218">
        <f t="shared" si="24"/>
        <v>333.75673061864001</v>
      </c>
      <c r="L8" s="736">
        <f>K8/('Bloom Cleaner Data'!T8)</f>
        <v>1.1591713546094669</v>
      </c>
      <c r="M8" s="736">
        <f>K8/('Bloom Cleaner Data'!T8+K8)</f>
        <v>0.53685936140956636</v>
      </c>
      <c r="N8" s="736">
        <f t="shared" si="6"/>
        <v>0.79368001041249137</v>
      </c>
      <c r="O8" s="1219">
        <f>'Bloom Cleaner Data'!AK8</f>
        <v>474.03199999999998</v>
      </c>
      <c r="P8" s="1216" t="str">
        <f>RATINGS!H785</f>
        <v>BBB-</v>
      </c>
      <c r="Q8" s="1217">
        <f t="shared" si="7"/>
        <v>5.4413999999999997E-2</v>
      </c>
      <c r="R8" s="1216">
        <f t="shared" si="25"/>
        <v>8</v>
      </c>
      <c r="S8" s="1218">
        <f t="shared" si="26"/>
        <v>376.22972269585409</v>
      </c>
      <c r="T8" s="736">
        <f>S8/('Bloom Cleaner Data'!X8)</f>
        <v>1.3070566544350399</v>
      </c>
      <c r="U8" s="736">
        <f>S8/('Bloom Cleaner Data'!X8+S8)</f>
        <v>0.56654727222341084</v>
      </c>
      <c r="V8" s="736">
        <f t="shared" si="8"/>
        <v>0.79368001041249137</v>
      </c>
      <c r="W8" s="1219">
        <f>'Bloom Cleaner Data'!AL8</f>
        <v>446.65600000000001</v>
      </c>
      <c r="X8" s="1772" t="str">
        <f>RATINGS!L785</f>
        <v>BBB-</v>
      </c>
      <c r="Y8" s="1217">
        <f t="shared" si="9"/>
        <v>5.4413999999999997E-2</v>
      </c>
      <c r="Z8" s="1216">
        <f t="shared" si="27"/>
        <v>8</v>
      </c>
      <c r="AA8" s="1218">
        <f t="shared" si="28"/>
        <v>354.50193873080173</v>
      </c>
      <c r="AB8" s="736">
        <f>AA8/('Bloom Cleaner Data'!AB8)</f>
        <v>1.1641144035163016</v>
      </c>
      <c r="AC8" s="736">
        <f>AA8/('Bloom Cleaner Data'!AB8+AA8)</f>
        <v>0.53791721991444741</v>
      </c>
      <c r="AD8" s="736">
        <f t="shared" si="10"/>
        <v>0.79368001041249137</v>
      </c>
      <c r="AE8" s="1219">
        <f>'Bloom Cleaner Data'!AM8</f>
        <v>441.06900000000002</v>
      </c>
      <c r="AF8" s="1772" t="str">
        <f>RATINGS!P785</f>
        <v>BB+</v>
      </c>
      <c r="AG8" s="1217">
        <f t="shared" si="11"/>
        <v>6.7202999999999999E-2</v>
      </c>
      <c r="AH8" s="1216">
        <f t="shared" si="29"/>
        <v>8</v>
      </c>
      <c r="AI8" s="1218">
        <f t="shared" si="30"/>
        <v>332.8178181284411</v>
      </c>
      <c r="AJ8" s="736">
        <f>AI8/('Bloom Cleaner Data'!AF8)</f>
        <v>0.84479246359677818</v>
      </c>
      <c r="AK8" s="736">
        <f>AI8/('Bloom Cleaner Data'!AF8+AI8)</f>
        <v>0.45793360514368786</v>
      </c>
      <c r="AL8" s="1220">
        <f t="shared" si="12"/>
        <v>0.75457086788788397</v>
      </c>
      <c r="AN8" s="731">
        <f t="shared" si="31"/>
        <v>0.79368001041249137</v>
      </c>
      <c r="AO8" s="731">
        <f t="shared" si="32"/>
        <v>0.79368001041249137</v>
      </c>
      <c r="AP8" s="731">
        <f t="shared" si="33"/>
        <v>0.79368001041249137</v>
      </c>
      <c r="AQ8" s="731">
        <f t="shared" si="34"/>
        <v>0.75457086788788397</v>
      </c>
      <c r="AR8" s="730">
        <f t="shared" si="35"/>
        <v>0.78064362957095546</v>
      </c>
      <c r="AU8" s="729">
        <f t="shared" si="13"/>
        <v>333.75673061864001</v>
      </c>
      <c r="AV8" s="744">
        <f t="shared" si="14"/>
        <v>344.37497863794351</v>
      </c>
      <c r="AW8" s="744">
        <f t="shared" si="14"/>
        <v>354.99322665724708</v>
      </c>
      <c r="AX8" s="744">
        <f t="shared" si="14"/>
        <v>365.61147467655059</v>
      </c>
      <c r="AY8" s="729">
        <f t="shared" si="15"/>
        <v>376.22972269585409</v>
      </c>
      <c r="AZ8" s="744">
        <f t="shared" si="16"/>
        <v>370.797776704591</v>
      </c>
      <c r="BA8" s="744">
        <f t="shared" si="16"/>
        <v>365.36583071332791</v>
      </c>
      <c r="BB8" s="744">
        <f t="shared" si="16"/>
        <v>359.93388472206482</v>
      </c>
      <c r="BC8" s="729">
        <f t="shared" si="17"/>
        <v>354.50193873080173</v>
      </c>
      <c r="BD8" s="744">
        <f t="shared" si="18"/>
        <v>349.0809085802116</v>
      </c>
      <c r="BE8" s="744">
        <f t="shared" si="18"/>
        <v>343.65987842962141</v>
      </c>
      <c r="BF8" s="744">
        <f t="shared" si="18"/>
        <v>338.23884827903123</v>
      </c>
      <c r="BG8" s="729">
        <f t="shared" si="36"/>
        <v>332.8178181284411</v>
      </c>
      <c r="BH8" s="744">
        <f t="shared" si="37"/>
        <v>332.8178181284411</v>
      </c>
      <c r="BI8" s="744">
        <f t="shared" si="37"/>
        <v>332.8178181284411</v>
      </c>
      <c r="BJ8" s="744"/>
      <c r="BL8" s="729">
        <f t="shared" si="38"/>
        <v>60.073999999999998</v>
      </c>
      <c r="BM8" s="744">
        <f t="shared" si="39"/>
        <v>59.869</v>
      </c>
      <c r="BN8" s="744">
        <f t="shared" si="19"/>
        <v>59.664000000000001</v>
      </c>
      <c r="BO8" s="744">
        <f t="shared" si="19"/>
        <v>59.458999999999996</v>
      </c>
      <c r="BP8" s="729">
        <f t="shared" si="40"/>
        <v>59.253999999999998</v>
      </c>
      <c r="BQ8" s="744">
        <f t="shared" si="41"/>
        <v>58.398499999999999</v>
      </c>
      <c r="BR8" s="744">
        <f t="shared" si="20"/>
        <v>57.542999999999999</v>
      </c>
      <c r="BS8" s="744">
        <f t="shared" si="20"/>
        <v>56.6875</v>
      </c>
      <c r="BT8" s="729">
        <f t="shared" si="21"/>
        <v>55.832000000000001</v>
      </c>
      <c r="BU8" s="744">
        <f t="shared" si="42"/>
        <v>55.657406250000001</v>
      </c>
      <c r="BV8" s="744">
        <f t="shared" si="22"/>
        <v>55.482812500000001</v>
      </c>
      <c r="BW8" s="744">
        <f t="shared" si="22"/>
        <v>55.308218750000002</v>
      </c>
      <c r="BX8" s="729">
        <f t="shared" si="43"/>
        <v>55.133625000000002</v>
      </c>
      <c r="BY8" s="744">
        <f t="shared" si="44"/>
        <v>55.133625000000002</v>
      </c>
      <c r="BZ8" s="744">
        <f t="shared" si="45"/>
        <v>55.133625000000002</v>
      </c>
      <c r="CB8" s="2378"/>
    </row>
    <row r="9" spans="1:80" s="1221" customFormat="1">
      <c r="A9" s="1214" t="s">
        <v>323</v>
      </c>
      <c r="B9" s="1476" t="s">
        <v>774</v>
      </c>
      <c r="C9" s="3104">
        <f t="shared" si="4"/>
        <v>1.2313022606948007E-2</v>
      </c>
      <c r="D9" s="1264">
        <f>CALCULATIONS!IB9</f>
        <v>2.9573643390376492E-3</v>
      </c>
      <c r="E9" s="1264">
        <f>CALCULATIONS!IC9</f>
        <v>6.9750331863245195E-3</v>
      </c>
      <c r="F9" s="1215">
        <f>CALCULATIONS!IW9</f>
        <v>1.209957580920811E-2</v>
      </c>
      <c r="G9" s="1216">
        <f>'Bloom Cleaner Data'!AJ9</f>
        <v>39.396000000000001</v>
      </c>
      <c r="H9" s="1216" t="str">
        <f>RATINGS!D786</f>
        <v>BB-</v>
      </c>
      <c r="I9" s="1217">
        <f t="shared" si="5"/>
        <v>9.2781000000000002E-2</v>
      </c>
      <c r="J9" s="1216">
        <f t="shared" si="23"/>
        <v>8</v>
      </c>
      <c r="K9" s="1218">
        <f t="shared" si="24"/>
        <v>26.976749845841756</v>
      </c>
      <c r="L9" s="736">
        <f>K9/('Bloom Cleaner Data'!T9)</f>
        <v>1.2130569906825171E-2</v>
      </c>
      <c r="M9" s="736">
        <f>K9/('Bloom Cleaner Data'!T9+K9)</f>
        <v>1.1985182808915541E-2</v>
      </c>
      <c r="N9" s="736">
        <f t="shared" si="6"/>
        <v>0.68475860102146802</v>
      </c>
      <c r="O9" s="1219">
        <f>'Bloom Cleaner Data'!AK9</f>
        <v>50.572000000000003</v>
      </c>
      <c r="P9" s="1216" t="str">
        <f>RATINGS!H786</f>
        <v>BB-</v>
      </c>
      <c r="Q9" s="1217">
        <f t="shared" si="7"/>
        <v>9.2781000000000002E-2</v>
      </c>
      <c r="R9" s="1216">
        <f t="shared" si="25"/>
        <v>8</v>
      </c>
      <c r="S9" s="1218">
        <f t="shared" si="26"/>
        <v>34.629611970857681</v>
      </c>
      <c r="T9" s="736">
        <f>S9/('Bloom Cleaner Data'!X9)</f>
        <v>1.5472668728308278E-2</v>
      </c>
      <c r="U9" s="736">
        <f>S9/('Bloom Cleaner Data'!X9+S9)</f>
        <v>1.5236913020696987E-2</v>
      </c>
      <c r="V9" s="736">
        <f t="shared" si="8"/>
        <v>0.68475860102146802</v>
      </c>
      <c r="W9" s="1219">
        <f>'Bloom Cleaner Data'!AL9</f>
        <v>46.893999999999998</v>
      </c>
      <c r="X9" s="1772" t="str">
        <f>RATINGS!L786</f>
        <v>BB-</v>
      </c>
      <c r="Y9" s="1217">
        <f t="shared" si="9"/>
        <v>9.2781000000000002E-2</v>
      </c>
      <c r="Z9" s="1216">
        <f t="shared" si="27"/>
        <v>8</v>
      </c>
      <c r="AA9" s="1218">
        <f t="shared" si="28"/>
        <v>32.111069836300722</v>
      </c>
      <c r="AB9" s="736">
        <f>AA9/('Bloom Cleaner Data'!AB9)</f>
        <v>1.2289267642338243E-2</v>
      </c>
      <c r="AC9" s="736">
        <f>AA9/('Bloom Cleaner Data'!AB9+AA9)</f>
        <v>1.2140075011325994E-2</v>
      </c>
      <c r="AD9" s="736">
        <f t="shared" si="10"/>
        <v>0.68475860102146802</v>
      </c>
      <c r="AE9" s="1219">
        <f>'Bloom Cleaner Data'!AM9</f>
        <v>42.057000000000002</v>
      </c>
      <c r="AF9" s="1772" t="str">
        <f>RATINGS!P786</f>
        <v>B+</v>
      </c>
      <c r="AG9" s="1217">
        <f t="shared" si="11"/>
        <v>0.10557</v>
      </c>
      <c r="AH9" s="1216">
        <f t="shared" si="29"/>
        <v>8</v>
      </c>
      <c r="AI9" s="1218">
        <f t="shared" si="30"/>
        <v>27.486590280938547</v>
      </c>
      <c r="AJ9" s="736">
        <f>AI9/('Bloom Cleaner Data'!AF9)</f>
        <v>9.3595841503203384E-3</v>
      </c>
      <c r="AK9" s="736">
        <f>AI9/('Bloom Cleaner Data'!AF9+AI9)</f>
        <v>9.2727946484990713E-3</v>
      </c>
      <c r="AL9" s="1220">
        <f t="shared" si="12"/>
        <v>0.65355565734452159</v>
      </c>
      <c r="AN9" s="731">
        <f t="shared" si="31"/>
        <v>0.68475860102146802</v>
      </c>
      <c r="AO9" s="731">
        <f t="shared" si="32"/>
        <v>0.68475860102146802</v>
      </c>
      <c r="AP9" s="731">
        <f t="shared" si="33"/>
        <v>0.68475860102146802</v>
      </c>
      <c r="AQ9" s="731">
        <f t="shared" si="34"/>
        <v>0.65355565734452159</v>
      </c>
      <c r="AR9" s="730">
        <f t="shared" si="35"/>
        <v>0.67435761979581921</v>
      </c>
      <c r="AU9" s="729">
        <f t="shared" si="13"/>
        <v>26.976749845841756</v>
      </c>
      <c r="AV9" s="744">
        <f t="shared" si="14"/>
        <v>28.889965377095738</v>
      </c>
      <c r="AW9" s="744">
        <f t="shared" si="14"/>
        <v>30.803180908349717</v>
      </c>
      <c r="AX9" s="744">
        <f t="shared" si="14"/>
        <v>32.716396439603699</v>
      </c>
      <c r="AY9" s="729">
        <f t="shared" si="15"/>
        <v>34.629611970857681</v>
      </c>
      <c r="AZ9" s="744">
        <f t="shared" si="16"/>
        <v>33.999976437218443</v>
      </c>
      <c r="BA9" s="744">
        <f t="shared" si="16"/>
        <v>33.370340903579205</v>
      </c>
      <c r="BB9" s="744">
        <f t="shared" si="16"/>
        <v>32.74070536993996</v>
      </c>
      <c r="BC9" s="729">
        <f t="shared" si="17"/>
        <v>32.111069836300722</v>
      </c>
      <c r="BD9" s="744">
        <f t="shared" si="18"/>
        <v>30.954949947460179</v>
      </c>
      <c r="BE9" s="744">
        <f t="shared" si="18"/>
        <v>29.798830058619636</v>
      </c>
      <c r="BF9" s="744">
        <f t="shared" si="18"/>
        <v>28.64271016977909</v>
      </c>
      <c r="BG9" s="729">
        <f t="shared" si="36"/>
        <v>27.486590280938547</v>
      </c>
      <c r="BH9" s="744">
        <f t="shared" si="37"/>
        <v>27.486590280938547</v>
      </c>
      <c r="BI9" s="744">
        <f t="shared" si="37"/>
        <v>27.486590280938547</v>
      </c>
      <c r="BJ9" s="744"/>
      <c r="BL9" s="729">
        <f t="shared" si="38"/>
        <v>5.6280000000000001</v>
      </c>
      <c r="BM9" s="744">
        <f t="shared" si="39"/>
        <v>5.8013750000000002</v>
      </c>
      <c r="BN9" s="744">
        <f t="shared" si="19"/>
        <v>5.9747500000000002</v>
      </c>
      <c r="BO9" s="744">
        <f t="shared" si="19"/>
        <v>6.1481250000000003</v>
      </c>
      <c r="BP9" s="729">
        <f t="shared" si="40"/>
        <v>6.3215000000000003</v>
      </c>
      <c r="BQ9" s="744">
        <f t="shared" si="41"/>
        <v>6.2065625000000004</v>
      </c>
      <c r="BR9" s="744">
        <f t="shared" si="20"/>
        <v>6.0916250000000005</v>
      </c>
      <c r="BS9" s="744">
        <f t="shared" si="20"/>
        <v>5.9766874999999997</v>
      </c>
      <c r="BT9" s="729">
        <f t="shared" si="21"/>
        <v>5.8617499999999998</v>
      </c>
      <c r="BU9" s="744">
        <f t="shared" si="42"/>
        <v>5.7105937500000001</v>
      </c>
      <c r="BV9" s="744">
        <f t="shared" si="22"/>
        <v>5.5594374999999996</v>
      </c>
      <c r="BW9" s="744">
        <f t="shared" si="22"/>
        <v>5.4082812499999999</v>
      </c>
      <c r="BX9" s="729">
        <f t="shared" si="43"/>
        <v>5.2571250000000003</v>
      </c>
      <c r="BY9" s="744">
        <f t="shared" si="44"/>
        <v>5.2571250000000003</v>
      </c>
      <c r="BZ9" s="744">
        <f t="shared" si="45"/>
        <v>5.2571250000000003</v>
      </c>
      <c r="CB9" s="2378"/>
    </row>
    <row r="10" spans="1:80">
      <c r="A10" s="31" t="s">
        <v>545</v>
      </c>
      <c r="B10" s="3108" t="s">
        <v>39</v>
      </c>
      <c r="C10" s="3103">
        <f t="shared" si="4"/>
        <v>0.2788754726661028</v>
      </c>
      <c r="D10" s="1263">
        <f>CALCULATIONS!IB10</f>
        <v>6.101092516450346E-2</v>
      </c>
      <c r="E10" s="1263">
        <f>CALCULATIONS!IC10</f>
        <v>0.15646866216553562</v>
      </c>
      <c r="F10" s="488">
        <f>CALCULATIONS!IW10</f>
        <v>0.28380240083844599</v>
      </c>
      <c r="G10" s="464">
        <f>'Bloom Cleaner Data'!AJ10</f>
        <v>8817</v>
      </c>
      <c r="H10" s="464" t="str">
        <f>RATINGS!D787</f>
        <v>BBB</v>
      </c>
      <c r="I10" s="465">
        <f t="shared" si="5"/>
        <v>4.9021999999999996E-2</v>
      </c>
      <c r="J10" s="195">
        <f t="shared" si="23"/>
        <v>8</v>
      </c>
      <c r="K10" s="466">
        <f t="shared" si="24"/>
        <v>7151.514997141162</v>
      </c>
      <c r="L10" s="467">
        <f>K10/('Bloom Cleaner Data'!T10)</f>
        <v>0.21262122780262113</v>
      </c>
      <c r="M10" s="467">
        <f>K10/('Bloom Cleaner Data'!T10+K10)</f>
        <v>0.17534018284333514</v>
      </c>
      <c r="N10" s="467">
        <f t="shared" si="6"/>
        <v>0.81110525089499397</v>
      </c>
      <c r="O10" s="188">
        <f>'Bloom Cleaner Data'!AK10</f>
        <v>8613</v>
      </c>
      <c r="P10" s="464" t="str">
        <f>RATINGS!H787</f>
        <v>BBB</v>
      </c>
      <c r="Q10" s="465">
        <f t="shared" si="7"/>
        <v>4.9021999999999996E-2</v>
      </c>
      <c r="R10" s="195">
        <f t="shared" si="25"/>
        <v>8</v>
      </c>
      <c r="S10" s="466">
        <f t="shared" si="26"/>
        <v>6986.0495259585832</v>
      </c>
      <c r="T10" s="467">
        <f>S10/('Bloom Cleaner Data'!X10)</f>
        <v>0.30623107552529627</v>
      </c>
      <c r="U10" s="467">
        <f>S10/('Bloom Cleaner Data'!X10+S10)</f>
        <v>0.23443866959155482</v>
      </c>
      <c r="V10" s="467">
        <f t="shared" si="8"/>
        <v>0.81110525089499397</v>
      </c>
      <c r="W10" s="188">
        <f>'Bloom Cleaner Data'!AL10</f>
        <v>8438</v>
      </c>
      <c r="X10" s="95" t="str">
        <f>RATINGS!L787</f>
        <v>BBB</v>
      </c>
      <c r="Y10" s="465">
        <f t="shared" si="9"/>
        <v>4.9021999999999996E-2</v>
      </c>
      <c r="Z10" s="195">
        <f t="shared" si="27"/>
        <v>8</v>
      </c>
      <c r="AA10" s="466">
        <f t="shared" si="28"/>
        <v>6844.106107051959</v>
      </c>
      <c r="AB10" s="467">
        <f>AA10/('Bloom Cleaner Data'!AB10)</f>
        <v>0.31494667097933637</v>
      </c>
      <c r="AC10" s="467">
        <f>AA10/('Bloom Cleaner Data'!AB10+AA10)</f>
        <v>0.23951288514596011</v>
      </c>
      <c r="AD10" s="467">
        <f t="shared" si="10"/>
        <v>0.81110525089499397</v>
      </c>
      <c r="AE10" s="188">
        <f>'Bloom Cleaner Data'!AM10</f>
        <v>7978</v>
      </c>
      <c r="AF10" s="95" t="str">
        <f>RATINGS!P787</f>
        <v>BBB</v>
      </c>
      <c r="AG10" s="465">
        <f t="shared" si="11"/>
        <v>4.9021999999999996E-2</v>
      </c>
      <c r="AH10" s="195">
        <f t="shared" si="29"/>
        <v>8</v>
      </c>
      <c r="AI10" s="466">
        <f t="shared" si="30"/>
        <v>6470.997691640262</v>
      </c>
      <c r="AJ10" s="467">
        <f>AI10/('Bloom Cleaner Data'!AF10)</f>
        <v>0.28170291635715738</v>
      </c>
      <c r="AK10" s="467">
        <f>AI10/('Bloom Cleaner Data'!AF10+AI10)</f>
        <v>0.21978799670504803</v>
      </c>
      <c r="AL10" s="468">
        <f t="shared" si="12"/>
        <v>0.81110525089499397</v>
      </c>
      <c r="AN10" s="18">
        <f t="shared" si="31"/>
        <v>0.81110525089499397</v>
      </c>
      <c r="AO10" s="18">
        <f t="shared" si="32"/>
        <v>0.81110525089499397</v>
      </c>
      <c r="AP10" s="18">
        <f t="shared" si="33"/>
        <v>0.81110525089499397</v>
      </c>
      <c r="AQ10" s="18">
        <f t="shared" si="34"/>
        <v>0.81110525089499397</v>
      </c>
      <c r="AR10" s="10">
        <f t="shared" si="35"/>
        <v>0.81110525089499397</v>
      </c>
      <c r="AU10" s="13">
        <f t="shared" si="13"/>
        <v>7151.514997141162</v>
      </c>
      <c r="AV10" s="26">
        <f t="shared" si="14"/>
        <v>7110.1486293455173</v>
      </c>
      <c r="AW10" s="26">
        <f t="shared" si="14"/>
        <v>7068.7822615498726</v>
      </c>
      <c r="AX10" s="26">
        <f t="shared" si="14"/>
        <v>7027.4158937542279</v>
      </c>
      <c r="AY10" s="13">
        <f t="shared" si="15"/>
        <v>6986.0495259585832</v>
      </c>
      <c r="AZ10" s="26">
        <f t="shared" si="16"/>
        <v>6950.5636712319274</v>
      </c>
      <c r="BA10" s="26">
        <f t="shared" si="16"/>
        <v>6915.0778165052707</v>
      </c>
      <c r="BB10" s="26">
        <f t="shared" si="16"/>
        <v>6879.5919617786149</v>
      </c>
      <c r="BC10" s="13">
        <f t="shared" si="17"/>
        <v>6844.106107051959</v>
      </c>
      <c r="BD10" s="26">
        <f t="shared" si="18"/>
        <v>6750.8290031990346</v>
      </c>
      <c r="BE10" s="26">
        <f t="shared" si="18"/>
        <v>6657.5518993461101</v>
      </c>
      <c r="BF10" s="26">
        <f t="shared" si="18"/>
        <v>6564.2747954931865</v>
      </c>
      <c r="BG10" s="13">
        <f t="shared" si="36"/>
        <v>6470.997691640262</v>
      </c>
      <c r="BH10" s="26">
        <f t="shared" si="37"/>
        <v>6470.997691640262</v>
      </c>
      <c r="BI10" s="26">
        <f t="shared" si="37"/>
        <v>6470.997691640262</v>
      </c>
      <c r="BJ10" s="26"/>
      <c r="BL10" s="13">
        <f t="shared" si="38"/>
        <v>1259.5714285714287</v>
      </c>
      <c r="BM10" s="26">
        <f t="shared" si="39"/>
        <v>1213.8348214285716</v>
      </c>
      <c r="BN10" s="26">
        <f t="shared" si="19"/>
        <v>1168.0982142857142</v>
      </c>
      <c r="BO10" s="26">
        <f t="shared" si="19"/>
        <v>1122.3616071428571</v>
      </c>
      <c r="BP10" s="13">
        <f t="shared" si="40"/>
        <v>1076.625</v>
      </c>
      <c r="BQ10" s="26">
        <f t="shared" si="41"/>
        <v>1071.15625</v>
      </c>
      <c r="BR10" s="26">
        <f t="shared" si="20"/>
        <v>1065.6875</v>
      </c>
      <c r="BS10" s="26">
        <f t="shared" si="20"/>
        <v>1060.21875</v>
      </c>
      <c r="BT10" s="13">
        <f t="shared" si="21"/>
        <v>1054.75</v>
      </c>
      <c r="BU10" s="26">
        <f t="shared" si="42"/>
        <v>1040.375</v>
      </c>
      <c r="BV10" s="26">
        <f t="shared" si="22"/>
        <v>1026</v>
      </c>
      <c r="BW10" s="26">
        <f t="shared" si="22"/>
        <v>1011.625</v>
      </c>
      <c r="BX10" s="13">
        <f t="shared" si="43"/>
        <v>997.25</v>
      </c>
      <c r="BY10" s="26">
        <f t="shared" si="44"/>
        <v>997.25</v>
      </c>
      <c r="BZ10" s="26">
        <f t="shared" si="45"/>
        <v>997.25</v>
      </c>
    </row>
    <row r="11" spans="1:80">
      <c r="A11" s="36" t="s">
        <v>219</v>
      </c>
      <c r="B11" s="83" t="s">
        <v>53</v>
      </c>
      <c r="C11" s="3103">
        <f t="shared" si="4"/>
        <v>0.13140549058509757</v>
      </c>
      <c r="D11" s="1263">
        <f>CALCULATIONS!IB11</f>
        <v>3.1287048988056343E-2</v>
      </c>
      <c r="E11" s="1263">
        <f>CALCULATIONS!IC11</f>
        <v>6.4663630732222685E-2</v>
      </c>
      <c r="F11" s="488">
        <f>CALCULATIONS!IW11</f>
        <v>0.13694875439037466</v>
      </c>
      <c r="G11" s="464">
        <f>'Bloom Cleaner Data'!AJ11</f>
        <v>6547</v>
      </c>
      <c r="H11" s="464" t="str">
        <f>RATINGS!D788</f>
        <v>BBB</v>
      </c>
      <c r="I11" s="465">
        <f t="shared" si="5"/>
        <v>4.9021999999999996E-2</v>
      </c>
      <c r="J11" s="195">
        <f t="shared" si="23"/>
        <v>8</v>
      </c>
      <c r="K11" s="466">
        <f t="shared" si="24"/>
        <v>5310.3060776095253</v>
      </c>
      <c r="L11" s="467">
        <f>K11/('Bloom Cleaner Data'!T11)</f>
        <v>0.11601647464846468</v>
      </c>
      <c r="M11" s="467">
        <f>K11/('Bloom Cleaner Data'!T11+K11)</f>
        <v>0.10395587993896671</v>
      </c>
      <c r="N11" s="467">
        <f t="shared" si="6"/>
        <v>0.81110525089499397</v>
      </c>
      <c r="O11" s="188">
        <f>'Bloom Cleaner Data'!AK11</f>
        <v>8842</v>
      </c>
      <c r="P11" s="464" t="str">
        <f>RATINGS!H788</f>
        <v>BBB</v>
      </c>
      <c r="Q11" s="465">
        <f t="shared" si="7"/>
        <v>4.9021999999999996E-2</v>
      </c>
      <c r="R11" s="195">
        <f t="shared" si="25"/>
        <v>8</v>
      </c>
      <c r="S11" s="466">
        <f t="shared" si="26"/>
        <v>7171.7926284135365</v>
      </c>
      <c r="T11" s="467">
        <f>S11/('Bloom Cleaner Data'!X11)</f>
        <v>0.1296747663619415</v>
      </c>
      <c r="U11" s="467">
        <f>S11/('Bloom Cleaner Data'!X11+S11)</f>
        <v>0.11478946881282681</v>
      </c>
      <c r="V11" s="467">
        <f t="shared" si="8"/>
        <v>0.81110525089499397</v>
      </c>
      <c r="W11" s="188">
        <f>'Bloom Cleaner Data'!AL11</f>
        <v>9613</v>
      </c>
      <c r="X11" s="95" t="str">
        <f>RATINGS!L788</f>
        <v>BBB</v>
      </c>
      <c r="Y11" s="465">
        <f t="shared" si="9"/>
        <v>4.9021999999999996E-2</v>
      </c>
      <c r="Z11" s="195">
        <f t="shared" si="27"/>
        <v>8</v>
      </c>
      <c r="AA11" s="466">
        <f t="shared" si="28"/>
        <v>7797.1547768535775</v>
      </c>
      <c r="AB11" s="467">
        <f>AA11/('Bloom Cleaner Data'!AB11)</f>
        <v>0.13093239033523496</v>
      </c>
      <c r="AC11" s="467">
        <f>AA11/('Bloom Cleaner Data'!AB11+AA11)</f>
        <v>0.11577384417862814</v>
      </c>
      <c r="AD11" s="467">
        <f t="shared" si="10"/>
        <v>0.81110525089499397</v>
      </c>
      <c r="AE11" s="188">
        <f>'Bloom Cleaner Data'!AM11</f>
        <v>10128</v>
      </c>
      <c r="AF11" s="95" t="str">
        <f>RATINGS!P788</f>
        <v>BBB</v>
      </c>
      <c r="AG11" s="465">
        <f t="shared" si="11"/>
        <v>4.9021999999999996E-2</v>
      </c>
      <c r="AH11" s="195">
        <f t="shared" si="29"/>
        <v>8</v>
      </c>
      <c r="AI11" s="466">
        <f t="shared" si="30"/>
        <v>8214.8739810644984</v>
      </c>
      <c r="AJ11" s="467">
        <f>AI11/('Bloom Cleaner Data'!AF11)</f>
        <v>0.14899833099474913</v>
      </c>
      <c r="AK11" s="467">
        <f>AI11/('Bloom Cleaner Data'!AF11+AI11)</f>
        <v>0.12967671664566591</v>
      </c>
      <c r="AL11" s="468">
        <f t="shared" si="12"/>
        <v>0.81110525089499397</v>
      </c>
      <c r="AN11" s="18">
        <f t="shared" si="31"/>
        <v>0.81110525089499397</v>
      </c>
      <c r="AO11" s="18">
        <f t="shared" si="32"/>
        <v>0.81110525089499397</v>
      </c>
      <c r="AP11" s="18">
        <f t="shared" si="33"/>
        <v>0.81110525089499397</v>
      </c>
      <c r="AQ11" s="18">
        <f t="shared" si="34"/>
        <v>0.81110525089499397</v>
      </c>
      <c r="AR11" s="10">
        <f t="shared" si="35"/>
        <v>0.81110525089499397</v>
      </c>
      <c r="AU11" s="13">
        <f t="shared" si="13"/>
        <v>5310.3060776095253</v>
      </c>
      <c r="AV11" s="26">
        <f t="shared" si="14"/>
        <v>5775.6777153105286</v>
      </c>
      <c r="AW11" s="26">
        <f t="shared" si="14"/>
        <v>6241.0493530115309</v>
      </c>
      <c r="AX11" s="26">
        <f t="shared" si="14"/>
        <v>6706.4209907125332</v>
      </c>
      <c r="AY11" s="13">
        <f t="shared" si="15"/>
        <v>7171.7926284135365</v>
      </c>
      <c r="AZ11" s="26">
        <f t="shared" si="16"/>
        <v>7328.1331655235463</v>
      </c>
      <c r="BA11" s="26">
        <f t="shared" si="16"/>
        <v>7484.473702633557</v>
      </c>
      <c r="BB11" s="26">
        <f t="shared" si="16"/>
        <v>7640.8142397435677</v>
      </c>
      <c r="BC11" s="13">
        <f t="shared" si="17"/>
        <v>7797.1547768535775</v>
      </c>
      <c r="BD11" s="26">
        <f t="shared" si="18"/>
        <v>7901.5845779063075</v>
      </c>
      <c r="BE11" s="26">
        <f t="shared" si="18"/>
        <v>8006.0143789590384</v>
      </c>
      <c r="BF11" s="26">
        <f t="shared" si="18"/>
        <v>8110.4441800117684</v>
      </c>
      <c r="BG11" s="13">
        <f t="shared" si="36"/>
        <v>8214.8739810644984</v>
      </c>
      <c r="BH11" s="26">
        <f t="shared" si="37"/>
        <v>8214.8739810644984</v>
      </c>
      <c r="BI11" s="26">
        <f t="shared" si="37"/>
        <v>8214.8739810644984</v>
      </c>
      <c r="BJ11" s="26"/>
      <c r="BL11" s="13">
        <f t="shared" si="38"/>
        <v>935.28571428571433</v>
      </c>
      <c r="BM11" s="26">
        <f t="shared" si="39"/>
        <v>977.77678571428578</v>
      </c>
      <c r="BN11" s="26">
        <f t="shared" si="19"/>
        <v>1020.2678571428571</v>
      </c>
      <c r="BO11" s="26">
        <f t="shared" si="19"/>
        <v>1062.7589285714287</v>
      </c>
      <c r="BP11" s="13">
        <f t="shared" si="40"/>
        <v>1105.25</v>
      </c>
      <c r="BQ11" s="26">
        <f t="shared" si="41"/>
        <v>1129.34375</v>
      </c>
      <c r="BR11" s="26">
        <f t="shared" si="20"/>
        <v>1153.4375</v>
      </c>
      <c r="BS11" s="26">
        <f t="shared" si="20"/>
        <v>1177.53125</v>
      </c>
      <c r="BT11" s="13">
        <f t="shared" si="21"/>
        <v>1201.625</v>
      </c>
      <c r="BU11" s="26">
        <f t="shared" si="42"/>
        <v>1217.71875</v>
      </c>
      <c r="BV11" s="26">
        <f t="shared" si="22"/>
        <v>1233.8125</v>
      </c>
      <c r="BW11" s="26">
        <f t="shared" si="22"/>
        <v>1249.90625</v>
      </c>
      <c r="BX11" s="13">
        <f t="shared" si="43"/>
        <v>1266</v>
      </c>
      <c r="BY11" s="26">
        <f t="shared" si="44"/>
        <v>1266</v>
      </c>
      <c r="BZ11" s="26">
        <f t="shared" si="45"/>
        <v>1266</v>
      </c>
    </row>
    <row r="12" spans="1:80">
      <c r="A12" s="31" t="s">
        <v>73</v>
      </c>
      <c r="B12" s="83" t="s">
        <v>285</v>
      </c>
      <c r="C12" s="3103">
        <f t="shared" si="4"/>
        <v>0.10403230809748659</v>
      </c>
      <c r="D12" s="1263">
        <f>CALCULATIONS!IB12</f>
        <v>1.9741500884439211E-2</v>
      </c>
      <c r="E12" s="1263">
        <f>CALCULATIONS!IC12</f>
        <v>8.1609841042717679E-2</v>
      </c>
      <c r="F12" s="488">
        <f>CALCULATIONS!IW12</f>
        <v>0.10961409343857391</v>
      </c>
      <c r="G12" s="464">
        <f>'Bloom Cleaner Data'!AJ12</f>
        <v>67.5</v>
      </c>
      <c r="H12" s="464" t="str">
        <f>RATINGS!D789</f>
        <v>BBB</v>
      </c>
      <c r="I12" s="465">
        <f t="shared" si="5"/>
        <v>4.9021999999999996E-2</v>
      </c>
      <c r="J12" s="195">
        <f t="shared" si="23"/>
        <v>8</v>
      </c>
      <c r="K12" s="466">
        <f t="shared" si="24"/>
        <v>54.749604435412095</v>
      </c>
      <c r="L12" s="467">
        <f>K12/('Bloom Cleaner Data'!T12)</f>
        <v>7.61998669943105E-2</v>
      </c>
      <c r="M12" s="467">
        <f>K12/('Bloom Cleaner Data'!T12+K12)</f>
        <v>7.0804568306746821E-2</v>
      </c>
      <c r="N12" s="467">
        <f t="shared" si="6"/>
        <v>0.81110525089499397</v>
      </c>
      <c r="O12" s="188">
        <f>'Bloom Cleaner Data'!AK12</f>
        <v>61.7</v>
      </c>
      <c r="P12" s="464" t="str">
        <f>RATINGS!H789</f>
        <v>BBB</v>
      </c>
      <c r="Q12" s="465">
        <f t="shared" si="7"/>
        <v>4.9021999999999996E-2</v>
      </c>
      <c r="R12" s="195">
        <f t="shared" si="25"/>
        <v>8</v>
      </c>
      <c r="S12" s="466">
        <f t="shared" si="26"/>
        <v>50.045193980221129</v>
      </c>
      <c r="T12" s="467">
        <f>S12/('Bloom Cleaner Data'!X12)</f>
        <v>6.4466306814660743E-2</v>
      </c>
      <c r="U12" s="467">
        <f>S12/('Bloom Cleaner Data'!X12+S12)</f>
        <v>6.0562092385593257E-2</v>
      </c>
      <c r="V12" s="467">
        <f t="shared" si="8"/>
        <v>0.81110525089499397</v>
      </c>
      <c r="W12" s="188">
        <f>'Bloom Cleaner Data'!AL12</f>
        <v>182.6</v>
      </c>
      <c r="X12" s="95" t="str">
        <f>RATINGS!L789</f>
        <v>BBB</v>
      </c>
      <c r="Y12" s="465">
        <f t="shared" si="9"/>
        <v>4.9021999999999996E-2</v>
      </c>
      <c r="Z12" s="195">
        <f t="shared" si="27"/>
        <v>8</v>
      </c>
      <c r="AA12" s="466">
        <f t="shared" si="28"/>
        <v>148.10781881342589</v>
      </c>
      <c r="AB12" s="467">
        <f>AA12/('Bloom Cleaner Data'!AB12)</f>
        <v>0.1879302357739194</v>
      </c>
      <c r="AC12" s="467">
        <f>AA12/('Bloom Cleaner Data'!AB12+AA12)</f>
        <v>0.15819972428893148</v>
      </c>
      <c r="AD12" s="467">
        <f t="shared" si="10"/>
        <v>0.81110525089499397</v>
      </c>
      <c r="AE12" s="188">
        <f>'Bloom Cleaner Data'!AM12</f>
        <v>90.5</v>
      </c>
      <c r="AF12" s="95" t="str">
        <f>RATINGS!P789</f>
        <v>BBB</v>
      </c>
      <c r="AG12" s="465">
        <f t="shared" si="11"/>
        <v>4.9021999999999996E-2</v>
      </c>
      <c r="AH12" s="195">
        <f t="shared" si="29"/>
        <v>8</v>
      </c>
      <c r="AI12" s="466">
        <f t="shared" si="30"/>
        <v>73.405025205996949</v>
      </c>
      <c r="AJ12" s="467">
        <f>AI12/('Bloom Cleaner Data'!AF12)</f>
        <v>8.7532822807055738E-2</v>
      </c>
      <c r="AK12" s="467">
        <f>AI12/('Bloom Cleaner Data'!AF12+AI12)</f>
        <v>8.0487522740805909E-2</v>
      </c>
      <c r="AL12" s="468">
        <f t="shared" si="12"/>
        <v>0.81110525089499397</v>
      </c>
      <c r="AN12" s="18">
        <f t="shared" si="31"/>
        <v>0.81110525089499397</v>
      </c>
      <c r="AO12" s="18">
        <f t="shared" si="32"/>
        <v>0.81110525089499397</v>
      </c>
      <c r="AP12" s="18">
        <f t="shared" si="33"/>
        <v>0.81110525089499397</v>
      </c>
      <c r="AQ12" s="18">
        <f t="shared" si="34"/>
        <v>0.81110525089499397</v>
      </c>
      <c r="AR12" s="10">
        <f t="shared" si="35"/>
        <v>0.81110525089499397</v>
      </c>
      <c r="AU12" s="13">
        <f t="shared" si="13"/>
        <v>54.749604435412095</v>
      </c>
      <c r="AV12" s="26">
        <f t="shared" si="14"/>
        <v>53.573501821614357</v>
      </c>
      <c r="AW12" s="26">
        <f t="shared" si="14"/>
        <v>52.397399207816612</v>
      </c>
      <c r="AX12" s="26">
        <f t="shared" si="14"/>
        <v>51.221296594018867</v>
      </c>
      <c r="AY12" s="13">
        <f t="shared" si="15"/>
        <v>50.045193980221129</v>
      </c>
      <c r="AZ12" s="26">
        <f t="shared" si="16"/>
        <v>74.560850188522323</v>
      </c>
      <c r="BA12" s="26">
        <f t="shared" si="16"/>
        <v>99.076506396823504</v>
      </c>
      <c r="BB12" s="26">
        <f t="shared" si="16"/>
        <v>123.5921626051247</v>
      </c>
      <c r="BC12" s="13">
        <f t="shared" si="17"/>
        <v>148.10781881342589</v>
      </c>
      <c r="BD12" s="26">
        <f t="shared" si="18"/>
        <v>129.43212041156866</v>
      </c>
      <c r="BE12" s="26">
        <f t="shared" si="18"/>
        <v>110.75642200971143</v>
      </c>
      <c r="BF12" s="26">
        <f t="shared" si="18"/>
        <v>92.080723607854182</v>
      </c>
      <c r="BG12" s="13">
        <f t="shared" si="36"/>
        <v>73.405025205996949</v>
      </c>
      <c r="BH12" s="26">
        <f t="shared" si="37"/>
        <v>73.405025205996949</v>
      </c>
      <c r="BI12" s="26">
        <f t="shared" si="37"/>
        <v>73.405025205996949</v>
      </c>
      <c r="BJ12" s="26"/>
      <c r="BL12" s="13">
        <f t="shared" si="38"/>
        <v>9.6428571428571423</v>
      </c>
      <c r="BM12" s="26">
        <f t="shared" si="39"/>
        <v>9.1602678571428573</v>
      </c>
      <c r="BN12" s="26">
        <f t="shared" si="19"/>
        <v>8.6776785714285722</v>
      </c>
      <c r="BO12" s="26">
        <f t="shared" si="19"/>
        <v>8.1950892857142854</v>
      </c>
      <c r="BP12" s="13">
        <f t="shared" si="40"/>
        <v>7.7125000000000004</v>
      </c>
      <c r="BQ12" s="26">
        <f t="shared" si="41"/>
        <v>11.490625</v>
      </c>
      <c r="BR12" s="26">
        <f t="shared" si="20"/>
        <v>15.268750000000001</v>
      </c>
      <c r="BS12" s="26">
        <f t="shared" si="20"/>
        <v>19.046875</v>
      </c>
      <c r="BT12" s="13">
        <f t="shared" ref="BT12:BT27" si="46">W12/Z12</f>
        <v>22.824999999999999</v>
      </c>
      <c r="BU12" s="26">
        <f t="shared" si="42"/>
        <v>19.946874999999999</v>
      </c>
      <c r="BV12" s="26">
        <f t="shared" si="22"/>
        <v>17.068750000000001</v>
      </c>
      <c r="BW12" s="26">
        <f t="shared" si="22"/>
        <v>14.190625000000001</v>
      </c>
      <c r="BX12" s="13">
        <f t="shared" si="43"/>
        <v>11.3125</v>
      </c>
      <c r="BY12" s="26">
        <f t="shared" si="44"/>
        <v>11.3125</v>
      </c>
      <c r="BZ12" s="26">
        <f t="shared" si="45"/>
        <v>11.3125</v>
      </c>
    </row>
    <row r="13" spans="1:80">
      <c r="A13" s="31" t="s">
        <v>19</v>
      </c>
      <c r="B13" s="83" t="s">
        <v>287</v>
      </c>
      <c r="C13" s="3103">
        <f t="shared" si="4"/>
        <v>0.17831893587106579</v>
      </c>
      <c r="D13" s="1263">
        <f>CALCULATIONS!IB13</f>
        <v>2.5473012549392576E-2</v>
      </c>
      <c r="E13" s="1263">
        <f>CALCULATIONS!IC13</f>
        <v>0.18900335031669008</v>
      </c>
      <c r="F13" s="488">
        <f>CALCULATIONS!IW13</f>
        <v>0.22549964880556086</v>
      </c>
      <c r="G13" s="464">
        <f>'Bloom Cleaner Data'!AJ13</f>
        <v>14.516999999999999</v>
      </c>
      <c r="H13" s="464" t="str">
        <f>RATINGS!D790</f>
        <v>A-</v>
      </c>
      <c r="I13" s="465">
        <f t="shared" si="5"/>
        <v>4.2959499999999998E-2</v>
      </c>
      <c r="J13" s="195">
        <f t="shared" si="23"/>
        <v>8</v>
      </c>
      <c r="K13" s="466">
        <f t="shared" si="24"/>
        <v>12.069476215574586</v>
      </c>
      <c r="L13" s="467">
        <f>K13/('Bloom Cleaner Data'!T13)</f>
        <v>1.8152945906648277E-2</v>
      </c>
      <c r="M13" s="467">
        <f>K13/('Bloom Cleaner Data'!T13+K13)</f>
        <v>1.78292917381714E-2</v>
      </c>
      <c r="N13" s="467">
        <f t="shared" si="6"/>
        <v>0.83140292178649766</v>
      </c>
      <c r="O13" s="188">
        <f>'Bloom Cleaner Data'!AK13</f>
        <v>0.311</v>
      </c>
      <c r="P13" s="464" t="str">
        <f>RATINGS!H790</f>
        <v>A-</v>
      </c>
      <c r="Q13" s="465">
        <f t="shared" si="7"/>
        <v>4.2959499999999998E-2</v>
      </c>
      <c r="R13" s="195">
        <f t="shared" si="25"/>
        <v>8</v>
      </c>
      <c r="S13" s="466">
        <f t="shared" si="26"/>
        <v>0.25856630867560076</v>
      </c>
      <c r="T13" s="467">
        <f>S13/('Bloom Cleaner Data'!X13)</f>
        <v>3.7402313672949043E-4</v>
      </c>
      <c r="U13" s="467">
        <f>S13/('Bloom Cleaner Data'!X13+S13)</f>
        <v>3.7388329572645205E-4</v>
      </c>
      <c r="V13" s="467">
        <f t="shared" si="8"/>
        <v>0.83140292178649766</v>
      </c>
      <c r="W13" s="188">
        <f>'Bloom Cleaner Data'!AL13</f>
        <v>402</v>
      </c>
      <c r="X13" s="99" t="str">
        <f>RATINGS!L790</f>
        <v>A-</v>
      </c>
      <c r="Y13" s="465">
        <f t="shared" si="9"/>
        <v>4.2959499999999998E-2</v>
      </c>
      <c r="Z13" s="195">
        <f t="shared" si="27"/>
        <v>8</v>
      </c>
      <c r="AA13" s="466">
        <f t="shared" si="28"/>
        <v>334.22397455817207</v>
      </c>
      <c r="AB13" s="467">
        <f>AA13/('Bloom Cleaner Data'!AB13)</f>
        <v>0.34476694782258677</v>
      </c>
      <c r="AC13" s="467">
        <f>AA13/('Bloom Cleaner Data'!AB13+AA13)</f>
        <v>0.25637672637688252</v>
      </c>
      <c r="AD13" s="467">
        <f t="shared" si="10"/>
        <v>0.83140292178649766</v>
      </c>
      <c r="AE13" s="188">
        <f>'Bloom Cleaner Data'!AM13</f>
        <v>448</v>
      </c>
      <c r="AF13" s="99" t="str">
        <f>RATINGS!P790</f>
        <v>A-</v>
      </c>
      <c r="AG13" s="465">
        <f t="shared" si="11"/>
        <v>4.2959499999999998E-2</v>
      </c>
      <c r="AH13" s="195">
        <f t="shared" si="29"/>
        <v>8</v>
      </c>
      <c r="AI13" s="466">
        <f t="shared" si="30"/>
        <v>372.46850896035096</v>
      </c>
      <c r="AJ13" s="467">
        <f>AI13/('Bloom Cleaner Data'!AF13)</f>
        <v>0.34998182661829869</v>
      </c>
      <c r="AK13" s="467">
        <f>AI13/('Bloom Cleaner Data'!AF13+AI13)</f>
        <v>0.25924928744781867</v>
      </c>
      <c r="AL13" s="468">
        <f t="shared" si="12"/>
        <v>0.83140292178649766</v>
      </c>
      <c r="AN13" s="18">
        <f t="shared" si="31"/>
        <v>0.83140292178649766</v>
      </c>
      <c r="AO13" s="18">
        <f t="shared" si="32"/>
        <v>0.83140292178649766</v>
      </c>
      <c r="AP13" s="18">
        <f t="shared" si="33"/>
        <v>0.83140292178649766</v>
      </c>
      <c r="AQ13" s="18">
        <f t="shared" si="34"/>
        <v>0.83140292178649766</v>
      </c>
      <c r="AR13" s="10">
        <f t="shared" si="35"/>
        <v>0.83140292178649766</v>
      </c>
      <c r="AU13" s="13">
        <f t="shared" si="13"/>
        <v>12.069476215574586</v>
      </c>
      <c r="AV13" s="26">
        <f t="shared" si="14"/>
        <v>9.1167487388498394</v>
      </c>
      <c r="AW13" s="26">
        <f t="shared" si="14"/>
        <v>6.1640212621250932</v>
      </c>
      <c r="AX13" s="26">
        <f t="shared" si="14"/>
        <v>3.2112937854003469</v>
      </c>
      <c r="AY13" s="13">
        <f t="shared" si="15"/>
        <v>0.25856630867560076</v>
      </c>
      <c r="AZ13" s="26">
        <f t="shared" si="16"/>
        <v>83.749918371049716</v>
      </c>
      <c r="BA13" s="26">
        <f t="shared" si="16"/>
        <v>167.24127043342384</v>
      </c>
      <c r="BB13" s="26">
        <f t="shared" si="16"/>
        <v>250.73262249579795</v>
      </c>
      <c r="BC13" s="13">
        <f t="shared" si="17"/>
        <v>334.22397455817207</v>
      </c>
      <c r="BD13" s="26">
        <f t="shared" si="18"/>
        <v>343.78510815871681</v>
      </c>
      <c r="BE13" s="26">
        <f t="shared" si="18"/>
        <v>353.34624175926149</v>
      </c>
      <c r="BF13" s="26">
        <f t="shared" si="18"/>
        <v>362.90737535980622</v>
      </c>
      <c r="BG13" s="13">
        <f t="shared" si="36"/>
        <v>372.46850896035096</v>
      </c>
      <c r="BH13" s="26">
        <f t="shared" si="37"/>
        <v>372.46850896035096</v>
      </c>
      <c r="BI13" s="26">
        <f t="shared" si="37"/>
        <v>372.46850896035096</v>
      </c>
      <c r="BJ13" s="26"/>
      <c r="BL13" s="13">
        <f t="shared" si="38"/>
        <v>2.0738571428571428</v>
      </c>
      <c r="BM13" s="26">
        <f t="shared" si="39"/>
        <v>1.5651116071428572</v>
      </c>
      <c r="BN13" s="26">
        <f t="shared" si="19"/>
        <v>1.0563660714285714</v>
      </c>
      <c r="BO13" s="26">
        <f t="shared" si="19"/>
        <v>0.54762053571428559</v>
      </c>
      <c r="BP13" s="13">
        <f t="shared" si="40"/>
        <v>3.8875E-2</v>
      </c>
      <c r="BQ13" s="26">
        <f t="shared" si="41"/>
        <v>12.591656250000002</v>
      </c>
      <c r="BR13" s="26">
        <f t="shared" si="20"/>
        <v>25.144437500000002</v>
      </c>
      <c r="BS13" s="26">
        <f t="shared" si="20"/>
        <v>37.697218749999998</v>
      </c>
      <c r="BT13" s="13">
        <f t="shared" si="46"/>
        <v>50.25</v>
      </c>
      <c r="BU13" s="26">
        <f t="shared" si="42"/>
        <v>51.6875</v>
      </c>
      <c r="BV13" s="26">
        <f t="shared" si="22"/>
        <v>53.125</v>
      </c>
      <c r="BW13" s="26">
        <f t="shared" si="22"/>
        <v>54.5625</v>
      </c>
      <c r="BX13" s="13">
        <f t="shared" si="43"/>
        <v>56</v>
      </c>
      <c r="BY13" s="26">
        <f t="shared" si="44"/>
        <v>56</v>
      </c>
      <c r="BZ13" s="26">
        <f t="shared" si="45"/>
        <v>56</v>
      </c>
    </row>
    <row r="14" spans="1:80">
      <c r="A14" s="31" t="s">
        <v>19</v>
      </c>
      <c r="B14" s="83" t="s">
        <v>288</v>
      </c>
      <c r="C14" s="3103">
        <f t="shared" si="4"/>
        <v>0.18027539673878426</v>
      </c>
      <c r="D14" s="1263">
        <f>CALCULATIONS!IB14</f>
        <v>4.0640666398684355E-2</v>
      </c>
      <c r="E14" s="1263">
        <f>CALCULATIONS!IC14</f>
        <v>7.9946920433679999E-2</v>
      </c>
      <c r="F14" s="488">
        <f>CALCULATIONS!IW14</f>
        <v>0.18391009333003108</v>
      </c>
      <c r="G14" s="485">
        <f>'Bloom Cleaner Data'!AJ14</f>
        <v>6685</v>
      </c>
      <c r="H14" s="464" t="str">
        <f>RATINGS!D791</f>
        <v>A-</v>
      </c>
      <c r="I14" s="465">
        <f t="shared" si="5"/>
        <v>4.2959499999999998E-2</v>
      </c>
      <c r="J14" s="195">
        <f t="shared" si="23"/>
        <v>8</v>
      </c>
      <c r="K14" s="466">
        <f t="shared" si="24"/>
        <v>5557.9285321427369</v>
      </c>
      <c r="L14" s="467">
        <f>K14/('Bloom Cleaner Data'!T14)</f>
        <v>0.16888779762808767</v>
      </c>
      <c r="M14" s="467">
        <f>K14/('Bloom Cleaner Data'!T14+K14)</f>
        <v>0.14448589331738729</v>
      </c>
      <c r="N14" s="467">
        <f t="shared" si="6"/>
        <v>0.83140292178649766</v>
      </c>
      <c r="O14" s="188">
        <f>'Bloom Cleaner Data'!AK14</f>
        <v>6685</v>
      </c>
      <c r="P14" s="464" t="str">
        <f>RATINGS!H791</f>
        <v>A-</v>
      </c>
      <c r="Q14" s="465">
        <f t="shared" si="7"/>
        <v>4.2959499999999998E-2</v>
      </c>
      <c r="R14" s="195">
        <f t="shared" si="25"/>
        <v>8</v>
      </c>
      <c r="S14" s="466">
        <f t="shared" si="26"/>
        <v>5557.9285321427369</v>
      </c>
      <c r="T14" s="467">
        <f>S14/('Bloom Cleaner Data'!X14)</f>
        <v>0.17954285218189484</v>
      </c>
      <c r="U14" s="467">
        <f>S14/('Bloom Cleaner Data'!X14+S14)</f>
        <v>0.15221392919280555</v>
      </c>
      <c r="V14" s="467">
        <f t="shared" si="8"/>
        <v>0.83140292178649766</v>
      </c>
      <c r="W14" s="188">
        <f>'Bloom Cleaner Data'!AL14</f>
        <v>6255</v>
      </c>
      <c r="X14" s="2122" t="str">
        <f>RATINGS!L791</f>
        <v>A-</v>
      </c>
      <c r="Y14" s="465">
        <f t="shared" si="9"/>
        <v>4.2959499999999998E-2</v>
      </c>
      <c r="Z14" s="195">
        <f t="shared" si="27"/>
        <v>8</v>
      </c>
      <c r="AA14" s="466">
        <f t="shared" si="28"/>
        <v>5200.4252757745426</v>
      </c>
      <c r="AB14" s="467">
        <f>AA14/('Bloom Cleaner Data'!AB14)</f>
        <v>0.17117360441639651</v>
      </c>
      <c r="AC14" s="467">
        <f>AA14/('Bloom Cleaner Data'!AB14+AA14)</f>
        <v>0.14615562011551092</v>
      </c>
      <c r="AD14" s="467">
        <f t="shared" si="10"/>
        <v>0.83140292178649766</v>
      </c>
      <c r="AE14" s="188">
        <f>'Bloom Cleaner Data'!AM14</f>
        <v>7453</v>
      </c>
      <c r="AF14" s="2122" t="str">
        <f>RATINGS!P791</f>
        <v>A-</v>
      </c>
      <c r="AG14" s="465">
        <f t="shared" si="11"/>
        <v>4.2959499999999998E-2</v>
      </c>
      <c r="AH14" s="195">
        <f t="shared" si="29"/>
        <v>8</v>
      </c>
      <c r="AI14" s="466">
        <f t="shared" si="30"/>
        <v>6196.4459760747668</v>
      </c>
      <c r="AJ14" s="467">
        <f>AI14/('Bloom Cleaner Data'!AF14)</f>
        <v>0.20149733272875803</v>
      </c>
      <c r="AK14" s="467">
        <f>AI14/('Bloom Cleaner Data'!AF14+AI14)</f>
        <v>0.16770518522178585</v>
      </c>
      <c r="AL14" s="468">
        <f t="shared" si="12"/>
        <v>0.83140292178649766</v>
      </c>
      <c r="AN14" s="18">
        <f t="shared" si="31"/>
        <v>0.83140292178649766</v>
      </c>
      <c r="AO14" s="18">
        <f t="shared" si="32"/>
        <v>0.83140292178649766</v>
      </c>
      <c r="AP14" s="18">
        <f t="shared" si="33"/>
        <v>0.83140292178649766</v>
      </c>
      <c r="AQ14" s="18">
        <f t="shared" si="34"/>
        <v>0.83140292178649766</v>
      </c>
      <c r="AR14" s="10">
        <f t="shared" si="35"/>
        <v>0.83140292178649766</v>
      </c>
      <c r="AU14" s="13">
        <f t="shared" si="13"/>
        <v>5557.9285321427369</v>
      </c>
      <c r="AV14" s="26">
        <f t="shared" si="14"/>
        <v>5557.9285321427369</v>
      </c>
      <c r="AW14" s="26">
        <f t="shared" si="14"/>
        <v>5557.9285321427369</v>
      </c>
      <c r="AX14" s="26">
        <f t="shared" si="14"/>
        <v>5557.9285321427369</v>
      </c>
      <c r="AY14" s="13">
        <f t="shared" si="15"/>
        <v>5557.9285321427369</v>
      </c>
      <c r="AZ14" s="26">
        <f t="shared" si="16"/>
        <v>5468.5527180506888</v>
      </c>
      <c r="BA14" s="26">
        <f t="shared" si="16"/>
        <v>5379.1769039586397</v>
      </c>
      <c r="BB14" s="26">
        <f t="shared" si="16"/>
        <v>5289.8010898665907</v>
      </c>
      <c r="BC14" s="13">
        <f t="shared" si="17"/>
        <v>5200.4252757745426</v>
      </c>
      <c r="BD14" s="26">
        <f t="shared" si="18"/>
        <v>5449.4304508495989</v>
      </c>
      <c r="BE14" s="26">
        <f t="shared" si="18"/>
        <v>5698.4356259246542</v>
      </c>
      <c r="BF14" s="26">
        <f t="shared" si="18"/>
        <v>5947.4408009997105</v>
      </c>
      <c r="BG14" s="13">
        <f t="shared" si="36"/>
        <v>6196.4459760747668</v>
      </c>
      <c r="BH14" s="26">
        <f t="shared" si="37"/>
        <v>6196.4459760747668</v>
      </c>
      <c r="BI14" s="26">
        <f t="shared" si="37"/>
        <v>6196.4459760747668</v>
      </c>
      <c r="BJ14" s="26"/>
      <c r="BL14" s="13">
        <f t="shared" si="38"/>
        <v>955</v>
      </c>
      <c r="BM14" s="26">
        <f t="shared" si="39"/>
        <v>925.15625</v>
      </c>
      <c r="BN14" s="26">
        <f t="shared" si="19"/>
        <v>895.3125</v>
      </c>
      <c r="BO14" s="26">
        <f t="shared" si="19"/>
        <v>865.46875</v>
      </c>
      <c r="BP14" s="13">
        <f t="shared" si="40"/>
        <v>835.625</v>
      </c>
      <c r="BQ14" s="26">
        <f t="shared" si="41"/>
        <v>822.1875</v>
      </c>
      <c r="BR14" s="26">
        <f t="shared" si="20"/>
        <v>808.75</v>
      </c>
      <c r="BS14" s="26">
        <f t="shared" si="20"/>
        <v>795.3125</v>
      </c>
      <c r="BT14" s="13">
        <f t="shared" si="46"/>
        <v>781.875</v>
      </c>
      <c r="BU14" s="26">
        <f t="shared" si="42"/>
        <v>819.3125</v>
      </c>
      <c r="BV14" s="26">
        <f t="shared" si="22"/>
        <v>856.75</v>
      </c>
      <c r="BW14" s="26">
        <f t="shared" si="22"/>
        <v>894.1875</v>
      </c>
      <c r="BX14" s="13">
        <f t="shared" si="43"/>
        <v>931.625</v>
      </c>
      <c r="BY14" s="26">
        <f t="shared" si="44"/>
        <v>931.625</v>
      </c>
      <c r="BZ14" s="26">
        <f t="shared" si="45"/>
        <v>931.625</v>
      </c>
    </row>
    <row r="15" spans="1:80">
      <c r="A15" s="31" t="s">
        <v>378</v>
      </c>
      <c r="B15" s="3108" t="s">
        <v>42</v>
      </c>
      <c r="C15" s="3103">
        <f t="shared" si="4"/>
        <v>8.8141922005698592E-2</v>
      </c>
      <c r="D15" s="1263">
        <f>CALCULATIONS!IB15</f>
        <v>2.500940162152776E-2</v>
      </c>
      <c r="E15" s="1263">
        <f>CALCULATIONS!IC15</f>
        <v>4.1074885519406669E-2</v>
      </c>
      <c r="F15" s="488">
        <f>CALCULATIONS!IW15</f>
        <v>0.11939169637420323</v>
      </c>
      <c r="G15" s="464">
        <f>'Bloom Cleaner Data'!AJ15</f>
        <v>0</v>
      </c>
      <c r="H15" s="464" t="str">
        <f>RATINGS!D792</f>
        <v>B-</v>
      </c>
      <c r="I15" s="465">
        <f t="shared" si="5"/>
        <v>0.12398616000000001</v>
      </c>
      <c r="J15" s="195">
        <f t="shared" si="23"/>
        <v>8</v>
      </c>
      <c r="K15" s="466">
        <f t="shared" si="24"/>
        <v>0</v>
      </c>
      <c r="L15" s="467">
        <f>K15/('Bloom Cleaner Data'!T15)</f>
        <v>0</v>
      </c>
      <c r="M15" s="467">
        <f>K15/('Bloom Cleaner Data'!T15+K15)</f>
        <v>0</v>
      </c>
      <c r="N15" s="467"/>
      <c r="O15" s="188">
        <f>'Bloom Cleaner Data'!AK15</f>
        <v>0</v>
      </c>
      <c r="P15" s="464" t="str">
        <f>RATINGS!H792</f>
        <v>B-</v>
      </c>
      <c r="Q15" s="465">
        <f t="shared" si="7"/>
        <v>0.12398616000000001</v>
      </c>
      <c r="R15" s="195">
        <f t="shared" si="25"/>
        <v>8</v>
      </c>
      <c r="S15" s="466">
        <f t="shared" si="26"/>
        <v>0</v>
      </c>
      <c r="T15" s="467">
        <f>S15/('Bloom Cleaner Data'!X15)</f>
        <v>0</v>
      </c>
      <c r="U15" s="467">
        <f>S15/('Bloom Cleaner Data'!X15+S15)</f>
        <v>0</v>
      </c>
      <c r="V15" s="467"/>
      <c r="W15" s="188">
        <f>'Bloom Cleaner Data'!AL15</f>
        <v>826.7</v>
      </c>
      <c r="X15" s="95" t="str">
        <f>RATINGS!L792</f>
        <v>B-</v>
      </c>
      <c r="Y15" s="465">
        <f t="shared" si="9"/>
        <v>0.12398616000000001</v>
      </c>
      <c r="Z15" s="195">
        <f t="shared" si="27"/>
        <v>8</v>
      </c>
      <c r="AA15" s="466">
        <f t="shared" si="28"/>
        <v>506.27221295180038</v>
      </c>
      <c r="AB15" s="467">
        <f>AA15/('Bloom Cleaner Data'!AB15)</f>
        <v>0.14526762874861565</v>
      </c>
      <c r="AC15" s="467">
        <f>AA15/('Bloom Cleaner Data'!AB15+AA15)</f>
        <v>0.12684164391107719</v>
      </c>
      <c r="AD15" s="467">
        <f t="shared" si="10"/>
        <v>0.61240137045095</v>
      </c>
      <c r="AE15" s="188">
        <f>'Bloom Cleaner Data'!AM15</f>
        <v>953.7</v>
      </c>
      <c r="AF15" s="95" t="str">
        <f>RATINGS!P792</f>
        <v>B-</v>
      </c>
      <c r="AG15" s="465">
        <f t="shared" si="11"/>
        <v>0.12398616000000001</v>
      </c>
      <c r="AH15" s="195">
        <f t="shared" si="29"/>
        <v>8</v>
      </c>
      <c r="AI15" s="466">
        <f t="shared" si="30"/>
        <v>584.04718699907107</v>
      </c>
      <c r="AJ15" s="467">
        <f>AI15/('Bloom Cleaner Data'!AF15)</f>
        <v>0.20730005927417869</v>
      </c>
      <c r="AK15" s="467">
        <f>AI15/('Bloom Cleaner Data'!AF15+AI15)</f>
        <v>0.17170549912737204</v>
      </c>
      <c r="AL15" s="468">
        <f t="shared" si="12"/>
        <v>0.61240137045095</v>
      </c>
      <c r="AN15" s="18"/>
      <c r="AO15" s="18"/>
      <c r="AP15" s="18">
        <f t="shared" si="33"/>
        <v>0.61240137045095</v>
      </c>
      <c r="AQ15" s="18">
        <f t="shared" si="34"/>
        <v>0.61240137045095</v>
      </c>
      <c r="AR15" s="10">
        <f t="shared" si="35"/>
        <v>0.61240137045095</v>
      </c>
      <c r="AU15" s="13">
        <f t="shared" si="13"/>
        <v>0</v>
      </c>
      <c r="AV15" s="26">
        <f t="shared" si="14"/>
        <v>0</v>
      </c>
      <c r="AW15" s="26">
        <f t="shared" si="14"/>
        <v>0</v>
      </c>
      <c r="AX15" s="26">
        <f t="shared" si="14"/>
        <v>0</v>
      </c>
      <c r="AY15" s="13">
        <f t="shared" si="15"/>
        <v>0</v>
      </c>
      <c r="AZ15" s="26">
        <f t="shared" si="16"/>
        <v>126.5680532379501</v>
      </c>
      <c r="BA15" s="26">
        <f t="shared" si="16"/>
        <v>253.13610647590019</v>
      </c>
      <c r="BB15" s="26">
        <f t="shared" si="16"/>
        <v>379.70415971385029</v>
      </c>
      <c r="BC15" s="13">
        <f t="shared" si="17"/>
        <v>506.27221295180038</v>
      </c>
      <c r="BD15" s="26">
        <f t="shared" si="18"/>
        <v>525.71595646361811</v>
      </c>
      <c r="BE15" s="26">
        <f t="shared" si="18"/>
        <v>545.15969997543573</v>
      </c>
      <c r="BF15" s="26">
        <f t="shared" si="18"/>
        <v>564.60344348725334</v>
      </c>
      <c r="BG15" s="13">
        <f t="shared" si="36"/>
        <v>584.04718699907107</v>
      </c>
      <c r="BH15" s="26">
        <f t="shared" si="37"/>
        <v>584.04718699907107</v>
      </c>
      <c r="BI15" s="26">
        <f t="shared" si="37"/>
        <v>584.04718699907107</v>
      </c>
      <c r="BJ15" s="26"/>
      <c r="BL15" s="13">
        <f t="shared" si="38"/>
        <v>0</v>
      </c>
      <c r="BM15" s="26">
        <f t="shared" si="39"/>
        <v>0</v>
      </c>
      <c r="BN15" s="26">
        <f t="shared" si="19"/>
        <v>0</v>
      </c>
      <c r="BO15" s="26">
        <f t="shared" si="19"/>
        <v>0</v>
      </c>
      <c r="BP15" s="13">
        <f t="shared" si="40"/>
        <v>0</v>
      </c>
      <c r="BQ15" s="26">
        <f t="shared" si="41"/>
        <v>25.834375000000001</v>
      </c>
      <c r="BR15" s="26">
        <f t="shared" si="20"/>
        <v>51.668750000000003</v>
      </c>
      <c r="BS15" s="26">
        <f t="shared" si="20"/>
        <v>77.503125000000011</v>
      </c>
      <c r="BT15" s="13">
        <f t="shared" si="46"/>
        <v>103.33750000000001</v>
      </c>
      <c r="BU15" s="26">
        <f t="shared" si="42"/>
        <v>107.30625000000001</v>
      </c>
      <c r="BV15" s="26">
        <f t="shared" si="22"/>
        <v>111.27500000000001</v>
      </c>
      <c r="BW15" s="26">
        <f t="shared" si="22"/>
        <v>115.24375000000001</v>
      </c>
      <c r="BX15" s="13">
        <f t="shared" si="43"/>
        <v>119.21250000000001</v>
      </c>
      <c r="BY15" s="26">
        <f t="shared" si="44"/>
        <v>119.21250000000001</v>
      </c>
      <c r="BZ15" s="26">
        <f t="shared" si="45"/>
        <v>119.21250000000001</v>
      </c>
    </row>
    <row r="16" spans="1:80">
      <c r="A16" s="31" t="s">
        <v>25</v>
      </c>
      <c r="B16" s="83" t="s">
        <v>286</v>
      </c>
      <c r="C16" s="3103">
        <f t="shared" si="4"/>
        <v>2.2100310884920774E-2</v>
      </c>
      <c r="D16" s="1263">
        <f>CALCULATIONS!IB16</f>
        <v>4.5961501391620363E-3</v>
      </c>
      <c r="E16" s="1263">
        <f>CALCULATIONS!IC16</f>
        <v>6.7592727231349809E-3</v>
      </c>
      <c r="F16" s="488">
        <f>CALCULATIONS!IW16</f>
        <v>2.1614247274507968E-2</v>
      </c>
      <c r="G16" s="464">
        <f>'Bloom Cleaner Data'!AJ16</f>
        <v>1082</v>
      </c>
      <c r="H16" s="464" t="str">
        <f>RATINGS!D793</f>
        <v>BBB-</v>
      </c>
      <c r="I16" s="465">
        <f t="shared" si="5"/>
        <v>5.4413999999999997E-2</v>
      </c>
      <c r="J16" s="195">
        <f t="shared" si="23"/>
        <v>8</v>
      </c>
      <c r="K16" s="466">
        <f t="shared" si="24"/>
        <v>858.76177126631569</v>
      </c>
      <c r="L16" s="467">
        <f>K16/('Bloom Cleaner Data'!T16)</f>
        <v>2.3598191071042721E-2</v>
      </c>
      <c r="M16" s="467">
        <f>K16/('Bloom Cleaner Data'!T16+K16)</f>
        <v>2.3054154722910111E-2</v>
      </c>
      <c r="N16" s="467">
        <f t="shared" ref="N16:N27" si="47">K16/G16</f>
        <v>0.79368001041249137</v>
      </c>
      <c r="O16" s="188">
        <f>'Bloom Cleaner Data'!AK16</f>
        <v>872</v>
      </c>
      <c r="P16" s="464" t="str">
        <f>RATINGS!H793</f>
        <v>BBB-</v>
      </c>
      <c r="Q16" s="465">
        <f t="shared" si="7"/>
        <v>5.4413999999999997E-2</v>
      </c>
      <c r="R16" s="195">
        <f t="shared" si="25"/>
        <v>8</v>
      </c>
      <c r="S16" s="466">
        <f t="shared" si="26"/>
        <v>692.08896907969245</v>
      </c>
      <c r="T16" s="467">
        <f>S16/('Bloom Cleaner Data'!X16)</f>
        <v>2.01258860381439E-2</v>
      </c>
      <c r="U16" s="467">
        <f>S16/('Bloom Cleaner Data'!X16+S16)</f>
        <v>1.972882593569571E-2</v>
      </c>
      <c r="V16" s="467">
        <f t="shared" ref="V16:V27" si="48">S16/O16</f>
        <v>0.79368001041249137</v>
      </c>
      <c r="W16" s="188">
        <f>'Bloom Cleaner Data'!AL16</f>
        <v>975</v>
      </c>
      <c r="X16" s="95" t="str">
        <f>RATINGS!L793</f>
        <v>BBB-</v>
      </c>
      <c r="Y16" s="465">
        <f t="shared" si="9"/>
        <v>5.4413999999999997E-2</v>
      </c>
      <c r="Z16" s="195">
        <f t="shared" si="27"/>
        <v>8</v>
      </c>
      <c r="AA16" s="466">
        <f t="shared" si="28"/>
        <v>773.83801015217909</v>
      </c>
      <c r="AB16" s="467">
        <f>AA16/('Bloom Cleaner Data'!AB16)</f>
        <v>2.2916311601284621E-2</v>
      </c>
      <c r="AC16" s="467">
        <f>AA16/('Bloom Cleaner Data'!AB16+AA16)</f>
        <v>2.2402919321338394E-2</v>
      </c>
      <c r="AD16" s="467">
        <f t="shared" si="10"/>
        <v>0.79368001041249137</v>
      </c>
      <c r="AE16" s="188">
        <f>'Bloom Cleaner Data'!AM16</f>
        <v>865</v>
      </c>
      <c r="AF16" s="95" t="str">
        <f>RATINGS!P793</f>
        <v>BBB-</v>
      </c>
      <c r="AG16" s="465">
        <f t="shared" si="11"/>
        <v>5.4413999999999997E-2</v>
      </c>
      <c r="AH16" s="195">
        <f t="shared" si="29"/>
        <v>8</v>
      </c>
      <c r="AI16" s="466">
        <f t="shared" si="30"/>
        <v>686.53320900680501</v>
      </c>
      <c r="AJ16" s="467">
        <f>AI16/('Bloom Cleaner Data'!AF16)</f>
        <v>2.1760854829211862E-2</v>
      </c>
      <c r="AK16" s="467">
        <f>AI16/('Bloom Cleaner Data'!AF16+AI16)</f>
        <v>2.1297405088834809E-2</v>
      </c>
      <c r="AL16" s="468">
        <f t="shared" si="12"/>
        <v>0.79368001041249137</v>
      </c>
      <c r="AN16" s="18">
        <f t="shared" si="31"/>
        <v>0.79368001041249137</v>
      </c>
      <c r="AO16" s="18">
        <f t="shared" si="32"/>
        <v>0.79368001041249137</v>
      </c>
      <c r="AP16" s="18">
        <f t="shared" si="33"/>
        <v>0.79368001041249137</v>
      </c>
      <c r="AQ16" s="18">
        <f t="shared" si="34"/>
        <v>0.79368001041249137</v>
      </c>
      <c r="AR16" s="10">
        <f t="shared" si="35"/>
        <v>0.79368001041249137</v>
      </c>
      <c r="AU16" s="13">
        <f t="shared" si="13"/>
        <v>858.76177126631569</v>
      </c>
      <c r="AV16" s="26">
        <f t="shared" si="14"/>
        <v>817.09357071965985</v>
      </c>
      <c r="AW16" s="26">
        <f t="shared" si="14"/>
        <v>775.42537017300401</v>
      </c>
      <c r="AX16" s="26">
        <f t="shared" si="14"/>
        <v>733.75716962634829</v>
      </c>
      <c r="AY16" s="13">
        <f t="shared" si="15"/>
        <v>692.08896907969245</v>
      </c>
      <c r="AZ16" s="26">
        <f t="shared" si="16"/>
        <v>712.52622934781414</v>
      </c>
      <c r="BA16" s="26">
        <f t="shared" si="16"/>
        <v>732.96348961593571</v>
      </c>
      <c r="BB16" s="26">
        <f t="shared" si="16"/>
        <v>753.4007498840574</v>
      </c>
      <c r="BC16" s="13">
        <f t="shared" si="17"/>
        <v>773.83801015217909</v>
      </c>
      <c r="BD16" s="26">
        <f t="shared" si="18"/>
        <v>752.01180986583563</v>
      </c>
      <c r="BE16" s="26">
        <f t="shared" si="18"/>
        <v>730.18560957949205</v>
      </c>
      <c r="BF16" s="26">
        <f t="shared" si="18"/>
        <v>708.35940929314847</v>
      </c>
      <c r="BG16" s="13">
        <f t="shared" si="36"/>
        <v>686.53320900680501</v>
      </c>
      <c r="BH16" s="26">
        <f t="shared" si="37"/>
        <v>686.53320900680501</v>
      </c>
      <c r="BI16" s="26">
        <f t="shared" si="37"/>
        <v>686.53320900680501</v>
      </c>
      <c r="BJ16" s="26"/>
      <c r="BL16" s="13">
        <f t="shared" si="38"/>
        <v>154.57142857142858</v>
      </c>
      <c r="BM16" s="26">
        <f t="shared" si="39"/>
        <v>143.17857142857144</v>
      </c>
      <c r="BN16" s="26">
        <f t="shared" si="19"/>
        <v>131.78571428571428</v>
      </c>
      <c r="BO16" s="26">
        <f t="shared" si="19"/>
        <v>120.39285714285714</v>
      </c>
      <c r="BP16" s="13">
        <f t="shared" si="40"/>
        <v>109</v>
      </c>
      <c r="BQ16" s="26">
        <f t="shared" si="41"/>
        <v>112.21875</v>
      </c>
      <c r="BR16" s="26">
        <f t="shared" si="20"/>
        <v>115.4375</v>
      </c>
      <c r="BS16" s="26">
        <f t="shared" si="20"/>
        <v>118.65625</v>
      </c>
      <c r="BT16" s="13">
        <f t="shared" si="46"/>
        <v>121.875</v>
      </c>
      <c r="BU16" s="26">
        <f t="shared" si="42"/>
        <v>118.4375</v>
      </c>
      <c r="BV16" s="26">
        <f t="shared" si="22"/>
        <v>115</v>
      </c>
      <c r="BW16" s="26">
        <f t="shared" si="22"/>
        <v>111.5625</v>
      </c>
      <c r="BX16" s="13">
        <f t="shared" si="43"/>
        <v>108.125</v>
      </c>
      <c r="BY16" s="26">
        <f t="shared" si="44"/>
        <v>108.125</v>
      </c>
      <c r="BZ16" s="26">
        <f t="shared" si="45"/>
        <v>108.125</v>
      </c>
    </row>
    <row r="17" spans="1:80">
      <c r="A17" s="31" t="s">
        <v>504</v>
      </c>
      <c r="B17" s="83" t="s">
        <v>281</v>
      </c>
      <c r="C17" s="3103">
        <f t="shared" si="4"/>
        <v>0.34270006488764843</v>
      </c>
      <c r="D17" s="1263">
        <f>CALCULATIONS!IB17</f>
        <v>3.7162372871396732E-2</v>
      </c>
      <c r="E17" s="1263">
        <f>CALCULATIONS!IC17</f>
        <v>0.25234350412762557</v>
      </c>
      <c r="F17" s="488">
        <f>CALCULATIONS!IW17</f>
        <v>0.30601742506449969</v>
      </c>
      <c r="G17" s="464">
        <f>'Bloom Cleaner Data'!AJ17</f>
        <v>10953</v>
      </c>
      <c r="H17" s="464" t="str">
        <f>RATINGS!D794</f>
        <v>A-</v>
      </c>
      <c r="I17" s="465">
        <f t="shared" si="5"/>
        <v>4.2959499999999998E-2</v>
      </c>
      <c r="J17" s="195">
        <f t="shared" si="23"/>
        <v>8</v>
      </c>
      <c r="K17" s="466">
        <f t="shared" si="24"/>
        <v>9106.3562023275081</v>
      </c>
      <c r="L17" s="467">
        <f>K17/('Bloom Cleaner Data'!T17)</f>
        <v>0.32682612074534356</v>
      </c>
      <c r="M17" s="467">
        <f>K17/('Bloom Cleaner Data'!T17+K17)</f>
        <v>0.24632174151180355</v>
      </c>
      <c r="N17" s="467">
        <f t="shared" si="47"/>
        <v>0.83140292178649755</v>
      </c>
      <c r="O17" s="188">
        <f>'Bloom Cleaner Data'!AK17</f>
        <v>11843</v>
      </c>
      <c r="P17" s="464" t="str">
        <f>RATINGS!H794</f>
        <v>A-</v>
      </c>
      <c r="Q17" s="465">
        <f t="shared" si="7"/>
        <v>4.2959499999999998E-2</v>
      </c>
      <c r="R17" s="195">
        <f t="shared" si="25"/>
        <v>8</v>
      </c>
      <c r="S17" s="466">
        <f t="shared" si="26"/>
        <v>9846.3048027174918</v>
      </c>
      <c r="T17" s="467">
        <f>S17/('Bloom Cleaner Data'!X17)</f>
        <v>0.47233545057648912</v>
      </c>
      <c r="U17" s="467">
        <f>S17/('Bloom Cleaner Data'!X17+S17)</f>
        <v>0.32080695359983852</v>
      </c>
      <c r="V17" s="467">
        <f t="shared" si="48"/>
        <v>0.83140292178649766</v>
      </c>
      <c r="W17" s="188">
        <f>'Bloom Cleaner Data'!AL17</f>
        <v>10054</v>
      </c>
      <c r="X17" s="95" t="str">
        <f>RATINGS!L794</f>
        <v>A-</v>
      </c>
      <c r="Y17" s="465">
        <f t="shared" si="9"/>
        <v>4.2959499999999998E-2</v>
      </c>
      <c r="Z17" s="195">
        <f t="shared" si="27"/>
        <v>8</v>
      </c>
      <c r="AA17" s="466">
        <f t="shared" si="28"/>
        <v>8358.9249756414483</v>
      </c>
      <c r="AB17" s="467">
        <f>AA17/('Bloom Cleaner Data'!AB17)</f>
        <v>0.39757074794965269</v>
      </c>
      <c r="AC17" s="467">
        <f>AA17/('Bloom Cleaner Data'!AB17+AA17)</f>
        <v>0.28447271705773791</v>
      </c>
      <c r="AD17" s="467">
        <f t="shared" si="10"/>
        <v>0.83140292178649777</v>
      </c>
      <c r="AE17" s="188">
        <f>'Bloom Cleaner Data'!AM17</f>
        <v>8646</v>
      </c>
      <c r="AF17" s="95" t="str">
        <f>RATINGS!P794</f>
        <v>A-</v>
      </c>
      <c r="AG17" s="465">
        <f t="shared" si="11"/>
        <v>4.2959499999999998E-2</v>
      </c>
      <c r="AH17" s="195">
        <f t="shared" si="29"/>
        <v>8</v>
      </c>
      <c r="AI17" s="466">
        <f t="shared" si="30"/>
        <v>7188.3096617660585</v>
      </c>
      <c r="AJ17" s="467">
        <f>AI17/('Bloom Cleaner Data'!AF17)</f>
        <v>0.17406794027910835</v>
      </c>
      <c r="AK17" s="467">
        <f>AI17/('Bloom Cleaner Data'!AF17+AI17)</f>
        <v>0.14826053442676207</v>
      </c>
      <c r="AL17" s="468">
        <f t="shared" si="12"/>
        <v>0.83140292178649766</v>
      </c>
      <c r="AN17" s="18">
        <f t="shared" si="31"/>
        <v>0.83140292178649755</v>
      </c>
      <c r="AO17" s="18">
        <f t="shared" si="32"/>
        <v>0.83140292178649766</v>
      </c>
      <c r="AP17" s="18">
        <f t="shared" si="33"/>
        <v>0.83140292178649777</v>
      </c>
      <c r="AQ17" s="18">
        <f t="shared" si="34"/>
        <v>0.83140292178649766</v>
      </c>
      <c r="AR17" s="10">
        <f t="shared" si="35"/>
        <v>0.83140292178649766</v>
      </c>
      <c r="AU17" s="13">
        <f t="shared" si="13"/>
        <v>9106.3562023275081</v>
      </c>
      <c r="AV17" s="26">
        <f t="shared" si="14"/>
        <v>9291.3433524250031</v>
      </c>
      <c r="AW17" s="26">
        <f t="shared" si="14"/>
        <v>9476.3305025225</v>
      </c>
      <c r="AX17" s="26">
        <f t="shared" si="14"/>
        <v>9661.3176526199968</v>
      </c>
      <c r="AY17" s="13">
        <f t="shared" si="15"/>
        <v>9846.3048027174918</v>
      </c>
      <c r="AZ17" s="26">
        <f t="shared" si="16"/>
        <v>9474.4598459484805</v>
      </c>
      <c r="BA17" s="26">
        <f t="shared" si="16"/>
        <v>9102.6148891794692</v>
      </c>
      <c r="BB17" s="26">
        <f t="shared" si="16"/>
        <v>8730.7699324104597</v>
      </c>
      <c r="BC17" s="13">
        <f t="shared" si="17"/>
        <v>8358.9249756414483</v>
      </c>
      <c r="BD17" s="26">
        <f t="shared" si="18"/>
        <v>8066.2711471726006</v>
      </c>
      <c r="BE17" s="26">
        <f t="shared" si="18"/>
        <v>7773.617318703753</v>
      </c>
      <c r="BF17" s="26">
        <f t="shared" si="18"/>
        <v>7480.9634902349062</v>
      </c>
      <c r="BG17" s="13">
        <f t="shared" si="36"/>
        <v>7188.3096617660585</v>
      </c>
      <c r="BH17" s="26">
        <f t="shared" si="37"/>
        <v>7188.3096617660585</v>
      </c>
      <c r="BI17" s="26">
        <f t="shared" si="37"/>
        <v>7188.3096617660585</v>
      </c>
      <c r="BJ17" s="26"/>
      <c r="BL17" s="13">
        <f t="shared" si="38"/>
        <v>1564.7142857142858</v>
      </c>
      <c r="BM17" s="26">
        <f t="shared" si="39"/>
        <v>1543.6294642857142</v>
      </c>
      <c r="BN17" s="26">
        <f t="shared" si="19"/>
        <v>1522.5446428571429</v>
      </c>
      <c r="BO17" s="26">
        <f t="shared" si="19"/>
        <v>1501.4598214285716</v>
      </c>
      <c r="BP17" s="13">
        <f t="shared" si="40"/>
        <v>1480.375</v>
      </c>
      <c r="BQ17" s="26">
        <f t="shared" si="41"/>
        <v>1424.46875</v>
      </c>
      <c r="BR17" s="26">
        <f t="shared" si="20"/>
        <v>1368.5625</v>
      </c>
      <c r="BS17" s="26">
        <f t="shared" si="20"/>
        <v>1312.65625</v>
      </c>
      <c r="BT17" s="13">
        <f t="shared" si="46"/>
        <v>1256.75</v>
      </c>
      <c r="BU17" s="26">
        <f t="shared" si="42"/>
        <v>1212.75</v>
      </c>
      <c r="BV17" s="26">
        <f t="shared" si="22"/>
        <v>1168.75</v>
      </c>
      <c r="BW17" s="26">
        <f t="shared" si="22"/>
        <v>1124.75</v>
      </c>
      <c r="BX17" s="13">
        <f t="shared" si="43"/>
        <v>1080.75</v>
      </c>
      <c r="BY17" s="26">
        <f t="shared" si="44"/>
        <v>1080.75</v>
      </c>
      <c r="BZ17" s="26">
        <f t="shared" si="45"/>
        <v>1080.75</v>
      </c>
    </row>
    <row r="18" spans="1:80">
      <c r="A18" s="31" t="s">
        <v>505</v>
      </c>
      <c r="B18" s="83" t="s">
        <v>44</v>
      </c>
      <c r="C18" s="3103">
        <f t="shared" si="4"/>
        <v>0.14493461032194538</v>
      </c>
      <c r="D18" s="1263">
        <f>CALCULATIONS!IB18</f>
        <v>3.1308148362253818E-2</v>
      </c>
      <c r="E18" s="1263">
        <f>CALCULATIONS!IC18</f>
        <v>6.0410020577161203E-2</v>
      </c>
      <c r="F18" s="488">
        <f>CALCULATIONS!IW18</f>
        <v>0.14892177271262927</v>
      </c>
      <c r="G18" s="464">
        <f>'Bloom Cleaner Data'!AJ18</f>
        <v>2078</v>
      </c>
      <c r="H18" s="464" t="str">
        <f>RATINGS!D795</f>
        <v>BBB-</v>
      </c>
      <c r="I18" s="465">
        <f t="shared" si="5"/>
        <v>5.4413999999999997E-2</v>
      </c>
      <c r="J18" s="195">
        <f t="shared" si="23"/>
        <v>8</v>
      </c>
      <c r="K18" s="466">
        <f t="shared" si="24"/>
        <v>1649.267061637157</v>
      </c>
      <c r="L18" s="467">
        <f>K18/('Bloom Cleaner Data'!T18)</f>
        <v>0.15444021552927775</v>
      </c>
      <c r="M18" s="467">
        <f>K18/('Bloom Cleaner Data'!T18+K18)</f>
        <v>0.13377931005155716</v>
      </c>
      <c r="N18" s="467">
        <f t="shared" si="47"/>
        <v>0.79368001041249137</v>
      </c>
      <c r="O18" s="188">
        <f>'Bloom Cleaner Data'!AK18</f>
        <v>1820</v>
      </c>
      <c r="P18" s="464" t="str">
        <f>RATINGS!H795</f>
        <v>BBB-</v>
      </c>
      <c r="Q18" s="465">
        <f t="shared" si="7"/>
        <v>5.4413999999999997E-2</v>
      </c>
      <c r="R18" s="195">
        <f t="shared" si="25"/>
        <v>8</v>
      </c>
      <c r="S18" s="466">
        <f t="shared" si="26"/>
        <v>1444.4976189507342</v>
      </c>
      <c r="T18" s="467">
        <f>S18/('Bloom Cleaner Data'!X18)</f>
        <v>0.12331378000262372</v>
      </c>
      <c r="U18" s="467">
        <f>S18/('Bloom Cleaner Data'!X18+S18)</f>
        <v>0.10977678917313352</v>
      </c>
      <c r="V18" s="467">
        <f t="shared" si="48"/>
        <v>0.79368001041249137</v>
      </c>
      <c r="W18" s="188">
        <f>'Bloom Cleaner Data'!AL18</f>
        <v>2222</v>
      </c>
      <c r="X18" s="95" t="str">
        <f>RATINGS!L795</f>
        <v>BBB-</v>
      </c>
      <c r="Y18" s="465">
        <f t="shared" si="9"/>
        <v>5.4413999999999997E-2</v>
      </c>
      <c r="Z18" s="195">
        <f t="shared" si="27"/>
        <v>8</v>
      </c>
      <c r="AA18" s="466">
        <f t="shared" si="28"/>
        <v>1763.5569831365558</v>
      </c>
      <c r="AB18" s="467">
        <f>AA18/('Bloom Cleaner Data'!AB18)</f>
        <v>0.14564018359373654</v>
      </c>
      <c r="AC18" s="467">
        <f>AA18/('Bloom Cleaner Data'!AB18+AA18)</f>
        <v>0.12712558941227137</v>
      </c>
      <c r="AD18" s="467">
        <f t="shared" si="10"/>
        <v>0.79368001041249137</v>
      </c>
      <c r="AE18" s="188">
        <f>'Bloom Cleaner Data'!AM18</f>
        <v>2484</v>
      </c>
      <c r="AF18" s="95" t="str">
        <f>RATINGS!P795</f>
        <v>BBB-</v>
      </c>
      <c r="AG18" s="465">
        <f t="shared" si="11"/>
        <v>5.4413999999999997E-2</v>
      </c>
      <c r="AH18" s="195">
        <f t="shared" si="29"/>
        <v>8</v>
      </c>
      <c r="AI18" s="466">
        <f t="shared" si="30"/>
        <v>1971.5011458646286</v>
      </c>
      <c r="AJ18" s="467">
        <f>AI18/('Bloom Cleaner Data'!AF18)</f>
        <v>0.15634426216214342</v>
      </c>
      <c r="AK18" s="467">
        <f>AI18/('Bloom Cleaner Data'!AF18+AI18)</f>
        <v>0.13520563665859286</v>
      </c>
      <c r="AL18" s="468">
        <f t="shared" si="12"/>
        <v>0.79368001041249137</v>
      </c>
      <c r="AN18" s="18">
        <f t="shared" si="31"/>
        <v>0.79368001041249137</v>
      </c>
      <c r="AO18" s="18">
        <f t="shared" si="32"/>
        <v>0.79368001041249137</v>
      </c>
      <c r="AP18" s="18">
        <f t="shared" si="33"/>
        <v>0.79368001041249137</v>
      </c>
      <c r="AQ18" s="18">
        <f t="shared" si="34"/>
        <v>0.79368001041249137</v>
      </c>
      <c r="AR18" s="10">
        <f t="shared" si="35"/>
        <v>0.79368001041249137</v>
      </c>
      <c r="AU18" s="13">
        <f t="shared" si="13"/>
        <v>1649.267061637157</v>
      </c>
      <c r="AV18" s="26">
        <f t="shared" si="14"/>
        <v>1598.0747009655513</v>
      </c>
      <c r="AW18" s="26">
        <f t="shared" si="14"/>
        <v>1546.8823402939456</v>
      </c>
      <c r="AX18" s="26">
        <f t="shared" si="14"/>
        <v>1495.6899796223399</v>
      </c>
      <c r="AY18" s="13">
        <f t="shared" si="15"/>
        <v>1444.4976189507342</v>
      </c>
      <c r="AZ18" s="26">
        <f t="shared" si="16"/>
        <v>1524.2624599971896</v>
      </c>
      <c r="BA18" s="26">
        <f t="shared" si="16"/>
        <v>1604.0273010436449</v>
      </c>
      <c r="BB18" s="26">
        <f t="shared" si="16"/>
        <v>1683.7921420901005</v>
      </c>
      <c r="BC18" s="13">
        <f t="shared" si="17"/>
        <v>1763.5569831365558</v>
      </c>
      <c r="BD18" s="26">
        <f t="shared" si="18"/>
        <v>1815.5430238185741</v>
      </c>
      <c r="BE18" s="26">
        <f t="shared" si="18"/>
        <v>1867.5290645005921</v>
      </c>
      <c r="BF18" s="26">
        <f t="shared" si="18"/>
        <v>1919.5151051826103</v>
      </c>
      <c r="BG18" s="13">
        <f t="shared" si="36"/>
        <v>1971.5011458646286</v>
      </c>
      <c r="BH18" s="26">
        <f t="shared" si="37"/>
        <v>1971.5011458646286</v>
      </c>
      <c r="BI18" s="26">
        <f t="shared" si="37"/>
        <v>1971.5011458646286</v>
      </c>
      <c r="BJ18" s="26"/>
      <c r="BL18" s="13">
        <f t="shared" si="38"/>
        <v>296.85714285714283</v>
      </c>
      <c r="BM18" s="26">
        <f t="shared" si="39"/>
        <v>279.51785714285711</v>
      </c>
      <c r="BN18" s="26">
        <f t="shared" si="19"/>
        <v>262.17857142857144</v>
      </c>
      <c r="BO18" s="26">
        <f t="shared" si="19"/>
        <v>244.83928571428572</v>
      </c>
      <c r="BP18" s="13">
        <f t="shared" si="40"/>
        <v>227.5</v>
      </c>
      <c r="BQ18" s="26">
        <f t="shared" si="41"/>
        <v>240.0625</v>
      </c>
      <c r="BR18" s="26">
        <f t="shared" si="20"/>
        <v>252.625</v>
      </c>
      <c r="BS18" s="26">
        <f t="shared" si="20"/>
        <v>265.1875</v>
      </c>
      <c r="BT18" s="13">
        <f t="shared" si="46"/>
        <v>277.75</v>
      </c>
      <c r="BU18" s="26">
        <f t="shared" si="42"/>
        <v>285.9375</v>
      </c>
      <c r="BV18" s="26">
        <f t="shared" si="22"/>
        <v>294.125</v>
      </c>
      <c r="BW18" s="26">
        <f t="shared" si="22"/>
        <v>302.3125</v>
      </c>
      <c r="BX18" s="13">
        <f t="shared" si="43"/>
        <v>310.5</v>
      </c>
      <c r="BY18" s="26">
        <f t="shared" si="44"/>
        <v>310.5</v>
      </c>
      <c r="BZ18" s="26">
        <f t="shared" si="45"/>
        <v>310.5</v>
      </c>
    </row>
    <row r="19" spans="1:80">
      <c r="A19" s="31" t="s">
        <v>506</v>
      </c>
      <c r="B19" s="83" t="s">
        <v>289</v>
      </c>
      <c r="C19" s="3103">
        <f t="shared" si="4"/>
        <v>0.19939898650973931</v>
      </c>
      <c r="D19" s="1263">
        <f>CALCULATIONS!IB19</f>
        <v>2.2632461433464091E-2</v>
      </c>
      <c r="E19" s="1263">
        <f>CALCULATIONS!IC19</f>
        <v>0.13878945758144007</v>
      </c>
      <c r="F19" s="488">
        <f>CALCULATIONS!IW19</f>
        <v>0.17262745040452451</v>
      </c>
      <c r="G19" s="464">
        <f>'Bloom Cleaner Data'!AJ19</f>
        <v>595</v>
      </c>
      <c r="H19" s="464" t="str">
        <f>RATINGS!D796</f>
        <v>BBB+</v>
      </c>
      <c r="I19" s="465">
        <f t="shared" si="5"/>
        <v>4.4912000000000001E-2</v>
      </c>
      <c r="J19" s="195">
        <f t="shared" si="23"/>
        <v>8</v>
      </c>
      <c r="K19" s="466">
        <f t="shared" si="24"/>
        <v>490.74544777676215</v>
      </c>
      <c r="L19" s="467">
        <f>K19/('Bloom Cleaner Data'!T19)</f>
        <v>0.11796765571556782</v>
      </c>
      <c r="M19" s="467">
        <f>K19/('Bloom Cleaner Data'!T19+K19)</f>
        <v>0.10551973942400085</v>
      </c>
      <c r="N19" s="467">
        <f t="shared" si="47"/>
        <v>0.82478226517102882</v>
      </c>
      <c r="O19" s="188">
        <f>'Bloom Cleaner Data'!AK19</f>
        <v>499</v>
      </c>
      <c r="P19" s="464" t="str">
        <f>RATINGS!H796</f>
        <v>BBB+</v>
      </c>
      <c r="Q19" s="465">
        <f t="shared" si="7"/>
        <v>4.4912000000000001E-2</v>
      </c>
      <c r="R19" s="195">
        <f t="shared" si="25"/>
        <v>8</v>
      </c>
      <c r="S19" s="466">
        <f t="shared" si="26"/>
        <v>411.56635032034336</v>
      </c>
      <c r="T19" s="467">
        <f>S19/('Bloom Cleaner Data'!X19)</f>
        <v>0.11725537046163628</v>
      </c>
      <c r="U19" s="467">
        <f>S19/('Bloom Cleaner Data'!X19+S19)</f>
        <v>0.10494948027252517</v>
      </c>
      <c r="V19" s="467">
        <f t="shared" si="48"/>
        <v>0.82478226517102882</v>
      </c>
      <c r="W19" s="188">
        <f>'Bloom Cleaner Data'!AL19</f>
        <v>920</v>
      </c>
      <c r="X19" s="2122" t="str">
        <f>RATINGS!L796</f>
        <v>BBB+</v>
      </c>
      <c r="Y19" s="465">
        <f t="shared" si="9"/>
        <v>4.4912000000000001E-2</v>
      </c>
      <c r="Z19" s="195">
        <f t="shared" si="27"/>
        <v>8</v>
      </c>
      <c r="AA19" s="466">
        <f t="shared" si="28"/>
        <v>758.79968395734647</v>
      </c>
      <c r="AB19" s="467">
        <f>AA19/('Bloom Cleaner Data'!AB19)</f>
        <v>0.41171985022102359</v>
      </c>
      <c r="AC19" s="467">
        <f>AA19/('Bloom Cleaner Data'!AB19+AA19)</f>
        <v>0.29164416024649886</v>
      </c>
      <c r="AD19" s="467">
        <f t="shared" si="10"/>
        <v>0.82478226517102882</v>
      </c>
      <c r="AE19" s="188">
        <f>'Bloom Cleaner Data'!AM19</f>
        <v>870</v>
      </c>
      <c r="AF19" s="2122" t="str">
        <f>RATINGS!P796</f>
        <v>BBB+</v>
      </c>
      <c r="AG19" s="465">
        <f t="shared" si="11"/>
        <v>4.4912000000000001E-2</v>
      </c>
      <c r="AH19" s="195">
        <f t="shared" si="29"/>
        <v>8</v>
      </c>
      <c r="AI19" s="466">
        <f t="shared" si="30"/>
        <v>717.56057069879512</v>
      </c>
      <c r="AJ19" s="467">
        <f>AI19/('Bloom Cleaner Data'!AF19)</f>
        <v>0.15065306964072961</v>
      </c>
      <c r="AK19" s="467">
        <f>AI19/('Bloom Cleaner Data'!AF19+AI19)</f>
        <v>0.13092831681035558</v>
      </c>
      <c r="AL19" s="468">
        <f t="shared" si="12"/>
        <v>0.82478226517102882</v>
      </c>
      <c r="AN19" s="18">
        <f t="shared" si="31"/>
        <v>0.82478226517102882</v>
      </c>
      <c r="AO19" s="18">
        <f t="shared" si="32"/>
        <v>0.82478226517102882</v>
      </c>
      <c r="AP19" s="18">
        <f t="shared" si="33"/>
        <v>0.82478226517102882</v>
      </c>
      <c r="AQ19" s="18">
        <f t="shared" si="34"/>
        <v>0.82478226517102882</v>
      </c>
      <c r="AR19" s="10">
        <f t="shared" si="35"/>
        <v>0.82478226517102871</v>
      </c>
      <c r="AU19" s="13">
        <f t="shared" si="13"/>
        <v>490.74544777676215</v>
      </c>
      <c r="AV19" s="26">
        <f t="shared" si="14"/>
        <v>470.95067341265747</v>
      </c>
      <c r="AW19" s="26">
        <f t="shared" si="14"/>
        <v>451.15589904855278</v>
      </c>
      <c r="AX19" s="26">
        <f t="shared" si="14"/>
        <v>431.36112468444804</v>
      </c>
      <c r="AY19" s="13">
        <f t="shared" si="15"/>
        <v>411.56635032034336</v>
      </c>
      <c r="AZ19" s="26">
        <f t="shared" si="16"/>
        <v>498.37468372959415</v>
      </c>
      <c r="BA19" s="26">
        <f t="shared" si="16"/>
        <v>585.18301713884489</v>
      </c>
      <c r="BB19" s="26">
        <f t="shared" si="16"/>
        <v>671.99135054809562</v>
      </c>
      <c r="BC19" s="13">
        <f t="shared" si="17"/>
        <v>758.79968395734647</v>
      </c>
      <c r="BD19" s="26">
        <f t="shared" si="18"/>
        <v>748.48990564270866</v>
      </c>
      <c r="BE19" s="26">
        <f t="shared" si="18"/>
        <v>738.18012732807074</v>
      </c>
      <c r="BF19" s="26">
        <f t="shared" si="18"/>
        <v>727.87034901343293</v>
      </c>
      <c r="BG19" s="13">
        <f t="shared" si="36"/>
        <v>717.56057069879512</v>
      </c>
      <c r="BH19" s="26">
        <f t="shared" si="37"/>
        <v>717.56057069879512</v>
      </c>
      <c r="BI19" s="26">
        <f t="shared" si="37"/>
        <v>717.56057069879512</v>
      </c>
      <c r="BJ19" s="26"/>
      <c r="BL19" s="13">
        <f t="shared" si="38"/>
        <v>85</v>
      </c>
      <c r="BM19" s="26">
        <f t="shared" si="39"/>
        <v>79.34375</v>
      </c>
      <c r="BN19" s="26">
        <f t="shared" si="19"/>
        <v>73.6875</v>
      </c>
      <c r="BO19" s="26">
        <f t="shared" si="19"/>
        <v>68.03125</v>
      </c>
      <c r="BP19" s="13">
        <f t="shared" si="40"/>
        <v>62.375</v>
      </c>
      <c r="BQ19" s="26">
        <f t="shared" si="41"/>
        <v>75.53125</v>
      </c>
      <c r="BR19" s="26">
        <f t="shared" si="20"/>
        <v>88.6875</v>
      </c>
      <c r="BS19" s="26">
        <f t="shared" si="20"/>
        <v>101.84375</v>
      </c>
      <c r="BT19" s="13">
        <f t="shared" si="46"/>
        <v>115</v>
      </c>
      <c r="BU19" s="26">
        <f t="shared" si="42"/>
        <v>113.4375</v>
      </c>
      <c r="BV19" s="26">
        <f t="shared" si="22"/>
        <v>111.875</v>
      </c>
      <c r="BW19" s="26">
        <f t="shared" si="22"/>
        <v>110.3125</v>
      </c>
      <c r="BX19" s="13">
        <f t="shared" si="43"/>
        <v>108.75</v>
      </c>
      <c r="BY19" s="26">
        <f t="shared" si="44"/>
        <v>108.75</v>
      </c>
      <c r="BZ19" s="26">
        <f t="shared" si="45"/>
        <v>108.75</v>
      </c>
    </row>
    <row r="20" spans="1:80">
      <c r="A20" s="31" t="s">
        <v>27</v>
      </c>
      <c r="B20" s="83" t="s">
        <v>54</v>
      </c>
      <c r="C20" s="3103">
        <f t="shared" si="4"/>
        <v>6.3158082080748579E-2</v>
      </c>
      <c r="D20" s="1263">
        <f>CALCULATIONS!IB20</f>
        <v>7.6694021962473435E-3</v>
      </c>
      <c r="E20" s="1263">
        <f>CALCULATIONS!IC20</f>
        <v>1.3522205581530675E-2</v>
      </c>
      <c r="F20" s="488">
        <f>CALCULATIONS!IW20</f>
        <v>2.2145906570959436E-2</v>
      </c>
      <c r="G20" s="464">
        <f>'Bloom Cleaner Data'!AJ20</f>
        <v>951.67439999999999</v>
      </c>
      <c r="H20" s="464" t="str">
        <f>RATINGS!D797</f>
        <v>BBB-</v>
      </c>
      <c r="I20" s="465">
        <f t="shared" si="5"/>
        <v>5.4413999999999997E-2</v>
      </c>
      <c r="J20" s="195">
        <f t="shared" si="23"/>
        <v>8</v>
      </c>
      <c r="K20" s="466">
        <f t="shared" si="24"/>
        <v>755.32494770130143</v>
      </c>
      <c r="L20" s="467">
        <f>K20/('Bloom Cleaner Data'!T20)</f>
        <v>0.13561409100773103</v>
      </c>
      <c r="M20" s="467">
        <f>K20/('Bloom Cleaner Data'!T20+K20)</f>
        <v>0.11941916896028353</v>
      </c>
      <c r="N20" s="467">
        <f t="shared" si="47"/>
        <v>0.79368001041249137</v>
      </c>
      <c r="O20" s="188">
        <f>'Bloom Cleaner Data'!AK20</f>
        <v>210.5</v>
      </c>
      <c r="P20" s="464" t="str">
        <f>RATINGS!H797</f>
        <v>BBB-</v>
      </c>
      <c r="Q20" s="465">
        <f t="shared" si="7"/>
        <v>5.4413999999999997E-2</v>
      </c>
      <c r="R20" s="195">
        <f t="shared" si="25"/>
        <v>8</v>
      </c>
      <c r="S20" s="466">
        <f t="shared" si="26"/>
        <v>167.06964219182944</v>
      </c>
      <c r="T20" s="467">
        <f>S20/('Bloom Cleaner Data'!X20)</f>
        <v>7.9564686458091574E-2</v>
      </c>
      <c r="U20" s="467">
        <f>S20/('Bloom Cleaner Data'!X20+S20)</f>
        <v>7.370071238540854E-2</v>
      </c>
      <c r="V20" s="467">
        <f t="shared" si="48"/>
        <v>0.79368001041249148</v>
      </c>
      <c r="W20" s="188">
        <f>'Bloom Cleaner Data'!AL20</f>
        <v>168.44800000000001</v>
      </c>
      <c r="X20" s="95" t="str">
        <f>RATINGS!L797</f>
        <v>BBB-</v>
      </c>
      <c r="Y20" s="465">
        <f t="shared" si="9"/>
        <v>5.4413999999999997E-2</v>
      </c>
      <c r="Z20" s="195">
        <f t="shared" si="27"/>
        <v>8</v>
      </c>
      <c r="AA20" s="466">
        <f t="shared" si="28"/>
        <v>133.69381039396336</v>
      </c>
      <c r="AB20" s="467">
        <f>AA20/('Bloom Cleaner Data'!AB20)</f>
        <v>2.0217324432151688E-2</v>
      </c>
      <c r="AC20" s="467">
        <f>AA20/('Bloom Cleaner Data'!AB20+AA20)</f>
        <v>1.981668410052197E-2</v>
      </c>
      <c r="AD20" s="467">
        <f t="shared" si="10"/>
        <v>0.79368001041249137</v>
      </c>
      <c r="AE20" s="188">
        <f>'Bloom Cleaner Data'!AM20</f>
        <v>167.4632</v>
      </c>
      <c r="AF20" s="95" t="str">
        <f>RATINGS!P797</f>
        <v>BBB-</v>
      </c>
      <c r="AG20" s="465">
        <f t="shared" si="11"/>
        <v>5.4413999999999997E-2</v>
      </c>
      <c r="AH20" s="195">
        <f t="shared" si="29"/>
        <v>8</v>
      </c>
      <c r="AI20" s="466">
        <f t="shared" si="30"/>
        <v>132.91219431970913</v>
      </c>
      <c r="AJ20" s="467">
        <f>AI20/('Bloom Cleaner Data'!AF20)</f>
        <v>1.7236226425020058E-2</v>
      </c>
      <c r="AK20" s="467">
        <f>AI20/('Bloom Cleaner Data'!AF20+AI20)</f>
        <v>1.694417282561312E-2</v>
      </c>
      <c r="AL20" s="468">
        <f t="shared" si="12"/>
        <v>0.79368001041249137</v>
      </c>
      <c r="AN20" s="18">
        <f t="shared" si="31"/>
        <v>0.79368001041249137</v>
      </c>
      <c r="AO20" s="18">
        <f t="shared" si="32"/>
        <v>0.79368001041249148</v>
      </c>
      <c r="AP20" s="18">
        <f t="shared" si="33"/>
        <v>0.79368001041249137</v>
      </c>
      <c r="AQ20" s="18">
        <f t="shared" si="34"/>
        <v>0.79368001041249137</v>
      </c>
      <c r="AR20" s="10">
        <f t="shared" si="35"/>
        <v>0.79368001041249148</v>
      </c>
      <c r="AU20" s="13">
        <f t="shared" si="13"/>
        <v>755.32494770130143</v>
      </c>
      <c r="AV20" s="26">
        <f t="shared" si="14"/>
        <v>608.26112132393337</v>
      </c>
      <c r="AW20" s="26">
        <f t="shared" si="14"/>
        <v>461.19729494656542</v>
      </c>
      <c r="AX20" s="26">
        <f t="shared" si="14"/>
        <v>314.13346856919742</v>
      </c>
      <c r="AY20" s="13">
        <f t="shared" si="15"/>
        <v>167.06964219182944</v>
      </c>
      <c r="AZ20" s="26">
        <f t="shared" si="16"/>
        <v>158.72568424236292</v>
      </c>
      <c r="BA20" s="26">
        <f t="shared" si="16"/>
        <v>150.38172629289642</v>
      </c>
      <c r="BB20" s="26">
        <f t="shared" si="16"/>
        <v>142.03776834342989</v>
      </c>
      <c r="BC20" s="13">
        <f t="shared" si="17"/>
        <v>133.69381039396336</v>
      </c>
      <c r="BD20" s="26">
        <f t="shared" si="18"/>
        <v>133.49840637539981</v>
      </c>
      <c r="BE20" s="26">
        <f t="shared" si="18"/>
        <v>133.30300235683626</v>
      </c>
      <c r="BF20" s="26">
        <f t="shared" si="18"/>
        <v>133.10759833827268</v>
      </c>
      <c r="BG20" s="13">
        <f t="shared" si="36"/>
        <v>132.91219431970913</v>
      </c>
      <c r="BH20" s="26">
        <f t="shared" si="37"/>
        <v>132.91219431970913</v>
      </c>
      <c r="BI20" s="26">
        <f t="shared" si="37"/>
        <v>132.91219431970913</v>
      </c>
      <c r="BJ20" s="26"/>
      <c r="BL20" s="13">
        <f t="shared" si="38"/>
        <v>135.9534857142857</v>
      </c>
      <c r="BM20" s="26">
        <f t="shared" si="39"/>
        <v>108.54323928571428</v>
      </c>
      <c r="BN20" s="26">
        <f t="shared" si="19"/>
        <v>81.132992857142852</v>
      </c>
      <c r="BO20" s="26">
        <f t="shared" si="19"/>
        <v>53.722746428571426</v>
      </c>
      <c r="BP20" s="13">
        <f t="shared" si="40"/>
        <v>26.3125</v>
      </c>
      <c r="BQ20" s="26">
        <f t="shared" si="41"/>
        <v>24.998374999999999</v>
      </c>
      <c r="BR20" s="26">
        <f t="shared" si="20"/>
        <v>23.684249999999999</v>
      </c>
      <c r="BS20" s="26">
        <f t="shared" si="20"/>
        <v>22.370125000000002</v>
      </c>
      <c r="BT20" s="13">
        <f t="shared" si="46"/>
        <v>21.056000000000001</v>
      </c>
      <c r="BU20" s="26">
        <f t="shared" si="42"/>
        <v>21.025224999999999</v>
      </c>
      <c r="BV20" s="26">
        <f t="shared" si="22"/>
        <v>20.994450000000001</v>
      </c>
      <c r="BW20" s="26">
        <f t="shared" si="22"/>
        <v>20.963675000000002</v>
      </c>
      <c r="BX20" s="13">
        <f t="shared" si="43"/>
        <v>20.9329</v>
      </c>
      <c r="BY20" s="26">
        <f t="shared" si="44"/>
        <v>20.9329</v>
      </c>
      <c r="BZ20" s="26">
        <f t="shared" si="45"/>
        <v>20.9329</v>
      </c>
    </row>
    <row r="21" spans="1:80" s="187" customFormat="1">
      <c r="A21" s="469" t="s">
        <v>32</v>
      </c>
      <c r="B21" s="2106" t="s">
        <v>50</v>
      </c>
      <c r="C21" s="3103">
        <f t="shared" si="4"/>
        <v>0.64458507599375447</v>
      </c>
      <c r="D21" s="1263">
        <f>CALCULATIONS!IB21</f>
        <v>0.11901864524699346</v>
      </c>
      <c r="E21" s="1263">
        <f>CALCULATIONS!IC21</f>
        <v>0.32145312000294263</v>
      </c>
      <c r="F21" s="488">
        <f>CALCULATIONS!IW21</f>
        <v>0.6369152506967799</v>
      </c>
      <c r="G21" s="486">
        <f>'Bloom Cleaner Data'!AJ21</f>
        <v>7687</v>
      </c>
      <c r="H21" s="464" t="str">
        <f>RATINGS!D798</f>
        <v>BBB</v>
      </c>
      <c r="I21" s="465">
        <f t="shared" si="5"/>
        <v>4.9021999999999996E-2</v>
      </c>
      <c r="J21" s="195">
        <f t="shared" si="23"/>
        <v>8</v>
      </c>
      <c r="K21" s="466">
        <f t="shared" si="24"/>
        <v>6234.9660636298186</v>
      </c>
      <c r="L21" s="467">
        <f>K21/('Bloom Cleaner Data'!T21)</f>
        <v>0.54635174059146674</v>
      </c>
      <c r="M21" s="467">
        <f>K21/('Bloom Cleaner Data'!T21+K21)</f>
        <v>0.35331660077705979</v>
      </c>
      <c r="N21" s="467">
        <f t="shared" si="47"/>
        <v>0.81110525089499397</v>
      </c>
      <c r="O21" s="189">
        <f>'Bloom Cleaner Data'!AK21</f>
        <v>7192</v>
      </c>
      <c r="P21" s="464" t="str">
        <f>RATINGS!H798</f>
        <v>BBB</v>
      </c>
      <c r="Q21" s="465">
        <f t="shared" si="7"/>
        <v>4.9021999999999996E-2</v>
      </c>
      <c r="R21" s="195">
        <f t="shared" si="25"/>
        <v>8</v>
      </c>
      <c r="S21" s="466">
        <f t="shared" si="26"/>
        <v>5833.4689644367963</v>
      </c>
      <c r="T21" s="467">
        <f>S21/('Bloom Cleaner Data'!X21)</f>
        <v>0.61134656931846532</v>
      </c>
      <c r="U21" s="467">
        <f>S21/('Bloom Cleaner Data'!X21+S21)</f>
        <v>0.37940104317660245</v>
      </c>
      <c r="V21" s="467">
        <f t="shared" si="48"/>
        <v>0.81110525089499397</v>
      </c>
      <c r="W21" s="189">
        <f>'Bloom Cleaner Data'!AL21</f>
        <v>7593</v>
      </c>
      <c r="X21" s="95" t="str">
        <f>RATINGS!L798</f>
        <v>BBB</v>
      </c>
      <c r="Y21" s="465">
        <f t="shared" si="9"/>
        <v>4.9021999999999996E-2</v>
      </c>
      <c r="Z21" s="195">
        <f t="shared" si="27"/>
        <v>8</v>
      </c>
      <c r="AA21" s="466">
        <f t="shared" si="28"/>
        <v>6158.7221700456894</v>
      </c>
      <c r="AB21" s="467">
        <f>AA21/('Bloom Cleaner Data'!AB21)</f>
        <v>0.73651305549458135</v>
      </c>
      <c r="AC21" s="467">
        <f>AA21/('Bloom Cleaner Data'!AB21+AA21)</f>
        <v>0.42413332463245595</v>
      </c>
      <c r="AD21" s="467">
        <f t="shared" si="10"/>
        <v>0.81110525089499397</v>
      </c>
      <c r="AE21" s="189">
        <f>'Bloom Cleaner Data'!AM21</f>
        <v>7182</v>
      </c>
      <c r="AF21" s="95" t="str">
        <f>RATINGS!P798</f>
        <v>BBB</v>
      </c>
      <c r="AG21" s="465">
        <f t="shared" si="11"/>
        <v>4.9021999999999996E-2</v>
      </c>
      <c r="AH21" s="195">
        <f t="shared" si="29"/>
        <v>8</v>
      </c>
      <c r="AI21" s="466">
        <f t="shared" si="30"/>
        <v>5825.3579119278465</v>
      </c>
      <c r="AJ21" s="467">
        <f>AI21/('Bloom Cleaner Data'!AF21)</f>
        <v>0.68412893857050461</v>
      </c>
      <c r="AK21" s="467">
        <f>AI21/('Bloom Cleaner Data'!AF21+AI21)</f>
        <v>0.4062212357393466</v>
      </c>
      <c r="AL21" s="468">
        <f t="shared" si="12"/>
        <v>0.81110525089499397</v>
      </c>
      <c r="AN21" s="18">
        <f t="shared" si="31"/>
        <v>0.81110525089499397</v>
      </c>
      <c r="AO21" s="18">
        <f t="shared" si="32"/>
        <v>0.81110525089499397</v>
      </c>
      <c r="AP21" s="18">
        <f t="shared" si="33"/>
        <v>0.81110525089499397</v>
      </c>
      <c r="AQ21" s="18">
        <f t="shared" si="34"/>
        <v>0.81110525089499397</v>
      </c>
      <c r="AR21" s="10">
        <f t="shared" si="35"/>
        <v>0.81110525089499397</v>
      </c>
      <c r="AU21" s="13">
        <f t="shared" si="13"/>
        <v>6234.9660636298186</v>
      </c>
      <c r="AV21" s="26">
        <f t="shared" si="14"/>
        <v>6134.5917888315635</v>
      </c>
      <c r="AW21" s="26">
        <f t="shared" si="14"/>
        <v>6034.2175140333075</v>
      </c>
      <c r="AX21" s="26">
        <f t="shared" si="14"/>
        <v>5933.8432392350514</v>
      </c>
      <c r="AY21" s="13">
        <f t="shared" si="15"/>
        <v>5833.4689644367963</v>
      </c>
      <c r="AZ21" s="26">
        <f t="shared" si="16"/>
        <v>5914.7822658390196</v>
      </c>
      <c r="BA21" s="26">
        <f t="shared" si="16"/>
        <v>5996.0955672412429</v>
      </c>
      <c r="BB21" s="26">
        <f t="shared" si="16"/>
        <v>6077.4088686434661</v>
      </c>
      <c r="BC21" s="13">
        <f t="shared" si="17"/>
        <v>6158.7221700456894</v>
      </c>
      <c r="BD21" s="26">
        <f t="shared" si="18"/>
        <v>6075.3811055162287</v>
      </c>
      <c r="BE21" s="26">
        <f t="shared" si="18"/>
        <v>5992.040040986768</v>
      </c>
      <c r="BF21" s="26">
        <f t="shared" si="18"/>
        <v>5908.6989764573073</v>
      </c>
      <c r="BG21" s="13">
        <f t="shared" si="36"/>
        <v>5825.3579119278465</v>
      </c>
      <c r="BH21" s="26">
        <f t="shared" si="37"/>
        <v>5825.3579119278465</v>
      </c>
      <c r="BI21" s="26">
        <f t="shared" si="37"/>
        <v>5825.3579119278465</v>
      </c>
      <c r="BJ21" s="26"/>
      <c r="BL21" s="13">
        <f t="shared" si="38"/>
        <v>1098.1428571428571</v>
      </c>
      <c r="BM21" s="26">
        <f t="shared" si="39"/>
        <v>1048.3571428571429</v>
      </c>
      <c r="BN21" s="26">
        <f t="shared" si="39"/>
        <v>998.57142857142856</v>
      </c>
      <c r="BO21" s="26">
        <f t="shared" si="39"/>
        <v>948.78571428571422</v>
      </c>
      <c r="BP21" s="13">
        <f t="shared" si="40"/>
        <v>899</v>
      </c>
      <c r="BQ21" s="26">
        <f t="shared" si="41"/>
        <v>911.53125</v>
      </c>
      <c r="BR21" s="26">
        <f t="shared" si="41"/>
        <v>924.0625</v>
      </c>
      <c r="BS21" s="26">
        <f t="shared" si="41"/>
        <v>936.59375</v>
      </c>
      <c r="BT21" s="13">
        <f t="shared" si="46"/>
        <v>949.125</v>
      </c>
      <c r="BU21" s="26">
        <f t="shared" si="42"/>
        <v>936.28125</v>
      </c>
      <c r="BV21" s="26">
        <f t="shared" si="42"/>
        <v>923.4375</v>
      </c>
      <c r="BW21" s="26">
        <f t="shared" si="42"/>
        <v>910.59375</v>
      </c>
      <c r="BX21" s="13">
        <f t="shared" si="43"/>
        <v>897.75</v>
      </c>
      <c r="BY21" s="26">
        <f t="shared" si="44"/>
        <v>897.75</v>
      </c>
      <c r="BZ21" s="26">
        <f t="shared" si="45"/>
        <v>897.75</v>
      </c>
      <c r="CB21" s="2379"/>
    </row>
    <row r="22" spans="1:80" s="187" customFormat="1">
      <c r="A22" s="469" t="s">
        <v>32</v>
      </c>
      <c r="B22" s="2106" t="s">
        <v>279</v>
      </c>
      <c r="C22" s="3103">
        <f t="shared" si="4"/>
        <v>0.18480448868315813</v>
      </c>
      <c r="D22" s="1263">
        <f>CALCULATIONS!IB22</f>
        <v>3.3609629735961127E-2</v>
      </c>
      <c r="E22" s="1263">
        <f>CALCULATIONS!IC22</f>
        <v>0.13713050455108242</v>
      </c>
      <c r="F22" s="488">
        <f>CALCULATIONS!IW22</f>
        <v>0.18919231816563808</v>
      </c>
      <c r="G22" s="486">
        <f>'Bloom Cleaner Data'!AJ22</f>
        <v>6243</v>
      </c>
      <c r="H22" s="464" t="str">
        <f>RATINGS!D799</f>
        <v>A-</v>
      </c>
      <c r="I22" s="465">
        <f t="shared" si="5"/>
        <v>4.2959499999999998E-2</v>
      </c>
      <c r="J22" s="195">
        <f t="shared" si="23"/>
        <v>8</v>
      </c>
      <c r="K22" s="466">
        <f t="shared" si="24"/>
        <v>5190.4484407131049</v>
      </c>
      <c r="L22" s="467">
        <f>K22/('Bloom Cleaner Data'!T22)</f>
        <v>0.16009526050131412</v>
      </c>
      <c r="M22" s="467">
        <f>K22/('Bloom Cleaner Data'!T22+K22)</f>
        <v>0.13800182274008418</v>
      </c>
      <c r="N22" s="467">
        <f t="shared" si="47"/>
        <v>0.83140292178649766</v>
      </c>
      <c r="O22" s="189">
        <f>'Bloom Cleaner Data'!AK22</f>
        <v>6513</v>
      </c>
      <c r="P22" s="464" t="str">
        <f>RATINGS!H799</f>
        <v>A-</v>
      </c>
      <c r="Q22" s="465">
        <f t="shared" si="7"/>
        <v>4.2959499999999998E-2</v>
      </c>
      <c r="R22" s="195">
        <f t="shared" si="25"/>
        <v>8</v>
      </c>
      <c r="S22" s="466">
        <f t="shared" si="26"/>
        <v>5414.9272295954597</v>
      </c>
      <c r="T22" s="467">
        <f>S22/('Bloom Cleaner Data'!X22)</f>
        <v>0.16949985850078914</v>
      </c>
      <c r="U22" s="467">
        <f>S22/('Bloom Cleaner Data'!X22+S22)</f>
        <v>0.14493362890875011</v>
      </c>
      <c r="V22" s="467">
        <f t="shared" si="48"/>
        <v>0.83140292178649777</v>
      </c>
      <c r="W22" s="189">
        <f>'Bloom Cleaner Data'!AL22</f>
        <v>6141</v>
      </c>
      <c r="X22" s="95" t="str">
        <f>RATINGS!L799</f>
        <v>A-</v>
      </c>
      <c r="Y22" s="465">
        <f t="shared" si="9"/>
        <v>4.2959499999999998E-2</v>
      </c>
      <c r="Z22" s="195">
        <f t="shared" si="27"/>
        <v>8</v>
      </c>
      <c r="AA22" s="466">
        <f t="shared" si="28"/>
        <v>5105.645342690882</v>
      </c>
      <c r="AB22" s="467">
        <f>AA22/('Bloom Cleaner Data'!AB22)</f>
        <v>0.1869001681226643</v>
      </c>
      <c r="AC22" s="467">
        <f>AA22/('Bloom Cleaner Data'!AB22+AA22)</f>
        <v>0.15746915633038183</v>
      </c>
      <c r="AD22" s="467">
        <f t="shared" si="10"/>
        <v>0.83140292178649766</v>
      </c>
      <c r="AE22" s="189">
        <f>'Bloom Cleaner Data'!AM22</f>
        <v>6640</v>
      </c>
      <c r="AF22" s="95" t="str">
        <f>RATINGS!P799</f>
        <v>A-</v>
      </c>
      <c r="AG22" s="465">
        <f t="shared" si="11"/>
        <v>4.2959499999999998E-2</v>
      </c>
      <c r="AH22" s="195">
        <f t="shared" si="29"/>
        <v>8</v>
      </c>
      <c r="AI22" s="466">
        <f t="shared" si="30"/>
        <v>5520.5154006623443</v>
      </c>
      <c r="AJ22" s="467">
        <f>AI22/('Bloom Cleaner Data'!AF22)</f>
        <v>0.22272266760786494</v>
      </c>
      <c r="AK22" s="467">
        <f>AI22/('Bloom Cleaner Data'!AF22+AI22)</f>
        <v>0.18215305359767284</v>
      </c>
      <c r="AL22" s="468">
        <f t="shared" si="12"/>
        <v>0.83140292178649766</v>
      </c>
      <c r="AN22" s="18">
        <f t="shared" si="31"/>
        <v>0.83140292178649766</v>
      </c>
      <c r="AO22" s="18">
        <f t="shared" si="32"/>
        <v>0.83140292178649777</v>
      </c>
      <c r="AP22" s="18">
        <f t="shared" si="33"/>
        <v>0.83140292178649766</v>
      </c>
      <c r="AQ22" s="18">
        <f t="shared" si="34"/>
        <v>0.83140292178649766</v>
      </c>
      <c r="AR22" s="10">
        <f t="shared" si="35"/>
        <v>0.83140292178649766</v>
      </c>
      <c r="AU22" s="13">
        <f t="shared" si="13"/>
        <v>5190.4484407131049</v>
      </c>
      <c r="AV22" s="26">
        <f t="shared" si="14"/>
        <v>5246.5681379336938</v>
      </c>
      <c r="AW22" s="26">
        <f t="shared" si="14"/>
        <v>5302.6878351542819</v>
      </c>
      <c r="AX22" s="26">
        <f t="shared" si="14"/>
        <v>5358.8075323748708</v>
      </c>
      <c r="AY22" s="13">
        <f t="shared" si="15"/>
        <v>5414.9272295954597</v>
      </c>
      <c r="AZ22" s="26">
        <f t="shared" si="16"/>
        <v>5337.6067578693155</v>
      </c>
      <c r="BA22" s="26">
        <f t="shared" si="16"/>
        <v>5260.2862861431713</v>
      </c>
      <c r="BB22" s="26">
        <f t="shared" si="16"/>
        <v>5182.9658144170262</v>
      </c>
      <c r="BC22" s="13">
        <f t="shared" si="17"/>
        <v>5105.645342690882</v>
      </c>
      <c r="BD22" s="26">
        <f t="shared" si="18"/>
        <v>5209.3628571837471</v>
      </c>
      <c r="BE22" s="26">
        <f t="shared" si="18"/>
        <v>5313.0803716766131</v>
      </c>
      <c r="BF22" s="26">
        <f t="shared" si="18"/>
        <v>5416.7978861694792</v>
      </c>
      <c r="BG22" s="13">
        <f t="shared" si="36"/>
        <v>5520.5154006623443</v>
      </c>
      <c r="BH22" s="26">
        <f t="shared" si="37"/>
        <v>5520.5154006623443</v>
      </c>
      <c r="BI22" s="26">
        <f t="shared" si="37"/>
        <v>5520.5154006623443</v>
      </c>
      <c r="BJ22" s="26"/>
      <c r="BL22" s="13">
        <f t="shared" si="38"/>
        <v>891.85714285714289</v>
      </c>
      <c r="BM22" s="26">
        <f t="shared" si="39"/>
        <v>872.42410714285711</v>
      </c>
      <c r="BN22" s="26">
        <f t="shared" si="39"/>
        <v>852.99107142857144</v>
      </c>
      <c r="BO22" s="26">
        <f t="shared" si="39"/>
        <v>833.55803571428578</v>
      </c>
      <c r="BP22" s="13">
        <f t="shared" si="40"/>
        <v>814.125</v>
      </c>
      <c r="BQ22" s="26">
        <f t="shared" si="41"/>
        <v>802.5</v>
      </c>
      <c r="BR22" s="26">
        <f t="shared" si="41"/>
        <v>790.875</v>
      </c>
      <c r="BS22" s="26">
        <f t="shared" si="41"/>
        <v>779.25</v>
      </c>
      <c r="BT22" s="13">
        <f t="shared" si="46"/>
        <v>767.625</v>
      </c>
      <c r="BU22" s="26">
        <f t="shared" si="42"/>
        <v>783.21875</v>
      </c>
      <c r="BV22" s="26">
        <f t="shared" si="42"/>
        <v>798.8125</v>
      </c>
      <c r="BW22" s="26">
        <f t="shared" si="42"/>
        <v>814.40625</v>
      </c>
      <c r="BX22" s="13">
        <f t="shared" si="43"/>
        <v>830</v>
      </c>
      <c r="BY22" s="26">
        <f t="shared" si="44"/>
        <v>830</v>
      </c>
      <c r="BZ22" s="26">
        <f t="shared" si="45"/>
        <v>830</v>
      </c>
      <c r="CB22" s="2379"/>
    </row>
    <row r="23" spans="1:80">
      <c r="A23" s="31" t="s">
        <v>507</v>
      </c>
      <c r="B23" s="83" t="s">
        <v>284</v>
      </c>
      <c r="C23" s="3103">
        <f t="shared" si="4"/>
        <v>0.12047757627265061</v>
      </c>
      <c r="D23" s="1263">
        <f>CALCULATIONS!IB23</f>
        <v>1.7976972508553457E-2</v>
      </c>
      <c r="E23" s="1263">
        <f>CALCULATIONS!IC23</f>
        <v>7.7435489187344358E-2</v>
      </c>
      <c r="F23" s="488">
        <f>CALCULATIONS!IW23</f>
        <v>0.10241776801433373</v>
      </c>
      <c r="G23" s="464">
        <f>'Bloom Cleaner Data'!AJ23</f>
        <v>8924</v>
      </c>
      <c r="H23" s="464" t="str">
        <f>RATINGS!D800</f>
        <v>A-</v>
      </c>
      <c r="I23" s="465">
        <f t="shared" si="5"/>
        <v>4.2959499999999998E-2</v>
      </c>
      <c r="J23" s="195">
        <f t="shared" si="23"/>
        <v>8</v>
      </c>
      <c r="K23" s="466">
        <f t="shared" si="24"/>
        <v>7419.4396740227048</v>
      </c>
      <c r="L23" s="467">
        <f>K23/('Bloom Cleaner Data'!T23)</f>
        <v>0.15035848969546467</v>
      </c>
      <c r="M23" s="467">
        <f>K23/('Bloom Cleaner Data'!T23+K23)</f>
        <v>0.1307057678474379</v>
      </c>
      <c r="N23" s="467">
        <f t="shared" si="47"/>
        <v>0.83140292178649766</v>
      </c>
      <c r="O23" s="188">
        <f>'Bloom Cleaner Data'!AK23</f>
        <v>7985</v>
      </c>
      <c r="P23" s="464" t="str">
        <f>RATINGS!H800</f>
        <v>A-</v>
      </c>
      <c r="Q23" s="465">
        <f t="shared" si="7"/>
        <v>4.2959499999999998E-2</v>
      </c>
      <c r="R23" s="195">
        <f t="shared" si="25"/>
        <v>8</v>
      </c>
      <c r="S23" s="466">
        <f t="shared" si="26"/>
        <v>6638.7523304651841</v>
      </c>
      <c r="T23" s="467">
        <f>S23/('Bloom Cleaner Data'!X23)</f>
        <v>0.1325311892211368</v>
      </c>
      <c r="U23" s="467">
        <f>S23/('Bloom Cleaner Data'!X23+S23)</f>
        <v>0.11702210983900674</v>
      </c>
      <c r="V23" s="467">
        <f t="shared" si="48"/>
        <v>0.83140292178649766</v>
      </c>
      <c r="W23" s="190">
        <f>'Bloom Cleaner Data'!AL23</f>
        <v>7801.5</v>
      </c>
      <c r="X23" s="95" t="str">
        <f>RATINGS!L800</f>
        <v>A-</v>
      </c>
      <c r="Y23" s="465">
        <f t="shared" si="9"/>
        <v>4.2959499999999998E-2</v>
      </c>
      <c r="Z23" s="195">
        <f t="shared" si="27"/>
        <v>8</v>
      </c>
      <c r="AA23" s="466">
        <f t="shared" si="28"/>
        <v>6486.1898943173619</v>
      </c>
      <c r="AB23" s="467">
        <f>AA23/('Bloom Cleaner Data'!AB23)</f>
        <v>9.6504886020403829E-2</v>
      </c>
      <c r="AC23" s="467">
        <f>AA23/('Bloom Cleaner Data'!AB23+AA23)</f>
        <v>8.801135977665682E-2</v>
      </c>
      <c r="AD23" s="467">
        <f t="shared" si="10"/>
        <v>0.83140292178649766</v>
      </c>
      <c r="AE23" s="188">
        <f>'Bloom Cleaner Data'!AM23</f>
        <v>7618</v>
      </c>
      <c r="AF23" s="95" t="str">
        <f>RATINGS!P800</f>
        <v>A-</v>
      </c>
      <c r="AG23" s="465">
        <f t="shared" si="11"/>
        <v>4.2959499999999998E-2</v>
      </c>
      <c r="AH23" s="195">
        <f t="shared" si="29"/>
        <v>8</v>
      </c>
      <c r="AI23" s="466">
        <f t="shared" si="30"/>
        <v>6333.6274581695388</v>
      </c>
      <c r="AJ23" s="467">
        <f>AI23/('Bloom Cleaner Data'!AF23)</f>
        <v>0.10251574015359714</v>
      </c>
      <c r="AK23" s="467">
        <f>AI23/('Bloom Cleaner Data'!AF23+AI23)</f>
        <v>9.2983470820394057E-2</v>
      </c>
      <c r="AL23" s="468">
        <f t="shared" si="12"/>
        <v>0.83140292178649766</v>
      </c>
      <c r="AN23" s="18">
        <f t="shared" si="31"/>
        <v>0.83140292178649766</v>
      </c>
      <c r="AO23" s="18">
        <f t="shared" si="32"/>
        <v>0.83140292178649766</v>
      </c>
      <c r="AP23" s="18">
        <f t="shared" si="33"/>
        <v>0.83140292178649766</v>
      </c>
      <c r="AQ23" s="18">
        <f t="shared" si="34"/>
        <v>0.83140292178649766</v>
      </c>
      <c r="AR23" s="10">
        <f t="shared" si="35"/>
        <v>0.83140292178649766</v>
      </c>
      <c r="AU23" s="13">
        <f t="shared" si="13"/>
        <v>7419.4396740227048</v>
      </c>
      <c r="AV23" s="26">
        <f t="shared" si="14"/>
        <v>7224.2678381333244</v>
      </c>
      <c r="AW23" s="26">
        <f t="shared" si="14"/>
        <v>7029.0960022439449</v>
      </c>
      <c r="AX23" s="26">
        <f t="shared" si="14"/>
        <v>6833.9241663545645</v>
      </c>
      <c r="AY23" s="13">
        <f t="shared" si="15"/>
        <v>6638.7523304651841</v>
      </c>
      <c r="AZ23" s="26">
        <f t="shared" si="16"/>
        <v>6600.6117214282285</v>
      </c>
      <c r="BA23" s="26">
        <f t="shared" si="16"/>
        <v>6562.471112391273</v>
      </c>
      <c r="BB23" s="26">
        <f t="shared" si="16"/>
        <v>6524.3305033543174</v>
      </c>
      <c r="BC23" s="13">
        <f t="shared" si="17"/>
        <v>6486.1898943173619</v>
      </c>
      <c r="BD23" s="26">
        <f t="shared" si="18"/>
        <v>6448.0492852804064</v>
      </c>
      <c r="BE23" s="26">
        <f t="shared" si="18"/>
        <v>6409.9086762434508</v>
      </c>
      <c r="BF23" s="26">
        <f t="shared" si="18"/>
        <v>6371.7680672064944</v>
      </c>
      <c r="BG23" s="13">
        <f t="shared" si="36"/>
        <v>6333.6274581695388</v>
      </c>
      <c r="BH23" s="26">
        <f t="shared" si="37"/>
        <v>6333.6274581695388</v>
      </c>
      <c r="BI23" s="26">
        <f t="shared" si="37"/>
        <v>6333.6274581695388</v>
      </c>
      <c r="BJ23" s="26"/>
      <c r="BL23" s="13">
        <f t="shared" si="38"/>
        <v>1274.8571428571429</v>
      </c>
      <c r="BM23" s="26">
        <f t="shared" si="39"/>
        <v>1205.6741071428571</v>
      </c>
      <c r="BN23" s="26">
        <f t="shared" si="39"/>
        <v>1136.4910714285716</v>
      </c>
      <c r="BO23" s="26">
        <f t="shared" si="39"/>
        <v>1067.3080357142858</v>
      </c>
      <c r="BP23" s="13">
        <f t="shared" si="40"/>
        <v>998.125</v>
      </c>
      <c r="BQ23" s="26">
        <f t="shared" si="41"/>
        <v>992.390625</v>
      </c>
      <c r="BR23" s="26">
        <f t="shared" si="41"/>
        <v>986.65625</v>
      </c>
      <c r="BS23" s="26">
        <f t="shared" si="41"/>
        <v>980.921875</v>
      </c>
      <c r="BT23" s="13">
        <f t="shared" si="46"/>
        <v>975.1875</v>
      </c>
      <c r="BU23" s="26">
        <f t="shared" si="42"/>
        <v>969.453125</v>
      </c>
      <c r="BV23" s="26">
        <f t="shared" si="42"/>
        <v>963.71875</v>
      </c>
      <c r="BW23" s="26">
        <f t="shared" si="42"/>
        <v>957.984375</v>
      </c>
      <c r="BX23" s="13">
        <f t="shared" si="43"/>
        <v>952.25</v>
      </c>
      <c r="BY23" s="26">
        <f t="shared" si="44"/>
        <v>952.25</v>
      </c>
      <c r="BZ23" s="26">
        <f t="shared" si="45"/>
        <v>952.25</v>
      </c>
    </row>
    <row r="24" spans="1:80">
      <c r="A24" s="31" t="s">
        <v>507</v>
      </c>
      <c r="B24" s="83" t="s">
        <v>282</v>
      </c>
      <c r="C24" s="3103">
        <f t="shared" si="4"/>
        <v>1.5610783314670447</v>
      </c>
      <c r="D24" s="1263">
        <f>CALCULATIONS!IB24</f>
        <v>5.592232047851195E-2</v>
      </c>
      <c r="E24" s="1263">
        <f>CALCULATIONS!IC24</f>
        <v>0.36385945559959909</v>
      </c>
      <c r="F24" s="488">
        <f>CALCULATIONS!IW24</f>
        <v>0.43818962731762556</v>
      </c>
      <c r="G24" s="464">
        <f>'Bloom Cleaner Data'!AJ24</f>
        <v>6451</v>
      </c>
      <c r="H24" s="464" t="str">
        <f>RATINGS!D801</f>
        <v>A-</v>
      </c>
      <c r="I24" s="465">
        <f t="shared" si="5"/>
        <v>4.2959499999999998E-2</v>
      </c>
      <c r="J24" s="195">
        <f t="shared" si="23"/>
        <v>8</v>
      </c>
      <c r="K24" s="466">
        <f t="shared" si="24"/>
        <v>5363.380248444696</v>
      </c>
      <c r="L24" s="467">
        <f>K24/('Bloom Cleaner Data'!T24)</f>
        <v>2.9420626705675788</v>
      </c>
      <c r="M24" s="467">
        <f>K24/('Bloom Cleaner Data'!T24+K24)</f>
        <v>0.74632569708588126</v>
      </c>
      <c r="N24" s="467">
        <f t="shared" si="47"/>
        <v>0.83140292178649755</v>
      </c>
      <c r="O24" s="188">
        <f>'Bloom Cleaner Data'!AK24</f>
        <v>5452</v>
      </c>
      <c r="P24" s="464" t="str">
        <f>RATINGS!H801</f>
        <v>A-</v>
      </c>
      <c r="Q24" s="465">
        <f t="shared" si="7"/>
        <v>4.2959499999999998E-2</v>
      </c>
      <c r="R24" s="195">
        <f t="shared" si="25"/>
        <v>8</v>
      </c>
      <c r="S24" s="466">
        <f t="shared" si="26"/>
        <v>4532.8087295799851</v>
      </c>
      <c r="T24" s="467">
        <f>S24/('Bloom Cleaner Data'!X24)</f>
        <v>2.6981004342738006</v>
      </c>
      <c r="U24" s="467">
        <f>S24/('Bloom Cleaner Data'!X24+S24)</f>
        <v>0.72959090274237759</v>
      </c>
      <c r="V24" s="467">
        <f t="shared" si="48"/>
        <v>0.83140292178649766</v>
      </c>
      <c r="W24" s="188">
        <f>'Bloom Cleaner Data'!AL24</f>
        <v>4534</v>
      </c>
      <c r="X24" s="99" t="str">
        <f>RATINGS!L801</f>
        <v>BBB+</v>
      </c>
      <c r="Y24" s="465">
        <f t="shared" si="9"/>
        <v>4.4912000000000001E-2</v>
      </c>
      <c r="Z24" s="195">
        <f t="shared" si="27"/>
        <v>8</v>
      </c>
      <c r="AA24" s="466">
        <f t="shared" si="28"/>
        <v>3739.5627902854449</v>
      </c>
      <c r="AB24" s="467">
        <f>AA24/('Bloom Cleaner Data'!AB24)</f>
        <v>0.28548460113638024</v>
      </c>
      <c r="AC24" s="467">
        <f>AA24/('Bloom Cleaner Data'!AB24+AA24)</f>
        <v>0.22208325240458671</v>
      </c>
      <c r="AD24" s="467">
        <f t="shared" si="10"/>
        <v>0.82478226517102882</v>
      </c>
      <c r="AE24" s="188">
        <f>'Bloom Cleaner Data'!AM24</f>
        <v>5980</v>
      </c>
      <c r="AF24" s="99" t="str">
        <f>RATINGS!P801</f>
        <v>BBB</v>
      </c>
      <c r="AG24" s="465">
        <f t="shared" si="11"/>
        <v>4.9021999999999996E-2</v>
      </c>
      <c r="AH24" s="195">
        <f t="shared" si="29"/>
        <v>8</v>
      </c>
      <c r="AI24" s="466">
        <f t="shared" si="30"/>
        <v>4850.409400352064</v>
      </c>
      <c r="AJ24" s="467">
        <f>AI24/('Bloom Cleaner Data'!AF24)</f>
        <v>0.31866561989041875</v>
      </c>
      <c r="AK24" s="467">
        <f>AI24/('Bloom Cleaner Data'!AF24+AI24)</f>
        <v>0.24165763866422776</v>
      </c>
      <c r="AL24" s="468">
        <f t="shared" si="12"/>
        <v>0.81110525089499397</v>
      </c>
      <c r="AN24" s="18">
        <f t="shared" si="31"/>
        <v>0.83140292178649755</v>
      </c>
      <c r="AO24" s="18">
        <f t="shared" si="32"/>
        <v>0.83140292178649766</v>
      </c>
      <c r="AP24" s="18">
        <f t="shared" si="33"/>
        <v>0.82478226517102882</v>
      </c>
      <c r="AQ24" s="18">
        <f t="shared" si="34"/>
        <v>0.81110525089499397</v>
      </c>
      <c r="AR24" s="10">
        <f t="shared" si="35"/>
        <v>0.82243014595084019</v>
      </c>
      <c r="AU24" s="13">
        <f t="shared" si="13"/>
        <v>5363.380248444696</v>
      </c>
      <c r="AV24" s="26">
        <f t="shared" si="14"/>
        <v>5155.737368728518</v>
      </c>
      <c r="AW24" s="26">
        <f t="shared" si="14"/>
        <v>4948.094489012341</v>
      </c>
      <c r="AX24" s="26">
        <f t="shared" si="14"/>
        <v>4740.451609296163</v>
      </c>
      <c r="AY24" s="13">
        <f t="shared" si="15"/>
        <v>4532.8087295799851</v>
      </c>
      <c r="AZ24" s="26">
        <f t="shared" si="16"/>
        <v>4334.4972447563505</v>
      </c>
      <c r="BA24" s="26">
        <f t="shared" si="16"/>
        <v>4136.185759932715</v>
      </c>
      <c r="BB24" s="26">
        <f t="shared" si="16"/>
        <v>3937.8742751090799</v>
      </c>
      <c r="BC24" s="13">
        <f t="shared" si="17"/>
        <v>3739.5627902854449</v>
      </c>
      <c r="BD24" s="26">
        <f t="shared" si="18"/>
        <v>4017.2744428020997</v>
      </c>
      <c r="BE24" s="26">
        <f t="shared" si="18"/>
        <v>4294.9860953187545</v>
      </c>
      <c r="BF24" s="26">
        <f t="shared" si="18"/>
        <v>4572.6977478354092</v>
      </c>
      <c r="BG24" s="13">
        <f t="shared" si="36"/>
        <v>4850.409400352064</v>
      </c>
      <c r="BH24" s="26">
        <f t="shared" si="37"/>
        <v>4850.409400352064</v>
      </c>
      <c r="BI24" s="26">
        <f t="shared" si="37"/>
        <v>4850.409400352064</v>
      </c>
      <c r="BJ24" s="26"/>
      <c r="BL24" s="13">
        <f t="shared" si="38"/>
        <v>921.57142857142856</v>
      </c>
      <c r="BM24" s="26">
        <f t="shared" si="39"/>
        <v>861.55357142857144</v>
      </c>
      <c r="BN24" s="26">
        <f t="shared" si="39"/>
        <v>801.53571428571422</v>
      </c>
      <c r="BO24" s="26">
        <f t="shared" si="39"/>
        <v>741.51785714285711</v>
      </c>
      <c r="BP24" s="13">
        <f t="shared" si="40"/>
        <v>681.5</v>
      </c>
      <c r="BQ24" s="26">
        <f t="shared" si="41"/>
        <v>652.8125</v>
      </c>
      <c r="BR24" s="26">
        <f t="shared" si="41"/>
        <v>624.125</v>
      </c>
      <c r="BS24" s="26">
        <f t="shared" si="41"/>
        <v>595.4375</v>
      </c>
      <c r="BT24" s="13">
        <f t="shared" si="46"/>
        <v>566.75</v>
      </c>
      <c r="BU24" s="26">
        <f t="shared" si="42"/>
        <v>611.9375</v>
      </c>
      <c r="BV24" s="26">
        <f t="shared" si="42"/>
        <v>657.125</v>
      </c>
      <c r="BW24" s="26">
        <f t="shared" si="42"/>
        <v>702.3125</v>
      </c>
      <c r="BX24" s="13">
        <f t="shared" si="43"/>
        <v>747.5</v>
      </c>
      <c r="BY24" s="26">
        <f t="shared" si="44"/>
        <v>747.5</v>
      </c>
      <c r="BZ24" s="26">
        <f t="shared" si="45"/>
        <v>747.5</v>
      </c>
    </row>
    <row r="25" spans="1:80">
      <c r="A25" s="31" t="s">
        <v>508</v>
      </c>
      <c r="B25" s="83" t="s">
        <v>290</v>
      </c>
      <c r="C25" s="3103">
        <f t="shared" si="4"/>
        <v>6.8810343681242545E-2</v>
      </c>
      <c r="D25" s="1263">
        <f>CALCULATIONS!IB25</f>
        <v>1.3636467231258886E-2</v>
      </c>
      <c r="E25" s="1263">
        <f>CALCULATIONS!IC25</f>
        <v>4.4624016252350789E-2</v>
      </c>
      <c r="F25" s="488">
        <f>CALCULATIONS!IW25</f>
        <v>6.5544775038338318E-2</v>
      </c>
      <c r="G25" s="464">
        <f>'Bloom Cleaner Data'!AJ25</f>
        <v>852</v>
      </c>
      <c r="H25" s="464" t="str">
        <f>RATINGS!D802</f>
        <v>A</v>
      </c>
      <c r="I25" s="465">
        <f t="shared" si="5"/>
        <v>4.1006999999999995E-2</v>
      </c>
      <c r="J25" s="195">
        <f t="shared" si="23"/>
        <v>8</v>
      </c>
      <c r="K25" s="466">
        <f t="shared" si="24"/>
        <v>714.06514123085071</v>
      </c>
      <c r="L25" s="467">
        <f>K25/('Bloom Cleaner Data'!T25)</f>
        <v>7.5093610393401067E-2</v>
      </c>
      <c r="M25" s="467">
        <f>K25/('Bloom Cleaner Data'!T25+K25)</f>
        <v>6.9848438933538648E-2</v>
      </c>
      <c r="N25" s="467">
        <f t="shared" si="47"/>
        <v>0.83810462585780598</v>
      </c>
      <c r="O25" s="188">
        <f>'Bloom Cleaner Data'!AK25</f>
        <v>732</v>
      </c>
      <c r="P25" s="464" t="str">
        <f>RATINGS!H802</f>
        <v>A</v>
      </c>
      <c r="Q25" s="465">
        <f t="shared" si="7"/>
        <v>4.1006999999999995E-2</v>
      </c>
      <c r="R25" s="195">
        <f t="shared" si="25"/>
        <v>8</v>
      </c>
      <c r="S25" s="466">
        <f t="shared" si="26"/>
        <v>613.49258612791402</v>
      </c>
      <c r="T25" s="467">
        <f>S25/('Bloom Cleaner Data'!X25)</f>
        <v>6.6924030340123702E-2</v>
      </c>
      <c r="U25" s="467">
        <f>S25/('Bloom Cleaner Data'!X25+S25)</f>
        <v>6.2726143977457391E-2</v>
      </c>
      <c r="V25" s="467">
        <f t="shared" si="48"/>
        <v>0.8381046258578061</v>
      </c>
      <c r="W25" s="188">
        <f>'Bloom Cleaner Data'!AL25</f>
        <v>627</v>
      </c>
      <c r="X25" s="95" t="str">
        <f>RATINGS!L802</f>
        <v>A</v>
      </c>
      <c r="Y25" s="465">
        <f t="shared" si="9"/>
        <v>4.1006999999999995E-2</v>
      </c>
      <c r="Z25" s="195">
        <f t="shared" si="27"/>
        <v>8</v>
      </c>
      <c r="AA25" s="466">
        <f t="shared" si="28"/>
        <v>525.49160041284438</v>
      </c>
      <c r="AB25" s="467">
        <f>AA25/('Bloom Cleaner Data'!AB25)</f>
        <v>6.2232543866987726E-2</v>
      </c>
      <c r="AC25" s="467">
        <f>AA25/('Bloom Cleaner Data'!AB25+AA25)</f>
        <v>5.858655360005658E-2</v>
      </c>
      <c r="AD25" s="467">
        <f t="shared" si="10"/>
        <v>0.83810462585780598</v>
      </c>
      <c r="AE25" s="188">
        <f>'Bloom Cleaner Data'!AM25</f>
        <v>695</v>
      </c>
      <c r="AF25" s="95" t="str">
        <f>RATINGS!P802</f>
        <v>A</v>
      </c>
      <c r="AG25" s="465">
        <f t="shared" si="11"/>
        <v>4.1006999999999995E-2</v>
      </c>
      <c r="AH25" s="195">
        <f t="shared" si="29"/>
        <v>8</v>
      </c>
      <c r="AI25" s="466">
        <f t="shared" si="30"/>
        <v>582.48271497117514</v>
      </c>
      <c r="AJ25" s="467">
        <f>AI25/('Bloom Cleaner Data'!AF25)</f>
        <v>7.0991190124457662E-2</v>
      </c>
      <c r="AK25" s="467">
        <f>AI25/('Bloom Cleaner Data'!AF25+AI25)</f>
        <v>6.6285503353400999E-2</v>
      </c>
      <c r="AL25" s="468">
        <f t="shared" si="12"/>
        <v>0.83810462585780598</v>
      </c>
      <c r="AN25" s="18">
        <f t="shared" si="31"/>
        <v>0.83810462585780598</v>
      </c>
      <c r="AO25" s="18">
        <f t="shared" si="32"/>
        <v>0.8381046258578061</v>
      </c>
      <c r="AP25" s="18">
        <f t="shared" si="33"/>
        <v>0.83810462585780598</v>
      </c>
      <c r="AQ25" s="18">
        <f t="shared" si="34"/>
        <v>0.83810462585780598</v>
      </c>
      <c r="AR25" s="10">
        <f t="shared" si="35"/>
        <v>0.83810462585780598</v>
      </c>
      <c r="AU25" s="13">
        <f t="shared" si="13"/>
        <v>714.06514123085071</v>
      </c>
      <c r="AV25" s="26">
        <f t="shared" si="14"/>
        <v>688.92200245511651</v>
      </c>
      <c r="AW25" s="26">
        <f t="shared" si="14"/>
        <v>663.77886367938231</v>
      </c>
      <c r="AX25" s="26">
        <f t="shared" si="14"/>
        <v>638.63572490364822</v>
      </c>
      <c r="AY25" s="13">
        <f t="shared" si="15"/>
        <v>613.49258612791402</v>
      </c>
      <c r="AZ25" s="26">
        <f t="shared" si="16"/>
        <v>591.49233969914667</v>
      </c>
      <c r="BA25" s="26">
        <f t="shared" si="16"/>
        <v>569.4920932703792</v>
      </c>
      <c r="BB25" s="26">
        <f t="shared" si="16"/>
        <v>547.49184684161173</v>
      </c>
      <c r="BC25" s="13">
        <f t="shared" si="17"/>
        <v>525.49160041284438</v>
      </c>
      <c r="BD25" s="26">
        <f t="shared" si="18"/>
        <v>539.73937905242701</v>
      </c>
      <c r="BE25" s="26">
        <f t="shared" si="18"/>
        <v>553.98715769200976</v>
      </c>
      <c r="BF25" s="26">
        <f t="shared" si="18"/>
        <v>568.23493633159251</v>
      </c>
      <c r="BG25" s="13">
        <f t="shared" si="36"/>
        <v>582.48271497117514</v>
      </c>
      <c r="BH25" s="26">
        <f t="shared" si="37"/>
        <v>582.48271497117514</v>
      </c>
      <c r="BI25" s="26">
        <f t="shared" si="37"/>
        <v>582.48271497117514</v>
      </c>
      <c r="BJ25" s="26"/>
      <c r="BL25" s="13">
        <f t="shared" si="38"/>
        <v>121.71428571428571</v>
      </c>
      <c r="BM25" s="26">
        <f t="shared" si="39"/>
        <v>114.16071428571428</v>
      </c>
      <c r="BN25" s="26">
        <f t="shared" si="39"/>
        <v>106.60714285714286</v>
      </c>
      <c r="BO25" s="26">
        <f t="shared" si="39"/>
        <v>99.053571428571431</v>
      </c>
      <c r="BP25" s="13">
        <f t="shared" si="40"/>
        <v>91.5</v>
      </c>
      <c r="BQ25" s="26">
        <f t="shared" si="41"/>
        <v>88.21875</v>
      </c>
      <c r="BR25" s="26">
        <f t="shared" si="41"/>
        <v>84.9375</v>
      </c>
      <c r="BS25" s="26">
        <f t="shared" si="41"/>
        <v>81.65625</v>
      </c>
      <c r="BT25" s="13">
        <f t="shared" si="46"/>
        <v>78.375</v>
      </c>
      <c r="BU25" s="26">
        <f t="shared" si="42"/>
        <v>80.5</v>
      </c>
      <c r="BV25" s="26">
        <f t="shared" si="42"/>
        <v>82.625</v>
      </c>
      <c r="BW25" s="26">
        <f t="shared" si="42"/>
        <v>84.75</v>
      </c>
      <c r="BX25" s="13">
        <f t="shared" si="43"/>
        <v>86.875</v>
      </c>
      <c r="BY25" s="26">
        <f t="shared" si="44"/>
        <v>86.875</v>
      </c>
      <c r="BZ25" s="26">
        <f t="shared" si="45"/>
        <v>86.875</v>
      </c>
    </row>
    <row r="26" spans="1:80">
      <c r="A26" s="31" t="s">
        <v>27</v>
      </c>
      <c r="B26" s="3109" t="s">
        <v>357</v>
      </c>
      <c r="C26" s="3103">
        <f t="shared" si="4"/>
        <v>0.50885367008809312</v>
      </c>
      <c r="D26" s="1263">
        <f>CALCULATIONS!IB26</f>
        <v>9.6811952716971572E-2</v>
      </c>
      <c r="E26" s="1263">
        <f>CALCULATIONS!IC26</f>
        <v>0.25369793656715856</v>
      </c>
      <c r="F26" s="488">
        <f>CALCULATIONS!IW26</f>
        <v>0.48591775239932961</v>
      </c>
      <c r="G26" s="464">
        <f>'Bloom Cleaner Data'!AJ26</f>
        <v>211.43430000000001</v>
      </c>
      <c r="H26" s="464" t="str">
        <f>RATINGS!D803</f>
        <v>BB</v>
      </c>
      <c r="I26" s="465">
        <f t="shared" si="5"/>
        <v>7.9992000000000008E-2</v>
      </c>
      <c r="J26" s="195">
        <f t="shared" si="23"/>
        <v>8</v>
      </c>
      <c r="K26" s="466">
        <f t="shared" si="24"/>
        <v>151.88418388920758</v>
      </c>
      <c r="L26" s="467">
        <f>K26/('Bloom Cleaner Data'!T26)</f>
        <v>0.50877701217040805</v>
      </c>
      <c r="M26" s="467">
        <f>K26/('Bloom Cleaner Data'!T26+K26)</f>
        <v>0.33721153494943656</v>
      </c>
      <c r="N26" s="467">
        <f t="shared" si="47"/>
        <v>0.71835167656906929</v>
      </c>
      <c r="O26" s="188">
        <f>'Bloom Cleaner Data'!AK26</f>
        <v>234.34620000000001</v>
      </c>
      <c r="P26" s="464" t="str">
        <f>RATINGS!H803</f>
        <v>BB</v>
      </c>
      <c r="Q26" s="465">
        <f t="shared" si="7"/>
        <v>7.9992000000000008E-2</v>
      </c>
      <c r="R26" s="195">
        <f t="shared" si="25"/>
        <v>8</v>
      </c>
      <c r="S26" s="466">
        <f t="shared" si="26"/>
        <v>168.34298566759043</v>
      </c>
      <c r="T26" s="467">
        <f>S26/('Bloom Cleaner Data'!X26)</f>
        <v>0.58284977695187656</v>
      </c>
      <c r="U26" s="467">
        <f>S26/('Bloom Cleaner Data'!X26+S26)</f>
        <v>0.3682281069491517</v>
      </c>
      <c r="V26" s="467">
        <f t="shared" si="48"/>
        <v>0.71835167656906929</v>
      </c>
      <c r="W26" s="188">
        <f>'Bloom Cleaner Data'!AL26</f>
        <v>220.49350000000001</v>
      </c>
      <c r="X26" s="95" t="str">
        <f>RATINGS!L803</f>
        <v>BB</v>
      </c>
      <c r="Y26" s="465">
        <f t="shared" si="9"/>
        <v>7.9992000000000008E-2</v>
      </c>
      <c r="Z26" s="195">
        <f t="shared" si="27"/>
        <v>8</v>
      </c>
      <c r="AA26" s="466">
        <f t="shared" si="28"/>
        <v>158.39187539758208</v>
      </c>
      <c r="AB26" s="467">
        <f>AA26/('Bloom Cleaner Data'!AB26)</f>
        <v>0.58692373341765391</v>
      </c>
      <c r="AC26" s="467">
        <f>AA26/('Bloom Cleaner Data'!AB26+AA26)</f>
        <v>0.36984999408486674</v>
      </c>
      <c r="AD26" s="467">
        <f t="shared" si="10"/>
        <v>0.71835167656906929</v>
      </c>
      <c r="AE26" s="188">
        <f>'Bloom Cleaner Data'!AM26</f>
        <v>170.7689</v>
      </c>
      <c r="AF26" s="95" t="str">
        <f>RATINGS!P803</f>
        <v>BB</v>
      </c>
      <c r="AG26" s="465">
        <f t="shared" si="11"/>
        <v>7.9992000000000008E-2</v>
      </c>
      <c r="AH26" s="195">
        <f t="shared" si="29"/>
        <v>8</v>
      </c>
      <c r="AI26" s="466">
        <f t="shared" si="30"/>
        <v>122.67212562085574</v>
      </c>
      <c r="AJ26" s="467">
        <f>AI26/('Bloom Cleaner Data'!AF26)</f>
        <v>0.35686415781243397</v>
      </c>
      <c r="AK26" s="467">
        <f>AI26/('Bloom Cleaner Data'!AF26+AI26)</f>
        <v>0.26300654767665038</v>
      </c>
      <c r="AL26" s="468">
        <f t="shared" si="12"/>
        <v>0.71835167656906929</v>
      </c>
      <c r="AN26" s="18">
        <f t="shared" si="31"/>
        <v>0.71835167656906929</v>
      </c>
      <c r="AO26" s="18">
        <f t="shared" si="32"/>
        <v>0.71835167656906929</v>
      </c>
      <c r="AP26" s="18">
        <f t="shared" si="33"/>
        <v>0.71835167656906929</v>
      </c>
      <c r="AQ26" s="18">
        <f t="shared" si="34"/>
        <v>0.71835167656906929</v>
      </c>
      <c r="AR26" s="10">
        <f t="shared" si="35"/>
        <v>0.71835167656906929</v>
      </c>
      <c r="AU26" s="13">
        <f t="shared" si="13"/>
        <v>151.88418388920758</v>
      </c>
      <c r="AV26" s="26">
        <f t="shared" si="14"/>
        <v>155.99888433380329</v>
      </c>
      <c r="AW26" s="26">
        <f t="shared" si="14"/>
        <v>160.113584778399</v>
      </c>
      <c r="AX26" s="26">
        <f t="shared" si="14"/>
        <v>164.22828522299471</v>
      </c>
      <c r="AY26" s="13">
        <f t="shared" si="15"/>
        <v>168.34298566759043</v>
      </c>
      <c r="AZ26" s="26">
        <f t="shared" si="16"/>
        <v>165.85520810008833</v>
      </c>
      <c r="BA26" s="26">
        <f t="shared" si="16"/>
        <v>163.36743053258624</v>
      </c>
      <c r="BB26" s="26">
        <f t="shared" si="16"/>
        <v>160.87965296508418</v>
      </c>
      <c r="BC26" s="13">
        <f t="shared" si="17"/>
        <v>158.39187539758208</v>
      </c>
      <c r="BD26" s="26">
        <f t="shared" si="18"/>
        <v>149.46193795340051</v>
      </c>
      <c r="BE26" s="26">
        <f t="shared" si="18"/>
        <v>140.5320005092189</v>
      </c>
      <c r="BF26" s="26">
        <f t="shared" si="18"/>
        <v>131.60206306503733</v>
      </c>
      <c r="BG26" s="13">
        <f t="shared" si="36"/>
        <v>122.67212562085574</v>
      </c>
      <c r="BH26" s="26">
        <f t="shared" si="37"/>
        <v>122.67212562085574</v>
      </c>
      <c r="BI26" s="26">
        <f t="shared" si="37"/>
        <v>122.67212562085574</v>
      </c>
      <c r="BJ26" s="26"/>
      <c r="BL26" s="13">
        <f t="shared" si="38"/>
        <v>30.204900000000002</v>
      </c>
      <c r="BM26" s="26">
        <f t="shared" si="39"/>
        <v>29.976993750000002</v>
      </c>
      <c r="BN26" s="26">
        <f t="shared" si="39"/>
        <v>29.749087500000002</v>
      </c>
      <c r="BO26" s="26">
        <f t="shared" si="39"/>
        <v>29.521181250000001</v>
      </c>
      <c r="BP26" s="13">
        <f t="shared" si="40"/>
        <v>29.293275000000001</v>
      </c>
      <c r="BQ26" s="26">
        <f t="shared" si="41"/>
        <v>28.860378125</v>
      </c>
      <c r="BR26" s="26">
        <f t="shared" si="41"/>
        <v>28.42748125</v>
      </c>
      <c r="BS26" s="26">
        <f t="shared" si="41"/>
        <v>27.994584375000002</v>
      </c>
      <c r="BT26" s="13">
        <f t="shared" si="46"/>
        <v>27.561687500000001</v>
      </c>
      <c r="BU26" s="26">
        <f t="shared" si="42"/>
        <v>26.007793750000001</v>
      </c>
      <c r="BV26" s="26">
        <f t="shared" si="42"/>
        <v>24.453900000000001</v>
      </c>
      <c r="BW26" s="26">
        <f t="shared" si="42"/>
        <v>22.900006250000001</v>
      </c>
      <c r="BX26" s="13">
        <f t="shared" si="43"/>
        <v>21.3461125</v>
      </c>
      <c r="BY26" s="26">
        <f t="shared" si="44"/>
        <v>21.3461125</v>
      </c>
      <c r="BZ26" s="26">
        <f t="shared" si="45"/>
        <v>21.3461125</v>
      </c>
    </row>
    <row r="27" spans="1:80">
      <c r="A27" s="37" t="s">
        <v>727</v>
      </c>
      <c r="B27" s="3110" t="s">
        <v>358</v>
      </c>
      <c r="C27" s="3105">
        <f t="shared" si="4"/>
        <v>0.17396825796361076</v>
      </c>
      <c r="D27" s="1265">
        <f>CALCULATIONS!IB27</f>
        <v>4.7246211235248359E-2</v>
      </c>
      <c r="E27" s="1265">
        <f>CALCULATIONS!IC27</f>
        <v>0.1101150818088513</v>
      </c>
      <c r="F27" s="479">
        <f>CALCULATIONS!IW27</f>
        <v>0.20489877204179593</v>
      </c>
      <c r="G27" s="472">
        <f>'Bloom Cleaner Data'!AJ27</f>
        <v>59.494</v>
      </c>
      <c r="H27" s="472" t="str">
        <f>RATINGS!D804</f>
        <v>BB+</v>
      </c>
      <c r="I27" s="473">
        <f t="shared" si="5"/>
        <v>6.7202999999999999E-2</v>
      </c>
      <c r="J27" s="474">
        <f t="shared" si="23"/>
        <v>8</v>
      </c>
      <c r="K27" s="475">
        <f t="shared" si="24"/>
        <v>44.892439214121765</v>
      </c>
      <c r="L27" s="476">
        <f>K27/('Bloom Cleaner Data'!T27)</f>
        <v>7.2692772269953826E-2</v>
      </c>
      <c r="M27" s="476">
        <f>K27/('Bloom Cleaner Data'!T27+K27)</f>
        <v>6.7766628198796114E-2</v>
      </c>
      <c r="N27" s="476">
        <f t="shared" si="47"/>
        <v>0.75457086788788386</v>
      </c>
      <c r="O27" s="471">
        <f>'Bloom Cleaner Data'!AK27</f>
        <v>66.087000000000003</v>
      </c>
      <c r="P27" s="472" t="str">
        <f>RATINGS!H804</f>
        <v>BB+</v>
      </c>
      <c r="Q27" s="473">
        <f t="shared" si="7"/>
        <v>6.7202999999999999E-2</v>
      </c>
      <c r="R27" s="474">
        <f t="shared" si="25"/>
        <v>8</v>
      </c>
      <c r="S27" s="475">
        <f t="shared" si="26"/>
        <v>49.867324946106592</v>
      </c>
      <c r="T27" s="476">
        <f>S27/('Bloom Cleaner Data'!X27)</f>
        <v>9.5234259715115677E-2</v>
      </c>
      <c r="U27" s="476">
        <f>S27/('Bloom Cleaner Data'!X27+S27)</f>
        <v>8.6953324250363853E-2</v>
      </c>
      <c r="V27" s="476">
        <f t="shared" si="48"/>
        <v>0.75457086788788397</v>
      </c>
      <c r="W27" s="477">
        <f>'Bloom Cleaner Data'!AL27</f>
        <v>106.1995</v>
      </c>
      <c r="X27" s="2123" t="str">
        <f>RATINGS!L804</f>
        <v>BB+</v>
      </c>
      <c r="Y27" s="473">
        <f t="shared" si="9"/>
        <v>6.7202999999999999E-2</v>
      </c>
      <c r="Z27" s="474">
        <f t="shared" si="27"/>
        <v>8</v>
      </c>
      <c r="AA27" s="475">
        <f t="shared" si="28"/>
        <v>80.135048884259334</v>
      </c>
      <c r="AB27" s="476">
        <f>AA27/('Bloom Cleaner Data'!AB27)</f>
        <v>0.20055020542840243</v>
      </c>
      <c r="AC27" s="476">
        <f>AA27/('Bloom Cleaner Data'!AB27+AA27)</f>
        <v>0.1670485786613467</v>
      </c>
      <c r="AD27" s="476">
        <f t="shared" si="10"/>
        <v>0.75457086788788397</v>
      </c>
      <c r="AE27" s="471">
        <f>'Bloom Cleaner Data'!AM27</f>
        <v>146.31200000000001</v>
      </c>
      <c r="AF27" s="2123" t="str">
        <f>RATINGS!P804</f>
        <v>BB+</v>
      </c>
      <c r="AG27" s="473">
        <f t="shared" si="11"/>
        <v>6.7202999999999999E-2</v>
      </c>
      <c r="AH27" s="474">
        <f t="shared" si="29"/>
        <v>8</v>
      </c>
      <c r="AI27" s="475">
        <f t="shared" si="30"/>
        <v>110.40277282241209</v>
      </c>
      <c r="AJ27" s="476">
        <f>AI27/('Bloom Cleaner Data'!AF27)</f>
        <v>0.32739579444097117</v>
      </c>
      <c r="AK27" s="476">
        <f>AI27/('Bloom Cleaner Data'!AF27+AI27)</f>
        <v>0.24664519490876718</v>
      </c>
      <c r="AL27" s="478">
        <f t="shared" si="12"/>
        <v>0.75457086788788397</v>
      </c>
      <c r="AN27" s="18">
        <f t="shared" si="31"/>
        <v>0.75457086788788386</v>
      </c>
      <c r="AO27" s="18">
        <f t="shared" si="32"/>
        <v>0.75457086788788397</v>
      </c>
      <c r="AP27" s="18">
        <f t="shared" si="33"/>
        <v>0.75457086788788397</v>
      </c>
      <c r="AQ27" s="18">
        <f t="shared" si="34"/>
        <v>0.75457086788788397</v>
      </c>
      <c r="AR27" s="10">
        <f t="shared" si="35"/>
        <v>0.75457086788788397</v>
      </c>
      <c r="AU27" s="13">
        <f t="shared" si="13"/>
        <v>44.892439214121765</v>
      </c>
      <c r="AV27" s="26">
        <f t="shared" si="14"/>
        <v>46.136160647117975</v>
      </c>
      <c r="AW27" s="26">
        <f t="shared" si="14"/>
        <v>47.379882080114179</v>
      </c>
      <c r="AX27" s="26">
        <f t="shared" si="14"/>
        <v>48.623603513110382</v>
      </c>
      <c r="AY27" s="13">
        <f t="shared" si="15"/>
        <v>49.867324946106592</v>
      </c>
      <c r="AZ27" s="26">
        <f t="shared" si="16"/>
        <v>57.434255930644781</v>
      </c>
      <c r="BA27" s="26">
        <f t="shared" si="16"/>
        <v>65.001186915182956</v>
      </c>
      <c r="BB27" s="26">
        <f t="shared" si="16"/>
        <v>72.568117899721145</v>
      </c>
      <c r="BC27" s="13">
        <f t="shared" si="17"/>
        <v>80.135048884259334</v>
      </c>
      <c r="BD27" s="26">
        <f t="shared" si="18"/>
        <v>87.701979868797522</v>
      </c>
      <c r="BE27" s="26">
        <f t="shared" si="18"/>
        <v>95.268910853335711</v>
      </c>
      <c r="BF27" s="26">
        <f t="shared" si="18"/>
        <v>102.8358418378739</v>
      </c>
      <c r="BG27" s="13">
        <f t="shared" si="36"/>
        <v>110.40277282241209</v>
      </c>
      <c r="BH27" s="26">
        <f t="shared" si="37"/>
        <v>110.40277282241209</v>
      </c>
      <c r="BI27" s="26">
        <f t="shared" si="37"/>
        <v>110.40277282241209</v>
      </c>
      <c r="BJ27" s="26"/>
      <c r="BL27" s="13">
        <f t="shared" si="38"/>
        <v>8.4991428571428571</v>
      </c>
      <c r="BM27" s="26">
        <f t="shared" si="39"/>
        <v>8.4395758928571425</v>
      </c>
      <c r="BN27" s="26">
        <f t="shared" si="39"/>
        <v>8.3800089285714279</v>
      </c>
      <c r="BO27" s="26">
        <f t="shared" si="39"/>
        <v>8.320441964285715</v>
      </c>
      <c r="BP27" s="13">
        <f t="shared" si="40"/>
        <v>8.2608750000000004</v>
      </c>
      <c r="BQ27" s="26">
        <f t="shared" si="41"/>
        <v>9.5143906250000008</v>
      </c>
      <c r="BR27" s="26">
        <f t="shared" si="41"/>
        <v>10.767906249999999</v>
      </c>
      <c r="BS27" s="26">
        <f t="shared" si="41"/>
        <v>12.021421875</v>
      </c>
      <c r="BT27" s="13">
        <f t="shared" si="46"/>
        <v>13.2749375</v>
      </c>
      <c r="BU27" s="26">
        <f>$BT27+($BX27-$BT27)*BU$1/4</f>
        <v>14.528453125</v>
      </c>
      <c r="BV27" s="26">
        <f>$BT27+($BX27-$BT27)*BV$1/4</f>
        <v>15.781968750000001</v>
      </c>
      <c r="BW27" s="26">
        <f>$BT27+($BX27-$BT27)*BW$1/4</f>
        <v>17.035484375000003</v>
      </c>
      <c r="BX27" s="13">
        <f t="shared" si="43"/>
        <v>18.289000000000001</v>
      </c>
      <c r="BY27" s="26">
        <f t="shared" si="44"/>
        <v>18.289000000000001</v>
      </c>
      <c r="BZ27" s="26">
        <f t="shared" si="45"/>
        <v>18.289000000000001</v>
      </c>
    </row>
    <row r="28" spans="1:80">
      <c r="A28" s="460"/>
      <c r="B28" s="3109"/>
      <c r="C28" s="230"/>
      <c r="D28" s="487"/>
      <c r="E28" s="487"/>
      <c r="F28" s="489"/>
      <c r="G28" s="464"/>
      <c r="H28" s="464"/>
      <c r="I28" s="465"/>
      <c r="J28" s="195"/>
      <c r="K28" s="466"/>
      <c r="L28" s="467"/>
      <c r="M28" s="467"/>
      <c r="N28" s="467"/>
      <c r="O28" s="464"/>
      <c r="P28" s="464"/>
      <c r="Q28" s="465"/>
      <c r="R28" s="195"/>
      <c r="S28" s="466"/>
      <c r="T28" s="467"/>
      <c r="U28" s="467"/>
      <c r="V28" s="467"/>
      <c r="W28" s="485"/>
      <c r="X28" s="464"/>
      <c r="Y28" s="465"/>
      <c r="Z28" s="195"/>
      <c r="AA28" s="466"/>
      <c r="AB28" s="467"/>
      <c r="AC28" s="467"/>
      <c r="AD28" s="467"/>
      <c r="AE28" s="464"/>
      <c r="AF28" s="2"/>
      <c r="AG28" s="465"/>
      <c r="AH28" s="195"/>
      <c r="AI28" s="466"/>
      <c r="AJ28" s="467"/>
      <c r="AK28" s="467"/>
      <c r="AL28" s="467"/>
      <c r="AR28" s="2708">
        <f>AVERAGE(AR5:AR27)</f>
        <v>0.79487434725774431</v>
      </c>
      <c r="AU28" s="13"/>
      <c r="AV28" s="26"/>
      <c r="AW28" s="26"/>
      <c r="AX28" s="26"/>
      <c r="AY28" s="13"/>
      <c r="AZ28" s="26"/>
      <c r="BA28" s="26"/>
      <c r="BB28" s="26"/>
      <c r="BC28" s="13"/>
      <c r="BD28" s="26"/>
      <c r="BE28" s="26"/>
      <c r="BF28" s="26"/>
      <c r="BG28" s="13"/>
      <c r="BH28" s="26"/>
      <c r="BI28" s="26"/>
      <c r="BJ28" s="26"/>
      <c r="BX28" s="13"/>
    </row>
    <row r="29" spans="1:80">
      <c r="A29" s="11" t="s">
        <v>447</v>
      </c>
      <c r="G29" s="14" t="str">
        <f>'Bloom Cleaner Data'!AJ29</f>
        <v>UK Telcos: values as of end fiscal year = March 31st.</v>
      </c>
      <c r="M29" s="1516" t="s">
        <v>1793</v>
      </c>
      <c r="N29" s="1516"/>
      <c r="O29" s="1"/>
      <c r="P29" s="1"/>
      <c r="Q29" s="1"/>
      <c r="R29" s="1"/>
      <c r="S29" s="1"/>
      <c r="T29" s="1"/>
      <c r="U29" s="1"/>
      <c r="V29" s="1"/>
      <c r="W29" s="1"/>
    </row>
    <row r="30" spans="1:80">
      <c r="A30" s="11" t="s">
        <v>448</v>
      </c>
      <c r="G30" s="126" t="str">
        <f>'Bloom Cleaner Data'!AJ31</f>
        <v>ORA 2009 : n/a, set at 2010 value.</v>
      </c>
      <c r="M30" s="2157"/>
      <c r="N30" s="2157"/>
      <c r="O30" s="2157"/>
      <c r="P30" s="2157"/>
      <c r="Q30" s="2157"/>
      <c r="R30" s="2157"/>
      <c r="S30" s="2157"/>
      <c r="T30" s="2157"/>
      <c r="U30" s="2157"/>
      <c r="V30" s="2157"/>
      <c r="W30" s="2157"/>
      <c r="X30" s="2157"/>
      <c r="Y30" s="2157"/>
      <c r="Z30" s="2157"/>
      <c r="AA30" s="2157"/>
      <c r="AB30" s="2157"/>
    </row>
    <row r="31" spans="1:80">
      <c r="A31" s="4" t="s">
        <v>449</v>
      </c>
      <c r="G31" s="126" t="str">
        <f>'Bloom Cleaner Data'!AJ32</f>
        <v>TLSN &amp; TLSG 2011 : n/a, set at avg (2010, 2012) value.</v>
      </c>
      <c r="M31" s="2157"/>
      <c r="N31" s="2157"/>
      <c r="O31" s="2157"/>
      <c r="P31" s="2157"/>
      <c r="Q31" s="2157"/>
      <c r="R31" s="2157"/>
      <c r="S31" s="2157"/>
      <c r="T31" s="2157"/>
      <c r="U31" s="2157"/>
      <c r="V31" s="2157"/>
      <c r="W31" s="2157"/>
      <c r="X31" s="2157"/>
      <c r="Y31" s="2157"/>
      <c r="Z31" s="2157"/>
      <c r="AA31" s="2157"/>
      <c r="AB31" s="2157"/>
    </row>
    <row r="32" spans="1:80">
      <c r="A32" s="11" t="s">
        <v>2572</v>
      </c>
      <c r="M32" s="2157"/>
      <c r="N32" s="2157"/>
      <c r="O32" s="2157"/>
      <c r="P32" s="2157"/>
      <c r="Q32" s="2157"/>
      <c r="R32" s="2157"/>
      <c r="S32" s="2157"/>
      <c r="T32" s="2157"/>
      <c r="U32" s="2157"/>
      <c r="V32" s="2157"/>
      <c r="W32" s="2157"/>
      <c r="X32" s="2157"/>
      <c r="Y32" s="2157"/>
      <c r="Z32" s="2157"/>
      <c r="AA32" s="2157"/>
      <c r="AB32" s="2157"/>
      <c r="AD32" s="4"/>
    </row>
    <row r="33" spans="1:48">
      <c r="A33" s="105" t="s">
        <v>757</v>
      </c>
      <c r="M33" s="2157"/>
      <c r="N33" s="2157"/>
      <c r="O33" s="2157"/>
      <c r="P33" s="2157"/>
      <c r="Q33" s="2157"/>
      <c r="R33" s="2157"/>
      <c r="S33" s="2157"/>
      <c r="T33" s="2157"/>
      <c r="U33" s="2157"/>
      <c r="V33" s="2157"/>
      <c r="W33" s="2157"/>
      <c r="X33" s="2157"/>
      <c r="Y33" s="2157"/>
      <c r="Z33" s="2157"/>
      <c r="AA33" s="2157"/>
      <c r="AB33" s="2157"/>
    </row>
    <row r="34" spans="1:48">
      <c r="A34" s="4" t="s">
        <v>1176</v>
      </c>
      <c r="D34" s="4"/>
      <c r="M34" s="2157"/>
      <c r="N34" s="2157"/>
      <c r="O34" s="2157"/>
      <c r="P34" s="2157"/>
      <c r="Q34" s="2157"/>
      <c r="R34" s="2157"/>
      <c r="S34" s="2157"/>
      <c r="T34" s="2157"/>
      <c r="U34" s="2157"/>
      <c r="V34" s="2157"/>
      <c r="W34" s="2157"/>
      <c r="X34" s="2157"/>
      <c r="Y34" s="2157"/>
      <c r="Z34" s="2157"/>
      <c r="AA34" s="2157"/>
      <c r="AB34" s="2157"/>
    </row>
    <row r="35" spans="1:48">
      <c r="A35" s="173"/>
      <c r="M35" s="2157"/>
      <c r="N35" s="2157"/>
      <c r="O35" s="2157"/>
      <c r="P35" s="2157"/>
      <c r="Q35" s="2157"/>
      <c r="R35" s="2157"/>
      <c r="S35" s="2157"/>
      <c r="T35" s="2157"/>
      <c r="U35" s="2157"/>
      <c r="V35" s="2157"/>
      <c r="W35" s="2157"/>
      <c r="X35" s="2157"/>
      <c r="Y35" s="2157"/>
      <c r="Z35" s="2157"/>
      <c r="AA35" s="2157"/>
      <c r="AB35" s="2157"/>
    </row>
    <row r="36" spans="1:48">
      <c r="A36" s="1032" t="s">
        <v>1409</v>
      </c>
      <c r="B36" s="3111"/>
      <c r="C36" s="148" t="s">
        <v>2573</v>
      </c>
      <c r="D36" s="148" t="s">
        <v>2574</v>
      </c>
    </row>
    <row r="38" spans="1:48">
      <c r="A38" s="1631" t="s">
        <v>1027</v>
      </c>
      <c r="B38" s="1632"/>
      <c r="C38" s="11" t="s">
        <v>411</v>
      </c>
      <c r="D38" s="2290">
        <v>3</v>
      </c>
      <c r="E38" s="1010">
        <v>4</v>
      </c>
      <c r="F38" s="1009">
        <v>5</v>
      </c>
      <c r="G38" s="1010">
        <v>6</v>
      </c>
      <c r="H38" s="1010">
        <v>7</v>
      </c>
      <c r="I38" s="2281">
        <v>8</v>
      </c>
      <c r="J38" s="1010">
        <v>9</v>
      </c>
      <c r="K38" s="2283">
        <v>10</v>
      </c>
      <c r="M38" s="1260"/>
      <c r="N38" s="1261"/>
      <c r="O38" s="1261"/>
      <c r="P38" s="1262" t="s">
        <v>444</v>
      </c>
      <c r="Q38" s="1261"/>
      <c r="R38" s="1261"/>
      <c r="S38" s="1261"/>
      <c r="T38" s="1261"/>
      <c r="U38" s="1261"/>
      <c r="V38" s="1160"/>
      <c r="X38" s="3661" t="s">
        <v>2575</v>
      </c>
      <c r="Y38" s="3662"/>
      <c r="Z38" s="3662"/>
      <c r="AA38" s="3662"/>
      <c r="AB38" s="3663"/>
      <c r="AC38" s="109"/>
      <c r="AD38" s="1737"/>
      <c r="AH38" s="1737"/>
      <c r="AL38" s="1737"/>
      <c r="AV38" s="1737"/>
    </row>
    <row r="39" spans="1:48" ht="13.8" customHeight="1">
      <c r="A39" s="1003" t="s">
        <v>67</v>
      </c>
      <c r="C39" s="7"/>
      <c r="D39" s="2291">
        <f>'OUTPUTS &amp; Inputs'!C123</f>
        <v>2.6006999999999998</v>
      </c>
      <c r="E39" s="551">
        <f>'OUTPUTS &amp; Inputs'!D123</f>
        <v>3.0310999999999999</v>
      </c>
      <c r="F39" s="552">
        <f>'OUTPUTS &amp; Inputs'!E123</f>
        <v>3.4615</v>
      </c>
      <c r="G39" s="551">
        <f>'OUTPUTS &amp; Inputs'!F123</f>
        <v>3.6745666666666668</v>
      </c>
      <c r="H39" s="551">
        <f>'OUTPUTS &amp; Inputs'!G123</f>
        <v>3.8876333333333331</v>
      </c>
      <c r="I39" s="553">
        <f>'OUTPUTS &amp; Inputs'!H123</f>
        <v>4.1006999999999998</v>
      </c>
      <c r="J39" s="551">
        <f>'OUTPUTS &amp; Inputs'!I123</f>
        <v>4.3128500000000001</v>
      </c>
      <c r="K39" s="2284">
        <f>'OUTPUTS &amp; Inputs'!J123</f>
        <v>4.5250000000000004</v>
      </c>
      <c r="M39" s="3664" t="s">
        <v>1796</v>
      </c>
      <c r="N39" s="3665"/>
      <c r="O39" s="3665"/>
      <c r="P39" s="3665"/>
      <c r="Q39" s="3665"/>
      <c r="R39" s="3665"/>
      <c r="S39" s="3665"/>
      <c r="T39" s="3665"/>
      <c r="U39" s="3665"/>
      <c r="V39" s="3666"/>
      <c r="X39" s="459" t="s">
        <v>2576</v>
      </c>
      <c r="Y39" s="6"/>
      <c r="Z39" s="6"/>
      <c r="AA39" s="2297"/>
      <c r="AB39" s="33"/>
      <c r="AC39" s="77"/>
      <c r="AD39" s="2104"/>
      <c r="AE39" s="2104"/>
      <c r="AF39" s="2104"/>
      <c r="AG39" s="2104"/>
      <c r="AH39" s="2104"/>
      <c r="AI39" s="2104"/>
      <c r="AJ39" s="2104"/>
      <c r="AK39" s="2104"/>
      <c r="AL39" s="77"/>
      <c r="AM39" s="2104"/>
      <c r="AN39" s="2104"/>
      <c r="AO39" s="2104"/>
      <c r="AP39" s="2104"/>
      <c r="AQ39" s="2104"/>
      <c r="AR39" s="2104"/>
      <c r="AS39" s="2104"/>
      <c r="AT39" s="2104"/>
      <c r="AU39" s="2104"/>
      <c r="AV39" s="77"/>
    </row>
    <row r="40" spans="1:48" ht="13.2" customHeight="1">
      <c r="A40" s="1004" t="s">
        <v>68</v>
      </c>
      <c r="C40" s="7"/>
      <c r="D40" s="2292">
        <f>'OUTPUTS &amp; Inputs'!C124</f>
        <v>2.7525499999999998</v>
      </c>
      <c r="E40" s="556">
        <f>'OUTPUTS &amp; Inputs'!D124</f>
        <v>3.1616749999999998</v>
      </c>
      <c r="F40" s="556">
        <f>'OUTPUTS &amp; Inputs'!E124</f>
        <v>3.5708000000000002</v>
      </c>
      <c r="G40" s="556">
        <f>'OUTPUTS &amp; Inputs'!F124</f>
        <v>3.8125166666666668</v>
      </c>
      <c r="H40" s="556">
        <f>'OUTPUTS &amp; Inputs'!G124</f>
        <v>4.0542333333333334</v>
      </c>
      <c r="I40" s="557">
        <f>'OUTPUTS &amp; Inputs'!H124</f>
        <v>4.2959499999999995</v>
      </c>
      <c r="J40" s="556">
        <f>'OUTPUTS &amp; Inputs'!I124</f>
        <v>4.4652250000000002</v>
      </c>
      <c r="K40" s="2285">
        <f>'OUTPUTS &amp; Inputs'!J124</f>
        <v>4.6345000000000001</v>
      </c>
      <c r="M40" s="3667"/>
      <c r="N40" s="3668"/>
      <c r="O40" s="3668"/>
      <c r="P40" s="3668"/>
      <c r="Q40" s="3668"/>
      <c r="R40" s="3668"/>
      <c r="S40" s="3668"/>
      <c r="T40" s="3668"/>
      <c r="U40" s="3668"/>
      <c r="V40" s="3669"/>
      <c r="X40" s="3673" t="s">
        <v>1797</v>
      </c>
      <c r="Y40" s="3674"/>
      <c r="Z40" s="3674"/>
      <c r="AA40" s="3674"/>
      <c r="AB40" s="3675"/>
      <c r="AC40" s="77"/>
      <c r="AD40" s="117"/>
      <c r="AE40" s="117"/>
      <c r="AF40" s="117"/>
      <c r="AG40" s="117"/>
      <c r="AH40" s="117"/>
      <c r="AI40" s="117"/>
      <c r="AJ40" s="117"/>
      <c r="AK40" s="117"/>
      <c r="AL40" s="117"/>
      <c r="AM40" s="117"/>
      <c r="AN40" s="117"/>
      <c r="AO40" s="117"/>
      <c r="AP40" s="117"/>
      <c r="AQ40" s="117"/>
      <c r="AR40" s="117"/>
      <c r="AS40" s="117"/>
      <c r="AT40" s="117"/>
      <c r="AU40" s="117"/>
      <c r="AV40" s="117"/>
    </row>
    <row r="41" spans="1:48" ht="13.2" customHeight="1">
      <c r="A41" s="1003" t="s">
        <v>69</v>
      </c>
      <c r="C41" s="7"/>
      <c r="D41" s="2293">
        <f>'OUTPUTS &amp; Inputs'!C125</f>
        <v>2.9043999999999999</v>
      </c>
      <c r="E41" s="556">
        <f>'OUTPUTS &amp; Inputs'!D125</f>
        <v>3.2922500000000001</v>
      </c>
      <c r="F41" s="560">
        <f>'OUTPUTS &amp; Inputs'!E125</f>
        <v>3.6800999999999999</v>
      </c>
      <c r="G41" s="556">
        <f>'OUTPUTS &amp; Inputs'!F125</f>
        <v>3.9504666666666668</v>
      </c>
      <c r="H41" s="556">
        <f>'OUTPUTS &amp; Inputs'!G125</f>
        <v>4.2208333333333332</v>
      </c>
      <c r="I41" s="561">
        <f>'OUTPUTS &amp; Inputs'!H125</f>
        <v>4.4912000000000001</v>
      </c>
      <c r="J41" s="556">
        <f>'OUTPUTS &amp; Inputs'!I125</f>
        <v>4.6175999999999995</v>
      </c>
      <c r="K41" s="2286">
        <f>'OUTPUTS &amp; Inputs'!J125</f>
        <v>4.7439999999999998</v>
      </c>
      <c r="M41" s="3670"/>
      <c r="N41" s="3671"/>
      <c r="O41" s="3671"/>
      <c r="P41" s="3671"/>
      <c r="Q41" s="3671"/>
      <c r="R41" s="3671"/>
      <c r="S41" s="3671"/>
      <c r="T41" s="3671"/>
      <c r="U41" s="3671"/>
      <c r="V41" s="3672"/>
      <c r="X41" s="3673"/>
      <c r="Y41" s="3674"/>
      <c r="Z41" s="3674"/>
      <c r="AA41" s="3674"/>
      <c r="AB41" s="3675"/>
      <c r="AC41" s="77"/>
      <c r="AD41" s="117"/>
      <c r="AH41" s="117"/>
      <c r="AL41" s="117"/>
      <c r="AV41" s="117"/>
    </row>
    <row r="42" spans="1:48" ht="13.2" customHeight="1">
      <c r="A42" s="1003" t="s">
        <v>70</v>
      </c>
      <c r="C42" s="7"/>
      <c r="D42" s="2293">
        <f>'OUTPUTS &amp; Inputs'!C126</f>
        <v>3.2193999999999998</v>
      </c>
      <c r="E42" s="556">
        <f>'OUTPUTS &amp; Inputs'!D126</f>
        <v>3.6592500000000001</v>
      </c>
      <c r="F42" s="560">
        <f>'OUTPUTS &amp; Inputs'!E126</f>
        <v>4.0991</v>
      </c>
      <c r="G42" s="556">
        <f>'OUTPUTS &amp; Inputs'!F126</f>
        <v>4.3667999999999996</v>
      </c>
      <c r="H42" s="556">
        <f>'OUTPUTS &amp; Inputs'!G126</f>
        <v>4.6345000000000001</v>
      </c>
      <c r="I42" s="561">
        <f>'OUTPUTS &amp; Inputs'!H126</f>
        <v>4.9021999999999997</v>
      </c>
      <c r="J42" s="556">
        <f>'OUTPUTS &amp; Inputs'!I126</f>
        <v>4.9926499999999994</v>
      </c>
      <c r="K42" s="2286">
        <f>'OUTPUTS &amp; Inputs'!J126</f>
        <v>5.0831</v>
      </c>
      <c r="M42" s="212"/>
      <c r="N42" s="213"/>
      <c r="O42" s="213"/>
      <c r="P42" s="213"/>
      <c r="Q42" s="213"/>
      <c r="R42" s="213"/>
      <c r="S42" s="213"/>
      <c r="T42" s="213"/>
      <c r="U42" s="213"/>
      <c r="V42" s="35"/>
      <c r="X42" s="3676" t="s">
        <v>1410</v>
      </c>
      <c r="Y42" s="3677"/>
      <c r="Z42" s="3677"/>
      <c r="AA42" s="3677"/>
      <c r="AB42" s="3678"/>
      <c r="AC42" s="77"/>
      <c r="AD42" s="117"/>
      <c r="AE42" s="117"/>
      <c r="AF42" s="117"/>
      <c r="AG42" s="117"/>
      <c r="AH42" s="117"/>
      <c r="AI42" s="117"/>
      <c r="AJ42" s="117"/>
      <c r="AK42" s="117"/>
      <c r="AL42" s="117"/>
      <c r="AM42" s="117"/>
      <c r="AN42" s="117"/>
      <c r="AO42" s="117"/>
      <c r="AP42" s="117"/>
      <c r="AQ42" s="117"/>
      <c r="AR42" s="117"/>
      <c r="AS42" s="117"/>
      <c r="AT42" s="117"/>
      <c r="AU42" s="117"/>
      <c r="AV42" s="117"/>
    </row>
    <row r="43" spans="1:48">
      <c r="A43" s="1005" t="s">
        <v>71</v>
      </c>
      <c r="C43" s="7"/>
      <c r="D43" s="2293">
        <f>'OUTPUTS &amp; Inputs'!C127</f>
        <v>3.3774999999999999</v>
      </c>
      <c r="E43" s="556">
        <f>'OUTPUTS &amp; Inputs'!D127</f>
        <v>3.8537499999999998</v>
      </c>
      <c r="F43" s="560">
        <f>'OUTPUTS &amp; Inputs'!E127</f>
        <v>4.33</v>
      </c>
      <c r="G43" s="556">
        <f>'OUTPUTS &amp; Inputs'!F127</f>
        <v>4.7004666666666663</v>
      </c>
      <c r="H43" s="556">
        <f>'OUTPUTS &amp; Inputs'!G127</f>
        <v>5.0709333333333335</v>
      </c>
      <c r="I43" s="561">
        <f>'OUTPUTS &amp; Inputs'!H127</f>
        <v>5.4413999999999998</v>
      </c>
      <c r="J43" s="556">
        <f>'OUTPUTS &amp; Inputs'!I127</f>
        <v>5.5159000000000002</v>
      </c>
      <c r="K43" s="2286">
        <f>'OUTPUTS &amp; Inputs'!J127</f>
        <v>5.5903999999999998</v>
      </c>
      <c r="M43" s="214" t="s">
        <v>413</v>
      </c>
      <c r="N43" s="215"/>
      <c r="O43" s="215"/>
      <c r="P43" s="215"/>
      <c r="Q43" s="215"/>
      <c r="R43" s="215"/>
      <c r="S43" s="215"/>
      <c r="T43" s="215"/>
      <c r="U43" s="215"/>
      <c r="V43" s="35"/>
      <c r="X43" s="3679"/>
      <c r="Y43" s="3680"/>
      <c r="Z43" s="3680"/>
      <c r="AA43" s="3680"/>
      <c r="AB43" s="3681"/>
      <c r="AC43" s="77"/>
      <c r="AD43" s="117"/>
      <c r="AE43" s="117"/>
      <c r="AF43" s="117"/>
      <c r="AG43" s="117"/>
      <c r="AH43" s="117"/>
      <c r="AI43" s="117"/>
      <c r="AJ43" s="117"/>
      <c r="AK43" s="117"/>
      <c r="AL43" s="117"/>
      <c r="AM43" s="117"/>
      <c r="AN43" s="117"/>
      <c r="AO43" s="117"/>
      <c r="AP43" s="117"/>
      <c r="AQ43" s="117"/>
      <c r="AR43" s="117"/>
      <c r="AS43" s="117"/>
      <c r="AT43" s="117"/>
      <c r="AU43" s="117"/>
      <c r="AV43" s="117"/>
    </row>
    <row r="44" spans="1:48">
      <c r="A44" s="1004" t="s">
        <v>334</v>
      </c>
      <c r="C44" s="7"/>
      <c r="D44" s="2292">
        <f>'OUTPUTS &amp; Inputs'!C128</f>
        <v>4.2245499999999998</v>
      </c>
      <c r="E44" s="556">
        <f>'OUTPUTS &amp; Inputs'!D128</f>
        <v>4.8033000000000001</v>
      </c>
      <c r="F44" s="556">
        <f>'OUTPUTS &amp; Inputs'!E128</f>
        <v>5.3820499999999996</v>
      </c>
      <c r="G44" s="556">
        <f>'OUTPUTS &amp; Inputs'!F128</f>
        <v>5.8281333333333336</v>
      </c>
      <c r="H44" s="556">
        <f>'OUTPUTS &amp; Inputs'!G128</f>
        <v>6.2742166666666668</v>
      </c>
      <c r="I44" s="557">
        <f>'OUTPUTS &amp; Inputs'!H128</f>
        <v>6.7202999999999999</v>
      </c>
      <c r="J44" s="556">
        <f>'OUTPUTS &amp; Inputs'!I128</f>
        <v>6.7680499999999997</v>
      </c>
      <c r="K44" s="2285">
        <f>'OUTPUTS &amp; Inputs'!J128</f>
        <v>6.8157999999999994</v>
      </c>
      <c r="M44" s="216" t="s">
        <v>414</v>
      </c>
      <c r="N44" s="217"/>
      <c r="O44" s="217"/>
      <c r="P44" s="217"/>
      <c r="Q44" s="197">
        <v>2500</v>
      </c>
      <c r="T44" s="217"/>
      <c r="U44" s="217"/>
      <c r="V44" s="35"/>
      <c r="X44" s="3682" t="s">
        <v>1802</v>
      </c>
      <c r="Y44" s="3683"/>
      <c r="Z44" s="3683"/>
      <c r="AA44" s="3683"/>
      <c r="AB44" s="3684"/>
      <c r="AC44" s="1640"/>
      <c r="AD44" s="1771"/>
      <c r="AE44" s="1771"/>
      <c r="AF44" s="1771"/>
      <c r="AG44" s="1640"/>
    </row>
    <row r="45" spans="1:48">
      <c r="A45" s="1003" t="s">
        <v>119</v>
      </c>
      <c r="C45" s="7"/>
      <c r="D45" s="2293">
        <f>'OUTPUTS &amp; Inputs'!C129</f>
        <v>5.0716000000000001</v>
      </c>
      <c r="E45" s="556">
        <f>'OUTPUTS &amp; Inputs'!D129</f>
        <v>5.7528500000000005</v>
      </c>
      <c r="F45" s="560">
        <f>'OUTPUTS &amp; Inputs'!E129</f>
        <v>6.4340999999999999</v>
      </c>
      <c r="G45" s="556">
        <f>'OUTPUTS &amp; Inputs'!F129</f>
        <v>6.9558</v>
      </c>
      <c r="H45" s="556">
        <f>'OUTPUTS &amp; Inputs'!G129</f>
        <v>7.4775</v>
      </c>
      <c r="I45" s="561">
        <f>'OUTPUTS &amp; Inputs'!H129</f>
        <v>7.9992000000000001</v>
      </c>
      <c r="J45" s="556">
        <f>'OUTPUTS &amp; Inputs'!I129</f>
        <v>8.0201999999999991</v>
      </c>
      <c r="K45" s="2286">
        <f>'OUTPUTS &amp; Inputs'!J129</f>
        <v>8.0411999999999999</v>
      </c>
      <c r="M45" s="218" t="s">
        <v>415</v>
      </c>
      <c r="N45" s="219"/>
      <c r="O45" s="219"/>
      <c r="P45" s="219"/>
      <c r="Q45" s="219"/>
      <c r="R45" s="32"/>
      <c r="S45" s="219"/>
      <c r="T45" s="219"/>
      <c r="U45" s="219"/>
      <c r="V45" s="35"/>
      <c r="X45" s="3685"/>
      <c r="Y45" s="3686"/>
      <c r="Z45" s="3686"/>
      <c r="AA45" s="3686"/>
      <c r="AB45" s="3687"/>
      <c r="AD45" s="7"/>
      <c r="AE45" s="7"/>
      <c r="AF45" s="7"/>
    </row>
    <row r="46" spans="1:48" ht="13.2" customHeight="1">
      <c r="A46" s="1006" t="s">
        <v>333</v>
      </c>
      <c r="C46" s="7"/>
      <c r="D46" s="2294">
        <f>'OUTPUTS &amp; Inputs'!C130</f>
        <v>5.9186500000000004</v>
      </c>
      <c r="E46" s="556">
        <f>'OUTPUTS &amp; Inputs'!D130</f>
        <v>6.7024000000000008</v>
      </c>
      <c r="F46" s="564">
        <f>'OUTPUTS &amp; Inputs'!E130</f>
        <v>7.4861500000000003</v>
      </c>
      <c r="G46" s="556">
        <f>'OUTPUTS &amp; Inputs'!F130</f>
        <v>8.0834666666666664</v>
      </c>
      <c r="H46" s="556">
        <f>'OUTPUTS &amp; Inputs'!G130</f>
        <v>8.6807833333333342</v>
      </c>
      <c r="I46" s="565">
        <f>'OUTPUTS &amp; Inputs'!H130</f>
        <v>9.2781000000000002</v>
      </c>
      <c r="J46" s="556">
        <f>'OUTPUTS &amp; Inputs'!I130</f>
        <v>8.3239575902335456</v>
      </c>
      <c r="K46" s="2287">
        <f>'OUTPUTS &amp; Inputs'!J130</f>
        <v>9.2666000000000004</v>
      </c>
      <c r="M46" s="198" t="s">
        <v>416</v>
      </c>
      <c r="N46" s="198" t="s">
        <v>417</v>
      </c>
      <c r="O46" s="217" t="s">
        <v>418</v>
      </c>
      <c r="P46" s="217"/>
      <c r="Q46" s="217"/>
      <c r="R46" s="217"/>
      <c r="S46" s="217"/>
      <c r="T46" s="217"/>
      <c r="U46" s="217"/>
      <c r="V46" s="35"/>
      <c r="X46" s="3685" t="s">
        <v>1804</v>
      </c>
      <c r="Y46" s="3686"/>
      <c r="Z46" s="3686"/>
      <c r="AA46" s="3686"/>
      <c r="AB46" s="3687"/>
      <c r="AD46" s="7"/>
      <c r="AE46" s="7"/>
      <c r="AF46" s="7"/>
    </row>
    <row r="47" spans="1:48">
      <c r="A47" s="1006" t="s">
        <v>111</v>
      </c>
      <c r="C47" s="7"/>
      <c r="D47" s="2294">
        <f>'OUTPUTS &amp; Inputs'!C131</f>
        <v>6.7657000000000007</v>
      </c>
      <c r="E47" s="556">
        <f>'OUTPUTS &amp; Inputs'!D131</f>
        <v>7.6519500000000003</v>
      </c>
      <c r="F47" s="564">
        <f>'OUTPUTS &amp; Inputs'!E131</f>
        <v>8.5381999999999998</v>
      </c>
      <c r="G47" s="556">
        <f>'OUTPUTS &amp; Inputs'!F131</f>
        <v>9.2111333333333327</v>
      </c>
      <c r="H47" s="556">
        <f>'OUTPUTS &amp; Inputs'!G131</f>
        <v>9.8840666666666674</v>
      </c>
      <c r="I47" s="565">
        <f>'OUTPUTS &amp; Inputs'!H131</f>
        <v>10.557</v>
      </c>
      <c r="J47" s="556">
        <f>'OUTPUTS &amp; Inputs'!I131</f>
        <v>8.6277151804670922</v>
      </c>
      <c r="K47" s="2287">
        <f>'OUTPUTS &amp; Inputs'!J131</f>
        <v>10.492000000000001</v>
      </c>
      <c r="M47" s="198">
        <v>1</v>
      </c>
      <c r="N47" s="197">
        <v>2000</v>
      </c>
      <c r="O47" s="217"/>
      <c r="P47" s="217"/>
      <c r="Q47" s="217"/>
      <c r="R47" s="217"/>
      <c r="S47" s="217"/>
      <c r="T47" s="217"/>
      <c r="U47" s="217"/>
      <c r="V47" s="35"/>
      <c r="X47" s="3685"/>
      <c r="Y47" s="3686"/>
      <c r="Z47" s="3686"/>
      <c r="AA47" s="3686"/>
      <c r="AB47" s="3687"/>
      <c r="AD47" s="7"/>
      <c r="AE47" s="7"/>
      <c r="AF47" s="7"/>
    </row>
    <row r="48" spans="1:48">
      <c r="A48" s="1007" t="s">
        <v>335</v>
      </c>
      <c r="C48" s="7"/>
      <c r="D48" s="2294">
        <f>'OUTPUTS &amp; Inputs'!C132</f>
        <v>7.443340000000001</v>
      </c>
      <c r="E48" s="556">
        <f>'OUTPUTS &amp; Inputs'!D132</f>
        <v>8.4115900000000003</v>
      </c>
      <c r="F48" s="564">
        <f>'OUTPUTS &amp; Inputs'!E132</f>
        <v>9.3798399999999997</v>
      </c>
      <c r="G48" s="556">
        <f>'OUTPUTS &amp; Inputs'!F132</f>
        <v>10.113266666666666</v>
      </c>
      <c r="H48" s="556">
        <f>'OUTPUTS &amp; Inputs'!G132</f>
        <v>10.846693333333334</v>
      </c>
      <c r="I48" s="565">
        <f>'OUTPUTS &amp; Inputs'!H132</f>
        <v>11.580120000000001</v>
      </c>
      <c r="J48" s="556">
        <f>'OUTPUTS &amp; Inputs'!I132</f>
        <v>11.526220000000002</v>
      </c>
      <c r="K48" s="2287">
        <f>'OUTPUTS &amp; Inputs'!J132</f>
        <v>11.472320000000002</v>
      </c>
      <c r="M48" s="198">
        <v>2</v>
      </c>
      <c r="N48" s="197">
        <v>2000</v>
      </c>
      <c r="O48" s="217"/>
      <c r="P48" s="217"/>
      <c r="Q48" s="217"/>
      <c r="R48" s="217"/>
      <c r="S48" s="217"/>
      <c r="T48" s="217"/>
      <c r="U48" s="217"/>
      <c r="V48" s="35"/>
      <c r="X48" s="2300" t="s">
        <v>2577</v>
      </c>
      <c r="Y48" s="3"/>
      <c r="Z48" s="95"/>
      <c r="AA48" s="99"/>
      <c r="AB48" s="35"/>
      <c r="AD48" s="7"/>
      <c r="AE48" s="7"/>
      <c r="AF48" s="7"/>
    </row>
    <row r="49" spans="1:32">
      <c r="A49" s="1008" t="s">
        <v>114</v>
      </c>
      <c r="C49" s="7"/>
      <c r="D49" s="2295">
        <f>'OUTPUTS &amp; Inputs'!C133</f>
        <v>7.9854520000000013</v>
      </c>
      <c r="E49" s="568">
        <f>'OUTPUTS &amp; Inputs'!D133</f>
        <v>9.0193019999999997</v>
      </c>
      <c r="F49" s="569">
        <f>'OUTPUTS &amp; Inputs'!E133</f>
        <v>10.053151999999999</v>
      </c>
      <c r="G49" s="568">
        <f>'OUTPUTS &amp; Inputs'!F133</f>
        <v>10.834973333333332</v>
      </c>
      <c r="H49" s="568">
        <f>'OUTPUTS &amp; Inputs'!G133</f>
        <v>11.616794666666667</v>
      </c>
      <c r="I49" s="570">
        <f>'OUTPUTS &amp; Inputs'!H133</f>
        <v>12.398616000000001</v>
      </c>
      <c r="J49" s="568">
        <f>'OUTPUTS &amp; Inputs'!I133</f>
        <v>12.327596000000002</v>
      </c>
      <c r="K49" s="2288">
        <f>'OUTPUTS &amp; Inputs'!J133</f>
        <v>12.256576000000003</v>
      </c>
      <c r="M49" s="198">
        <v>3</v>
      </c>
      <c r="N49" s="197">
        <v>2000</v>
      </c>
      <c r="O49" s="217"/>
      <c r="P49" s="217"/>
      <c r="Q49" s="217"/>
      <c r="R49" s="217"/>
      <c r="S49" s="217"/>
      <c r="T49" s="217"/>
      <c r="U49" s="217"/>
      <c r="V49" s="35"/>
      <c r="X49" s="3673" t="s">
        <v>1803</v>
      </c>
      <c r="Y49" s="3674"/>
      <c r="Z49" s="3674"/>
      <c r="AA49" s="3674"/>
      <c r="AB49" s="3675"/>
      <c r="AD49" s="7"/>
      <c r="AE49" s="7"/>
      <c r="AF49" s="7"/>
    </row>
    <row r="50" spans="1:32">
      <c r="A50" s="1631" t="s">
        <v>1028</v>
      </c>
      <c r="B50" s="1632"/>
      <c r="C50" s="11" t="s">
        <v>411</v>
      </c>
      <c r="D50" s="2296">
        <f>'OUTPUTS &amp; Inputs'!C134</f>
        <v>3</v>
      </c>
      <c r="E50" s="196">
        <f>'OUTPUTS &amp; Inputs'!D134</f>
        <v>4</v>
      </c>
      <c r="F50" s="195">
        <f>'OUTPUTS &amp; Inputs'!E134</f>
        <v>5</v>
      </c>
      <c r="G50" s="196">
        <f>'OUTPUTS &amp; Inputs'!F134</f>
        <v>6</v>
      </c>
      <c r="H50" s="196">
        <f>'OUTPUTS &amp; Inputs'!G134</f>
        <v>7</v>
      </c>
      <c r="I50" s="2282">
        <f>'OUTPUTS &amp; Inputs'!H134</f>
        <v>8</v>
      </c>
      <c r="J50" s="196">
        <f>'OUTPUTS &amp; Inputs'!I134</f>
        <v>9</v>
      </c>
      <c r="K50" s="2289">
        <f>'OUTPUTS &amp; Inputs'!J134</f>
        <v>10</v>
      </c>
      <c r="M50" s="198">
        <v>4</v>
      </c>
      <c r="N50" s="197">
        <v>1800</v>
      </c>
      <c r="O50" s="217"/>
      <c r="P50" s="217"/>
      <c r="Q50" s="217"/>
      <c r="R50" s="217"/>
      <c r="S50" s="217"/>
      <c r="T50" s="217"/>
      <c r="U50" s="217"/>
      <c r="V50" s="220"/>
      <c r="X50" s="3688"/>
      <c r="Y50" s="3689"/>
      <c r="Z50" s="3689"/>
      <c r="AA50" s="3689"/>
      <c r="AB50" s="3690"/>
      <c r="AD50" s="7"/>
      <c r="AE50" s="7"/>
      <c r="AF50" s="7"/>
    </row>
    <row r="51" spans="1:32">
      <c r="A51" s="1003" t="s">
        <v>67</v>
      </c>
      <c r="C51" s="7"/>
      <c r="D51" s="2291">
        <f>'OUTPUTS &amp; Inputs'!C135</f>
        <v>2.2086999999999999</v>
      </c>
      <c r="E51" s="551">
        <f>'OUTPUTS &amp; Inputs'!D135</f>
        <v>2.6264500000000002</v>
      </c>
      <c r="F51" s="552">
        <f>'OUTPUTS &amp; Inputs'!E135</f>
        <v>3.0442</v>
      </c>
      <c r="G51" s="551">
        <f>'OUTPUTS &amp; Inputs'!F135</f>
        <v>3.2697666666666665</v>
      </c>
      <c r="H51" s="551">
        <f>'OUTPUTS &amp; Inputs'!G135</f>
        <v>3.4953333333333334</v>
      </c>
      <c r="I51" s="553">
        <f>'OUTPUTS &amp; Inputs'!H135</f>
        <v>3.7208999999999999</v>
      </c>
      <c r="J51" s="551">
        <f>'OUTPUTS &amp; Inputs'!I135</f>
        <v>3.8762999999999996</v>
      </c>
      <c r="K51" s="2284">
        <f>'OUTPUTS &amp; Inputs'!J135</f>
        <v>4.0316999999999998</v>
      </c>
      <c r="M51" s="198">
        <v>5</v>
      </c>
      <c r="N51" s="197">
        <v>1600</v>
      </c>
      <c r="O51" s="217"/>
      <c r="P51" s="217"/>
      <c r="Q51" s="217"/>
      <c r="R51" s="217"/>
      <c r="S51" s="217"/>
      <c r="T51" s="217"/>
      <c r="U51" s="217"/>
      <c r="V51" s="221"/>
      <c r="X51" s="459"/>
      <c r="Y51" s="2302"/>
      <c r="Z51" s="2302"/>
      <c r="AA51" s="2303"/>
      <c r="AB51" s="33"/>
      <c r="AD51" s="7"/>
      <c r="AE51" s="7"/>
      <c r="AF51" s="7"/>
    </row>
    <row r="52" spans="1:32">
      <c r="A52" s="1004" t="s">
        <v>68</v>
      </c>
      <c r="C52" s="7"/>
      <c r="D52" s="2292">
        <f>'OUTPUTS &amp; Inputs'!C136</f>
        <v>2.3807</v>
      </c>
      <c r="E52" s="556">
        <f>'OUTPUTS &amp; Inputs'!D136</f>
        <v>2.8003749999999998</v>
      </c>
      <c r="F52" s="556">
        <f>'OUTPUTS &amp; Inputs'!E136</f>
        <v>3.2200500000000001</v>
      </c>
      <c r="G52" s="556">
        <f>'OUTPUTS &amp; Inputs'!F136</f>
        <v>3.4429333333333334</v>
      </c>
      <c r="H52" s="556">
        <f>'OUTPUTS &amp; Inputs'!G136</f>
        <v>3.6658166666666667</v>
      </c>
      <c r="I52" s="557">
        <f>'OUTPUTS &amp; Inputs'!H136</f>
        <v>3.8887</v>
      </c>
      <c r="J52" s="556">
        <f>'OUTPUTS &amp; Inputs'!I136</f>
        <v>4.0272249999999996</v>
      </c>
      <c r="K52" s="2285">
        <f>'OUTPUTS &amp; Inputs'!J136</f>
        <v>4.1657500000000001</v>
      </c>
      <c r="M52" s="198" t="s">
        <v>419</v>
      </c>
      <c r="N52" s="197">
        <v>8000</v>
      </c>
      <c r="O52" s="217"/>
      <c r="P52" s="217"/>
      <c r="Q52" s="217"/>
      <c r="R52" s="217"/>
      <c r="S52" s="217"/>
      <c r="T52" s="217"/>
      <c r="U52" s="217"/>
      <c r="V52" s="221"/>
      <c r="X52" s="2306" t="s">
        <v>442</v>
      </c>
      <c r="Y52" s="460">
        <f>SUM(N47:N52)</f>
        <v>17400</v>
      </c>
      <c r="Z52" s="95" t="s">
        <v>1805</v>
      </c>
      <c r="AA52" s="3"/>
      <c r="AB52" s="2304"/>
      <c r="AD52" s="7"/>
      <c r="AE52" s="7"/>
      <c r="AF52" s="7"/>
    </row>
    <row r="53" spans="1:32" ht="13.8" thickBot="1">
      <c r="A53" s="1003" t="s">
        <v>69</v>
      </c>
      <c r="C53" s="7"/>
      <c r="D53" s="2293">
        <f>'OUTPUTS &amp; Inputs'!C137</f>
        <v>2.5526999999999997</v>
      </c>
      <c r="E53" s="556">
        <f>'OUTPUTS &amp; Inputs'!D137</f>
        <v>2.9742999999999999</v>
      </c>
      <c r="F53" s="560">
        <f>'OUTPUTS &amp; Inputs'!E137</f>
        <v>3.3959000000000001</v>
      </c>
      <c r="G53" s="556">
        <f>'OUTPUTS &amp; Inputs'!F137</f>
        <v>3.6160999999999999</v>
      </c>
      <c r="H53" s="556">
        <f>'OUTPUTS &amp; Inputs'!G137</f>
        <v>3.8363</v>
      </c>
      <c r="I53" s="561">
        <f>'OUTPUTS &amp; Inputs'!H137</f>
        <v>4.0564999999999998</v>
      </c>
      <c r="J53" s="556">
        <f>'OUTPUTS &amp; Inputs'!I137</f>
        <v>4.1781500000000005</v>
      </c>
      <c r="K53" s="2286">
        <f>'OUTPUTS &amp; Inputs'!J137</f>
        <v>4.2998000000000003</v>
      </c>
      <c r="M53" s="216"/>
      <c r="N53" s="217"/>
      <c r="O53" s="217"/>
      <c r="P53" s="217"/>
      <c r="Q53" s="217"/>
      <c r="R53" s="217"/>
      <c r="S53" s="217"/>
      <c r="T53" s="217"/>
      <c r="U53" s="217"/>
      <c r="V53" s="221"/>
      <c r="X53" s="2306" t="s">
        <v>1798</v>
      </c>
      <c r="Y53" s="460">
        <f>5+P61</f>
        <v>9</v>
      </c>
      <c r="Z53" s="95"/>
      <c r="AA53" s="217"/>
      <c r="AB53" s="2304"/>
      <c r="AD53" s="7"/>
      <c r="AE53" s="7"/>
      <c r="AF53" s="7"/>
    </row>
    <row r="54" spans="1:32" ht="13.8" thickBot="1">
      <c r="A54" s="1003" t="s">
        <v>70</v>
      </c>
      <c r="C54" s="7"/>
      <c r="D54" s="2293">
        <f>'OUTPUTS &amp; Inputs'!C138</f>
        <v>2.6638999999999999</v>
      </c>
      <c r="E54" s="556">
        <f>'OUTPUTS &amp; Inputs'!D138</f>
        <v>3.0922499999999999</v>
      </c>
      <c r="F54" s="560">
        <f>'OUTPUTS &amp; Inputs'!E138</f>
        <v>3.5206</v>
      </c>
      <c r="G54" s="556">
        <f>'OUTPUTS &amp; Inputs'!F138</f>
        <v>3.7473000000000001</v>
      </c>
      <c r="H54" s="556">
        <f>'OUTPUTS &amp; Inputs'!G138</f>
        <v>3.9740000000000002</v>
      </c>
      <c r="I54" s="561">
        <f>'OUTPUTS &amp; Inputs'!H138</f>
        <v>4.2007000000000003</v>
      </c>
      <c r="J54" s="556">
        <f>'OUTPUTS &amp; Inputs'!I138</f>
        <v>4.2973499999999998</v>
      </c>
      <c r="K54" s="2286">
        <f>'OUTPUTS &amp; Inputs'!J138</f>
        <v>4.3940000000000001</v>
      </c>
      <c r="M54" s="216" t="s">
        <v>420</v>
      </c>
      <c r="N54" s="217"/>
      <c r="O54" s="199">
        <v>5.4800000000000001E-2</v>
      </c>
      <c r="P54" s="217"/>
      <c r="Q54" s="217"/>
      <c r="R54" s="217"/>
      <c r="S54" s="217"/>
      <c r="T54" s="217"/>
      <c r="U54" s="217"/>
      <c r="V54" s="222"/>
      <c r="X54" s="2307" t="s">
        <v>1799</v>
      </c>
      <c r="Y54" s="2301">
        <f>Y52/Y53</f>
        <v>1933.3333333333333</v>
      </c>
      <c r="Z54" s="1258" t="s">
        <v>1148</v>
      </c>
      <c r="AA54" s="2299"/>
      <c r="AB54" s="2305"/>
    </row>
    <row r="55" spans="1:32">
      <c r="A55" s="1005" t="s">
        <v>71</v>
      </c>
      <c r="C55" s="7"/>
      <c r="D55" s="2293">
        <f>'OUTPUTS &amp; Inputs'!C139</f>
        <v>3.1474000000000002</v>
      </c>
      <c r="E55" s="556">
        <f>'OUTPUTS &amp; Inputs'!D139</f>
        <v>3.6794000000000002</v>
      </c>
      <c r="F55" s="560">
        <f>'OUTPUTS &amp; Inputs'!E139</f>
        <v>4.2114000000000003</v>
      </c>
      <c r="G55" s="556">
        <f>'OUTPUTS &amp; Inputs'!F139</f>
        <v>4.4847333333333337</v>
      </c>
      <c r="H55" s="556">
        <f>'OUTPUTS &amp; Inputs'!G139</f>
        <v>4.7580666666666662</v>
      </c>
      <c r="I55" s="561">
        <f>'OUTPUTS &amp; Inputs'!H139</f>
        <v>5.0313999999999997</v>
      </c>
      <c r="J55" s="556">
        <f>'OUTPUTS &amp; Inputs'!I139</f>
        <v>5.0970999999999993</v>
      </c>
      <c r="K55" s="2286">
        <f>'OUTPUTS &amp; Inputs'!J139</f>
        <v>5.1627999999999998</v>
      </c>
      <c r="M55" s="216"/>
      <c r="N55" s="217"/>
      <c r="O55" s="217"/>
      <c r="P55" s="217"/>
      <c r="Q55" s="217"/>
      <c r="R55" s="217"/>
      <c r="S55" s="217"/>
      <c r="T55" s="217"/>
      <c r="U55" s="217"/>
      <c r="V55" s="221"/>
      <c r="X55" s="2309"/>
      <c r="Y55" s="2310"/>
      <c r="Z55" s="2311"/>
      <c r="AA55" s="2312"/>
      <c r="AB55" s="2316"/>
    </row>
    <row r="56" spans="1:32">
      <c r="A56" s="1004" t="s">
        <v>334</v>
      </c>
      <c r="C56" s="7"/>
      <c r="D56" s="2292">
        <f>'OUTPUTS &amp; Inputs'!C140</f>
        <v>3.2775500000000002</v>
      </c>
      <c r="E56" s="556">
        <f>'OUTPUTS &amp; Inputs'!D140</f>
        <v>3.9935749999999999</v>
      </c>
      <c r="F56" s="556">
        <f>'OUTPUTS &amp; Inputs'!E140</f>
        <v>4.7096</v>
      </c>
      <c r="G56" s="556">
        <f>'OUTPUTS &amp; Inputs'!F140</f>
        <v>5.0823666666666671</v>
      </c>
      <c r="H56" s="556">
        <f>'OUTPUTS &amp; Inputs'!G140</f>
        <v>5.4551333333333325</v>
      </c>
      <c r="I56" s="557">
        <f>'OUTPUTS &amp; Inputs'!H140</f>
        <v>5.8278999999999996</v>
      </c>
      <c r="J56" s="556">
        <f>'OUTPUTS &amp; Inputs'!I140</f>
        <v>5.9238749999999998</v>
      </c>
      <c r="K56" s="2285">
        <f>'OUTPUTS &amp; Inputs'!J140</f>
        <v>6.0198499999999999</v>
      </c>
      <c r="M56" s="218" t="s">
        <v>421</v>
      </c>
      <c r="N56" s="219"/>
      <c r="O56" s="219"/>
      <c r="P56" s="219"/>
      <c r="Q56" s="219"/>
      <c r="R56" s="219"/>
      <c r="S56" s="219"/>
      <c r="T56" s="219"/>
      <c r="U56" s="219"/>
      <c r="V56" s="222"/>
      <c r="X56" s="2306" t="s">
        <v>443</v>
      </c>
      <c r="Y56" s="95"/>
      <c r="Z56" s="95"/>
      <c r="AA56" s="2298"/>
      <c r="AB56" s="2304"/>
    </row>
    <row r="57" spans="1:32">
      <c r="A57" s="1003" t="s">
        <v>119</v>
      </c>
      <c r="C57" s="7"/>
      <c r="D57" s="2293">
        <f>'OUTPUTS &amp; Inputs'!C141</f>
        <v>3.4077000000000002</v>
      </c>
      <c r="E57" s="556">
        <f>'OUTPUTS &amp; Inputs'!D141</f>
        <v>4.3077500000000004</v>
      </c>
      <c r="F57" s="560">
        <f>'OUTPUTS &amp; Inputs'!E141</f>
        <v>5.2077999999999998</v>
      </c>
      <c r="G57" s="556">
        <f>'OUTPUTS &amp; Inputs'!F141</f>
        <v>5.68</v>
      </c>
      <c r="H57" s="556">
        <f>'OUTPUTS &amp; Inputs'!G141</f>
        <v>6.1521999999999997</v>
      </c>
      <c r="I57" s="561">
        <f>'OUTPUTS &amp; Inputs'!H141</f>
        <v>6.6243999999999996</v>
      </c>
      <c r="J57" s="556">
        <f>'OUTPUTS &amp; Inputs'!I141</f>
        <v>6.7506500000000003</v>
      </c>
      <c r="K57" s="2286">
        <f>'OUTPUTS &amp; Inputs'!J141</f>
        <v>6.8769</v>
      </c>
      <c r="M57" s="216" t="s">
        <v>422</v>
      </c>
      <c r="N57" s="217"/>
      <c r="O57" s="217"/>
      <c r="P57" s="197">
        <v>10000</v>
      </c>
      <c r="Q57" s="217" t="s">
        <v>423</v>
      </c>
      <c r="R57" s="217"/>
      <c r="S57" s="217"/>
      <c r="T57" s="217"/>
      <c r="U57" s="217"/>
      <c r="V57" s="220"/>
      <c r="X57" s="31" t="s">
        <v>1806</v>
      </c>
      <c r="Y57" s="2308">
        <v>1</v>
      </c>
      <c r="Z57" s="95"/>
      <c r="AA57" s="3"/>
      <c r="AB57" s="35"/>
    </row>
    <row r="58" spans="1:32">
      <c r="A58" s="1006" t="s">
        <v>333</v>
      </c>
      <c r="C58" s="7"/>
      <c r="D58" s="2294">
        <f>'OUTPUTS &amp; Inputs'!C142</f>
        <v>3.5378500000000002</v>
      </c>
      <c r="E58" s="556">
        <f>'OUTPUTS &amp; Inputs'!D142</f>
        <v>4.6219250000000001</v>
      </c>
      <c r="F58" s="564">
        <f>'OUTPUTS &amp; Inputs'!E142</f>
        <v>5.7059999999999995</v>
      </c>
      <c r="G58" s="556">
        <f>'OUTPUTS &amp; Inputs'!F142</f>
        <v>6.2776333333333332</v>
      </c>
      <c r="H58" s="556">
        <f>'OUTPUTS &amp; Inputs'!G142</f>
        <v>6.8492666666666659</v>
      </c>
      <c r="I58" s="565">
        <f>'OUTPUTS &amp; Inputs'!H142</f>
        <v>7.4208999999999996</v>
      </c>
      <c r="J58" s="556">
        <f>'OUTPUTS &amp; Inputs'!I142</f>
        <v>7.0544075902335459</v>
      </c>
      <c r="K58" s="2287">
        <f>'OUTPUTS &amp; Inputs'!J142</f>
        <v>7.7339500000000001</v>
      </c>
      <c r="M58" s="216" t="s">
        <v>424</v>
      </c>
      <c r="N58" s="217"/>
      <c r="O58" s="217"/>
      <c r="P58" s="197">
        <v>25000</v>
      </c>
      <c r="Q58" s="217" t="s">
        <v>425</v>
      </c>
      <c r="R58" s="217"/>
      <c r="S58" s="217"/>
      <c r="T58" s="217"/>
      <c r="U58" s="217"/>
      <c r="V58" s="221"/>
      <c r="X58" s="2313" t="s">
        <v>1800</v>
      </c>
      <c r="Y58" s="99" t="s">
        <v>1801</v>
      </c>
      <c r="Z58" s="2298"/>
      <c r="AA58" s="3"/>
      <c r="AB58" s="35"/>
    </row>
    <row r="59" spans="1:32">
      <c r="A59" s="1006" t="s">
        <v>111</v>
      </c>
      <c r="C59" s="7"/>
      <c r="D59" s="2294">
        <f>'OUTPUTS &amp; Inputs'!C143</f>
        <v>3.6680000000000001</v>
      </c>
      <c r="E59" s="556">
        <f>'OUTPUTS &amp; Inputs'!D143</f>
        <v>4.9360999999999997</v>
      </c>
      <c r="F59" s="564">
        <f>'OUTPUTS &amp; Inputs'!E143</f>
        <v>6.2041999999999993</v>
      </c>
      <c r="G59" s="556">
        <f>'OUTPUTS &amp; Inputs'!F143</f>
        <v>6.8752666666666657</v>
      </c>
      <c r="H59" s="556">
        <f>'OUTPUTS &amp; Inputs'!G143</f>
        <v>7.5463333333333331</v>
      </c>
      <c r="I59" s="565">
        <f>'OUTPUTS &amp; Inputs'!H143</f>
        <v>8.2173999999999996</v>
      </c>
      <c r="J59" s="556">
        <f>'OUTPUTS &amp; Inputs'!I143</f>
        <v>7.3581651804670916</v>
      </c>
      <c r="K59" s="2287">
        <f>'OUTPUTS &amp; Inputs'!J143</f>
        <v>8.5910000000000011</v>
      </c>
      <c r="M59" s="216" t="s">
        <v>426</v>
      </c>
      <c r="N59" s="217"/>
      <c r="O59" s="217"/>
      <c r="P59" s="197">
        <v>2000</v>
      </c>
      <c r="Q59" s="217"/>
      <c r="R59" s="217"/>
      <c r="S59" s="217"/>
      <c r="T59" s="217"/>
      <c r="U59" s="217"/>
      <c r="V59" s="221"/>
      <c r="X59" s="2314" t="s">
        <v>1807</v>
      </c>
      <c r="Y59" s="3"/>
      <c r="Z59" s="3"/>
      <c r="AA59" s="3"/>
      <c r="AB59" s="2304"/>
    </row>
    <row r="60" spans="1:32">
      <c r="A60" s="1007" t="s">
        <v>335</v>
      </c>
      <c r="C60" s="7"/>
      <c r="D60" s="2294">
        <f>'OUTPUTS &amp; Inputs'!C144</f>
        <v>3.7721200000000001</v>
      </c>
      <c r="E60" s="556">
        <f>'OUTPUTS &amp; Inputs'!D144</f>
        <v>5.1874399999999996</v>
      </c>
      <c r="F60" s="564">
        <f>'OUTPUTS &amp; Inputs'!E144</f>
        <v>6.6027599999999991</v>
      </c>
      <c r="G60" s="556">
        <f>'OUTPUTS &amp; Inputs'!F144</f>
        <v>7.3533733333333329</v>
      </c>
      <c r="H60" s="556">
        <f>'OUTPUTS &amp; Inputs'!G144</f>
        <v>8.1039866666666658</v>
      </c>
      <c r="I60" s="565">
        <f>'OUTPUTS &amp; Inputs'!H144</f>
        <v>8.8545999999999996</v>
      </c>
      <c r="J60" s="556">
        <f>'OUTPUTS &amp; Inputs'!I144</f>
        <v>9.0656200000000009</v>
      </c>
      <c r="K60" s="2287">
        <f>'OUTPUTS &amp; Inputs'!J144</f>
        <v>9.2766400000000022</v>
      </c>
      <c r="M60" s="214" t="s">
        <v>427</v>
      </c>
      <c r="N60" s="215"/>
      <c r="O60" s="215"/>
      <c r="P60" s="200"/>
      <c r="Q60" s="215"/>
      <c r="R60" s="215"/>
      <c r="S60" s="215"/>
      <c r="T60" s="215"/>
      <c r="U60" s="215"/>
      <c r="V60" s="221"/>
      <c r="X60" s="2313" t="s">
        <v>1808</v>
      </c>
      <c r="Y60" s="3" t="s">
        <v>1809</v>
      </c>
      <c r="Z60" s="3"/>
      <c r="AA60" s="3"/>
      <c r="AB60" s="2304"/>
    </row>
    <row r="61" spans="1:32">
      <c r="A61" s="1008" t="s">
        <v>114</v>
      </c>
      <c r="C61" s="7"/>
      <c r="D61" s="2295">
        <f>'OUTPUTS &amp; Inputs'!C145</f>
        <v>3.855416</v>
      </c>
      <c r="E61" s="568">
        <f>'OUTPUTS &amp; Inputs'!D145</f>
        <v>5.3885119999999995</v>
      </c>
      <c r="F61" s="569">
        <f>'OUTPUTS &amp; Inputs'!E145</f>
        <v>6.9216079999999991</v>
      </c>
      <c r="G61" s="568">
        <f>'OUTPUTS &amp; Inputs'!F145</f>
        <v>7.7358586666666662</v>
      </c>
      <c r="H61" s="568">
        <f>'OUTPUTS &amp; Inputs'!G145</f>
        <v>8.5501093333333333</v>
      </c>
      <c r="I61" s="570">
        <f>'OUTPUTS &amp; Inputs'!H145</f>
        <v>9.3643599999999996</v>
      </c>
      <c r="J61" s="568">
        <f>'OUTPUTS &amp; Inputs'!I145</f>
        <v>9.5947560000000003</v>
      </c>
      <c r="K61" s="2288">
        <f>'OUTPUTS &amp; Inputs'!J145</f>
        <v>9.8251520000000028</v>
      </c>
      <c r="M61" s="216" t="s">
        <v>428</v>
      </c>
      <c r="N61" s="217"/>
      <c r="O61" s="217"/>
      <c r="P61" s="201">
        <f>ROUND(N52/AVERAGE(N47:N51),0)</f>
        <v>4</v>
      </c>
      <c r="Q61" s="217" t="s">
        <v>429</v>
      </c>
      <c r="R61" s="217"/>
      <c r="S61" s="217"/>
      <c r="T61" s="217"/>
      <c r="U61" s="217"/>
      <c r="V61" s="221"/>
      <c r="X61" s="2315" t="s">
        <v>1713</v>
      </c>
      <c r="Y61" s="99" t="s">
        <v>1813</v>
      </c>
      <c r="Z61" s="3"/>
      <c r="AA61" s="3"/>
      <c r="AB61" s="35"/>
    </row>
    <row r="62" spans="1:32">
      <c r="A62" s="1631" t="s">
        <v>1029</v>
      </c>
      <c r="B62" s="1632"/>
      <c r="C62" s="11" t="s">
        <v>411</v>
      </c>
      <c r="D62" s="2296">
        <f>'OUTPUTS &amp; Inputs'!C146</f>
        <v>3</v>
      </c>
      <c r="E62" s="196">
        <f>'OUTPUTS &amp; Inputs'!D146</f>
        <v>4</v>
      </c>
      <c r="F62" s="195">
        <f>'OUTPUTS &amp; Inputs'!E146</f>
        <v>5</v>
      </c>
      <c r="G62" s="196">
        <f>'OUTPUTS &amp; Inputs'!F146</f>
        <v>6</v>
      </c>
      <c r="H62" s="196">
        <f>'OUTPUTS &amp; Inputs'!G146</f>
        <v>7</v>
      </c>
      <c r="I62" s="2282">
        <f>'OUTPUTS &amp; Inputs'!H146</f>
        <v>8</v>
      </c>
      <c r="J62" s="196">
        <f>'OUTPUTS &amp; Inputs'!I146</f>
        <v>9</v>
      </c>
      <c r="K62" s="2289">
        <f>'OUTPUTS &amp; Inputs'!J146</f>
        <v>10</v>
      </c>
      <c r="M62" s="214"/>
      <c r="N62" s="215"/>
      <c r="O62" s="215"/>
      <c r="P62" s="215"/>
      <c r="Q62" s="217" t="s">
        <v>430</v>
      </c>
      <c r="R62" s="215"/>
      <c r="S62" s="215"/>
      <c r="T62" s="215"/>
      <c r="U62" s="215"/>
      <c r="V62" s="221"/>
      <c r="X62" s="2318"/>
      <c r="Y62" s="2299"/>
      <c r="Z62" s="2299"/>
      <c r="AA62" s="2299"/>
      <c r="AB62" s="2317"/>
    </row>
    <row r="63" spans="1:32">
      <c r="A63" s="1003" t="s">
        <v>67</v>
      </c>
      <c r="C63" s="7"/>
      <c r="D63" s="2291">
        <f>'OUTPUTS &amp; Inputs'!C147</f>
        <v>1.9253</v>
      </c>
      <c r="E63" s="551">
        <f>'OUTPUTS &amp; Inputs'!D147</f>
        <v>2.1547999999999998</v>
      </c>
      <c r="F63" s="552">
        <f>'OUTPUTS &amp; Inputs'!E147</f>
        <v>2.3843000000000001</v>
      </c>
      <c r="G63" s="551">
        <f>'OUTPUTS &amp; Inputs'!F147</f>
        <v>2.6815666666666669</v>
      </c>
      <c r="H63" s="551">
        <f>'OUTPUTS &amp; Inputs'!G147</f>
        <v>2.9788333333333332</v>
      </c>
      <c r="I63" s="553">
        <f>'OUTPUTS &amp; Inputs'!H147</f>
        <v>3.2761</v>
      </c>
      <c r="J63" s="551">
        <f>'OUTPUTS &amp; Inputs'!I147</f>
        <v>3.37195</v>
      </c>
      <c r="K63" s="2284">
        <f>'OUTPUTS &amp; Inputs'!J147</f>
        <v>3.4678</v>
      </c>
      <c r="M63" s="218" t="s">
        <v>431</v>
      </c>
      <c r="N63" s="219"/>
      <c r="O63" s="219"/>
      <c r="P63" s="219"/>
      <c r="Q63" s="219"/>
      <c r="R63" s="219"/>
      <c r="S63" s="219"/>
      <c r="T63" s="219"/>
      <c r="U63" s="219"/>
      <c r="V63" s="221"/>
      <c r="X63" s="2319" t="s">
        <v>1811</v>
      </c>
      <c r="Y63" s="2320">
        <f>O54</f>
        <v>5.4800000000000001E-2</v>
      </c>
      <c r="Z63" s="2311"/>
      <c r="AA63" s="2321"/>
      <c r="AB63" s="2322"/>
    </row>
    <row r="64" spans="1:32">
      <c r="A64" s="1004" t="s">
        <v>68</v>
      </c>
      <c r="C64" s="7"/>
      <c r="D64" s="2292">
        <f>'OUTPUTS &amp; Inputs'!C148</f>
        <v>2.2683499999999999</v>
      </c>
      <c r="E64" s="556">
        <f>'OUTPUTS &amp; Inputs'!D148</f>
        <v>2.5891250000000001</v>
      </c>
      <c r="F64" s="556">
        <f>'OUTPUTS &amp; Inputs'!E148</f>
        <v>2.9099000000000004</v>
      </c>
      <c r="G64" s="556">
        <f>'OUTPUTS &amp; Inputs'!F148</f>
        <v>3.1443833333333338</v>
      </c>
      <c r="H64" s="556">
        <f>'OUTPUTS &amp; Inputs'!G148</f>
        <v>3.3788666666666667</v>
      </c>
      <c r="I64" s="557">
        <f>'OUTPUTS &amp; Inputs'!H148</f>
        <v>3.6133500000000001</v>
      </c>
      <c r="J64" s="556">
        <f>'OUTPUTS &amp; Inputs'!I148</f>
        <v>3.7482250000000001</v>
      </c>
      <c r="K64" s="2285">
        <f>'OUTPUTS &amp; Inputs'!J148</f>
        <v>3.8830999999999998</v>
      </c>
      <c r="M64" s="198" t="s">
        <v>416</v>
      </c>
      <c r="N64" s="198" t="s">
        <v>417</v>
      </c>
      <c r="O64" s="198" t="s">
        <v>410</v>
      </c>
      <c r="P64" s="217"/>
      <c r="Q64" s="217"/>
      <c r="R64" s="217"/>
      <c r="S64" s="217"/>
      <c r="T64" s="217"/>
      <c r="U64" s="217"/>
      <c r="V64" s="221"/>
      <c r="X64" s="2313" t="s">
        <v>1808</v>
      </c>
      <c r="Y64" s="1257">
        <f>(1-1/(1+Y63)^Y53)/Y63</f>
        <v>6.9583205132720973</v>
      </c>
      <c r="Z64" s="3"/>
      <c r="AA64" s="2298"/>
      <c r="AB64" s="35"/>
    </row>
    <row r="65" spans="1:28">
      <c r="A65" s="1003" t="s">
        <v>69</v>
      </c>
      <c r="C65" s="7"/>
      <c r="D65" s="2293">
        <f>'OUTPUTS &amp; Inputs'!C149</f>
        <v>2.6114000000000002</v>
      </c>
      <c r="E65" s="556">
        <f>'OUTPUTS &amp; Inputs'!D149</f>
        <v>3.0234500000000004</v>
      </c>
      <c r="F65" s="560">
        <f>'OUTPUTS &amp; Inputs'!E149</f>
        <v>3.4355000000000002</v>
      </c>
      <c r="G65" s="556">
        <f>'OUTPUTS &amp; Inputs'!F149</f>
        <v>3.6072000000000002</v>
      </c>
      <c r="H65" s="556">
        <f>'OUTPUTS &amp; Inputs'!G149</f>
        <v>3.7789000000000001</v>
      </c>
      <c r="I65" s="561">
        <f>'OUTPUTS &amp; Inputs'!H149</f>
        <v>3.9506000000000001</v>
      </c>
      <c r="J65" s="556">
        <f>'OUTPUTS &amp; Inputs'!I149</f>
        <v>4.1245000000000003</v>
      </c>
      <c r="K65" s="2286">
        <f>'OUTPUTS &amp; Inputs'!J149</f>
        <v>4.2984</v>
      </c>
      <c r="M65" s="202">
        <f>M47</f>
        <v>1</v>
      </c>
      <c r="N65" s="203">
        <f>N47</f>
        <v>2000</v>
      </c>
      <c r="O65" s="204">
        <f>N65/(1+$O$54)^M65</f>
        <v>1896.0940462646947</v>
      </c>
      <c r="P65" s="217"/>
      <c r="Q65" s="217"/>
      <c r="R65" s="217"/>
      <c r="S65" s="217"/>
      <c r="T65" s="217"/>
      <c r="U65" s="217"/>
      <c r="V65" s="221"/>
      <c r="X65" s="2306" t="s">
        <v>1810</v>
      </c>
      <c r="Y65" s="464">
        <f>Y54*Y64</f>
        <v>13452.752992326054</v>
      </c>
      <c r="Z65" s="3686" t="s">
        <v>1812</v>
      </c>
      <c r="AA65" s="3686"/>
      <c r="AB65" s="3687"/>
    </row>
    <row r="66" spans="1:28">
      <c r="A66" s="1003" t="s">
        <v>70</v>
      </c>
      <c r="C66" s="7"/>
      <c r="D66" s="2293">
        <f>'OUTPUTS &amp; Inputs'!C150</f>
        <v>3.0844999999999998</v>
      </c>
      <c r="E66" s="556">
        <f>'OUTPUTS &amp; Inputs'!D150</f>
        <v>3.5324999999999998</v>
      </c>
      <c r="F66" s="560">
        <f>'OUTPUTS &amp; Inputs'!E150</f>
        <v>3.9805000000000001</v>
      </c>
      <c r="G66" s="556">
        <f>'OUTPUTS &amp; Inputs'!F150</f>
        <v>4.0835333333333335</v>
      </c>
      <c r="H66" s="556">
        <f>'OUTPUTS &amp; Inputs'!G150</f>
        <v>4.1865666666666668</v>
      </c>
      <c r="I66" s="561">
        <f>'OUTPUTS &amp; Inputs'!H150</f>
        <v>4.2896000000000001</v>
      </c>
      <c r="J66" s="556">
        <f>'OUTPUTS &amp; Inputs'!I150</f>
        <v>4.3565500000000004</v>
      </c>
      <c r="K66" s="2286">
        <f>'OUTPUTS &amp; Inputs'!J150</f>
        <v>4.4234999999999998</v>
      </c>
      <c r="M66" s="202">
        <f t="shared" ref="M66:N69" si="49">M48</f>
        <v>2</v>
      </c>
      <c r="N66" s="203">
        <f t="shared" si="49"/>
        <v>2000</v>
      </c>
      <c r="O66" s="204">
        <f>N66/(1+$O$54)^M66</f>
        <v>1797.5863161402112</v>
      </c>
      <c r="P66" s="217"/>
      <c r="Q66" s="217"/>
      <c r="R66" s="217"/>
      <c r="S66" s="217"/>
      <c r="T66" s="217"/>
      <c r="U66" s="217"/>
      <c r="V66" s="221"/>
      <c r="X66" s="2323"/>
      <c r="Y66" s="95"/>
      <c r="Z66" s="3686"/>
      <c r="AA66" s="3686"/>
      <c r="AB66" s="3687"/>
    </row>
    <row r="67" spans="1:28">
      <c r="A67" s="1005" t="s">
        <v>71</v>
      </c>
      <c r="C67" s="7"/>
      <c r="D67" s="2293">
        <f>'OUTPUTS &amp; Inputs'!C151</f>
        <v>3.5865999999999998</v>
      </c>
      <c r="E67" s="556">
        <f>'OUTPUTS &amp; Inputs'!D151</f>
        <v>4.1591000000000005</v>
      </c>
      <c r="F67" s="560">
        <f>'OUTPUTS &amp; Inputs'!E151</f>
        <v>4.7316000000000003</v>
      </c>
      <c r="G67" s="556">
        <f>'OUTPUTS &amp; Inputs'!F151</f>
        <v>5.0021000000000004</v>
      </c>
      <c r="H67" s="556">
        <f>'OUTPUTS &amp; Inputs'!G151</f>
        <v>5.2725999999999997</v>
      </c>
      <c r="I67" s="561">
        <f>'OUTPUTS &amp; Inputs'!H151</f>
        <v>5.5430999999999999</v>
      </c>
      <c r="J67" s="556">
        <f>'OUTPUTS &amp; Inputs'!I151</f>
        <v>5.6033499999999998</v>
      </c>
      <c r="K67" s="2286">
        <f>'OUTPUTS &amp; Inputs'!J151</f>
        <v>5.6635999999999997</v>
      </c>
      <c r="M67" s="202">
        <f t="shared" si="49"/>
        <v>3</v>
      </c>
      <c r="N67" s="203">
        <f t="shared" si="49"/>
        <v>2000</v>
      </c>
      <c r="O67" s="204">
        <f>N67/(1+$O$54)^M67</f>
        <v>1704.1963558401701</v>
      </c>
      <c r="P67" s="217"/>
      <c r="Q67" s="217"/>
      <c r="R67" s="217"/>
      <c r="S67" s="217"/>
      <c r="T67" s="217"/>
      <c r="U67" s="217"/>
      <c r="V67" s="221"/>
      <c r="X67" s="100"/>
      <c r="Y67" s="2123"/>
      <c r="Z67" s="3691"/>
      <c r="AA67" s="3691"/>
      <c r="AB67" s="3692"/>
    </row>
    <row r="68" spans="1:28">
      <c r="A68" s="1004" t="s">
        <v>334</v>
      </c>
      <c r="C68" s="7"/>
      <c r="D68" s="2292">
        <f>'OUTPUTS &amp; Inputs'!C152</f>
        <v>4.4410499999999997</v>
      </c>
      <c r="E68" s="556">
        <f>'OUTPUTS &amp; Inputs'!D152</f>
        <v>5.0649250000000006</v>
      </c>
      <c r="F68" s="556">
        <f>'OUTPUTS &amp; Inputs'!E152</f>
        <v>5.6888000000000005</v>
      </c>
      <c r="G68" s="556">
        <f>'OUTPUTS &amp; Inputs'!F152</f>
        <v>6.0148166666666665</v>
      </c>
      <c r="H68" s="556">
        <f>'OUTPUTS &amp; Inputs'!G152</f>
        <v>6.3408333333333324</v>
      </c>
      <c r="I68" s="557">
        <f>'OUTPUTS &amp; Inputs'!H152</f>
        <v>6.6668500000000002</v>
      </c>
      <c r="J68" s="556">
        <f>'OUTPUTS &amp; Inputs'!I152</f>
        <v>6.7198250000000002</v>
      </c>
      <c r="K68" s="2285">
        <f>'OUTPUTS &amp; Inputs'!J152</f>
        <v>6.7728000000000002</v>
      </c>
      <c r="M68" s="202">
        <f t="shared" si="49"/>
        <v>4</v>
      </c>
      <c r="N68" s="203">
        <f t="shared" si="49"/>
        <v>1800</v>
      </c>
      <c r="O68" s="204">
        <f>N68/(1+$O$54)^M68</f>
        <v>1454.092453788541</v>
      </c>
      <c r="P68" s="217"/>
      <c r="Q68" s="217"/>
      <c r="R68" s="217"/>
      <c r="S68" s="217"/>
      <c r="T68" s="217"/>
      <c r="U68" s="217"/>
      <c r="V68" s="221"/>
      <c r="X68" s="2302"/>
      <c r="Y68" s="2302"/>
      <c r="Z68" s="2302"/>
      <c r="AA68" s="2303"/>
      <c r="AB68" s="2297"/>
    </row>
    <row r="69" spans="1:28">
      <c r="A69" s="1003" t="s">
        <v>119</v>
      </c>
      <c r="C69" s="7"/>
      <c r="D69" s="2293">
        <f>'OUTPUTS &amp; Inputs'!C153</f>
        <v>5.2954999999999997</v>
      </c>
      <c r="E69" s="556">
        <f>'OUTPUTS &amp; Inputs'!D153</f>
        <v>5.9707499999999998</v>
      </c>
      <c r="F69" s="560">
        <f>'OUTPUTS &amp; Inputs'!E153</f>
        <v>6.6459999999999999</v>
      </c>
      <c r="G69" s="556">
        <f>'OUTPUTS &amp; Inputs'!F153</f>
        <v>7.0275333333333334</v>
      </c>
      <c r="H69" s="556">
        <f>'OUTPUTS &amp; Inputs'!G153</f>
        <v>7.409066666666666</v>
      </c>
      <c r="I69" s="561">
        <f>'OUTPUTS &amp; Inputs'!H153</f>
        <v>7.7905999999999995</v>
      </c>
      <c r="J69" s="556">
        <f>'OUTPUTS &amp; Inputs'!I153</f>
        <v>7.8362999999999996</v>
      </c>
      <c r="K69" s="2286">
        <f>'OUTPUTS &amp; Inputs'!J153</f>
        <v>7.8819999999999997</v>
      </c>
      <c r="M69" s="202">
        <f t="shared" si="49"/>
        <v>5</v>
      </c>
      <c r="N69" s="203">
        <f t="shared" si="49"/>
        <v>1600</v>
      </c>
      <c r="O69" s="204">
        <f>N69/(1+$O$54)^M69</f>
        <v>1225.3760197097213</v>
      </c>
      <c r="P69" s="217"/>
      <c r="Q69" s="217"/>
      <c r="R69" s="217"/>
      <c r="S69" s="217"/>
      <c r="T69" s="217"/>
      <c r="U69" s="217"/>
      <c r="V69" s="221"/>
    </row>
    <row r="70" spans="1:28" ht="13.8" thickBot="1">
      <c r="A70" s="1006" t="s">
        <v>333</v>
      </c>
      <c r="C70" s="7"/>
      <c r="D70" s="2294">
        <f>'OUTPUTS &amp; Inputs'!C154</f>
        <v>6.1499499999999996</v>
      </c>
      <c r="E70" s="556">
        <f>'OUTPUTS &amp; Inputs'!D154</f>
        <v>6.876574999999999</v>
      </c>
      <c r="F70" s="564">
        <f>'OUTPUTS &amp; Inputs'!E154</f>
        <v>7.6031999999999993</v>
      </c>
      <c r="G70" s="556">
        <f>'OUTPUTS &amp; Inputs'!F154</f>
        <v>8.0402499999999986</v>
      </c>
      <c r="H70" s="556">
        <f>'OUTPUTS &amp; Inputs'!G154</f>
        <v>8.4772999999999996</v>
      </c>
      <c r="I70" s="565">
        <f>'OUTPUTS &amp; Inputs'!H154</f>
        <v>8.9143499999999989</v>
      </c>
      <c r="J70" s="556">
        <f>'OUTPUTS &amp; Inputs'!I154</f>
        <v>8.1400575902335461</v>
      </c>
      <c r="K70" s="2287">
        <f>'OUTPUTS &amp; Inputs'!J154</f>
        <v>8.9911999999999992</v>
      </c>
      <c r="M70" s="205" t="str">
        <f>M52</f>
        <v>6 and beyond</v>
      </c>
      <c r="N70" s="206">
        <f>IF(N52&gt;0,IF(P61&gt;1,N52/P61,N52),0)</f>
        <v>2000</v>
      </c>
      <c r="O70" s="207">
        <f>IF(P61&gt;0,(N70*(1-(1+O54)^(-P61))/O54)/(1+$O$54)^5,N70/(1+O54)^6)</f>
        <v>5371.3860016747049</v>
      </c>
      <c r="P70" s="217" t="s">
        <v>432</v>
      </c>
      <c r="Q70" s="217"/>
      <c r="R70" s="217"/>
      <c r="S70" s="217"/>
      <c r="T70" s="217"/>
      <c r="U70" s="217"/>
      <c r="V70" s="35"/>
      <c r="X70"/>
      <c r="Y70"/>
      <c r="Z70"/>
      <c r="AB70" s="1"/>
    </row>
    <row r="71" spans="1:28" ht="13.8" thickBot="1">
      <c r="A71" s="1006" t="s">
        <v>111</v>
      </c>
      <c r="C71" s="7"/>
      <c r="D71" s="2294">
        <f>'OUTPUTS &amp; Inputs'!C155</f>
        <v>7.0043999999999995</v>
      </c>
      <c r="E71" s="556">
        <f>'OUTPUTS &amp; Inputs'!D155</f>
        <v>7.7823999999999991</v>
      </c>
      <c r="F71" s="564">
        <f>'OUTPUTS &amp; Inputs'!E155</f>
        <v>8.5603999999999978</v>
      </c>
      <c r="G71" s="556">
        <f>'OUTPUTS &amp; Inputs'!F155</f>
        <v>9.0529666666666646</v>
      </c>
      <c r="H71" s="556">
        <f>'OUTPUTS &amp; Inputs'!G155</f>
        <v>9.5455333333333314</v>
      </c>
      <c r="I71" s="565">
        <f>'OUTPUTS &amp; Inputs'!H155</f>
        <v>10.038099999999998</v>
      </c>
      <c r="J71" s="556">
        <f>'OUTPUTS &amp; Inputs'!I155</f>
        <v>8.4438151804670927</v>
      </c>
      <c r="K71" s="2287">
        <f>'OUTPUTS &amp; Inputs'!J155</f>
        <v>10.100399999999999</v>
      </c>
      <c r="M71" s="223" t="s">
        <v>433</v>
      </c>
      <c r="N71" s="208"/>
      <c r="O71" s="209">
        <f>SUM(O65:O70)</f>
        <v>13448.731193418043</v>
      </c>
      <c r="P71" s="217"/>
      <c r="Q71" s="217"/>
      <c r="R71" s="217"/>
      <c r="S71" s="217"/>
      <c r="T71" s="217"/>
      <c r="U71" s="217"/>
      <c r="V71" s="35"/>
      <c r="X71"/>
      <c r="Y71"/>
      <c r="Z71"/>
      <c r="AB71" s="1"/>
    </row>
    <row r="72" spans="1:28">
      <c r="A72" s="1007" t="s">
        <v>335</v>
      </c>
      <c r="C72" s="7"/>
      <c r="D72" s="2294">
        <f>'OUTPUTS &amp; Inputs'!C156</f>
        <v>7.6879599999999995</v>
      </c>
      <c r="E72" s="556">
        <f>'OUTPUTS &amp; Inputs'!D156</f>
        <v>8.5070599999999974</v>
      </c>
      <c r="F72" s="564">
        <f>'OUTPUTS &amp; Inputs'!E156</f>
        <v>9.3261599999999962</v>
      </c>
      <c r="G72" s="556">
        <f>'OUTPUTS &amp; Inputs'!F156</f>
        <v>9.863139999999996</v>
      </c>
      <c r="H72" s="556">
        <f>'OUTPUTS &amp; Inputs'!G156</f>
        <v>10.400119999999998</v>
      </c>
      <c r="I72" s="565">
        <f>'OUTPUTS &amp; Inputs'!H156</f>
        <v>10.937099999999997</v>
      </c>
      <c r="J72" s="556">
        <f>'OUTPUTS &amp; Inputs'!I156</f>
        <v>10.962429999999998</v>
      </c>
      <c r="K72" s="2287">
        <f>'OUTPUTS &amp; Inputs'!J156</f>
        <v>10.987759999999998</v>
      </c>
      <c r="M72" s="216"/>
      <c r="N72" s="217"/>
      <c r="O72" s="217"/>
      <c r="P72" s="217"/>
      <c r="Q72" s="217"/>
      <c r="R72" s="217"/>
      <c r="S72" s="217"/>
      <c r="T72" s="217"/>
      <c r="U72" s="217"/>
      <c r="V72" s="35"/>
      <c r="X72"/>
      <c r="Y72"/>
      <c r="Z72"/>
    </row>
    <row r="73" spans="1:28" ht="13.8" thickBot="1">
      <c r="A73" s="1008" t="s">
        <v>114</v>
      </c>
      <c r="C73" s="7"/>
      <c r="D73" s="2295">
        <f>'OUTPUTS &amp; Inputs'!C157</f>
        <v>8.2348079999999992</v>
      </c>
      <c r="E73" s="568">
        <f>'OUTPUTS &amp; Inputs'!D157</f>
        <v>9.0867879999999968</v>
      </c>
      <c r="F73" s="569">
        <f>'OUTPUTS &amp; Inputs'!E157</f>
        <v>9.9387679999999943</v>
      </c>
      <c r="G73" s="568">
        <f>'OUTPUTS &amp; Inputs'!F157</f>
        <v>10.511278666666662</v>
      </c>
      <c r="H73" s="568">
        <f>'OUTPUTS &amp; Inputs'!G157</f>
        <v>11.083789333333328</v>
      </c>
      <c r="I73" s="570">
        <f>'OUTPUTS &amp; Inputs'!H157</f>
        <v>11.656299999999996</v>
      </c>
      <c r="J73" s="568">
        <f>'OUTPUTS &amp; Inputs'!I157</f>
        <v>11.676973999999998</v>
      </c>
      <c r="K73" s="2288">
        <f>'OUTPUTS &amp; Inputs'!J157</f>
        <v>11.697647999999997</v>
      </c>
      <c r="M73" s="218" t="s">
        <v>434</v>
      </c>
      <c r="N73" s="217"/>
      <c r="O73" s="217"/>
      <c r="P73" s="217"/>
      <c r="Q73" s="217"/>
      <c r="R73" s="217"/>
      <c r="S73" s="217"/>
      <c r="T73" s="217"/>
      <c r="U73" s="217"/>
      <c r="V73" s="35"/>
      <c r="X73" s="4" t="s">
        <v>1631</v>
      </c>
      <c r="Y73"/>
      <c r="Z73"/>
    </row>
    <row r="74" spans="1:28" ht="13.8" thickBot="1">
      <c r="A74" s="1631" t="s">
        <v>1030</v>
      </c>
      <c r="B74" s="1632"/>
      <c r="C74" s="11" t="s">
        <v>411</v>
      </c>
      <c r="D74" s="2296">
        <f>'OUTPUTS &amp; Inputs'!C158</f>
        <v>3</v>
      </c>
      <c r="E74" s="196">
        <f>'OUTPUTS &amp; Inputs'!D158</f>
        <v>4</v>
      </c>
      <c r="F74" s="195">
        <f>'OUTPUTS &amp; Inputs'!E158</f>
        <v>5</v>
      </c>
      <c r="G74" s="196">
        <f>'OUTPUTS &amp; Inputs'!F158</f>
        <v>6</v>
      </c>
      <c r="H74" s="196">
        <f>'OUTPUTS &amp; Inputs'!G158</f>
        <v>7</v>
      </c>
      <c r="I74" s="2282">
        <f>'OUTPUTS &amp; Inputs'!H158</f>
        <v>8</v>
      </c>
      <c r="J74" s="196">
        <f>'OUTPUTS &amp; Inputs'!I158</f>
        <v>9</v>
      </c>
      <c r="K74" s="2289">
        <f>'OUTPUTS &amp; Inputs'!J158</f>
        <v>10</v>
      </c>
      <c r="M74" s="216" t="s">
        <v>435</v>
      </c>
      <c r="N74" s="217"/>
      <c r="O74" s="217"/>
      <c r="P74" s="217"/>
      <c r="Q74" s="217"/>
      <c r="R74" s="209">
        <f>P57+O71*O54</f>
        <v>10736.990469399308</v>
      </c>
      <c r="S74" s="217"/>
      <c r="T74" s="217"/>
      <c r="U74" s="217"/>
      <c r="V74" s="35"/>
      <c r="X74" s="1823" t="s">
        <v>2578</v>
      </c>
      <c r="Y74" s="3099" t="s">
        <v>2579</v>
      </c>
      <c r="Z74"/>
      <c r="AB74" s="1"/>
    </row>
    <row r="75" spans="1:28" ht="13.8" thickBot="1">
      <c r="A75" s="1003" t="s">
        <v>67</v>
      </c>
      <c r="C75" s="191"/>
      <c r="D75" s="2291">
        <f>'OUTPUTS &amp; Inputs'!C159</f>
        <v>0.74229999999999996</v>
      </c>
      <c r="E75" s="551">
        <f>'OUTPUTS &amp; Inputs'!D159</f>
        <v>0.94055</v>
      </c>
      <c r="F75" s="552">
        <f>'OUTPUTS &amp; Inputs'!E159</f>
        <v>1.1388</v>
      </c>
      <c r="G75" s="551">
        <f>'OUTPUTS &amp; Inputs'!F159</f>
        <v>1.3980333333333335</v>
      </c>
      <c r="H75" s="551">
        <f>'OUTPUTS &amp; Inputs'!G159</f>
        <v>1.6572666666666667</v>
      </c>
      <c r="I75" s="553">
        <f>'OUTPUTS &amp; Inputs'!H159</f>
        <v>1.9165000000000001</v>
      </c>
      <c r="J75" s="551">
        <f>'OUTPUTS &amp; Inputs'!I159</f>
        <v>2.1565500000000002</v>
      </c>
      <c r="K75" s="2284">
        <f>'OUTPUTS &amp; Inputs'!J159</f>
        <v>2.3965999999999998</v>
      </c>
      <c r="M75" s="216" t="s">
        <v>436</v>
      </c>
      <c r="N75" s="217"/>
      <c r="O75" s="217"/>
      <c r="P75" s="217"/>
      <c r="Q75" s="217"/>
      <c r="R75" s="210">
        <f>P58+O71</f>
        <v>38448.731193418047</v>
      </c>
      <c r="S75" s="217"/>
      <c r="T75" s="217"/>
      <c r="U75" s="217"/>
      <c r="V75" s="35"/>
      <c r="X75" s="3693" t="s">
        <v>2580</v>
      </c>
      <c r="Y75" s="3693"/>
      <c r="Z75" s="3693"/>
      <c r="AA75" s="3693"/>
      <c r="AB75" s="3693"/>
    </row>
    <row r="76" spans="1:28">
      <c r="A76" s="1004" t="s">
        <v>68</v>
      </c>
      <c r="C76" s="192"/>
      <c r="D76" s="2292">
        <f>'OUTPUTS &amp; Inputs'!C160</f>
        <v>0.87229999999999996</v>
      </c>
      <c r="E76" s="556">
        <f>'OUTPUTS &amp; Inputs'!D160</f>
        <v>1.1142000000000001</v>
      </c>
      <c r="F76" s="556">
        <f>'OUTPUTS &amp; Inputs'!E160</f>
        <v>1.3561000000000001</v>
      </c>
      <c r="G76" s="556">
        <f>'OUTPUTS &amp; Inputs'!F160</f>
        <v>1.5951</v>
      </c>
      <c r="H76" s="556">
        <f>'OUTPUTS &amp; Inputs'!G160</f>
        <v>1.8340999999999998</v>
      </c>
      <c r="I76" s="557">
        <f>'OUTPUTS &amp; Inputs'!H160</f>
        <v>2.0731000000000002</v>
      </c>
      <c r="J76" s="556">
        <f>'OUTPUTS &amp; Inputs'!I160</f>
        <v>2.2617250000000002</v>
      </c>
      <c r="K76" s="2285">
        <f>'OUTPUTS &amp; Inputs'!J160</f>
        <v>2.4503500000000003</v>
      </c>
      <c r="M76" s="34"/>
      <c r="N76" s="2"/>
      <c r="O76" s="2"/>
      <c r="P76" s="2"/>
      <c r="Q76" s="2"/>
      <c r="R76" s="2"/>
      <c r="S76" s="2"/>
      <c r="T76" s="2"/>
      <c r="U76" s="2"/>
      <c r="V76" s="35"/>
      <c r="X76" s="3693"/>
      <c r="Y76" s="3693"/>
      <c r="Z76" s="3693"/>
      <c r="AA76" s="3693"/>
      <c r="AB76" s="3693"/>
    </row>
    <row r="77" spans="1:28">
      <c r="A77" s="1003" t="s">
        <v>69</v>
      </c>
      <c r="C77" s="191"/>
      <c r="D77" s="2293">
        <f>'OUTPUTS &amp; Inputs'!C161</f>
        <v>1.0023</v>
      </c>
      <c r="E77" s="556">
        <f>'OUTPUTS &amp; Inputs'!D161</f>
        <v>1.2878499999999999</v>
      </c>
      <c r="F77" s="560">
        <f>'OUTPUTS &amp; Inputs'!E161</f>
        <v>1.5733999999999999</v>
      </c>
      <c r="G77" s="556">
        <f>'OUTPUTS &amp; Inputs'!F161</f>
        <v>1.7921666666666665</v>
      </c>
      <c r="H77" s="556">
        <f>'OUTPUTS &amp; Inputs'!G161</f>
        <v>2.010933333333333</v>
      </c>
      <c r="I77" s="561">
        <f>'OUTPUTS &amp; Inputs'!H161</f>
        <v>2.2296999999999998</v>
      </c>
      <c r="J77" s="556">
        <f>'OUTPUTS &amp; Inputs'!I161</f>
        <v>2.3669000000000002</v>
      </c>
      <c r="K77" s="2286">
        <f>'OUTPUTS &amp; Inputs'!J161</f>
        <v>2.5041000000000002</v>
      </c>
      <c r="M77" s="34"/>
      <c r="N77" s="2"/>
      <c r="O77" s="2"/>
      <c r="P77" s="2"/>
      <c r="Q77" s="2"/>
      <c r="R77" s="2"/>
      <c r="S77" s="2"/>
      <c r="T77" s="2"/>
      <c r="U77" s="2"/>
      <c r="V77" s="35"/>
      <c r="X77" s="3693"/>
      <c r="Y77" s="3693"/>
      <c r="Z77" s="3693"/>
      <c r="AA77" s="3693"/>
      <c r="AB77" s="3693"/>
    </row>
    <row r="78" spans="1:28">
      <c r="A78" s="1003" t="s">
        <v>70</v>
      </c>
      <c r="C78" s="191"/>
      <c r="D78" s="2293">
        <f>'OUTPUTS &amp; Inputs'!C162</f>
        <v>1.2836000000000001</v>
      </c>
      <c r="E78" s="556">
        <f>'OUTPUTS &amp; Inputs'!D162</f>
        <v>1.6460500000000002</v>
      </c>
      <c r="F78" s="560">
        <f>'OUTPUTS &amp; Inputs'!E162</f>
        <v>2.0085000000000002</v>
      </c>
      <c r="G78" s="556">
        <f>'OUTPUTS &amp; Inputs'!F162</f>
        <v>2.1865333333333337</v>
      </c>
      <c r="H78" s="556">
        <f>'OUTPUTS &amp; Inputs'!G162</f>
        <v>2.3645666666666667</v>
      </c>
      <c r="I78" s="561">
        <f>'OUTPUTS &amp; Inputs'!H162</f>
        <v>2.5426000000000002</v>
      </c>
      <c r="J78" s="556">
        <f>'OUTPUTS &amp; Inputs'!I162</f>
        <v>2.8070500000000003</v>
      </c>
      <c r="K78" s="2286">
        <f>'OUTPUTS &amp; Inputs'!J162</f>
        <v>3.0714999999999999</v>
      </c>
      <c r="M78" s="34" t="s">
        <v>437</v>
      </c>
      <c r="N78" s="2"/>
      <c r="O78" s="2"/>
      <c r="P78" s="2"/>
      <c r="Q78" s="2"/>
      <c r="R78" s="2"/>
      <c r="S78" s="2"/>
      <c r="T78" s="2"/>
      <c r="U78" s="2"/>
      <c r="V78" s="35"/>
      <c r="X78"/>
      <c r="Y78"/>
      <c r="Z78"/>
    </row>
    <row r="79" spans="1:28">
      <c r="A79" s="1005" t="s">
        <v>71</v>
      </c>
      <c r="C79" s="105"/>
      <c r="D79" s="2293">
        <f>'OUTPUTS &amp; Inputs'!C163</f>
        <v>1.5377000000000001</v>
      </c>
      <c r="E79" s="556">
        <f>'OUTPUTS &amp; Inputs'!D163</f>
        <v>1.9192</v>
      </c>
      <c r="F79" s="560">
        <f>'OUTPUTS &amp; Inputs'!E163</f>
        <v>2.3007</v>
      </c>
      <c r="G79" s="556">
        <f>'OUTPUTS &amp; Inputs'!F163</f>
        <v>2.5570333333333335</v>
      </c>
      <c r="H79" s="556">
        <f>'OUTPUTS &amp; Inputs'!G163</f>
        <v>2.8133666666666666</v>
      </c>
      <c r="I79" s="561">
        <f>'OUTPUTS &amp; Inputs'!H163</f>
        <v>3.0697000000000001</v>
      </c>
      <c r="J79" s="556">
        <f>'OUTPUTS &amp; Inputs'!I163</f>
        <v>3.22315</v>
      </c>
      <c r="K79" s="2286">
        <f>'OUTPUTS &amp; Inputs'!J163</f>
        <v>3.3765999999999998</v>
      </c>
      <c r="M79" s="34" t="s">
        <v>438</v>
      </c>
      <c r="N79" s="2"/>
      <c r="O79" s="2"/>
      <c r="P79" s="224">
        <f>P57</f>
        <v>10000</v>
      </c>
      <c r="Q79" s="2"/>
      <c r="R79" s="2"/>
      <c r="S79" s="2"/>
      <c r="T79" s="2"/>
      <c r="U79" s="2"/>
      <c r="V79" s="35"/>
      <c r="X79"/>
      <c r="Y79"/>
      <c r="Z79"/>
    </row>
    <row r="80" spans="1:28">
      <c r="A80" s="1004" t="s">
        <v>334</v>
      </c>
      <c r="C80" s="192"/>
      <c r="D80" s="2292">
        <f>'OUTPUTS &amp; Inputs'!C164</f>
        <v>2.0912000000000002</v>
      </c>
      <c r="E80" s="556">
        <f>'OUTPUTS &amp; Inputs'!D164</f>
        <v>2.59795</v>
      </c>
      <c r="F80" s="556">
        <f>'OUTPUTS &amp; Inputs'!E164</f>
        <v>3.1047000000000002</v>
      </c>
      <c r="G80" s="556">
        <f>'OUTPUTS &amp; Inputs'!F164</f>
        <v>3.4010499999999997</v>
      </c>
      <c r="H80" s="556">
        <f>'OUTPUTS &amp; Inputs'!G164</f>
        <v>3.6974</v>
      </c>
      <c r="I80" s="557">
        <f>'OUTPUTS &amp; Inputs'!H164</f>
        <v>3.9937499999999999</v>
      </c>
      <c r="J80" s="556">
        <f>'OUTPUTS &amp; Inputs'!I164</f>
        <v>4.1211000000000002</v>
      </c>
      <c r="K80" s="2285">
        <f>'OUTPUTS &amp; Inputs'!J164</f>
        <v>4.2484500000000001</v>
      </c>
      <c r="M80" s="34" t="s">
        <v>439</v>
      </c>
      <c r="N80" s="2"/>
      <c r="O80" s="2"/>
      <c r="P80" s="224">
        <f>Q44</f>
        <v>2500</v>
      </c>
      <c r="Q80" s="2"/>
      <c r="R80" s="2"/>
      <c r="S80" s="2"/>
      <c r="T80" s="2"/>
      <c r="U80" s="2"/>
      <c r="V80" s="35"/>
      <c r="X80"/>
      <c r="Y80"/>
      <c r="Z80"/>
    </row>
    <row r="81" spans="1:80">
      <c r="A81" s="1003" t="s">
        <v>119</v>
      </c>
      <c r="C81" s="191"/>
      <c r="D81" s="2293">
        <f>'OUTPUTS &amp; Inputs'!C165</f>
        <v>2.6447000000000003</v>
      </c>
      <c r="E81" s="556">
        <f>'OUTPUTS &amp; Inputs'!D165</f>
        <v>3.2766999999999999</v>
      </c>
      <c r="F81" s="560">
        <f>'OUTPUTS &amp; Inputs'!E165</f>
        <v>3.9087000000000001</v>
      </c>
      <c r="G81" s="556">
        <f>'OUTPUTS &amp; Inputs'!F165</f>
        <v>4.2450666666666663</v>
      </c>
      <c r="H81" s="556">
        <f>'OUTPUTS &amp; Inputs'!G165</f>
        <v>4.581433333333333</v>
      </c>
      <c r="I81" s="561">
        <f>'OUTPUTS &amp; Inputs'!H165</f>
        <v>4.9177999999999997</v>
      </c>
      <c r="J81" s="556">
        <f>'OUTPUTS &amp; Inputs'!I165</f>
        <v>5.01905</v>
      </c>
      <c r="K81" s="2286">
        <f>'OUTPUTS &amp; Inputs'!J165</f>
        <v>5.1203000000000003</v>
      </c>
      <c r="M81" s="34" t="s">
        <v>440</v>
      </c>
      <c r="N81" s="2"/>
      <c r="O81" s="2"/>
      <c r="P81" s="224">
        <f>O71/(5+P61)</f>
        <v>1494.3034659353382</v>
      </c>
      <c r="Q81" s="2"/>
      <c r="R81" s="2"/>
      <c r="S81" s="2"/>
      <c r="T81" s="2"/>
      <c r="U81" s="2"/>
      <c r="V81" s="35"/>
      <c r="X81"/>
      <c r="Y81"/>
      <c r="Z81"/>
    </row>
    <row r="82" spans="1:80">
      <c r="A82" s="1006" t="s">
        <v>333</v>
      </c>
      <c r="C82" s="193"/>
      <c r="D82" s="2294">
        <f>'OUTPUTS &amp; Inputs'!C166</f>
        <v>3.1982000000000004</v>
      </c>
      <c r="E82" s="556">
        <f>'OUTPUTS &amp; Inputs'!D166</f>
        <v>3.9554499999999999</v>
      </c>
      <c r="F82" s="564">
        <f>'OUTPUTS &amp; Inputs'!E166</f>
        <v>4.7126999999999999</v>
      </c>
      <c r="G82" s="556">
        <f>'OUTPUTS &amp; Inputs'!F166</f>
        <v>5.089083333333333</v>
      </c>
      <c r="H82" s="556">
        <f>'OUTPUTS &amp; Inputs'!G166</f>
        <v>5.465466666666666</v>
      </c>
      <c r="I82" s="565">
        <f>'OUTPUTS &amp; Inputs'!H166</f>
        <v>5.8418499999999991</v>
      </c>
      <c r="J82" s="556">
        <f>'OUTPUTS &amp; Inputs'!I166</f>
        <v>5.3228075902335457</v>
      </c>
      <c r="K82" s="2287">
        <f>'OUTPUTS &amp; Inputs'!J166</f>
        <v>5.9921500000000005</v>
      </c>
      <c r="M82" s="34" t="s">
        <v>441</v>
      </c>
      <c r="N82" s="2"/>
      <c r="O82" s="2"/>
      <c r="P82" s="211">
        <f>P79+P80-P81</f>
        <v>11005.696534064662</v>
      </c>
      <c r="Q82" s="2"/>
      <c r="R82" s="2"/>
      <c r="S82" s="2"/>
      <c r="T82" s="2"/>
      <c r="U82" s="2"/>
      <c r="V82" s="35"/>
      <c r="X82"/>
      <c r="Y82"/>
      <c r="Z82"/>
    </row>
    <row r="83" spans="1:80">
      <c r="A83" s="1006" t="s">
        <v>111</v>
      </c>
      <c r="C83" s="193"/>
      <c r="D83" s="2294">
        <f>'OUTPUTS &amp; Inputs'!C167</f>
        <v>3.7517000000000005</v>
      </c>
      <c r="E83" s="556">
        <f>'OUTPUTS &amp; Inputs'!D167</f>
        <v>4.6341999999999999</v>
      </c>
      <c r="F83" s="564">
        <f>'OUTPUTS &amp; Inputs'!E167</f>
        <v>5.5167000000000002</v>
      </c>
      <c r="G83" s="556">
        <f>'OUTPUTS &amp; Inputs'!F167</f>
        <v>5.9330999999999996</v>
      </c>
      <c r="H83" s="556">
        <f>'OUTPUTS &amp; Inputs'!G167</f>
        <v>6.349499999999999</v>
      </c>
      <c r="I83" s="565">
        <f>'OUTPUTS &amp; Inputs'!H167</f>
        <v>6.7658999999999985</v>
      </c>
      <c r="J83" s="556">
        <f>'OUTPUTS &amp; Inputs'!I167</f>
        <v>5.6265651804670913</v>
      </c>
      <c r="K83" s="2287">
        <f>'OUTPUTS &amp; Inputs'!J167</f>
        <v>6.8640000000000008</v>
      </c>
      <c r="M83" s="34"/>
      <c r="N83" s="2"/>
      <c r="O83" s="2"/>
      <c r="P83" s="2"/>
      <c r="Q83" s="2"/>
      <c r="R83" s="2"/>
      <c r="S83" s="2"/>
      <c r="T83" s="2"/>
      <c r="U83" s="2"/>
      <c r="V83" s="35"/>
      <c r="X83"/>
      <c r="Y83"/>
      <c r="Z83"/>
    </row>
    <row r="84" spans="1:80">
      <c r="A84" s="1007" t="s">
        <v>335</v>
      </c>
      <c r="C84" s="194"/>
      <c r="D84" s="2294">
        <f>'OUTPUTS &amp; Inputs'!C168</f>
        <v>4.1945000000000006</v>
      </c>
      <c r="E84" s="556">
        <f>'OUTPUTS &amp; Inputs'!D168</f>
        <v>5.1772000000000009</v>
      </c>
      <c r="F84" s="564">
        <f>'OUTPUTS &amp; Inputs'!E168</f>
        <v>6.1599000000000004</v>
      </c>
      <c r="G84" s="556">
        <f>'OUTPUTS &amp; Inputs'!F168</f>
        <v>6.6083133333333333</v>
      </c>
      <c r="H84" s="556">
        <f>'OUTPUTS &amp; Inputs'!G168</f>
        <v>7.0567266666666653</v>
      </c>
      <c r="I84" s="565">
        <f>'OUTPUTS &amp; Inputs'!H168</f>
        <v>7.5051399999999981</v>
      </c>
      <c r="J84" s="556">
        <f>'OUTPUTS &amp; Inputs'!I168</f>
        <v>7.5333100000000002</v>
      </c>
      <c r="K84" s="2287">
        <f>'OUTPUTS &amp; Inputs'!J168</f>
        <v>7.5614800000000013</v>
      </c>
      <c r="M84" s="34"/>
      <c r="N84" s="2"/>
      <c r="O84" s="2"/>
      <c r="P84" s="2"/>
      <c r="Q84" s="2"/>
      <c r="R84" s="2"/>
      <c r="S84" s="2"/>
      <c r="T84" s="2"/>
      <c r="U84" s="2"/>
      <c r="V84" s="35"/>
    </row>
    <row r="85" spans="1:80">
      <c r="A85" s="1008" t="s">
        <v>114</v>
      </c>
      <c r="B85" s="138"/>
      <c r="C85" s="194"/>
      <c r="D85" s="2295">
        <f>'OUTPUTS &amp; Inputs'!C169</f>
        <v>4.5487400000000004</v>
      </c>
      <c r="E85" s="568">
        <f>'OUTPUTS &amp; Inputs'!D169</f>
        <v>5.611600000000001</v>
      </c>
      <c r="F85" s="569">
        <f>'OUTPUTS &amp; Inputs'!E169</f>
        <v>6.6744600000000007</v>
      </c>
      <c r="G85" s="568">
        <f>'OUTPUTS &amp; Inputs'!F169</f>
        <v>7.1484839999999998</v>
      </c>
      <c r="H85" s="568">
        <f>'OUTPUTS &amp; Inputs'!G169</f>
        <v>7.622507999999999</v>
      </c>
      <c r="I85" s="570">
        <f>'OUTPUTS &amp; Inputs'!H169</f>
        <v>8.0965319999999981</v>
      </c>
      <c r="J85" s="568">
        <f>'OUTPUTS &amp; Inputs'!I169</f>
        <v>8.1079980000000003</v>
      </c>
      <c r="K85" s="2288">
        <f>'OUTPUTS &amp; Inputs'!J169</f>
        <v>8.1194640000000025</v>
      </c>
      <c r="M85" s="225"/>
      <c r="N85" s="137"/>
      <c r="O85" s="137"/>
      <c r="P85" s="137"/>
      <c r="Q85" s="137"/>
      <c r="R85" s="137"/>
      <c r="S85" s="137"/>
      <c r="T85" s="137"/>
      <c r="U85" s="137"/>
      <c r="V85" s="138"/>
    </row>
    <row r="86" spans="1:80">
      <c r="B86" s="2304"/>
    </row>
    <row r="88" spans="1:80" s="6" customFormat="1">
      <c r="A88" s="2302" t="s">
        <v>1816</v>
      </c>
      <c r="B88" s="33"/>
      <c r="C88" s="2297"/>
      <c r="AA88" s="2297"/>
      <c r="AN88" s="2351"/>
      <c r="AO88" s="2351"/>
      <c r="AP88" s="2351"/>
      <c r="AQ88" s="2351"/>
      <c r="AR88" s="2351"/>
      <c r="CB88" s="8"/>
    </row>
  </sheetData>
  <mergeCells count="10">
    <mergeCell ref="X46:AB47"/>
    <mergeCell ref="X49:AB50"/>
    <mergeCell ref="Z65:AB67"/>
    <mergeCell ref="X38:AB38"/>
    <mergeCell ref="X75:AB77"/>
    <mergeCell ref="D2:F2"/>
    <mergeCell ref="M39:V41"/>
    <mergeCell ref="X40:AB41"/>
    <mergeCell ref="X42:AB43"/>
    <mergeCell ref="X44:AB45"/>
  </mergeCells>
  <hyperlinks>
    <hyperlink ref="A2" location="'Operating Leases'!X38" display="X38"/>
    <hyperlink ref="X74" r:id="rId1" display="https://www.fitchratings.com/creditdesk/reports/report_frame.cfm?rpt_id=462222"/>
  </hyperlinks>
  <pageMargins left="0.7" right="0.7" top="0.75" bottom="0.75" header="0.3" footer="0.3"/>
  <pageSetup paperSize="9" orientation="portrait" r:id="rId2"/>
  <drawing r:id="rId3"/>
  <legacyDrawing r:id="rId4"/>
</worksheet>
</file>

<file path=xl/worksheets/sheet11.xml><?xml version="1.0" encoding="utf-8"?>
<worksheet xmlns="http://schemas.openxmlformats.org/spreadsheetml/2006/main" xmlns:r="http://schemas.openxmlformats.org/officeDocument/2006/relationships">
  <dimension ref="A1:IB76"/>
  <sheetViews>
    <sheetView showGridLines="0" zoomScale="80" zoomScaleNormal="80" workbookViewId="0">
      <pane xSplit="2" ySplit="3" topLeftCell="C4" activePane="bottomRight" state="frozen"/>
      <selection pane="topRight" activeCell="C1" sqref="C1"/>
      <selection pane="bottomLeft" activeCell="A4" sqref="A4"/>
      <selection pane="bottomRight" activeCell="FY3" sqref="FY3"/>
    </sheetView>
  </sheetViews>
  <sheetFormatPr baseColWidth="10" defaultColWidth="11.44140625" defaultRowHeight="13.2"/>
  <cols>
    <col min="1" max="1" width="11.21875" style="11" customWidth="1"/>
    <col min="2" max="2" width="17.6640625" style="11" customWidth="1"/>
    <col min="3" max="3" width="6.88671875" style="11" customWidth="1"/>
    <col min="4" max="18" width="11.44140625" style="11"/>
    <col min="19" max="19" width="11.33203125" style="11" customWidth="1"/>
    <col min="20" max="235" width="11.44140625" style="11"/>
    <col min="236" max="236" width="11.44140625" style="31"/>
    <col min="237" max="16384" width="11.44140625" style="11"/>
  </cols>
  <sheetData>
    <row r="1" spans="1:236">
      <c r="A1" s="110" t="s">
        <v>454</v>
      </c>
      <c r="B1" s="110"/>
    </row>
    <row r="2" spans="1:236">
      <c r="D2" s="24">
        <v>40178</v>
      </c>
      <c r="E2" s="24">
        <v>40268</v>
      </c>
      <c r="F2" s="24">
        <v>40359</v>
      </c>
      <c r="G2" s="24">
        <v>40451</v>
      </c>
      <c r="H2" s="24">
        <v>40543</v>
      </c>
      <c r="I2" s="24">
        <v>40633</v>
      </c>
      <c r="J2" s="24">
        <v>40724</v>
      </c>
      <c r="K2" s="24">
        <v>40816</v>
      </c>
      <c r="L2" s="24">
        <v>40908</v>
      </c>
      <c r="M2" s="24">
        <v>40999</v>
      </c>
      <c r="N2" s="24">
        <v>41090</v>
      </c>
      <c r="O2" s="24">
        <v>41182</v>
      </c>
      <c r="P2" s="24">
        <v>41274</v>
      </c>
      <c r="Q2" s="24">
        <v>41364</v>
      </c>
      <c r="R2" s="24">
        <v>41455</v>
      </c>
      <c r="T2" s="24">
        <v>40178</v>
      </c>
      <c r="U2" s="24">
        <v>40268</v>
      </c>
      <c r="V2" s="24">
        <v>40359</v>
      </c>
      <c r="W2" s="24">
        <v>40451</v>
      </c>
      <c r="X2" s="24">
        <v>40543</v>
      </c>
      <c r="Y2" s="24">
        <v>40633</v>
      </c>
      <c r="Z2" s="24">
        <v>40724</v>
      </c>
      <c r="AA2" s="24">
        <v>40816</v>
      </c>
      <c r="AB2" s="24">
        <v>40908</v>
      </c>
      <c r="AC2" s="24">
        <v>40999</v>
      </c>
      <c r="AD2" s="24">
        <v>41090</v>
      </c>
      <c r="AE2" s="24">
        <v>41182</v>
      </c>
      <c r="AF2" s="24">
        <v>41274</v>
      </c>
      <c r="AG2" s="24">
        <v>41364</v>
      </c>
      <c r="AH2" s="24">
        <v>41455</v>
      </c>
      <c r="AI2" s="24"/>
      <c r="AJ2" s="5">
        <v>40178</v>
      </c>
      <c r="AK2" s="5">
        <v>40543</v>
      </c>
      <c r="AL2" s="5">
        <v>40908</v>
      </c>
      <c r="AM2" s="5">
        <v>41274</v>
      </c>
      <c r="AN2" s="24"/>
      <c r="AO2" s="5">
        <v>40178</v>
      </c>
      <c r="AP2" s="5">
        <v>40268</v>
      </c>
      <c r="AQ2" s="5">
        <v>40359</v>
      </c>
      <c r="AR2" s="5">
        <v>40451</v>
      </c>
      <c r="AS2" s="5">
        <v>40543</v>
      </c>
      <c r="AT2" s="5">
        <v>40633</v>
      </c>
      <c r="AU2" s="5">
        <v>40724</v>
      </c>
      <c r="AV2" s="5">
        <v>40816</v>
      </c>
      <c r="AW2" s="5">
        <v>40908</v>
      </c>
      <c r="AX2" s="5">
        <v>40999</v>
      </c>
      <c r="AY2" s="5">
        <v>41090</v>
      </c>
      <c r="AZ2" s="5">
        <v>41182</v>
      </c>
      <c r="BA2" s="5">
        <v>41274</v>
      </c>
      <c r="BB2" s="5">
        <v>41364</v>
      </c>
      <c r="BC2" s="5">
        <v>41455</v>
      </c>
      <c r="BD2" s="24"/>
      <c r="BE2" s="5">
        <v>40178</v>
      </c>
      <c r="BF2" s="5">
        <v>40268</v>
      </c>
      <c r="BG2" s="5">
        <v>40359</v>
      </c>
      <c r="BH2" s="5">
        <v>40451</v>
      </c>
      <c r="BI2" s="5">
        <v>40543</v>
      </c>
      <c r="BJ2" s="5">
        <v>40633</v>
      </c>
      <c r="BK2" s="5">
        <v>40724</v>
      </c>
      <c r="BL2" s="5">
        <v>40816</v>
      </c>
      <c r="BM2" s="5">
        <v>40908</v>
      </c>
      <c r="BN2" s="5">
        <v>40999</v>
      </c>
      <c r="BO2" s="5">
        <v>41090</v>
      </c>
      <c r="BP2" s="5">
        <v>41182</v>
      </c>
      <c r="BQ2" s="5">
        <v>41274</v>
      </c>
      <c r="BR2" s="5">
        <v>41364</v>
      </c>
      <c r="BS2" s="5">
        <v>41455</v>
      </c>
      <c r="BT2" s="24"/>
      <c r="BU2" s="24">
        <v>40178</v>
      </c>
      <c r="BV2" s="24">
        <v>40268</v>
      </c>
      <c r="BW2" s="24">
        <v>40359</v>
      </c>
      <c r="BX2" s="24">
        <v>40451</v>
      </c>
      <c r="BY2" s="24">
        <v>40543</v>
      </c>
      <c r="BZ2" s="24">
        <v>40633</v>
      </c>
      <c r="CA2" s="24">
        <v>40724</v>
      </c>
      <c r="CB2" s="24">
        <v>40816</v>
      </c>
      <c r="CC2" s="24">
        <v>40908</v>
      </c>
      <c r="CD2" s="24">
        <v>40999</v>
      </c>
      <c r="CE2" s="24">
        <v>41090</v>
      </c>
      <c r="CF2" s="24">
        <v>41182</v>
      </c>
      <c r="CG2" s="24">
        <v>41274</v>
      </c>
      <c r="CH2" s="24">
        <v>41364</v>
      </c>
      <c r="CI2" s="24">
        <v>41455</v>
      </c>
      <c r="CK2" s="5">
        <v>40178</v>
      </c>
      <c r="CL2" s="5">
        <v>40268</v>
      </c>
      <c r="CM2" s="5">
        <v>40359</v>
      </c>
      <c r="CN2" s="5">
        <v>40451</v>
      </c>
      <c r="CO2" s="5">
        <v>40543</v>
      </c>
      <c r="CP2" s="5">
        <v>40633</v>
      </c>
      <c r="CQ2" s="5">
        <v>40724</v>
      </c>
      <c r="CR2" s="5">
        <v>40816</v>
      </c>
      <c r="CS2" s="5">
        <v>40908</v>
      </c>
      <c r="CT2" s="5">
        <v>40999</v>
      </c>
      <c r="CU2" s="5">
        <v>41090</v>
      </c>
      <c r="CV2" s="5">
        <v>41182</v>
      </c>
      <c r="CW2" s="5">
        <v>41274</v>
      </c>
      <c r="CX2" s="5">
        <v>41364</v>
      </c>
      <c r="CY2" s="24">
        <v>41455</v>
      </c>
      <c r="DA2" s="24">
        <v>40178</v>
      </c>
      <c r="DB2" s="24">
        <v>40268</v>
      </c>
      <c r="DC2" s="24">
        <v>40359</v>
      </c>
      <c r="DD2" s="24">
        <v>40451</v>
      </c>
      <c r="DE2" s="24">
        <v>40543</v>
      </c>
      <c r="DF2" s="24">
        <v>40633</v>
      </c>
      <c r="DG2" s="24">
        <v>40724</v>
      </c>
      <c r="DH2" s="24">
        <v>40816</v>
      </c>
      <c r="DI2" s="24">
        <v>40908</v>
      </c>
      <c r="DJ2" s="24">
        <v>40999</v>
      </c>
      <c r="DK2" s="24">
        <v>41090</v>
      </c>
      <c r="DL2" s="24">
        <v>41182</v>
      </c>
      <c r="DM2" s="24">
        <v>41274</v>
      </c>
      <c r="DN2" s="24">
        <v>41364</v>
      </c>
      <c r="DO2" s="24">
        <v>41455</v>
      </c>
      <c r="DR2" s="5">
        <v>40178</v>
      </c>
      <c r="DS2" s="5">
        <v>40268</v>
      </c>
      <c r="DT2" s="5">
        <v>40359</v>
      </c>
      <c r="DU2" s="5">
        <v>40451</v>
      </c>
      <c r="DV2" s="5">
        <v>40543</v>
      </c>
      <c r="DW2" s="5">
        <v>40633</v>
      </c>
      <c r="DX2" s="5">
        <v>40724</v>
      </c>
      <c r="DY2" s="5">
        <v>40816</v>
      </c>
      <c r="DZ2" s="5">
        <v>40908</v>
      </c>
      <c r="EA2" s="5">
        <v>40999</v>
      </c>
      <c r="EB2" s="5">
        <v>41090</v>
      </c>
      <c r="EC2" s="5">
        <v>41182</v>
      </c>
      <c r="ED2" s="5">
        <v>41274</v>
      </c>
      <c r="EE2" s="5">
        <v>41364</v>
      </c>
      <c r="EF2" s="5">
        <v>41455</v>
      </c>
      <c r="EG2" s="5"/>
      <c r="EH2" s="5">
        <v>40178</v>
      </c>
      <c r="EI2" s="5">
        <v>40268</v>
      </c>
      <c r="EJ2" s="5">
        <v>40359</v>
      </c>
      <c r="EK2" s="5">
        <v>40451</v>
      </c>
      <c r="EL2" s="5">
        <v>40543</v>
      </c>
      <c r="EM2" s="5">
        <v>40633</v>
      </c>
      <c r="EN2" s="5">
        <v>40724</v>
      </c>
      <c r="EO2" s="5">
        <v>40816</v>
      </c>
      <c r="EP2" s="5">
        <v>40908</v>
      </c>
      <c r="EQ2" s="5">
        <v>40999</v>
      </c>
      <c r="ER2" s="5">
        <v>41090</v>
      </c>
      <c r="ES2" s="5">
        <v>41182</v>
      </c>
      <c r="ET2" s="5">
        <v>41274</v>
      </c>
      <c r="EU2" s="5">
        <v>41364</v>
      </c>
      <c r="EV2" s="5">
        <v>41455</v>
      </c>
      <c r="EW2" s="5"/>
      <c r="EX2" s="5"/>
      <c r="EY2" s="5">
        <v>40178</v>
      </c>
      <c r="EZ2" s="5">
        <v>40268</v>
      </c>
      <c r="FA2" s="5">
        <v>40359</v>
      </c>
      <c r="FB2" s="5">
        <v>40451</v>
      </c>
      <c r="FC2" s="5">
        <v>40543</v>
      </c>
      <c r="FD2" s="5">
        <v>40633</v>
      </c>
      <c r="FE2" s="5">
        <v>40724</v>
      </c>
      <c r="FF2" s="5">
        <v>40816</v>
      </c>
      <c r="FG2" s="5">
        <v>40908</v>
      </c>
      <c r="FH2" s="5">
        <v>40999</v>
      </c>
      <c r="FI2" s="5">
        <v>41090</v>
      </c>
      <c r="FJ2" s="5">
        <v>41182</v>
      </c>
      <c r="FK2" s="5">
        <v>41274</v>
      </c>
      <c r="FL2" s="5">
        <v>41364</v>
      </c>
      <c r="FM2" s="5">
        <v>41455</v>
      </c>
      <c r="FN2" s="5"/>
      <c r="FO2" s="5">
        <v>40178</v>
      </c>
      <c r="FP2" s="5">
        <v>40268</v>
      </c>
      <c r="FQ2" s="5">
        <v>40359</v>
      </c>
      <c r="FR2" s="5">
        <v>40451</v>
      </c>
      <c r="FS2" s="5">
        <v>40543</v>
      </c>
      <c r="FT2" s="5">
        <v>40633</v>
      </c>
      <c r="FU2" s="5">
        <v>40724</v>
      </c>
      <c r="FV2" s="5">
        <v>40816</v>
      </c>
      <c r="FW2" s="5">
        <v>40908</v>
      </c>
      <c r="FX2" s="5">
        <v>40999</v>
      </c>
      <c r="FY2" s="5">
        <v>41090</v>
      </c>
      <c r="FZ2" s="5">
        <v>41182</v>
      </c>
      <c r="GA2" s="5">
        <v>41274</v>
      </c>
      <c r="GB2" s="5">
        <v>41364</v>
      </c>
      <c r="GC2" s="5">
        <v>41455</v>
      </c>
      <c r="GF2" s="5">
        <v>40178</v>
      </c>
      <c r="GG2" s="5">
        <v>40268</v>
      </c>
      <c r="GH2" s="5">
        <v>40359</v>
      </c>
      <c r="GI2" s="5">
        <v>40451</v>
      </c>
      <c r="GJ2" s="5">
        <v>40543</v>
      </c>
      <c r="GK2" s="5">
        <v>40633</v>
      </c>
      <c r="GL2" s="5">
        <v>40724</v>
      </c>
      <c r="GM2" s="5">
        <v>40816</v>
      </c>
      <c r="GN2" s="5">
        <v>40908</v>
      </c>
      <c r="GO2" s="5">
        <v>40999</v>
      </c>
      <c r="GP2" s="5">
        <v>41090</v>
      </c>
      <c r="GQ2" s="5">
        <v>41182</v>
      </c>
      <c r="GR2" s="5">
        <v>41274</v>
      </c>
      <c r="GS2" s="5">
        <v>41364</v>
      </c>
      <c r="GT2" s="5">
        <v>41455</v>
      </c>
      <c r="GV2" s="5">
        <v>40178</v>
      </c>
      <c r="GW2" s="5">
        <v>40268</v>
      </c>
      <c r="GX2" s="5">
        <v>40359</v>
      </c>
      <c r="GY2" s="5">
        <v>40451</v>
      </c>
      <c r="GZ2" s="5">
        <v>40543</v>
      </c>
      <c r="HA2" s="5">
        <v>40633</v>
      </c>
      <c r="HB2" s="5">
        <v>40724</v>
      </c>
      <c r="HC2" s="5">
        <v>40816</v>
      </c>
      <c r="HD2" s="5">
        <v>40908</v>
      </c>
      <c r="HE2" s="5">
        <v>40999</v>
      </c>
      <c r="HF2" s="5">
        <v>41090</v>
      </c>
      <c r="HG2" s="5">
        <v>41182</v>
      </c>
      <c r="HH2" s="5">
        <v>41274</v>
      </c>
      <c r="HI2" s="5">
        <v>41364</v>
      </c>
      <c r="HJ2" s="5">
        <v>41455</v>
      </c>
      <c r="HL2" s="481">
        <v>40178</v>
      </c>
      <c r="HM2" s="481">
        <v>40268</v>
      </c>
      <c r="HN2" s="481">
        <v>40359</v>
      </c>
      <c r="HO2" s="481">
        <v>40451</v>
      </c>
      <c r="HP2" s="481">
        <v>40543</v>
      </c>
      <c r="HQ2" s="481">
        <v>40633</v>
      </c>
      <c r="HR2" s="481">
        <v>40724</v>
      </c>
      <c r="HS2" s="481">
        <v>40816</v>
      </c>
      <c r="HT2" s="481">
        <v>40908</v>
      </c>
      <c r="HU2" s="481">
        <v>40999</v>
      </c>
      <c r="HV2" s="481">
        <v>41090</v>
      </c>
      <c r="HW2" s="481">
        <v>41182</v>
      </c>
      <c r="HX2" s="481">
        <v>41274</v>
      </c>
      <c r="HY2" s="481">
        <v>41364</v>
      </c>
      <c r="HZ2" s="481">
        <v>41455</v>
      </c>
      <c r="IB2" s="31" t="s">
        <v>1816</v>
      </c>
    </row>
    <row r="3" spans="1:236">
      <c r="A3" s="25" t="s">
        <v>366</v>
      </c>
      <c r="D3" s="11" t="s">
        <v>360</v>
      </c>
      <c r="E3" s="11" t="s">
        <v>360</v>
      </c>
      <c r="F3" s="11" t="s">
        <v>360</v>
      </c>
      <c r="G3" s="11" t="s">
        <v>360</v>
      </c>
      <c r="H3" s="11" t="s">
        <v>360</v>
      </c>
      <c r="I3" s="11" t="s">
        <v>360</v>
      </c>
      <c r="J3" s="11" t="s">
        <v>360</v>
      </c>
      <c r="K3" s="11" t="s">
        <v>360</v>
      </c>
      <c r="L3" s="11" t="s">
        <v>360</v>
      </c>
      <c r="M3" s="11" t="s">
        <v>360</v>
      </c>
      <c r="N3" s="11" t="s">
        <v>360</v>
      </c>
      <c r="O3" s="11" t="s">
        <v>360</v>
      </c>
      <c r="P3" s="11" t="s">
        <v>360</v>
      </c>
      <c r="Q3" s="11" t="s">
        <v>360</v>
      </c>
      <c r="R3" s="11" t="s">
        <v>360</v>
      </c>
      <c r="T3" s="11" t="s">
        <v>359</v>
      </c>
      <c r="U3" s="11" t="s">
        <v>359</v>
      </c>
      <c r="V3" s="11" t="s">
        <v>359</v>
      </c>
      <c r="W3" s="11" t="s">
        <v>359</v>
      </c>
      <c r="X3" s="11" t="s">
        <v>359</v>
      </c>
      <c r="Y3" s="11" t="s">
        <v>359</v>
      </c>
      <c r="Z3" s="11" t="s">
        <v>359</v>
      </c>
      <c r="AA3" s="11" t="s">
        <v>359</v>
      </c>
      <c r="AB3" s="11" t="s">
        <v>359</v>
      </c>
      <c r="AC3" s="11" t="s">
        <v>359</v>
      </c>
      <c r="AD3" s="11" t="s">
        <v>359</v>
      </c>
      <c r="AE3" s="11" t="s">
        <v>359</v>
      </c>
      <c r="AF3" s="11" t="s">
        <v>359</v>
      </c>
      <c r="AG3" s="11" t="s">
        <v>359</v>
      </c>
      <c r="AH3" s="11" t="s">
        <v>359</v>
      </c>
      <c r="AJ3" s="11" t="s">
        <v>406</v>
      </c>
      <c r="AK3" s="11" t="s">
        <v>406</v>
      </c>
      <c r="AL3" s="11" t="s">
        <v>406</v>
      </c>
      <c r="AM3" s="11" t="s">
        <v>406</v>
      </c>
      <c r="AO3" s="11" t="s">
        <v>711</v>
      </c>
      <c r="AP3" s="11" t="s">
        <v>711</v>
      </c>
      <c r="AQ3" s="11" t="s">
        <v>711</v>
      </c>
      <c r="AR3" s="11" t="s">
        <v>711</v>
      </c>
      <c r="AS3" s="11" t="s">
        <v>711</v>
      </c>
      <c r="AT3" s="11" t="s">
        <v>711</v>
      </c>
      <c r="AU3" s="11" t="s">
        <v>711</v>
      </c>
      <c r="AV3" s="11" t="s">
        <v>711</v>
      </c>
      <c r="AW3" s="11" t="s">
        <v>711</v>
      </c>
      <c r="AX3" s="11" t="s">
        <v>711</v>
      </c>
      <c r="AY3" s="11" t="s">
        <v>711</v>
      </c>
      <c r="AZ3" s="11" t="s">
        <v>711</v>
      </c>
      <c r="BA3" s="11" t="s">
        <v>711</v>
      </c>
      <c r="BB3" s="11" t="s">
        <v>711</v>
      </c>
      <c r="BC3" s="11" t="s">
        <v>711</v>
      </c>
      <c r="BE3" s="11" t="s">
        <v>712</v>
      </c>
      <c r="BF3" s="11" t="s">
        <v>712</v>
      </c>
      <c r="BG3" s="11" t="s">
        <v>712</v>
      </c>
      <c r="BH3" s="11" t="s">
        <v>712</v>
      </c>
      <c r="BI3" s="11" t="s">
        <v>712</v>
      </c>
      <c r="BJ3" s="11" t="s">
        <v>712</v>
      </c>
      <c r="BK3" s="11" t="s">
        <v>712</v>
      </c>
      <c r="BL3" s="11" t="s">
        <v>712</v>
      </c>
      <c r="BM3" s="11" t="s">
        <v>712</v>
      </c>
      <c r="BN3" s="11" t="s">
        <v>712</v>
      </c>
      <c r="BO3" s="11" t="s">
        <v>712</v>
      </c>
      <c r="BP3" s="11" t="s">
        <v>712</v>
      </c>
      <c r="BQ3" s="11" t="s">
        <v>712</v>
      </c>
      <c r="BR3" s="11" t="s">
        <v>712</v>
      </c>
      <c r="BS3" s="11" t="s">
        <v>712</v>
      </c>
      <c r="BU3" s="11" t="s">
        <v>361</v>
      </c>
      <c r="BV3" s="11" t="s">
        <v>361</v>
      </c>
      <c r="BW3" s="11" t="s">
        <v>361</v>
      </c>
      <c r="BX3" s="11" t="s">
        <v>361</v>
      </c>
      <c r="BY3" s="11" t="s">
        <v>361</v>
      </c>
      <c r="BZ3" s="11" t="s">
        <v>361</v>
      </c>
      <c r="CA3" s="11" t="s">
        <v>361</v>
      </c>
      <c r="CB3" s="11" t="s">
        <v>361</v>
      </c>
      <c r="CC3" s="11" t="s">
        <v>361</v>
      </c>
      <c r="CD3" s="11" t="s">
        <v>361</v>
      </c>
      <c r="CE3" s="11" t="s">
        <v>361</v>
      </c>
      <c r="CF3" s="11" t="s">
        <v>361</v>
      </c>
      <c r="CG3" s="11" t="s">
        <v>361</v>
      </c>
      <c r="CH3" s="11" t="s">
        <v>361</v>
      </c>
      <c r="CI3" s="11" t="s">
        <v>361</v>
      </c>
      <c r="CK3" s="11" t="s">
        <v>1198</v>
      </c>
      <c r="CL3" s="11" t="s">
        <v>1198</v>
      </c>
      <c r="CM3" s="11" t="s">
        <v>1198</v>
      </c>
      <c r="CN3" s="11" t="s">
        <v>1198</v>
      </c>
      <c r="CO3" s="11" t="s">
        <v>1198</v>
      </c>
      <c r="CP3" s="11" t="s">
        <v>1198</v>
      </c>
      <c r="CQ3" s="11" t="s">
        <v>1198</v>
      </c>
      <c r="CR3" s="11" t="s">
        <v>1198</v>
      </c>
      <c r="CS3" s="11" t="s">
        <v>1198</v>
      </c>
      <c r="CT3" s="11" t="s">
        <v>1198</v>
      </c>
      <c r="CU3" s="11" t="s">
        <v>1198</v>
      </c>
      <c r="CV3" s="11" t="s">
        <v>1198</v>
      </c>
      <c r="CW3" s="11" t="s">
        <v>1198</v>
      </c>
      <c r="CX3" s="11" t="s">
        <v>1198</v>
      </c>
      <c r="CY3" s="11" t="s">
        <v>1198</v>
      </c>
      <c r="DA3" s="11" t="s">
        <v>362</v>
      </c>
      <c r="DB3" s="11" t="s">
        <v>362</v>
      </c>
      <c r="DC3" s="11" t="s">
        <v>362</v>
      </c>
      <c r="DD3" s="11" t="s">
        <v>362</v>
      </c>
      <c r="DE3" s="11" t="s">
        <v>362</v>
      </c>
      <c r="DF3" s="11" t="s">
        <v>362</v>
      </c>
      <c r="DG3" s="11" t="s">
        <v>362</v>
      </c>
      <c r="DH3" s="11" t="s">
        <v>362</v>
      </c>
      <c r="DI3" s="11" t="s">
        <v>362</v>
      </c>
      <c r="DJ3" s="11" t="s">
        <v>362</v>
      </c>
      <c r="DK3" s="11" t="s">
        <v>362</v>
      </c>
      <c r="DL3" s="11" t="s">
        <v>362</v>
      </c>
      <c r="DM3" s="11" t="s">
        <v>362</v>
      </c>
      <c r="DN3" s="11" t="s">
        <v>362</v>
      </c>
      <c r="DO3" s="11" t="s">
        <v>362</v>
      </c>
      <c r="DR3" s="11" t="s">
        <v>363</v>
      </c>
      <c r="DS3" s="11" t="s">
        <v>363</v>
      </c>
      <c r="DT3" s="11" t="s">
        <v>363</v>
      </c>
      <c r="DU3" s="11" t="s">
        <v>363</v>
      </c>
      <c r="DV3" s="11" t="s">
        <v>363</v>
      </c>
      <c r="DW3" s="11" t="s">
        <v>363</v>
      </c>
      <c r="DX3" s="11" t="s">
        <v>363</v>
      </c>
      <c r="DY3" s="11" t="s">
        <v>363</v>
      </c>
      <c r="DZ3" s="11" t="s">
        <v>363</v>
      </c>
      <c r="EA3" s="11" t="s">
        <v>363</v>
      </c>
      <c r="EB3" s="11" t="s">
        <v>363</v>
      </c>
      <c r="EC3" s="11" t="s">
        <v>363</v>
      </c>
      <c r="ED3" s="11" t="s">
        <v>363</v>
      </c>
      <c r="EE3" s="11" t="s">
        <v>363</v>
      </c>
      <c r="EF3" s="11" t="s">
        <v>363</v>
      </c>
      <c r="EG3" s="7"/>
      <c r="EH3" s="11" t="s">
        <v>365</v>
      </c>
      <c r="EI3" s="11" t="s">
        <v>365</v>
      </c>
      <c r="EJ3" s="11" t="s">
        <v>365</v>
      </c>
      <c r="EK3" s="11" t="s">
        <v>365</v>
      </c>
      <c r="EL3" s="11" t="s">
        <v>365</v>
      </c>
      <c r="EM3" s="11" t="s">
        <v>365</v>
      </c>
      <c r="EN3" s="11" t="s">
        <v>365</v>
      </c>
      <c r="EO3" s="11" t="s">
        <v>365</v>
      </c>
      <c r="EP3" s="11" t="s">
        <v>365</v>
      </c>
      <c r="EQ3" s="11" t="s">
        <v>365</v>
      </c>
      <c r="ER3" s="11" t="s">
        <v>365</v>
      </c>
      <c r="ES3" s="11" t="s">
        <v>365</v>
      </c>
      <c r="ET3" s="11" t="s">
        <v>365</v>
      </c>
      <c r="EU3" s="11" t="s">
        <v>365</v>
      </c>
      <c r="EV3" s="11" t="s">
        <v>365</v>
      </c>
      <c r="EW3" s="7"/>
      <c r="EX3" s="7"/>
      <c r="EY3" s="11" t="s">
        <v>1426</v>
      </c>
      <c r="EZ3" s="11" t="s">
        <v>1426</v>
      </c>
      <c r="FA3" s="11" t="s">
        <v>1426</v>
      </c>
      <c r="FB3" s="11" t="s">
        <v>1426</v>
      </c>
      <c r="FC3" s="11" t="s">
        <v>1426</v>
      </c>
      <c r="FD3" s="11" t="s">
        <v>1426</v>
      </c>
      <c r="FE3" s="11" t="s">
        <v>1426</v>
      </c>
      <c r="FF3" s="11" t="s">
        <v>1426</v>
      </c>
      <c r="FG3" s="11" t="s">
        <v>1426</v>
      </c>
      <c r="FH3" s="11" t="s">
        <v>1426</v>
      </c>
      <c r="FI3" s="11" t="s">
        <v>1426</v>
      </c>
      <c r="FJ3" s="11" t="s">
        <v>1426</v>
      </c>
      <c r="FK3" s="11" t="s">
        <v>1426</v>
      </c>
      <c r="FL3" s="11" t="s">
        <v>1426</v>
      </c>
      <c r="FM3" s="11" t="s">
        <v>1426</v>
      </c>
      <c r="FN3" s="7"/>
      <c r="FO3" s="11" t="s">
        <v>726</v>
      </c>
      <c r="FP3" s="11" t="s">
        <v>726</v>
      </c>
      <c r="FQ3" s="11" t="s">
        <v>726</v>
      </c>
      <c r="FR3" s="11" t="s">
        <v>726</v>
      </c>
      <c r="FS3" s="11" t="s">
        <v>726</v>
      </c>
      <c r="FT3" s="11" t="s">
        <v>726</v>
      </c>
      <c r="FU3" s="11" t="s">
        <v>726</v>
      </c>
      <c r="FV3" s="11" t="s">
        <v>726</v>
      </c>
      <c r="FW3" s="11" t="s">
        <v>726</v>
      </c>
      <c r="FX3" s="11" t="s">
        <v>726</v>
      </c>
      <c r="FY3" s="11" t="s">
        <v>726</v>
      </c>
      <c r="FZ3" s="11" t="s">
        <v>726</v>
      </c>
      <c r="GA3" s="11" t="s">
        <v>726</v>
      </c>
      <c r="GB3" s="11" t="s">
        <v>726</v>
      </c>
      <c r="GC3" s="11" t="s">
        <v>726</v>
      </c>
      <c r="GF3" s="11" t="s">
        <v>1057</v>
      </c>
      <c r="GG3" s="11" t="s">
        <v>1057</v>
      </c>
      <c r="GH3" s="11" t="s">
        <v>1057</v>
      </c>
      <c r="GI3" s="11" t="s">
        <v>1057</v>
      </c>
      <c r="GJ3" s="11" t="s">
        <v>1057</v>
      </c>
      <c r="GK3" s="11" t="s">
        <v>1057</v>
      </c>
      <c r="GL3" s="11" t="s">
        <v>1057</v>
      </c>
      <c r="GM3" s="11" t="s">
        <v>1057</v>
      </c>
      <c r="GN3" s="11" t="s">
        <v>1057</v>
      </c>
      <c r="GO3" s="11" t="s">
        <v>1057</v>
      </c>
      <c r="GP3" s="11" t="s">
        <v>1057</v>
      </c>
      <c r="GQ3" s="11" t="s">
        <v>1057</v>
      </c>
      <c r="GR3" s="11" t="s">
        <v>1057</v>
      </c>
      <c r="GS3" s="11" t="s">
        <v>1057</v>
      </c>
      <c r="GT3" s="11" t="s">
        <v>1057</v>
      </c>
      <c r="GV3" s="11" t="s">
        <v>782</v>
      </c>
      <c r="GW3" s="11" t="s">
        <v>782</v>
      </c>
      <c r="GX3" s="11" t="s">
        <v>782</v>
      </c>
      <c r="GY3" s="11" t="s">
        <v>782</v>
      </c>
      <c r="GZ3" s="11" t="s">
        <v>782</v>
      </c>
      <c r="HA3" s="11" t="s">
        <v>782</v>
      </c>
      <c r="HB3" s="11" t="s">
        <v>782</v>
      </c>
      <c r="HC3" s="11" t="s">
        <v>782</v>
      </c>
      <c r="HD3" s="11" t="s">
        <v>782</v>
      </c>
      <c r="HE3" s="11" t="s">
        <v>782</v>
      </c>
      <c r="HF3" s="11" t="s">
        <v>782</v>
      </c>
      <c r="HG3" s="11" t="s">
        <v>782</v>
      </c>
      <c r="HH3" s="11" t="s">
        <v>782</v>
      </c>
      <c r="HI3" s="11" t="s">
        <v>782</v>
      </c>
      <c r="HJ3" s="11" t="s">
        <v>782</v>
      </c>
      <c r="HL3" s="228" t="s">
        <v>476</v>
      </c>
      <c r="HM3" s="228" t="s">
        <v>476</v>
      </c>
      <c r="HN3" s="228" t="s">
        <v>476</v>
      </c>
      <c r="HO3" s="228" t="s">
        <v>476</v>
      </c>
      <c r="HP3" s="228" t="s">
        <v>476</v>
      </c>
      <c r="HQ3" s="228" t="s">
        <v>476</v>
      </c>
      <c r="HR3" s="228" t="s">
        <v>476</v>
      </c>
      <c r="HS3" s="228" t="s">
        <v>476</v>
      </c>
      <c r="HT3" s="228" t="s">
        <v>476</v>
      </c>
      <c r="HU3" s="228" t="s">
        <v>476</v>
      </c>
      <c r="HV3" s="228" t="s">
        <v>476</v>
      </c>
      <c r="HW3" s="228" t="s">
        <v>476</v>
      </c>
      <c r="HX3" s="228" t="s">
        <v>476</v>
      </c>
      <c r="HY3" s="228" t="s">
        <v>476</v>
      </c>
      <c r="HZ3" s="228" t="s">
        <v>476</v>
      </c>
    </row>
    <row r="5" spans="1:236">
      <c r="A5" s="11" t="s">
        <v>502</v>
      </c>
      <c r="B5" s="11" t="s">
        <v>4</v>
      </c>
      <c r="D5" s="167">
        <f>'(Bloom Raw Data)'!D5</f>
        <v>44877.982799999998</v>
      </c>
      <c r="E5" s="167">
        <f>'(Bloom Raw Data)'!E5</f>
        <v>43915.27</v>
      </c>
      <c r="F5" s="167">
        <f>'(Bloom Raw Data)'!F5</f>
        <v>42397.642</v>
      </c>
      <c r="G5" s="167">
        <f>'(Bloom Raw Data)'!G5</f>
        <v>43871.66</v>
      </c>
      <c r="H5" s="167">
        <f>'(Bloom Raw Data)'!H5</f>
        <v>41722.336900000002</v>
      </c>
      <c r="I5" s="167">
        <f>'(Bloom Raw Data)'!I5</f>
        <v>46969.27</v>
      </c>
      <c r="J5" s="167">
        <f>'(Bloom Raw Data)'!J5</f>
        <v>46601.985000000001</v>
      </c>
      <c r="K5" s="167">
        <f>'(Bloom Raw Data)'!K5</f>
        <v>38135.026599999997</v>
      </c>
      <c r="L5" s="167">
        <f>'(Bloom Raw Data)'!L5</f>
        <v>38308.4948</v>
      </c>
      <c r="M5" s="167">
        <f>'(Bloom Raw Data)'!M5</f>
        <v>39165.544000000002</v>
      </c>
      <c r="N5" s="167">
        <f>'(Bloom Raw Data)'!N5</f>
        <v>37307.514000000003</v>
      </c>
      <c r="O5" s="167">
        <f>'(Bloom Raw Data)'!O5</f>
        <v>41364.932999999997</v>
      </c>
      <c r="P5" s="167">
        <f>'(Bloom Raw Data)'!P5</f>
        <v>37124.548600000002</v>
      </c>
      <c r="Q5" s="167">
        <f>'(Bloom Raw Data)'!Q5</f>
        <v>35859.978999999999</v>
      </c>
      <c r="R5" s="167">
        <f>'(Bloom Raw Data)'!R5</f>
        <v>39791.94</v>
      </c>
      <c r="T5" s="167">
        <f>'(Bloom Raw Data)'!U5</f>
        <v>44168</v>
      </c>
      <c r="U5" s="167">
        <f>'(Bloom Raw Data)'!V5</f>
        <v>43629</v>
      </c>
      <c r="V5" s="167">
        <f>'(Bloom Raw Data)'!W5</f>
        <v>48327</v>
      </c>
      <c r="W5" s="167">
        <f>'(Bloom Raw Data)'!X5</f>
        <v>46574</v>
      </c>
      <c r="X5" s="167">
        <f>'(Bloom Raw Data)'!Y5</f>
        <v>45366</v>
      </c>
      <c r="Y5" s="167">
        <f>'(Bloom Raw Data)'!Z5</f>
        <v>43929</v>
      </c>
      <c r="Z5" s="167">
        <f>'(Bloom Raw Data)'!AA5</f>
        <v>45762</v>
      </c>
      <c r="AA5" s="167">
        <f>'(Bloom Raw Data)'!AB5</f>
        <v>45369</v>
      </c>
      <c r="AB5" s="167">
        <f>'(Bloom Raw Data)'!AC5</f>
        <v>42196</v>
      </c>
      <c r="AC5" s="167">
        <f>'(Bloom Raw Data)'!AD5</f>
        <v>40216</v>
      </c>
      <c r="AD5" s="167">
        <f>'(Bloom Raw Data)'!AE5</f>
        <v>42732</v>
      </c>
      <c r="AE5" s="167">
        <f>'(Bloom Raw Data)'!AF5</f>
        <v>40827</v>
      </c>
      <c r="AF5" s="167">
        <f>'(Bloom Raw Data)'!AG5</f>
        <v>38568</v>
      </c>
      <c r="AG5" s="167">
        <f>'(Bloom Raw Data)'!AH5</f>
        <v>38518</v>
      </c>
      <c r="AH5" s="167">
        <f>'(Bloom Raw Data)'!AI5</f>
        <v>43004</v>
      </c>
      <c r="AJ5" s="167">
        <f>'(Bloom Raw Data)'!AL5</f>
        <v>24548</v>
      </c>
      <c r="AK5" s="167">
        <f>'(Bloom Raw Data)'!AP5</f>
        <v>17663</v>
      </c>
      <c r="AL5" s="167">
        <f>'(Bloom Raw Data)'!AT5</f>
        <v>17470</v>
      </c>
      <c r="AM5" s="167">
        <f>'(Bloom Raw Data)'!AX5</f>
        <v>17502</v>
      </c>
      <c r="AO5" s="168">
        <f>'(Bloom Raw Data)'!BC5</f>
        <v>2.7835000000000001</v>
      </c>
      <c r="AP5" s="168">
        <f>'(Bloom Raw Data)'!BD5</f>
        <v>2.7530999999999999</v>
      </c>
      <c r="AQ5" s="168">
        <f>'(Bloom Raw Data)'!BE5</f>
        <v>2.3698000000000001</v>
      </c>
      <c r="AR5" s="168">
        <f>'(Bloom Raw Data)'!BF5</f>
        <v>2.6158999999999999</v>
      </c>
      <c r="AS5" s="168">
        <f>'(Bloom Raw Data)'!BG5</f>
        <v>0.48609999999999998</v>
      </c>
      <c r="AT5" s="168">
        <f>'(Bloom Raw Data)'!BH5</f>
        <v>2.5137999999999998</v>
      </c>
      <c r="AU5" s="168">
        <f>'(Bloom Raw Data)'!BI5</f>
        <v>2.4312</v>
      </c>
      <c r="AV5" s="168">
        <f>'(Bloom Raw Data)'!BJ5</f>
        <v>3.7846000000000002</v>
      </c>
      <c r="AW5" s="16">
        <f>AVERAGE(AV5,AX5)</f>
        <v>3.2831000000000001</v>
      </c>
      <c r="AX5" s="168">
        <f>'(Bloom Raw Data)'!BL5</f>
        <v>2.7816000000000001</v>
      </c>
      <c r="AY5" s="168">
        <f>'(Bloom Raw Data)'!BM5</f>
        <v>2.4426000000000001</v>
      </c>
      <c r="AZ5" s="168">
        <f>'(Bloom Raw Data)'!BN5</f>
        <v>3.2513000000000001</v>
      </c>
      <c r="BA5" s="168">
        <f>'(Bloom Raw Data)'!BO5</f>
        <v>4.1078000000000001</v>
      </c>
      <c r="BB5" s="168">
        <f>'(Bloom Raw Data)'!BP5</f>
        <v>3.0017</v>
      </c>
      <c r="BC5" s="168">
        <f>'(Bloom Raw Data)'!BQ5</f>
        <v>2.6034000000000002</v>
      </c>
      <c r="BE5" s="168" t="e">
        <f>'(Bloom Raw Data)'!BT5</f>
        <v>#NAME?</v>
      </c>
      <c r="BF5" s="168">
        <f>'(Bloom Raw Data)'!BU5</f>
        <v>1.9694</v>
      </c>
      <c r="BG5" s="168">
        <f>'(Bloom Raw Data)'!BV5</f>
        <v>2.2368000000000001</v>
      </c>
      <c r="BH5" s="168">
        <f>'(Bloom Raw Data)'!BW5</f>
        <v>2.2208000000000001</v>
      </c>
      <c r="BI5" s="168">
        <f>'(Bloom Raw Data)'!BX5</f>
        <v>2.5480999999999998</v>
      </c>
      <c r="BJ5" s="168">
        <f>'(Bloom Raw Data)'!BY5</f>
        <v>2.5228999999999999</v>
      </c>
      <c r="BK5" s="168">
        <f>'(Bloom Raw Data)'!BZ5</f>
        <v>2.7326999999999999</v>
      </c>
      <c r="BL5" s="168">
        <f>'(Bloom Raw Data)'!CA5</f>
        <v>2.7244000000000002</v>
      </c>
      <c r="BM5" s="168">
        <f>'(Bloom Raw Data)'!CB5</f>
        <v>2.2204000000000002</v>
      </c>
      <c r="BN5" s="168">
        <f>'(Bloom Raw Data)'!CC5</f>
        <v>2.0991</v>
      </c>
      <c r="BO5" s="168">
        <f>'(Bloom Raw Data)'!CD5</f>
        <v>2.1810999999999998</v>
      </c>
      <c r="BP5" s="168">
        <f>'(Bloom Raw Data)'!CE5</f>
        <v>2.0819000000000001</v>
      </c>
      <c r="BQ5" s="168">
        <f>'(Bloom Raw Data)'!CF5</f>
        <v>2.1436000000000002</v>
      </c>
      <c r="BR5" s="168">
        <f>'(Bloom Raw Data)'!CG5</f>
        <v>2.1776</v>
      </c>
      <c r="BS5" s="168">
        <f>'(Bloom Raw Data)'!CH5</f>
        <v>2.4577</v>
      </c>
      <c r="BU5" s="167">
        <f>'(Bloom Raw Data)'!CK5</f>
        <v>94628.982799999998</v>
      </c>
      <c r="BV5" s="167">
        <f>'(Bloom Raw Data)'!CL5</f>
        <v>93284.27</v>
      </c>
      <c r="BW5" s="167">
        <f>'(Bloom Raw Data)'!CM5</f>
        <v>95766.642000000007</v>
      </c>
      <c r="BX5" s="167">
        <f>'(Bloom Raw Data)'!CN5</f>
        <v>95647.66</v>
      </c>
      <c r="BY5" s="167">
        <f>'(Bloom Raw Data)'!CO5</f>
        <v>92100.336899999995</v>
      </c>
      <c r="BZ5" s="167">
        <f>'(Bloom Raw Data)'!CP5</f>
        <v>95951.27</v>
      </c>
      <c r="CA5" s="167">
        <f>'(Bloom Raw Data)'!CQ5</f>
        <v>97085.985000000001</v>
      </c>
      <c r="CB5" s="167">
        <f>'(Bloom Raw Data)'!CR5</f>
        <v>88351.026599999997</v>
      </c>
      <c r="CC5" s="167">
        <f>'(Bloom Raw Data)'!CS5</f>
        <v>85151.4948</v>
      </c>
      <c r="CD5" s="167">
        <f>'(Bloom Raw Data)'!CT5</f>
        <v>84090.543999999994</v>
      </c>
      <c r="CE5" s="167">
        <f>'(Bloom Raw Data)'!CU5</f>
        <v>84504.513999999996</v>
      </c>
      <c r="CF5" s="167">
        <f>'(Bloom Raw Data)'!CV5</f>
        <v>86802.933000000005</v>
      </c>
      <c r="CG5" s="167">
        <f>'(Bloom Raw Data)'!CW5</f>
        <v>80315.548599999995</v>
      </c>
      <c r="CH5" s="167">
        <f>'(Bloom Raw Data)'!CX5</f>
        <v>78970.979000000007</v>
      </c>
      <c r="CI5" s="167">
        <f>'(Bloom Raw Data)'!CY5</f>
        <v>89828.94</v>
      </c>
      <c r="CK5" s="167">
        <f>BU5-D5-T5</f>
        <v>5583</v>
      </c>
      <c r="CL5" s="167">
        <f t="shared" ref="CL5:CY5" si="0">BV5-E5-U5</f>
        <v>5740.0000000000073</v>
      </c>
      <c r="CM5" s="167">
        <f t="shared" si="0"/>
        <v>5042.0000000000073</v>
      </c>
      <c r="CN5" s="167">
        <f t="shared" si="0"/>
        <v>5202</v>
      </c>
      <c r="CO5" s="167">
        <f t="shared" si="0"/>
        <v>5011.9999999999927</v>
      </c>
      <c r="CP5" s="167">
        <f t="shared" si="0"/>
        <v>5053.0000000000073</v>
      </c>
      <c r="CQ5" s="167">
        <f t="shared" si="0"/>
        <v>4722</v>
      </c>
      <c r="CR5" s="167">
        <f t="shared" si="0"/>
        <v>4847</v>
      </c>
      <c r="CS5" s="167">
        <f t="shared" si="0"/>
        <v>4647</v>
      </c>
      <c r="CT5" s="167">
        <f t="shared" si="0"/>
        <v>4708.9999999999927</v>
      </c>
      <c r="CU5" s="167">
        <f t="shared" si="0"/>
        <v>4464.9999999999927</v>
      </c>
      <c r="CV5" s="167">
        <f t="shared" si="0"/>
        <v>4611.0000000000073</v>
      </c>
      <c r="CW5" s="167">
        <f t="shared" si="0"/>
        <v>4622.9999999999927</v>
      </c>
      <c r="CX5" s="167">
        <f t="shared" si="0"/>
        <v>4593.0000000000073</v>
      </c>
      <c r="CY5" s="167">
        <f t="shared" si="0"/>
        <v>7033</v>
      </c>
      <c r="DA5" s="168">
        <f>'(Bloom Raw Data)'!DB5</f>
        <v>4.2236000000000002</v>
      </c>
      <c r="DB5" s="168">
        <f>'(Bloom Raw Data)'!DC5</f>
        <v>4.2108999999999996</v>
      </c>
      <c r="DC5" s="168">
        <f>'(Bloom Raw Data)'!DD5</f>
        <v>4.4325999999999999</v>
      </c>
      <c r="DD5" s="168">
        <f>'(Bloom Raw Data)'!DE5</f>
        <v>4.5606999999999998</v>
      </c>
      <c r="DE5" s="168">
        <f>'(Bloom Raw Data)'!DF5</f>
        <v>5.173</v>
      </c>
      <c r="DF5" s="168">
        <f>'(Bloom Raw Data)'!DG5</f>
        <v>5.5106000000000002</v>
      </c>
      <c r="DG5" s="168">
        <f>'(Bloom Raw Data)'!DH5</f>
        <v>5.7976000000000001</v>
      </c>
      <c r="DH5" s="168">
        <f>'(Bloom Raw Data)'!DI5</f>
        <v>5.3053999999999997</v>
      </c>
      <c r="DI5" s="168">
        <f>'(Bloom Raw Data)'!DJ5</f>
        <v>4.4806999999999997</v>
      </c>
      <c r="DJ5" s="168">
        <f>'(Bloom Raw Data)'!DK5</f>
        <v>4.3891</v>
      </c>
      <c r="DK5" s="168">
        <f>'(Bloom Raw Data)'!DL5</f>
        <v>4.3132000000000001</v>
      </c>
      <c r="DL5" s="168">
        <f>'(Bloom Raw Data)'!DM5</f>
        <v>4.4264999999999999</v>
      </c>
      <c r="DM5" s="168">
        <f>'(Bloom Raw Data)'!DN5</f>
        <v>4.4640000000000004</v>
      </c>
      <c r="DN5" s="168">
        <f>'(Bloom Raw Data)'!DO5</f>
        <v>4.4646999999999997</v>
      </c>
      <c r="DO5" s="168">
        <f>'(Bloom Raw Data)'!DP5</f>
        <v>5.1337000000000002</v>
      </c>
      <c r="DR5" s="168">
        <f>'(Bloom Raw Data)'!DS5</f>
        <v>1.4647999999999999</v>
      </c>
      <c r="DS5" s="168">
        <f>'(Bloom Raw Data)'!DT5</f>
        <v>1.446</v>
      </c>
      <c r="DT5" s="168">
        <f>'(Bloom Raw Data)'!DU5</f>
        <v>1.5009000000000001</v>
      </c>
      <c r="DU5" s="168">
        <f>'(Bloom Raw Data)'!DV5</f>
        <v>1.5148000000000001</v>
      </c>
      <c r="DV5" s="168">
        <f>'(Bloom Raw Data)'!DW5</f>
        <v>1.4755</v>
      </c>
      <c r="DW5" s="168">
        <f>'(Bloom Raw Data)'!DX5</f>
        <v>1.5676999999999999</v>
      </c>
      <c r="DX5" s="168">
        <f>'(Bloom Raw Data)'!DY5</f>
        <v>1.6141000000000001</v>
      </c>
      <c r="DY5" s="168">
        <f>'(Bloom Raw Data)'!DZ5</f>
        <v>1.4919</v>
      </c>
      <c r="DZ5" s="168">
        <f>'(Bloom Raw Data)'!EA5</f>
        <v>1.4518</v>
      </c>
      <c r="EA5" s="168">
        <f>'(Bloom Raw Data)'!EB5</f>
        <v>1.4377</v>
      </c>
      <c r="EB5" s="168">
        <f>'(Bloom Raw Data)'!EC5</f>
        <v>1.4472</v>
      </c>
      <c r="EC5" s="168">
        <f>'(Bloom Raw Data)'!ED5</f>
        <v>1.4870000000000001</v>
      </c>
      <c r="ED5" s="168">
        <f>'(Bloom Raw Data)'!EE5</f>
        <v>1.3807</v>
      </c>
      <c r="EE5" s="168">
        <f>'(Bloom Raw Data)'!EF5</f>
        <v>1.3729</v>
      </c>
      <c r="EF5" s="168">
        <f>'(Bloom Raw Data)'!EG5</f>
        <v>1.5407999999999999</v>
      </c>
      <c r="EH5" s="167" t="str">
        <f>'(Bloom Raw Data)'!EJ5</f>
        <v>#N/A N/A</v>
      </c>
      <c r="EI5" s="167">
        <f>'(Bloom Raw Data)'!EK5</f>
        <v>19.3691</v>
      </c>
      <c r="EJ5" s="167">
        <f>'(Bloom Raw Data)'!EL5</f>
        <v>19.066500000000001</v>
      </c>
      <c r="EK5" s="167">
        <f>'(Bloom Raw Data)'!EM5</f>
        <v>19.349900000000002</v>
      </c>
      <c r="EL5" s="167" t="str">
        <f>'(Bloom Raw Data)'!EN5</f>
        <v>#N/A N/A</v>
      </c>
      <c r="EM5" s="167">
        <f>'(Bloom Raw Data)'!EO5</f>
        <v>33.968699999999998</v>
      </c>
      <c r="EN5" s="167">
        <f>'(Bloom Raw Data)'!EP5</f>
        <v>37.189700000000002</v>
      </c>
      <c r="EO5" s="167">
        <f>'(Bloom Raw Data)'!EQ5</f>
        <v>28.483899999999998</v>
      </c>
      <c r="EP5" s="167" t="str">
        <f>'(Bloom Raw Data)'!ER5</f>
        <v>#N/A N/A</v>
      </c>
      <c r="EQ5" s="167" t="str">
        <f>'(Bloom Raw Data)'!ES5</f>
        <v>#N/A N/A</v>
      </c>
      <c r="ER5" s="167" t="str">
        <f>'(Bloom Raw Data)'!ET5</f>
        <v>#N/A N/A</v>
      </c>
      <c r="ES5" s="167" t="str">
        <f>'(Bloom Raw Data)'!EU5</f>
        <v>#N/A N/A</v>
      </c>
      <c r="ET5" s="167" t="str">
        <f>'(Bloom Raw Data)'!EV5</f>
        <v>#N/A N/A</v>
      </c>
      <c r="EU5" s="167" t="str">
        <f>'(Bloom Raw Data)'!EW5</f>
        <v>#N/A N/A</v>
      </c>
      <c r="EV5" s="167" t="str">
        <f>'(Bloom Raw Data)'!EX5</f>
        <v>#N/A N/A</v>
      </c>
      <c r="EY5" s="456">
        <f>EZ5</f>
        <v>5553</v>
      </c>
      <c r="EZ5" s="167">
        <f>'(Bloom Raw Data)'!FS5</f>
        <v>5553</v>
      </c>
      <c r="FA5" s="167">
        <f>'(Bloom Raw Data)'!FT5</f>
        <v>1839</v>
      </c>
      <c r="FB5" s="167">
        <f>'(Bloom Raw Data)'!FU5</f>
        <v>2074</v>
      </c>
      <c r="FC5" s="167">
        <f>'(Bloom Raw Data)'!FV5</f>
        <v>2808</v>
      </c>
      <c r="FD5" s="167">
        <f>'(Bloom Raw Data)'!FW5</f>
        <v>1676</v>
      </c>
      <c r="FE5" s="167">
        <f>'(Bloom Raw Data)'!FX5</f>
        <v>2744</v>
      </c>
      <c r="FF5" s="167">
        <f>'(Bloom Raw Data)'!FY5</f>
        <v>2130</v>
      </c>
      <c r="FG5" s="167">
        <f>'(Bloom Raw Data)'!FZ5</f>
        <v>3749</v>
      </c>
      <c r="FH5" s="167">
        <f>'(Bloom Raw Data)'!GA5</f>
        <v>3294</v>
      </c>
      <c r="FI5" s="167">
        <f>'(Bloom Raw Data)'!GB5</f>
        <v>2950</v>
      </c>
      <c r="FJ5" s="167">
        <f>'(Bloom Raw Data)'!GC5</f>
        <v>2529</v>
      </c>
      <c r="FK5" s="167">
        <f>'(Bloom Raw Data)'!GD5</f>
        <v>4026</v>
      </c>
      <c r="FL5" s="167">
        <f>'(Bloom Raw Data)'!GE5</f>
        <v>4540</v>
      </c>
      <c r="FM5" s="167">
        <f>'(Bloom Raw Data)'!GF5</f>
        <v>5243</v>
      </c>
      <c r="FO5" s="168" t="str">
        <f>'(Bloom Raw Data)'!FA5</f>
        <v>#N/A N/A</v>
      </c>
      <c r="FP5" s="168">
        <f>'(Bloom Raw Data)'!FB5</f>
        <v>1.1395</v>
      </c>
      <c r="FQ5" s="168">
        <f>'(Bloom Raw Data)'!FC5</f>
        <v>1.0667</v>
      </c>
      <c r="FR5" s="168">
        <f>'(Bloom Raw Data)'!FD5</f>
        <v>1.1496999999999999</v>
      </c>
      <c r="FS5" s="168" t="str">
        <f>'(Bloom Raw Data)'!FE5</f>
        <v>#N/A N/A</v>
      </c>
      <c r="FT5" s="168">
        <f>'(Bloom Raw Data)'!FF5</f>
        <v>1.2490999999999999</v>
      </c>
      <c r="FU5" s="168">
        <f>'(Bloom Raw Data)'!FG5</f>
        <v>1.3485</v>
      </c>
      <c r="FV5" s="168">
        <f>'(Bloom Raw Data)'!FH5</f>
        <v>1.0639000000000001</v>
      </c>
      <c r="FW5" s="168" t="str">
        <f>'(Bloom Raw Data)'!FI5</f>
        <v>#N/A N/A</v>
      </c>
      <c r="FX5" s="168" t="str">
        <f>'(Bloom Raw Data)'!FJ5</f>
        <v>#N/A N/A</v>
      </c>
      <c r="FY5" s="168" t="str">
        <f>'(Bloom Raw Data)'!FK5</f>
        <v>#N/A N/A</v>
      </c>
      <c r="FZ5" s="168" t="str">
        <f>'(Bloom Raw Data)'!FL5</f>
        <v>#N/A N/A</v>
      </c>
      <c r="GA5" s="168" t="str">
        <f>'(Bloom Raw Data)'!FM5</f>
        <v>#N/A N/A</v>
      </c>
      <c r="GB5" s="168" t="str">
        <f>'(Bloom Raw Data)'!FN5</f>
        <v>#N/A N/A</v>
      </c>
      <c r="GC5" s="168" t="str">
        <f>'(Bloom Raw Data)'!FO5</f>
        <v>#N/A N/A</v>
      </c>
      <c r="GF5" s="167">
        <f>'(Bloom Raw Data)'!GI5</f>
        <v>41937</v>
      </c>
      <c r="GG5" s="167">
        <f>'(Bloom Raw Data)'!GJ5</f>
        <v>44279</v>
      </c>
      <c r="GH5" s="167">
        <f>'(Bloom Raw Data)'!GK5</f>
        <v>44787</v>
      </c>
      <c r="GI5" s="167">
        <f>'(Bloom Raw Data)'!GL5</f>
        <v>43360</v>
      </c>
      <c r="GJ5" s="167">
        <f>'(Bloom Raw Data)'!GM5</f>
        <v>43028</v>
      </c>
      <c r="GK5" s="167">
        <f>'(Bloom Raw Data)'!GN5</f>
        <v>42656</v>
      </c>
      <c r="GL5" s="167">
        <f>'(Bloom Raw Data)'!GO5</f>
        <v>39280</v>
      </c>
      <c r="GM5" s="167">
        <f>'(Bloom Raw Data)'!GP5</f>
        <v>40690</v>
      </c>
      <c r="GN5" s="167">
        <f>'(Bloom Raw Data)'!GQ5</f>
        <v>39941</v>
      </c>
      <c r="GO5" s="167">
        <f>'(Bloom Raw Data)'!GR5</f>
        <v>39818</v>
      </c>
      <c r="GP5" s="167">
        <f>'(Bloom Raw Data)'!GS5</f>
        <v>37874</v>
      </c>
      <c r="GQ5" s="167">
        <f>'(Bloom Raw Data)'!GT5</f>
        <v>30259</v>
      </c>
      <c r="GR5" s="167">
        <f>'(Bloom Raw Data)'!GU5</f>
        <v>30543</v>
      </c>
      <c r="GS5" s="167">
        <f>'(Bloom Raw Data)'!GV5</f>
        <v>31013</v>
      </c>
      <c r="GT5" s="167">
        <f>'(Bloom Raw Data)'!GW5</f>
        <v>31250</v>
      </c>
      <c r="GV5" s="167">
        <f t="shared" ref="GV5:HJ12" si="1">BU5/DA5</f>
        <v>22404.816459892034</v>
      </c>
      <c r="GW5" s="167">
        <f t="shared" si="1"/>
        <v>22153.048041986276</v>
      </c>
      <c r="GX5" s="167">
        <f t="shared" si="1"/>
        <v>21605.0719667915</v>
      </c>
      <c r="GY5" s="167">
        <f t="shared" si="1"/>
        <v>20972.144626921308</v>
      </c>
      <c r="GZ5" s="167">
        <f t="shared" si="1"/>
        <v>17804.047341967907</v>
      </c>
      <c r="HA5" s="167">
        <f t="shared" si="1"/>
        <v>17412.127536021486</v>
      </c>
      <c r="HB5" s="167">
        <f t="shared" si="1"/>
        <v>16745.892265765146</v>
      </c>
      <c r="HC5" s="167">
        <f t="shared" si="1"/>
        <v>16653.037772835225</v>
      </c>
      <c r="HD5" s="167">
        <f t="shared" si="1"/>
        <v>19004.060704800591</v>
      </c>
      <c r="HE5" s="167">
        <f t="shared" si="1"/>
        <v>19158.949215101045</v>
      </c>
      <c r="HF5" s="167">
        <f t="shared" si="1"/>
        <v>19592.069461188908</v>
      </c>
      <c r="HG5" s="167">
        <f t="shared" si="1"/>
        <v>19609.834632328028</v>
      </c>
      <c r="HH5" s="167">
        <f t="shared" si="1"/>
        <v>17991.83436379928</v>
      </c>
      <c r="HI5" s="167">
        <f t="shared" si="1"/>
        <v>17687.857862790337</v>
      </c>
      <c r="HJ5" s="167">
        <f t="shared" si="1"/>
        <v>17497.894306250852</v>
      </c>
      <c r="HL5" s="168">
        <f>'(Bloom Raw Data)'!HQ5</f>
        <v>4.6195000000000004</v>
      </c>
      <c r="HM5" s="168">
        <f>'(Bloom Raw Data)'!HR5</f>
        <v>5.6878000000000002</v>
      </c>
      <c r="HN5" s="168">
        <f>'(Bloom Raw Data)'!HS5</f>
        <v>6.3822999999999999</v>
      </c>
      <c r="HO5" s="168">
        <f>'(Bloom Raw Data)'!HT5</f>
        <v>7.4030000000000005</v>
      </c>
      <c r="HP5" s="168">
        <f>'(Bloom Raw Data)'!HU5</f>
        <v>6.6543000000000001</v>
      </c>
      <c r="HQ5" s="168">
        <f>'(Bloom Raw Data)'!HV5</f>
        <v>7.2379999999999995</v>
      </c>
      <c r="HR5" s="168">
        <f>'(Bloom Raw Data)'!HW5</f>
        <v>7.0167000000000002</v>
      </c>
      <c r="HS5" s="168">
        <f>'(Bloom Raw Data)'!HX5</f>
        <v>6.5442</v>
      </c>
      <c r="HT5" s="168">
        <f>'(Bloom Raw Data)'!HY5</f>
        <v>5.3388999999999998</v>
      </c>
      <c r="HU5" s="168">
        <f>'(Bloom Raw Data)'!HZ5</f>
        <v>5.2583000000000002</v>
      </c>
      <c r="HV5" s="168">
        <f>'(Bloom Raw Data)'!IA5</f>
        <v>5.5208000000000004</v>
      </c>
      <c r="HW5" s="168">
        <f>'(Bloom Raw Data)'!IB5</f>
        <v>5.7710999999999997</v>
      </c>
      <c r="HX5" s="168">
        <f>'(Bloom Raw Data)'!IC5</f>
        <v>4.9032999999999998</v>
      </c>
      <c r="HY5" s="168">
        <f>'(Bloom Raw Data)'!ID5</f>
        <v>4.5873999999999997</v>
      </c>
      <c r="HZ5" s="168">
        <f>'(Bloom Raw Data)'!IE5</f>
        <v>5.2995000000000001</v>
      </c>
    </row>
    <row r="6" spans="1:236">
      <c r="A6" s="11" t="s">
        <v>389</v>
      </c>
      <c r="B6" s="11" t="s">
        <v>3</v>
      </c>
      <c r="D6" s="167">
        <f>'(Bloom Raw Data)'!D6</f>
        <v>4403.5114999999996</v>
      </c>
      <c r="E6" s="167">
        <f>'(Bloom Raw Data)'!E6</f>
        <v>4580.5370999999996</v>
      </c>
      <c r="F6" s="167">
        <f>'(Bloom Raw Data)'!F6</f>
        <v>4042.8218999999999</v>
      </c>
      <c r="G6" s="167">
        <f>'(Bloom Raw Data)'!G6</f>
        <v>4885.9062000000004</v>
      </c>
      <c r="H6" s="167">
        <f>'(Bloom Raw Data)'!H6</f>
        <v>4655.7730000000001</v>
      </c>
      <c r="I6" s="167">
        <f>'(Bloom Raw Data)'!I6</f>
        <v>4567.2601999999997</v>
      </c>
      <c r="J6" s="167">
        <f>'(Bloom Raw Data)'!J6</f>
        <v>3894.5628999999999</v>
      </c>
      <c r="K6" s="167">
        <f>'(Bloom Raw Data)'!K6</f>
        <v>3354.1923000000002</v>
      </c>
      <c r="L6" s="167">
        <f>'(Bloom Raw Data)'!L6</f>
        <v>4088.4059000000002</v>
      </c>
      <c r="M6" s="167">
        <f>'(Bloom Raw Data)'!M6</f>
        <v>3864.4686000000002</v>
      </c>
      <c r="N6" s="167">
        <f>'(Bloom Raw Data)'!N6</f>
        <v>3433.8537999999999</v>
      </c>
      <c r="O6" s="167">
        <f>'(Bloom Raw Data)'!O6</f>
        <v>2434.1017999999999</v>
      </c>
      <c r="P6" s="167">
        <f>'(Bloom Raw Data)'!P6</f>
        <v>2540.3172</v>
      </c>
      <c r="Q6" s="167">
        <f>'(Bloom Raw Data)'!Q6</f>
        <v>2265.4850000000001</v>
      </c>
      <c r="R6" s="167">
        <f>'(Bloom Raw Data)'!R6</f>
        <v>2152.6311000000001</v>
      </c>
      <c r="T6" s="167">
        <f>'(Bloom Raw Data)'!U6</f>
        <v>3145.31</v>
      </c>
      <c r="U6" s="167">
        <f>'(Bloom Raw Data)'!V6</f>
        <v>2965.2</v>
      </c>
      <c r="V6" s="167">
        <f>'(Bloom Raw Data)'!W6</f>
        <v>3106.4</v>
      </c>
      <c r="W6" s="167">
        <f>'(Bloom Raw Data)'!X6</f>
        <v>2823.3</v>
      </c>
      <c r="X6" s="167">
        <f>'(Bloom Raw Data)'!Y6</f>
        <v>3350.0210000000002</v>
      </c>
      <c r="Y6" s="167">
        <f>'(Bloom Raw Data)'!Z6</f>
        <v>3327</v>
      </c>
      <c r="Z6" s="167">
        <f>'(Bloom Raw Data)'!AA6</f>
        <v>3536.5</v>
      </c>
      <c r="AA6" s="167">
        <f>'(Bloom Raw Data)'!AB6</f>
        <v>3438</v>
      </c>
      <c r="AB6" s="167">
        <f>'(Bloom Raw Data)'!AC6</f>
        <v>3323.3139999999999</v>
      </c>
      <c r="AC6" s="167">
        <f>'(Bloom Raw Data)'!AD6</f>
        <v>3279.5</v>
      </c>
      <c r="AD6" s="167">
        <f>'(Bloom Raw Data)'!AE6</f>
        <v>3371</v>
      </c>
      <c r="AE6" s="167">
        <f>'(Bloom Raw Data)'!AF6</f>
        <v>3210.2</v>
      </c>
      <c r="AF6" s="167">
        <f>'(Bloom Raw Data)'!AG6</f>
        <v>3195.5210000000002</v>
      </c>
      <c r="AG6" s="167">
        <f>'(Bloom Raw Data)'!AH6</f>
        <v>3509</v>
      </c>
      <c r="AH6" s="167">
        <f>'(Bloom Raw Data)'!AI6</f>
        <v>3474.4</v>
      </c>
      <c r="AJ6" s="167">
        <f>'(Bloom Raw Data)'!AL6</f>
        <v>122.795</v>
      </c>
      <c r="AK6" s="167">
        <f>'(Bloom Raw Data)'!AP6</f>
        <v>109.989</v>
      </c>
      <c r="AL6" s="167">
        <f>'(Bloom Raw Data)'!AT6</f>
        <v>109.435</v>
      </c>
      <c r="AM6" s="167">
        <f>'(Bloom Raw Data)'!AX6</f>
        <v>105.739</v>
      </c>
      <c r="AO6" s="168">
        <f>'(Bloom Raw Data)'!BC6</f>
        <v>2.0987</v>
      </c>
      <c r="AP6" s="168">
        <f>'(Bloom Raw Data)'!BD6</f>
        <v>3.1259000000000001</v>
      </c>
      <c r="AQ6" s="168">
        <f>'(Bloom Raw Data)'!BE6</f>
        <v>2.5788000000000002</v>
      </c>
      <c r="AR6" s="168">
        <f>'(Bloom Raw Data)'!BF6</f>
        <v>3.5594999999999999</v>
      </c>
      <c r="AS6" s="168">
        <f>'(Bloom Raw Data)'!BG6</f>
        <v>1.8706</v>
      </c>
      <c r="AT6" s="168">
        <f>'(Bloom Raw Data)'!BH6</f>
        <v>2.7198000000000002</v>
      </c>
      <c r="AU6" s="168">
        <f>'(Bloom Raw Data)'!BI6</f>
        <v>2.2719</v>
      </c>
      <c r="AV6" s="168">
        <f>'(Bloom Raw Data)'!BJ6</f>
        <v>3.0768</v>
      </c>
      <c r="AW6" s="168">
        <f>'(Bloom Raw Data)'!BK6</f>
        <v>-3.6991000000000001</v>
      </c>
      <c r="AX6" s="168">
        <f>'(Bloom Raw Data)'!BL6</f>
        <v>2.0314000000000001</v>
      </c>
      <c r="AY6" s="168">
        <f>'(Bloom Raw Data)'!BM6</f>
        <v>1.6831</v>
      </c>
      <c r="AZ6" s="168">
        <f>'(Bloom Raw Data)'!BN6</f>
        <v>3.2178</v>
      </c>
      <c r="BA6" s="168">
        <f>'(Bloom Raw Data)'!BO6</f>
        <v>1.5064</v>
      </c>
      <c r="BB6" s="168">
        <f>'(Bloom Raw Data)'!BP6</f>
        <v>2.3489</v>
      </c>
      <c r="BC6" s="168">
        <f>'(Bloom Raw Data)'!BQ6</f>
        <v>2.1646999999999998</v>
      </c>
      <c r="BE6" s="168">
        <f>'(Bloom Raw Data)'!BT6</f>
        <v>1.7532000000000001</v>
      </c>
      <c r="BF6" s="168">
        <f>'(Bloom Raw Data)'!BU6</f>
        <v>1.6798999999999999</v>
      </c>
      <c r="BG6" s="168">
        <f>'(Bloom Raw Data)'!BV6</f>
        <v>1.8073000000000001</v>
      </c>
      <c r="BH6" s="168">
        <f>'(Bloom Raw Data)'!BW6</f>
        <v>1.6823999999999999</v>
      </c>
      <c r="BI6" s="168">
        <f>'(Bloom Raw Data)'!BX6</f>
        <v>2.0352999999999999</v>
      </c>
      <c r="BJ6" s="168">
        <f>'(Bloom Raw Data)'!BY6</f>
        <v>2.0579000000000001</v>
      </c>
      <c r="BK6" s="168">
        <f>'(Bloom Raw Data)'!BZ6</f>
        <v>2.2189000000000001</v>
      </c>
      <c r="BL6" s="168">
        <f>'(Bloom Raw Data)'!CA6</f>
        <v>2.2071000000000001</v>
      </c>
      <c r="BM6" s="168">
        <f>'(Bloom Raw Data)'!CB6</f>
        <v>2.1758999999999999</v>
      </c>
      <c r="BN6" s="168">
        <f>'(Bloom Raw Data)'!CC6</f>
        <v>2.198</v>
      </c>
      <c r="BO6" s="168">
        <f>'(Bloom Raw Data)'!CD6</f>
        <v>2.2839</v>
      </c>
      <c r="BP6" s="168">
        <f>'(Bloom Raw Data)'!CE6</f>
        <v>2.1787000000000001</v>
      </c>
      <c r="BQ6" s="168">
        <f>'(Bloom Raw Data)'!CF6</f>
        <v>2.1955</v>
      </c>
      <c r="BR6" s="168">
        <f>'(Bloom Raw Data)'!CG6</f>
        <v>2.4521999999999999</v>
      </c>
      <c r="BS6" s="168">
        <f>'(Bloom Raw Data)'!CH6</f>
        <v>2.4878</v>
      </c>
      <c r="BU6" s="167">
        <f>'(Bloom Raw Data)'!CK6</f>
        <v>7551.5445</v>
      </c>
      <c r="BV6" s="167">
        <f>'(Bloom Raw Data)'!CL6</f>
        <v>7548.5370999999996</v>
      </c>
      <c r="BW6" s="167">
        <f>'(Bloom Raw Data)'!CM6</f>
        <v>7151.8218999999999</v>
      </c>
      <c r="BX6" s="167">
        <f>'(Bloom Raw Data)'!CN6</f>
        <v>7711.9062000000004</v>
      </c>
      <c r="BY6" s="167">
        <f>'(Bloom Raw Data)'!CO6</f>
        <v>8008.34</v>
      </c>
      <c r="BZ6" s="167">
        <f>'(Bloom Raw Data)'!CP6</f>
        <v>7896.4602000000004</v>
      </c>
      <c r="CA6" s="167">
        <f>'(Bloom Raw Data)'!CQ6</f>
        <v>7433.3629000000001</v>
      </c>
      <c r="CB6" s="167">
        <f>'(Bloom Raw Data)'!CR6</f>
        <v>6794.2923000000001</v>
      </c>
      <c r="CC6" s="167">
        <f>'(Bloom Raw Data)'!CS6</f>
        <v>7412.6539000000002</v>
      </c>
      <c r="CD6" s="167">
        <f>'(Bloom Raw Data)'!CT6</f>
        <v>7144.8685999999998</v>
      </c>
      <c r="CE6" s="167">
        <f>'(Bloom Raw Data)'!CU6</f>
        <v>6805.8537999999999</v>
      </c>
      <c r="CF6" s="167">
        <f>'(Bloom Raw Data)'!CV6</f>
        <v>5645.3018000000002</v>
      </c>
      <c r="CG6" s="167">
        <f>'(Bloom Raw Data)'!CW6</f>
        <v>5736.8901999999998</v>
      </c>
      <c r="CH6" s="167">
        <f>'(Bloom Raw Data)'!CX6</f>
        <v>5775.585</v>
      </c>
      <c r="CI6" s="167">
        <f>'(Bloom Raw Data)'!CY6</f>
        <v>5628.2311</v>
      </c>
      <c r="CK6" s="167">
        <f t="shared" ref="CK6:CK27" si="2">BU6-D6-T6</f>
        <v>2.7230000000004111</v>
      </c>
      <c r="CL6" s="167">
        <f t="shared" ref="CL6:CL27" si="3">BV6-E6-U6</f>
        <v>2.8000000000001819</v>
      </c>
      <c r="CM6" s="167">
        <f t="shared" ref="CM6:CM27" si="4">BW6-F6-V6</f>
        <v>2.5999999999999091</v>
      </c>
      <c r="CN6" s="167">
        <f t="shared" ref="CN6:CN27" si="5">BX6-G6-W6</f>
        <v>2.6999999999998181</v>
      </c>
      <c r="CO6" s="167">
        <f t="shared" ref="CO6:CO27" si="6">BY6-H6-X6</f>
        <v>2.5459999999998217</v>
      </c>
      <c r="CP6" s="167">
        <f t="shared" ref="CP6:CP27" si="7">BZ6-I6-Y6</f>
        <v>2.2000000000007276</v>
      </c>
      <c r="CQ6" s="167">
        <f t="shared" ref="CQ6:CQ27" si="8">CA6-J6-Z6</f>
        <v>2.3000000000001819</v>
      </c>
      <c r="CR6" s="167">
        <f t="shared" ref="CR6:CR27" si="9">CB6-K6-AA6</f>
        <v>2.0999999999999091</v>
      </c>
      <c r="CS6" s="167">
        <f t="shared" ref="CS6:CS27" si="10">CC6-L6-AB6</f>
        <v>0.93400000000019645</v>
      </c>
      <c r="CT6" s="167">
        <f t="shared" ref="CT6:CT27" si="11">CD6-M6-AC6</f>
        <v>0.8999999999996362</v>
      </c>
      <c r="CU6" s="167">
        <f t="shared" ref="CU6:CU27" si="12">CE6-N6-AD6</f>
        <v>1</v>
      </c>
      <c r="CV6" s="167">
        <f t="shared" ref="CV6:CV27" si="13">CF6-O6-AE6</f>
        <v>1.0000000000004547</v>
      </c>
      <c r="CW6" s="167">
        <f t="shared" ref="CW6:CW27" si="14">CG6-P6-AF6</f>
        <v>1.0519999999996799</v>
      </c>
      <c r="CX6" s="167">
        <f t="shared" ref="CX6:CX27" si="15">CH6-Q6-AG6</f>
        <v>1.0999999999999091</v>
      </c>
      <c r="CY6" s="167">
        <f t="shared" ref="CY6:CY27" si="16">CI6-R6-AH6</f>
        <v>1.1999999999998181</v>
      </c>
      <c r="DA6" s="168">
        <f>'(Bloom Raw Data)'!DB6</f>
        <v>4.2092000000000001</v>
      </c>
      <c r="DB6" s="168">
        <f>'(Bloom Raw Data)'!DC6</f>
        <v>4.2765000000000004</v>
      </c>
      <c r="DC6" s="168">
        <f>'(Bloom Raw Data)'!DD6</f>
        <v>4.1608000000000001</v>
      </c>
      <c r="DD6" s="168">
        <f>'(Bloom Raw Data)'!DE6</f>
        <v>4.5955000000000004</v>
      </c>
      <c r="DE6" s="168">
        <f>'(Bloom Raw Data)'!DF6</f>
        <v>4.8654999999999999</v>
      </c>
      <c r="DF6" s="168">
        <f>'(Bloom Raw Data)'!DG6</f>
        <v>4.8841999999999999</v>
      </c>
      <c r="DG6" s="168">
        <f>'(Bloom Raw Data)'!DH6</f>
        <v>4.6638000000000002</v>
      </c>
      <c r="DH6" s="168">
        <f>'(Bloom Raw Data)'!DI6</f>
        <v>4.3616999999999999</v>
      </c>
      <c r="DI6" s="168">
        <f>'(Bloom Raw Data)'!DJ6</f>
        <v>4.8532000000000002</v>
      </c>
      <c r="DJ6" s="168">
        <f>'(Bloom Raw Data)'!DK6</f>
        <v>4.7885999999999997</v>
      </c>
      <c r="DK6" s="168">
        <f>'(Bloom Raw Data)'!DL6</f>
        <v>4.6111000000000004</v>
      </c>
      <c r="DL6" s="168">
        <f>'(Bloom Raw Data)'!DM6</f>
        <v>3.8313000000000001</v>
      </c>
      <c r="DM6" s="168">
        <f>'(Bloom Raw Data)'!DN6</f>
        <v>3.9416000000000002</v>
      </c>
      <c r="DN6" s="168">
        <f>'(Bloom Raw Data)'!DO6</f>
        <v>4.0361000000000002</v>
      </c>
      <c r="DO6" s="168">
        <f>'(Bloom Raw Data)'!DP6</f>
        <v>4.03</v>
      </c>
      <c r="DR6" s="168">
        <f>'(Bloom Raw Data)'!DS6</f>
        <v>1.5726</v>
      </c>
      <c r="DS6" s="168">
        <f>'(Bloom Raw Data)'!DT6</f>
        <v>1.5956000000000001</v>
      </c>
      <c r="DT6" s="168">
        <f>'(Bloom Raw Data)'!DU6</f>
        <v>1.5190999999999999</v>
      </c>
      <c r="DU6" s="168">
        <f>'(Bloom Raw Data)'!DV6</f>
        <v>1.6543999999999999</v>
      </c>
      <c r="DV6" s="168">
        <f>'(Bloom Raw Data)'!DW6</f>
        <v>1.7219</v>
      </c>
      <c r="DW6" s="168">
        <f>'(Bloom Raw Data)'!DX6</f>
        <v>1.7008000000000001</v>
      </c>
      <c r="DX6" s="168">
        <f>'(Bloom Raw Data)'!DY6</f>
        <v>1.6217999999999999</v>
      </c>
      <c r="DY6" s="168">
        <f>'(Bloom Raw Data)'!DZ6</f>
        <v>1.5066999999999999</v>
      </c>
      <c r="DZ6" s="168">
        <f>'(Bloom Raw Data)'!EA6</f>
        <v>1.6640000000000001</v>
      </c>
      <c r="EA6" s="168">
        <f>'(Bloom Raw Data)'!EB6</f>
        <v>1.6269</v>
      </c>
      <c r="EB6" s="168">
        <f>'(Bloom Raw Data)'!EC6</f>
        <v>1.5662</v>
      </c>
      <c r="EC6" s="168">
        <f>'(Bloom Raw Data)'!ED6</f>
        <v>1.3044</v>
      </c>
      <c r="ED6" s="168">
        <f>'(Bloom Raw Data)'!EE6</f>
        <v>1.325</v>
      </c>
      <c r="EE6" s="168">
        <f>'(Bloom Raw Data)'!EF6</f>
        <v>1.3357999999999999</v>
      </c>
      <c r="EF6" s="168">
        <f>'(Bloom Raw Data)'!EG6</f>
        <v>1.3078000000000001</v>
      </c>
      <c r="EH6" s="167" t="str">
        <f>'(Bloom Raw Data)'!EJ6</f>
        <v>#N/A N/A</v>
      </c>
      <c r="EI6" s="167">
        <f>'(Bloom Raw Data)'!EK6</f>
        <v>43.125</v>
      </c>
      <c r="EJ6" s="167">
        <f>'(Bloom Raw Data)'!EL6</f>
        <v>43.5</v>
      </c>
      <c r="EK6" s="167">
        <f>'(Bloom Raw Data)'!EM6</f>
        <v>14.918900000000001</v>
      </c>
      <c r="EL6" s="167" t="str">
        <f>'(Bloom Raw Data)'!EN6</f>
        <v>#N/A N/A</v>
      </c>
      <c r="EM6" s="167">
        <f>'(Bloom Raw Data)'!EO6</f>
        <v>172</v>
      </c>
      <c r="EN6" s="167" t="str">
        <f>'(Bloom Raw Data)'!EP6</f>
        <v>#N/A N/A</v>
      </c>
      <c r="EO6" s="167">
        <f>'(Bloom Raw Data)'!EQ6</f>
        <v>378.95</v>
      </c>
      <c r="EP6" s="167" t="str">
        <f>'(Bloom Raw Data)'!ER6</f>
        <v>#N/A N/A</v>
      </c>
      <c r="EQ6" s="167" t="str">
        <f>'(Bloom Raw Data)'!ES6</f>
        <v>#N/A N/A</v>
      </c>
      <c r="ER6" s="167" t="str">
        <f>'(Bloom Raw Data)'!ET6</f>
        <v>#N/A N/A</v>
      </c>
      <c r="ES6" s="167" t="str">
        <f>'(Bloom Raw Data)'!EU6</f>
        <v>#N/A N/A</v>
      </c>
      <c r="ET6" s="167" t="str">
        <f>'(Bloom Raw Data)'!EV6</f>
        <v>#N/A N/A</v>
      </c>
      <c r="EU6" s="167" t="str">
        <f>'(Bloom Raw Data)'!EW6</f>
        <v>#N/A N/A</v>
      </c>
      <c r="EV6" s="167" t="str">
        <f>'(Bloom Raw Data)'!EX6</f>
        <v>#N/A N/A</v>
      </c>
      <c r="EY6" s="167">
        <f>'(Bloom Raw Data)'!FR6</f>
        <v>730.05399999999997</v>
      </c>
      <c r="EZ6" s="167">
        <f>'(Bloom Raw Data)'!FS6</f>
        <v>231.7</v>
      </c>
      <c r="FA6" s="167">
        <f>'(Bloom Raw Data)'!FT6</f>
        <v>173.3</v>
      </c>
      <c r="FB6" s="167">
        <f>'(Bloom Raw Data)'!FU6</f>
        <v>826.4</v>
      </c>
      <c r="FC6" s="167">
        <f>'(Bloom Raw Data)'!FV6</f>
        <v>120.196</v>
      </c>
      <c r="FD6" s="167">
        <f>'(Bloom Raw Data)'!FW6</f>
        <v>353.4</v>
      </c>
      <c r="FE6" s="167">
        <f>'(Bloom Raw Data)'!FX6</f>
        <v>168.4</v>
      </c>
      <c r="FF6" s="167">
        <f>'(Bloom Raw Data)'!FY6</f>
        <v>318.7</v>
      </c>
      <c r="FG6" s="167">
        <f>'(Bloom Raw Data)'!FZ6</f>
        <v>459.952</v>
      </c>
      <c r="FH6" s="167">
        <f>'(Bloom Raw Data)'!GA6</f>
        <v>625</v>
      </c>
      <c r="FI6" s="167">
        <f>'(Bloom Raw Data)'!GB6</f>
        <v>306.60000000000002</v>
      </c>
      <c r="FJ6" s="167">
        <f>'(Bloom Raw Data)'!GC6</f>
        <v>506.3</v>
      </c>
      <c r="FK6" s="167">
        <f>'(Bloom Raw Data)'!GD6</f>
        <v>600.76300000000003</v>
      </c>
      <c r="FL6" s="167">
        <f>'(Bloom Raw Data)'!GE6</f>
        <v>420.5</v>
      </c>
      <c r="FM6" s="167">
        <f>'(Bloom Raw Data)'!GF6</f>
        <v>530.79999999999995</v>
      </c>
      <c r="FO6" s="168" t="str">
        <f>'(Bloom Raw Data)'!FA6</f>
        <v>#N/A N/A</v>
      </c>
      <c r="FP6" s="168">
        <f>'(Bloom Raw Data)'!FB6</f>
        <v>2.6831</v>
      </c>
      <c r="FQ6" s="168">
        <f>'(Bloom Raw Data)'!FC6</f>
        <v>2.6951999999999998</v>
      </c>
      <c r="FR6" s="168">
        <f>'(Bloom Raw Data)'!FD6</f>
        <v>3.2273999999999998</v>
      </c>
      <c r="FS6" s="168" t="str">
        <f>'(Bloom Raw Data)'!FE6</f>
        <v>#N/A N/A</v>
      </c>
      <c r="FT6" s="168">
        <f>'(Bloom Raw Data)'!FF6</f>
        <v>3.3698999999999999</v>
      </c>
      <c r="FU6" s="168">
        <f>'(Bloom Raw Data)'!FG6</f>
        <v>5.1754999999999995</v>
      </c>
      <c r="FV6" s="168">
        <f>'(Bloom Raw Data)'!FH6</f>
        <v>4.3822999999999999</v>
      </c>
      <c r="FW6" s="168" t="str">
        <f>'(Bloom Raw Data)'!FI6</f>
        <v>#N/A N/A</v>
      </c>
      <c r="FX6" s="168" t="str">
        <f>'(Bloom Raw Data)'!FJ6</f>
        <v>#N/A N/A</v>
      </c>
      <c r="FY6" s="168" t="str">
        <f>'(Bloom Raw Data)'!FK6</f>
        <v>#N/A N/A</v>
      </c>
      <c r="FZ6" s="168" t="str">
        <f>'(Bloom Raw Data)'!FL6</f>
        <v>#N/A N/A</v>
      </c>
      <c r="GA6" s="168" t="str">
        <f>'(Bloom Raw Data)'!FM6</f>
        <v>#N/A N/A</v>
      </c>
      <c r="GB6" s="168" t="str">
        <f>'(Bloom Raw Data)'!FN6</f>
        <v>#N/A N/A</v>
      </c>
      <c r="GC6" s="168" t="str">
        <f>'(Bloom Raw Data)'!FO6</f>
        <v>#N/A N/A</v>
      </c>
      <c r="GF6" s="167">
        <f>'(Bloom Raw Data)'!GI6</f>
        <v>1614.146</v>
      </c>
      <c r="GG6" s="167">
        <f>'(Bloom Raw Data)'!GJ6</f>
        <v>1710</v>
      </c>
      <c r="GH6" s="167">
        <f>'(Bloom Raw Data)'!GK6</f>
        <v>1502.6</v>
      </c>
      <c r="GI6" s="167">
        <f>'(Bloom Raw Data)'!GL6</f>
        <v>1516.6</v>
      </c>
      <c r="GJ6" s="167">
        <f>'(Bloom Raw Data)'!GM6</f>
        <v>1476.925</v>
      </c>
      <c r="GK6" s="167">
        <f>'(Bloom Raw Data)'!GN6</f>
        <v>1357.5</v>
      </c>
      <c r="GL6" s="167">
        <f>'(Bloom Raw Data)'!GO6</f>
        <v>754.8</v>
      </c>
      <c r="GM6" s="167">
        <f>'(Bloom Raw Data)'!GP6</f>
        <v>767.5</v>
      </c>
      <c r="GN6" s="167">
        <f>'(Bloom Raw Data)'!GQ6</f>
        <v>883.11</v>
      </c>
      <c r="GO6" s="167">
        <f>'(Bloom Raw Data)'!GR6</f>
        <v>930.6</v>
      </c>
      <c r="GP6" s="167">
        <f>'(Bloom Raw Data)'!GS6</f>
        <v>815.1</v>
      </c>
      <c r="GQ6" s="167">
        <f>'(Bloom Raw Data)'!GT6</f>
        <v>914.8</v>
      </c>
      <c r="GR6" s="167">
        <f>'(Bloom Raw Data)'!GU6</f>
        <v>836.14700000000005</v>
      </c>
      <c r="GS6" s="167">
        <f>'(Bloom Raw Data)'!GV6</f>
        <v>915.3</v>
      </c>
      <c r="GT6" s="167">
        <f>'(Bloom Raw Data)'!GW6</f>
        <v>937.5</v>
      </c>
      <c r="GV6" s="167">
        <f t="shared" si="1"/>
        <v>1794.0569466882068</v>
      </c>
      <c r="GW6" s="167">
        <f t="shared" si="1"/>
        <v>1765.1203320472346</v>
      </c>
      <c r="GX6" s="167">
        <f t="shared" si="1"/>
        <v>1718.8574072293789</v>
      </c>
      <c r="GY6" s="167">
        <f t="shared" si="1"/>
        <v>1678.1430094657817</v>
      </c>
      <c r="GZ6" s="167">
        <f t="shared" si="1"/>
        <v>1645.9438906587195</v>
      </c>
      <c r="HA6" s="167">
        <f t="shared" si="1"/>
        <v>1616.7356373612874</v>
      </c>
      <c r="HB6" s="167">
        <f t="shared" si="1"/>
        <v>1593.8425532827307</v>
      </c>
      <c r="HC6" s="167">
        <f t="shared" si="1"/>
        <v>1557.7165554714904</v>
      </c>
      <c r="HD6" s="167">
        <f t="shared" si="1"/>
        <v>1527.374495178439</v>
      </c>
      <c r="HE6" s="167">
        <f t="shared" si="1"/>
        <v>1492.0579292486323</v>
      </c>
      <c r="HF6" s="167">
        <f t="shared" si="1"/>
        <v>1475.9718505345795</v>
      </c>
      <c r="HG6" s="167">
        <f t="shared" si="1"/>
        <v>1473.4690052984627</v>
      </c>
      <c r="HH6" s="167">
        <f t="shared" si="1"/>
        <v>1455.4724477369596</v>
      </c>
      <c r="HI6" s="167">
        <f t="shared" si="1"/>
        <v>1430.9816406927478</v>
      </c>
      <c r="HJ6" s="167">
        <f t="shared" si="1"/>
        <v>1396.5833995037219</v>
      </c>
      <c r="HL6" s="168">
        <f>'(Bloom Raw Data)'!HQ6</f>
        <v>7.4924999999999997</v>
      </c>
      <c r="HM6" s="168">
        <f>'(Bloom Raw Data)'!HR6</f>
        <v>7.0602</v>
      </c>
      <c r="HN6" s="168">
        <f>'(Bloom Raw Data)'!HS6</f>
        <v>8.5809999999999995</v>
      </c>
      <c r="HO6" s="168">
        <f>'(Bloom Raw Data)'!HT6</f>
        <v>7.4513999999999996</v>
      </c>
      <c r="HP6" s="168">
        <f>'(Bloom Raw Data)'!HU6</f>
        <v>8.8432999999999993</v>
      </c>
      <c r="HQ6" s="168">
        <f>'(Bloom Raw Data)'!HV6</f>
        <v>10.1328</v>
      </c>
      <c r="HR6" s="168">
        <f>'(Bloom Raw Data)'!HW6</f>
        <v>8.0869</v>
      </c>
      <c r="HS6" s="168">
        <f>'(Bloom Raw Data)'!HX6</f>
        <v>8.3938000000000006</v>
      </c>
      <c r="HT6" s="168">
        <f>'(Bloom Raw Data)'!HY6</f>
        <v>7.3704000000000001</v>
      </c>
      <c r="HU6" s="168">
        <f>'(Bloom Raw Data)'!HZ6</f>
        <v>7.0548999999999999</v>
      </c>
      <c r="HV6" s="168">
        <f>'(Bloom Raw Data)'!IA6</f>
        <v>6.7568999999999999</v>
      </c>
      <c r="HW6" s="168">
        <f>'(Bloom Raw Data)'!IB6</f>
        <v>5.4363000000000001</v>
      </c>
      <c r="HX6" s="168">
        <f>'(Bloom Raw Data)'!IC6</f>
        <v>5.5948000000000002</v>
      </c>
      <c r="HY6" s="168">
        <f>'(Bloom Raw Data)'!ID6</f>
        <v>4.8295000000000003</v>
      </c>
      <c r="HZ6" s="168">
        <f>'(Bloom Raw Data)'!IE6</f>
        <v>4.8882000000000003</v>
      </c>
    </row>
    <row r="7" spans="1:236" s="725" customFormat="1">
      <c r="A7" s="725" t="s">
        <v>323</v>
      </c>
      <c r="B7" s="725" t="s">
        <v>16</v>
      </c>
      <c r="D7" s="741">
        <f>'(Bloom Raw Data)'!D7</f>
        <v>8197.4082999999991</v>
      </c>
      <c r="E7" s="741">
        <f>'(Bloom Raw Data)'!E7</f>
        <v>9264.1470000000008</v>
      </c>
      <c r="F7" s="741">
        <f>'(Bloom Raw Data)'!F7</f>
        <v>8743.0166000000008</v>
      </c>
      <c r="G7" s="741">
        <f>'(Bloom Raw Data)'!G7</f>
        <v>9669.2050999999992</v>
      </c>
      <c r="H7" s="741">
        <f>'(Bloom Raw Data)'!H7</f>
        <v>8077.2514000000001</v>
      </c>
      <c r="I7" s="741">
        <f>'(Bloom Raw Data)'!I7</f>
        <v>8787.9030000000002</v>
      </c>
      <c r="J7" s="741">
        <f>'(Bloom Raw Data)'!J7</f>
        <v>8313.7248999999993</v>
      </c>
      <c r="K7" s="741">
        <f>'(Bloom Raw Data)'!K7</f>
        <v>7659.6464999999998</v>
      </c>
      <c r="L7" s="741">
        <f>'(Bloom Raw Data)'!L7</f>
        <v>7699.8073999999997</v>
      </c>
      <c r="M7" s="741">
        <f>'(Bloom Raw Data)'!M7</f>
        <v>8147.49</v>
      </c>
      <c r="N7" s="741">
        <f>'(Bloom Raw Data)'!N7</f>
        <v>7590.3544000000002</v>
      </c>
      <c r="O7" s="741">
        <f>'(Bloom Raw Data)'!O7</f>
        <v>8027.5</v>
      </c>
      <c r="P7" s="741">
        <f>'(Bloom Raw Data)'!P7</f>
        <v>7068.3325999999997</v>
      </c>
      <c r="Q7" s="741">
        <f>'(Bloom Raw Data)'!Q7</f>
        <v>6555.51</v>
      </c>
      <c r="R7" s="741">
        <f>'(Bloom Raw Data)'!R7</f>
        <v>5825.8631999999998</v>
      </c>
      <c r="T7" s="741">
        <f>'(Bloom Raw Data)'!U7</f>
        <v>1779</v>
      </c>
      <c r="U7" s="741">
        <f>'(Bloom Raw Data)'!V7</f>
        <v>1444</v>
      </c>
      <c r="V7" s="741">
        <f>'(Bloom Raw Data)'!W7</f>
        <v>1799</v>
      </c>
      <c r="W7" s="741">
        <f>'(Bloom Raw Data)'!X7</f>
        <v>1527</v>
      </c>
      <c r="X7" s="741">
        <f>'(Bloom Raw Data)'!Y7</f>
        <v>1562</v>
      </c>
      <c r="Y7" s="741">
        <f>'(Bloom Raw Data)'!Z7</f>
        <v>1288</v>
      </c>
      <c r="Z7" s="741">
        <f>'(Bloom Raw Data)'!AA7</f>
        <v>1715</v>
      </c>
      <c r="AA7" s="741">
        <f>'(Bloom Raw Data)'!AB7</f>
        <v>1448</v>
      </c>
      <c r="AB7" s="741">
        <f>'(Bloom Raw Data)'!AC7</f>
        <v>1616</v>
      </c>
      <c r="AC7" s="741">
        <f>'(Bloom Raw Data)'!AD7</f>
        <v>1398</v>
      </c>
      <c r="AD7" s="741">
        <f>'(Bloom Raw Data)'!AE7</f>
        <v>1846</v>
      </c>
      <c r="AE7" s="741">
        <f>'(Bloom Raw Data)'!AF7</f>
        <v>1598</v>
      </c>
      <c r="AF7" s="741">
        <f>'(Bloom Raw Data)'!AG7</f>
        <v>1691</v>
      </c>
      <c r="AG7" s="741">
        <f>'(Bloom Raw Data)'!AH7</f>
        <v>1586</v>
      </c>
      <c r="AH7" s="741">
        <f>'(Bloom Raw Data)'!AI7</f>
        <v>2085</v>
      </c>
      <c r="AJ7" s="741">
        <f>'(Bloom Raw Data)'!AL7</f>
        <v>325</v>
      </c>
      <c r="AK7" s="741">
        <f>'(Bloom Raw Data)'!AP7</f>
        <v>329</v>
      </c>
      <c r="AL7" s="741">
        <f>'(Bloom Raw Data)'!AT7</f>
        <v>330</v>
      </c>
      <c r="AM7" s="741">
        <f>'(Bloom Raw Data)'!AX7</f>
        <v>318</v>
      </c>
      <c r="AO7" s="742">
        <f>'(Bloom Raw Data)'!BC7</f>
        <v>3.0602999999999998</v>
      </c>
      <c r="AP7" s="742" t="str">
        <f>'(Bloom Raw Data)'!BD7</f>
        <v>#N/A N/A</v>
      </c>
      <c r="AQ7" s="742" t="str">
        <f>'(Bloom Raw Data)'!BE7</f>
        <v>#N/A N/A</v>
      </c>
      <c r="AR7" s="742" t="str">
        <f>'(Bloom Raw Data)'!BF7</f>
        <v>#N/A N/A</v>
      </c>
      <c r="AS7" s="742" t="str">
        <f>'(Bloom Raw Data)'!BG7</f>
        <v>#N/A N/A</v>
      </c>
      <c r="AT7" s="742" t="str">
        <f>'(Bloom Raw Data)'!BH7</f>
        <v>#N/A N/A</v>
      </c>
      <c r="AU7" s="742" t="str">
        <f>'(Bloom Raw Data)'!BI7</f>
        <v>#N/A N/A</v>
      </c>
      <c r="AV7" s="742" t="str">
        <f>'(Bloom Raw Data)'!BJ7</f>
        <v>#N/A N/A</v>
      </c>
      <c r="AW7" s="742" t="str">
        <f>'(Bloom Raw Data)'!BK7</f>
        <v>#N/A N/A</v>
      </c>
      <c r="AX7" s="742" t="str">
        <f>'(Bloom Raw Data)'!BL7</f>
        <v>#N/A N/A</v>
      </c>
      <c r="AY7" s="742" t="str">
        <f>'(Bloom Raw Data)'!BM7</f>
        <v>#N/A N/A</v>
      </c>
      <c r="AZ7" s="742" t="str">
        <f>'(Bloom Raw Data)'!BN7</f>
        <v>#N/A N/A</v>
      </c>
      <c r="BA7" s="742" t="str">
        <f>'(Bloom Raw Data)'!BO7</f>
        <v>#N/A N/A</v>
      </c>
      <c r="BB7" s="742" t="str">
        <f>'(Bloom Raw Data)'!BP7</f>
        <v>#N/A N/A</v>
      </c>
      <c r="BC7" s="742" t="str">
        <f>'(Bloom Raw Data)'!BQ7</f>
        <v>#N/A N/A</v>
      </c>
      <c r="BE7" s="742">
        <f>'(Bloom Raw Data)'!BT7</f>
        <v>0.75860000000000005</v>
      </c>
      <c r="BF7" s="742">
        <f>'(Bloom Raw Data)'!BU7</f>
        <v>0.51870000000000005</v>
      </c>
      <c r="BG7" s="742">
        <f>'(Bloom Raw Data)'!BV7</f>
        <v>0.64570000000000005</v>
      </c>
      <c r="BH7" s="742">
        <f>'(Bloom Raw Data)'!BW7</f>
        <v>0.54869999999999997</v>
      </c>
      <c r="BI7" s="742">
        <f>'(Bloom Raw Data)'!BX7</f>
        <v>0.64549999999999996</v>
      </c>
      <c r="BJ7" s="742">
        <f>'(Bloom Raw Data)'!BY7</f>
        <v>0.65410000000000001</v>
      </c>
      <c r="BK7" s="742">
        <f>'(Bloom Raw Data)'!BZ7</f>
        <v>0.86699999999999999</v>
      </c>
      <c r="BL7" s="742">
        <f>'(Bloom Raw Data)'!CA7</f>
        <v>0.73950000000000005</v>
      </c>
      <c r="BM7" s="742">
        <f>'(Bloom Raw Data)'!CB7</f>
        <v>0.84560000000000002</v>
      </c>
      <c r="BN7" s="742">
        <f>'(Bloom Raw Data)'!CC7</f>
        <v>0.73540000000000005</v>
      </c>
      <c r="BO7" s="742">
        <f>'(Bloom Raw Data)'!CD7</f>
        <v>1.0109999999999999</v>
      </c>
      <c r="BP7" s="742">
        <f>'(Bloom Raw Data)'!CE7</f>
        <v>0.88090000000000002</v>
      </c>
      <c r="BQ7" s="742">
        <f>'(Bloom Raw Data)'!CF7</f>
        <v>0.94310000000000005</v>
      </c>
      <c r="BR7" s="742">
        <f>'(Bloom Raw Data)'!CG7</f>
        <v>0.89959999999999996</v>
      </c>
      <c r="BS7" s="742">
        <f>'(Bloom Raw Data)'!CH7</f>
        <v>1.1887000000000001</v>
      </c>
      <c r="BU7" s="741">
        <f>'(Bloom Raw Data)'!CK7</f>
        <v>9983.4082999999991</v>
      </c>
      <c r="BV7" s="741">
        <f>'(Bloom Raw Data)'!CL7</f>
        <v>10935.147000000001</v>
      </c>
      <c r="BW7" s="741">
        <f>'(Bloom Raw Data)'!CM7</f>
        <v>10764.016600000001</v>
      </c>
      <c r="BX7" s="741">
        <f>'(Bloom Raw Data)'!CN7</f>
        <v>11425.205099999999</v>
      </c>
      <c r="BY7" s="741">
        <f>'(Bloom Raw Data)'!CO7</f>
        <v>9874.2513999999992</v>
      </c>
      <c r="BZ7" s="741">
        <f>'(Bloom Raw Data)'!CP7</f>
        <v>10311.903</v>
      </c>
      <c r="CA7" s="741">
        <f>'(Bloom Raw Data)'!CQ7</f>
        <v>10268.724899999999</v>
      </c>
      <c r="CB7" s="741">
        <f>'(Bloom Raw Data)'!CR7</f>
        <v>9355.6465000000007</v>
      </c>
      <c r="CC7" s="741">
        <f>'(Bloom Raw Data)'!CS7</f>
        <v>9540.8073999999997</v>
      </c>
      <c r="CD7" s="741">
        <f>'(Bloom Raw Data)'!CT7</f>
        <v>9773.49</v>
      </c>
      <c r="CE7" s="741">
        <f>'(Bloom Raw Data)'!CU7</f>
        <v>9669.3544000000002</v>
      </c>
      <c r="CF7" s="741">
        <f>'(Bloom Raw Data)'!CV7</f>
        <v>9864.5</v>
      </c>
      <c r="CG7" s="741">
        <f>'(Bloom Raw Data)'!CW7</f>
        <v>8971.3325999999997</v>
      </c>
      <c r="CH7" s="741">
        <f>'(Bloom Raw Data)'!CX7</f>
        <v>8358.51</v>
      </c>
      <c r="CI7" s="741">
        <f>'(Bloom Raw Data)'!CY7</f>
        <v>8095.8631999999998</v>
      </c>
      <c r="CK7" s="741">
        <f t="shared" si="2"/>
        <v>7</v>
      </c>
      <c r="CL7" s="741">
        <f t="shared" si="3"/>
        <v>227</v>
      </c>
      <c r="CM7" s="741">
        <f t="shared" si="4"/>
        <v>222</v>
      </c>
      <c r="CN7" s="741">
        <f t="shared" si="5"/>
        <v>229</v>
      </c>
      <c r="CO7" s="741">
        <f t="shared" si="6"/>
        <v>234.99999999999909</v>
      </c>
      <c r="CP7" s="741">
        <f t="shared" si="7"/>
        <v>236</v>
      </c>
      <c r="CQ7" s="741">
        <f t="shared" si="8"/>
        <v>240</v>
      </c>
      <c r="CR7" s="741">
        <f t="shared" si="9"/>
        <v>248.00000000000091</v>
      </c>
      <c r="CS7" s="741">
        <f t="shared" si="10"/>
        <v>225</v>
      </c>
      <c r="CT7" s="741">
        <f t="shared" si="11"/>
        <v>228</v>
      </c>
      <c r="CU7" s="741">
        <f t="shared" si="12"/>
        <v>233</v>
      </c>
      <c r="CV7" s="741">
        <f t="shared" si="13"/>
        <v>239</v>
      </c>
      <c r="CW7" s="741">
        <f t="shared" si="14"/>
        <v>212</v>
      </c>
      <c r="CX7" s="741">
        <f t="shared" si="15"/>
        <v>217</v>
      </c>
      <c r="CY7" s="741">
        <f t="shared" si="16"/>
        <v>185</v>
      </c>
      <c r="DA7" s="742">
        <f>'(Bloom Raw Data)'!DB7</f>
        <v>4.2572999999999999</v>
      </c>
      <c r="DB7" s="742">
        <f>'(Bloom Raw Data)'!DC7</f>
        <v>3.9279000000000002</v>
      </c>
      <c r="DC7" s="742">
        <f>'(Bloom Raw Data)'!DD7</f>
        <v>3.8635999999999999</v>
      </c>
      <c r="DD7" s="742">
        <f>'(Bloom Raw Data)'!DE7</f>
        <v>4.1054000000000004</v>
      </c>
      <c r="DE7" s="742">
        <f>'(Bloom Raw Data)'!DF7</f>
        <v>4.0803000000000003</v>
      </c>
      <c r="DF7" s="742">
        <f>'(Bloom Raw Data)'!DG7</f>
        <v>5.2370999999999999</v>
      </c>
      <c r="DG7" s="742">
        <f>'(Bloom Raw Data)'!DH7</f>
        <v>5.1914999999999996</v>
      </c>
      <c r="DH7" s="742">
        <f>'(Bloom Raw Data)'!DI7</f>
        <v>4.7782</v>
      </c>
      <c r="DI7" s="742">
        <f>'(Bloom Raw Data)'!DJ7</f>
        <v>4.9926000000000004</v>
      </c>
      <c r="DJ7" s="742">
        <f>'(Bloom Raw Data)'!DK7</f>
        <v>5.1411999999999995</v>
      </c>
      <c r="DK7" s="742">
        <f>'(Bloom Raw Data)'!DL7</f>
        <v>5.2953999999999999</v>
      </c>
      <c r="DL7" s="742">
        <f>'(Bloom Raw Data)'!DM7</f>
        <v>5.4379999999999997</v>
      </c>
      <c r="DM7" s="742">
        <f>'(Bloom Raw Data)'!DN7</f>
        <v>5.0034999999999998</v>
      </c>
      <c r="DN7" s="742">
        <f>'(Bloom Raw Data)'!DO7</f>
        <v>4.7411000000000003</v>
      </c>
      <c r="DO7" s="742">
        <f>'(Bloom Raw Data)'!DP7</f>
        <v>4.6157000000000004</v>
      </c>
      <c r="DR7" s="742">
        <f>'(Bloom Raw Data)'!DS7</f>
        <v>1.6858</v>
      </c>
      <c r="DS7" s="742">
        <f>'(Bloom Raw Data)'!DT7</f>
        <v>1.8006</v>
      </c>
      <c r="DT7" s="742">
        <f>'(Bloom Raw Data)'!DU7</f>
        <v>1.7244000000000002</v>
      </c>
      <c r="DU7" s="742">
        <f>'(Bloom Raw Data)'!DV7</f>
        <v>1.7829999999999999</v>
      </c>
      <c r="DV7" s="742">
        <f>'(Bloom Raw Data)'!DW7</f>
        <v>1.5070999999999999</v>
      </c>
      <c r="DW7" s="742">
        <f>'(Bloom Raw Data)'!DX7</f>
        <v>1.5867</v>
      </c>
      <c r="DX7" s="742">
        <f>'(Bloom Raw Data)'!DY7</f>
        <v>1.5928</v>
      </c>
      <c r="DY7" s="742">
        <f>'(Bloom Raw Data)'!DZ7</f>
        <v>1.4611000000000001</v>
      </c>
      <c r="DZ7" s="742">
        <f>'(Bloom Raw Data)'!EA7</f>
        <v>1.4997</v>
      </c>
      <c r="EA7" s="742">
        <f>'(Bloom Raw Data)'!EB7</f>
        <v>1.5354999999999999</v>
      </c>
      <c r="EB7" s="742">
        <f>'(Bloom Raw Data)'!EC7</f>
        <v>1.5194000000000001</v>
      </c>
      <c r="EC7" s="742">
        <f>'(Bloom Raw Data)'!ED7</f>
        <v>1.5432999999999999</v>
      </c>
      <c r="ED7" s="742">
        <f>'(Bloom Raw Data)'!EE7</f>
        <v>1.3985000000000001</v>
      </c>
      <c r="EE7" s="742">
        <f>'(Bloom Raw Data)'!EF7</f>
        <v>1.3054000000000001</v>
      </c>
      <c r="EF7" s="742">
        <f>'(Bloom Raw Data)'!EG7</f>
        <v>1.2703</v>
      </c>
      <c r="EH7" s="741">
        <f>'(Bloom Raw Data)'!EJ7</f>
        <v>8.8588000000000005</v>
      </c>
      <c r="EI7" s="741">
        <f>'(Bloom Raw Data)'!EK7</f>
        <v>6.8734999999999999</v>
      </c>
      <c r="EJ7" s="741">
        <f>'(Bloom Raw Data)'!EL7</f>
        <v>6.0885999999999996</v>
      </c>
      <c r="EK7" s="741">
        <f>'(Bloom Raw Data)'!EM7</f>
        <v>6.8436000000000003</v>
      </c>
      <c r="EL7" s="741">
        <f>'(Bloom Raw Data)'!EN7</f>
        <v>6.2857000000000003</v>
      </c>
      <c r="EM7" s="741">
        <f>'(Bloom Raw Data)'!EO7</f>
        <v>10.5663</v>
      </c>
      <c r="EN7" s="741">
        <f>'(Bloom Raw Data)'!EP7</f>
        <v>9.5445999999999991</v>
      </c>
      <c r="EO7" s="741">
        <f>'(Bloom Raw Data)'!EQ7</f>
        <v>8.7935999999999996</v>
      </c>
      <c r="EP7" s="741" t="str">
        <f>'(Bloom Raw Data)'!ER7</f>
        <v>#N/A N/A</v>
      </c>
      <c r="EQ7" s="741" t="str">
        <f>'(Bloom Raw Data)'!ES7</f>
        <v>#N/A N/A</v>
      </c>
      <c r="ER7" s="741" t="str">
        <f>'(Bloom Raw Data)'!ET7</f>
        <v>#N/A N/A</v>
      </c>
      <c r="ES7" s="741" t="str">
        <f>'(Bloom Raw Data)'!EU7</f>
        <v>#N/A N/A</v>
      </c>
      <c r="ET7" s="741">
        <f>'(Bloom Raw Data)'!EV7</f>
        <v>9.8689</v>
      </c>
      <c r="EU7" s="741" t="str">
        <f>'(Bloom Raw Data)'!EW7</f>
        <v>#N/A N/A</v>
      </c>
      <c r="EV7" s="741" t="str">
        <f>'(Bloom Raw Data)'!EX7</f>
        <v>#N/A N/A</v>
      </c>
      <c r="EY7" s="741">
        <f>'(Bloom Raw Data)'!FR7</f>
        <v>332</v>
      </c>
      <c r="EZ7" s="741">
        <f>'(Bloom Raw Data)'!FS7</f>
        <v>639</v>
      </c>
      <c r="FA7" s="741">
        <f>'(Bloom Raw Data)'!FT7</f>
        <v>357</v>
      </c>
      <c r="FB7" s="741">
        <f>'(Bloom Raw Data)'!FU7</f>
        <v>615</v>
      </c>
      <c r="FC7" s="741">
        <f>'(Bloom Raw Data)'!FV7</f>
        <v>584</v>
      </c>
      <c r="FD7" s="741">
        <f>'(Bloom Raw Data)'!FW7</f>
        <v>921</v>
      </c>
      <c r="FE7" s="741">
        <f>'(Bloom Raw Data)'!FX7</f>
        <v>495</v>
      </c>
      <c r="FF7" s="741">
        <f>'(Bloom Raw Data)'!FY7</f>
        <v>815</v>
      </c>
      <c r="FG7" s="741">
        <f>'(Bloom Raw Data)'!FZ7</f>
        <v>320</v>
      </c>
      <c r="FH7" s="741">
        <f>'(Bloom Raw Data)'!GA7</f>
        <v>515</v>
      </c>
      <c r="FI7" s="741">
        <f>'(Bloom Raw Data)'!GB7</f>
        <v>261</v>
      </c>
      <c r="FJ7" s="741">
        <f>'(Bloom Raw Data)'!GC7</f>
        <v>365</v>
      </c>
      <c r="FK7" s="741">
        <f>'(Bloom Raw Data)'!GD7</f>
        <v>202</v>
      </c>
      <c r="FL7" s="741">
        <f>'(Bloom Raw Data)'!GE7</f>
        <v>365</v>
      </c>
      <c r="FM7" s="741">
        <f>'(Bloom Raw Data)'!GF7</f>
        <v>219</v>
      </c>
      <c r="FO7" s="742">
        <f>'(Bloom Raw Data)'!FA7</f>
        <v>3.2101999999999999</v>
      </c>
      <c r="FP7" s="742">
        <f>'(Bloom Raw Data)'!FB7</f>
        <v>2.8860999999999999</v>
      </c>
      <c r="FQ7" s="742">
        <f>'(Bloom Raw Data)'!FC7</f>
        <v>3.0366</v>
      </c>
      <c r="FR7" s="742">
        <f>'(Bloom Raw Data)'!FD7</f>
        <v>3.1372</v>
      </c>
      <c r="FS7" s="742">
        <f>'(Bloom Raw Data)'!FE7</f>
        <v>2.5625</v>
      </c>
      <c r="FT7" s="742">
        <f>'(Bloom Raw Data)'!FF7</f>
        <v>2.6233</v>
      </c>
      <c r="FU7" s="742">
        <f>'(Bloom Raw Data)'!FG7</f>
        <v>2.7930000000000001</v>
      </c>
      <c r="FV7" s="742">
        <f>'(Bloom Raw Data)'!FH7</f>
        <v>2.4649000000000001</v>
      </c>
      <c r="FW7" s="742" t="str">
        <f>'(Bloom Raw Data)'!FI7</f>
        <v>#N/A N/A</v>
      </c>
      <c r="FX7" s="742" t="str">
        <f>'(Bloom Raw Data)'!FJ7</f>
        <v>#N/A N/A</v>
      </c>
      <c r="FY7" s="742" t="str">
        <f>'(Bloom Raw Data)'!FK7</f>
        <v>#N/A N/A</v>
      </c>
      <c r="FZ7" s="742" t="str">
        <f>'(Bloom Raw Data)'!FL7</f>
        <v>#N/A N/A</v>
      </c>
      <c r="GA7" s="742">
        <f>'(Bloom Raw Data)'!FM7</f>
        <v>2.3443999999999998</v>
      </c>
      <c r="GB7" s="742" t="str">
        <f>'(Bloom Raw Data)'!FN7</f>
        <v>#N/A N/A</v>
      </c>
      <c r="GC7" s="742" t="str">
        <f>'(Bloom Raw Data)'!FO7</f>
        <v>#N/A N/A</v>
      </c>
      <c r="GF7" s="741">
        <f>'(Bloom Raw Data)'!GI7</f>
        <v>2524</v>
      </c>
      <c r="GG7" s="741">
        <f>'(Bloom Raw Data)'!GJ7</f>
        <v>3391</v>
      </c>
      <c r="GH7" s="741">
        <f>'(Bloom Raw Data)'!GK7</f>
        <v>3060</v>
      </c>
      <c r="GI7" s="741">
        <f>'(Bloom Raw Data)'!GL7</f>
        <v>3267</v>
      </c>
      <c r="GJ7" s="741">
        <f>'(Bloom Raw Data)'!GM7</f>
        <v>3342</v>
      </c>
      <c r="GK7" s="741">
        <f>'(Bloom Raw Data)'!GN7</f>
        <v>3538</v>
      </c>
      <c r="GL7" s="741">
        <f>'(Bloom Raw Data)'!GO7</f>
        <v>3174</v>
      </c>
      <c r="GM7" s="741">
        <f>'(Bloom Raw Data)'!GP7</f>
        <v>3311</v>
      </c>
      <c r="GN7" s="741">
        <f>'(Bloom Raw Data)'!GQ7</f>
        <v>3302</v>
      </c>
      <c r="GO7" s="741">
        <f>'(Bloom Raw Data)'!GR7</f>
        <v>3510</v>
      </c>
      <c r="GP7" s="741">
        <f>'(Bloom Raw Data)'!GS7</f>
        <v>3148</v>
      </c>
      <c r="GQ7" s="741">
        <f>'(Bloom Raw Data)'!GT7</f>
        <v>3344</v>
      </c>
      <c r="GR7" s="741">
        <f>'(Bloom Raw Data)'!GU7</f>
        <v>3227</v>
      </c>
      <c r="GS7" s="741">
        <f>'(Bloom Raw Data)'!GV7</f>
        <v>3275</v>
      </c>
      <c r="GT7" s="741">
        <f>'(Bloom Raw Data)'!GW7</f>
        <v>2866</v>
      </c>
      <c r="GV7" s="741">
        <f t="shared" si="1"/>
        <v>2345.0093486482042</v>
      </c>
      <c r="GW7" s="741">
        <f t="shared" si="1"/>
        <v>2783.9677690368899</v>
      </c>
      <c r="GX7" s="741">
        <f t="shared" si="1"/>
        <v>2786.0069883010665</v>
      </c>
      <c r="GY7" s="741">
        <f t="shared" si="1"/>
        <v>2782.9700151020602</v>
      </c>
      <c r="GZ7" s="741">
        <f t="shared" si="1"/>
        <v>2419.9817170306101</v>
      </c>
      <c r="HA7" s="741">
        <f t="shared" si="1"/>
        <v>1969.0101391991752</v>
      </c>
      <c r="HB7" s="741">
        <f t="shared" si="1"/>
        <v>1977.9880381392661</v>
      </c>
      <c r="HC7" s="741">
        <f t="shared" si="1"/>
        <v>1957.9855384872967</v>
      </c>
      <c r="HD7" s="741">
        <f t="shared" si="1"/>
        <v>1910.9897448223369</v>
      </c>
      <c r="HE7" s="741">
        <f t="shared" si="1"/>
        <v>1901.0133820897845</v>
      </c>
      <c r="HF7" s="741">
        <f t="shared" si="1"/>
        <v>1825.9913132152435</v>
      </c>
      <c r="HG7" s="741">
        <f t="shared" si="1"/>
        <v>1813.9941154836338</v>
      </c>
      <c r="HH7" s="741">
        <f t="shared" si="1"/>
        <v>1793.0114120115918</v>
      </c>
      <c r="HI7" s="741">
        <f t="shared" si="1"/>
        <v>1762.9896015692559</v>
      </c>
      <c r="HJ7" s="741">
        <f t="shared" si="1"/>
        <v>1753.9838377710855</v>
      </c>
      <c r="HL7" s="742">
        <f>'(Bloom Raw Data)'!HQ7</f>
        <v>6.6604999999999999</v>
      </c>
      <c r="HM7" s="742">
        <f>'(Bloom Raw Data)'!HR7</f>
        <v>6.1635</v>
      </c>
      <c r="HN7" s="742">
        <f>'(Bloom Raw Data)'!HS7</f>
        <v>7.3255999999999997</v>
      </c>
      <c r="HO7" s="742">
        <f>'(Bloom Raw Data)'!HT7</f>
        <v>6.8700999999999999</v>
      </c>
      <c r="HP7" s="742">
        <f>'(Bloom Raw Data)'!HU7</f>
        <v>7.0331000000000001</v>
      </c>
      <c r="HQ7" s="742">
        <f>'(Bloom Raw Data)'!HV7</f>
        <v>7.5785</v>
      </c>
      <c r="HR7" s="742">
        <f>'(Bloom Raw Data)'!HW7</f>
        <v>8.8399000000000001</v>
      </c>
      <c r="HS7" s="742">
        <f>'(Bloom Raw Data)'!HX7</f>
        <v>9.2369000000000003</v>
      </c>
      <c r="HT7" s="742">
        <f>'(Bloom Raw Data)'!HY7</f>
        <v>8.2431999999999999</v>
      </c>
      <c r="HU7" s="742">
        <f>'(Bloom Raw Data)'!HZ7</f>
        <v>8.3777000000000008</v>
      </c>
      <c r="HV7" s="742">
        <f>'(Bloom Raw Data)'!IA7</f>
        <v>7.2497999999999996</v>
      </c>
      <c r="HW7" s="742">
        <f>'(Bloom Raw Data)'!IB7</f>
        <v>7.9025999999999996</v>
      </c>
      <c r="HX7" s="742">
        <f>'(Bloom Raw Data)'!IC7</f>
        <v>7.1531000000000002</v>
      </c>
      <c r="HY7" s="742">
        <f>'(Bloom Raw Data)'!ID7</f>
        <v>6.5510000000000002</v>
      </c>
      <c r="HZ7" s="742">
        <f>'(Bloom Raw Data)'!IE7</f>
        <v>6.0462999999999996</v>
      </c>
      <c r="IB7" s="1214"/>
    </row>
    <row r="8" spans="1:236" s="743" customFormat="1">
      <c r="A8" s="743" t="s">
        <v>323</v>
      </c>
      <c r="B8" s="743" t="s">
        <v>2</v>
      </c>
      <c r="D8" s="744">
        <f>'(Bloom Raw Data)'!D8</f>
        <v>2874.3904000000002</v>
      </c>
      <c r="E8" s="745">
        <f>AVERAGE(D8,F8)</f>
        <v>2746.5309500000003</v>
      </c>
      <c r="F8" s="744">
        <f>'(Bloom Raw Data)'!F8</f>
        <v>2618.6714999999999</v>
      </c>
      <c r="G8" s="745">
        <f>AVERAGE(F8,H8)</f>
        <v>2764.9853499999999</v>
      </c>
      <c r="H8" s="744">
        <f>'(Bloom Raw Data)'!H8</f>
        <v>2911.2991999999999</v>
      </c>
      <c r="I8" s="745">
        <f>AVERAGE(H8,J8)</f>
        <v>3027.4270999999999</v>
      </c>
      <c r="J8" s="744">
        <f>'(Bloom Raw Data)'!J8</f>
        <v>3143.5549999999998</v>
      </c>
      <c r="K8" s="745">
        <f>AVERAGE(J8,L8)</f>
        <v>2786.7692999999999</v>
      </c>
      <c r="L8" s="744">
        <f>'(Bloom Raw Data)'!L8</f>
        <v>2429.9836</v>
      </c>
      <c r="M8" s="745">
        <f>AVERAGE(L8,N8)</f>
        <v>2026.3867</v>
      </c>
      <c r="N8" s="744">
        <f>'(Bloom Raw Data)'!N8</f>
        <v>1622.7898</v>
      </c>
      <c r="O8" s="745">
        <f>AVERAGE(N8,P8)</f>
        <v>1393.2346499999999</v>
      </c>
      <c r="P8" s="744">
        <f>'(Bloom Raw Data)'!P8</f>
        <v>1163.6795</v>
      </c>
      <c r="Q8" s="745">
        <f>AVERAGE(P8,R8)</f>
        <v>1061.95505</v>
      </c>
      <c r="R8" s="744">
        <f>'(Bloom Raw Data)'!R8</f>
        <v>960.23059999999998</v>
      </c>
      <c r="T8" s="744">
        <f>'(Bloom Raw Data)'!U8</f>
        <v>287.92700000000002</v>
      </c>
      <c r="U8" s="745">
        <f>AVERAGE(T8,V8)</f>
        <v>305.46350000000001</v>
      </c>
      <c r="V8" s="744">
        <f>'(Bloom Raw Data)'!W8</f>
        <v>323</v>
      </c>
      <c r="W8" s="745">
        <f>AVERAGE(V8,X8)</f>
        <v>305.42250000000001</v>
      </c>
      <c r="X8" s="744">
        <f>'(Bloom Raw Data)'!Y8</f>
        <v>287.84500000000003</v>
      </c>
      <c r="Y8" s="745">
        <f>AVERAGE(X8,Z8)</f>
        <v>305.1225</v>
      </c>
      <c r="Z8" s="744">
        <f>'(Bloom Raw Data)'!AA8</f>
        <v>322.39999999999998</v>
      </c>
      <c r="AA8" s="745">
        <f>AVERAGE(Z8,AB8)</f>
        <v>313.46249999999998</v>
      </c>
      <c r="AB8" s="744">
        <f>'(Bloom Raw Data)'!AC8</f>
        <v>304.52499999999998</v>
      </c>
      <c r="AC8" s="745">
        <f>AVERAGE(AB8,AD8)</f>
        <v>356.8125</v>
      </c>
      <c r="AD8" s="744">
        <f>'(Bloom Raw Data)'!AE8</f>
        <v>409.1</v>
      </c>
      <c r="AE8" s="745">
        <f>AVERAGE(AD8,AF8)</f>
        <v>401.53200000000004</v>
      </c>
      <c r="AF8" s="744">
        <f>'(Bloom Raw Data)'!AG8</f>
        <v>393.964</v>
      </c>
      <c r="AG8" s="745">
        <f>AVERAGE(AF8,AH8)</f>
        <v>433.33199999999999</v>
      </c>
      <c r="AH8" s="744">
        <f>'(Bloom Raw Data)'!AI8</f>
        <v>472.7</v>
      </c>
      <c r="AJ8" s="744">
        <f>'(Bloom Raw Data)'!AL8</f>
        <v>420.51799999999997</v>
      </c>
      <c r="AK8" s="744">
        <f>'(Bloom Raw Data)'!AP8</f>
        <v>474.03199999999998</v>
      </c>
      <c r="AL8" s="744">
        <f>'(Bloom Raw Data)'!AT8</f>
        <v>446.65600000000001</v>
      </c>
      <c r="AM8" s="744">
        <f>'(Bloom Raw Data)'!AX8</f>
        <v>441.06900000000002</v>
      </c>
      <c r="AO8" s="746" t="str">
        <f>'(Bloom Raw Data)'!BC8</f>
        <v>#N/A N/A</v>
      </c>
      <c r="AP8" s="746" t="str">
        <f>'(Bloom Raw Data)'!BD8</f>
        <v>#N/A N/A</v>
      </c>
      <c r="AQ8" s="746" t="str">
        <f>'(Bloom Raw Data)'!BE8</f>
        <v>#N/A N/A</v>
      </c>
      <c r="AR8" s="746" t="str">
        <f>'(Bloom Raw Data)'!BF8</f>
        <v>#N/A N/A</v>
      </c>
      <c r="AS8" s="746">
        <f>'(Bloom Raw Data)'!BG8</f>
        <v>63.034700000000001</v>
      </c>
      <c r="AT8" s="746" t="str">
        <f>'(Bloom Raw Data)'!BH8</f>
        <v>#N/A N/A</v>
      </c>
      <c r="AU8" s="746" t="str">
        <f>'(Bloom Raw Data)'!BI8</f>
        <v>#N/A N/A</v>
      </c>
      <c r="AV8" s="746" t="str">
        <f>'(Bloom Raw Data)'!BJ8</f>
        <v>#N/A N/A</v>
      </c>
      <c r="AW8" s="746" t="str">
        <f>'(Bloom Raw Data)'!BK8</f>
        <v>#N/A N/A</v>
      </c>
      <c r="AX8" s="746" t="str">
        <f>'(Bloom Raw Data)'!BL8</f>
        <v>#N/A N/A</v>
      </c>
      <c r="AY8" s="746" t="str">
        <f>'(Bloom Raw Data)'!BM8</f>
        <v>#N/A N/A</v>
      </c>
      <c r="AZ8" s="746" t="str">
        <f>'(Bloom Raw Data)'!BN8</f>
        <v>#N/A N/A</v>
      </c>
      <c r="BA8" s="746" t="str">
        <f>'(Bloom Raw Data)'!BO8</f>
        <v>#N/A N/A</v>
      </c>
      <c r="BB8" s="746" t="str">
        <f>'(Bloom Raw Data)'!BP8</f>
        <v>#N/A N/A</v>
      </c>
      <c r="BC8" s="746" t="str">
        <f>'(Bloom Raw Data)'!BQ8</f>
        <v>#N/A N/A</v>
      </c>
      <c r="BE8" s="746">
        <f>'(Bloom Raw Data)'!BT8</f>
        <v>0.50780000000000003</v>
      </c>
      <c r="BF8" s="747">
        <f>AVERAGE(BE8,BG8)</f>
        <v>0.53715000000000002</v>
      </c>
      <c r="BG8" s="746">
        <f>'(Bloom Raw Data)'!BV8</f>
        <v>0.5665</v>
      </c>
      <c r="BH8" s="747">
        <f>AVERAGE(BG8,BI8)</f>
        <v>0.54554999999999998</v>
      </c>
      <c r="BI8" s="746">
        <f>'(Bloom Raw Data)'!BX8</f>
        <v>0.52459999999999996</v>
      </c>
      <c r="BJ8" s="747">
        <f>AVERAGE(BI8,BK8)</f>
        <v>0.56204999999999994</v>
      </c>
      <c r="BK8" s="746">
        <f>'(Bloom Raw Data)'!BZ8</f>
        <v>0.59950000000000003</v>
      </c>
      <c r="BL8" s="747">
        <f>AVERAGE(BK8,BM8)</f>
        <v>0.58699999999999997</v>
      </c>
      <c r="BM8" s="746">
        <f>'(Bloom Raw Data)'!CB8</f>
        <v>0.57450000000000001</v>
      </c>
      <c r="BN8" s="747">
        <f>AVERAGE(BM8,BO8)</f>
        <v>0.68894999999999995</v>
      </c>
      <c r="BO8" s="746">
        <f>'(Bloom Raw Data)'!CD8</f>
        <v>0.8034</v>
      </c>
      <c r="BP8" s="747">
        <f>AVERAGE(BO8,BQ8)</f>
        <v>0.8004</v>
      </c>
      <c r="BQ8" s="746">
        <f>'(Bloom Raw Data)'!CF8</f>
        <v>0.7974</v>
      </c>
      <c r="BR8" s="747">
        <f>AVERAGE(BQ8,BS8)</f>
        <v>0.95459999999999989</v>
      </c>
      <c r="BS8" s="746">
        <f>'(Bloom Raw Data)'!CH8</f>
        <v>1.1117999999999999</v>
      </c>
      <c r="BU8" s="744">
        <f>'(Bloom Raw Data)'!CK8</f>
        <v>3162.3173999999999</v>
      </c>
      <c r="BV8" s="745">
        <f>AVERAGE(BU8,BW8)</f>
        <v>3051.9944500000001</v>
      </c>
      <c r="BW8" s="744">
        <f>'(Bloom Raw Data)'!CM8</f>
        <v>2941.6714999999999</v>
      </c>
      <c r="BX8" s="745">
        <f>AVERAGE(BW8,BY8)</f>
        <v>3070.4078500000001</v>
      </c>
      <c r="BY8" s="744">
        <f>'(Bloom Raw Data)'!CO8</f>
        <v>3199.1442000000002</v>
      </c>
      <c r="BZ8" s="745">
        <f>AVERAGE(BY8,CA8)</f>
        <v>3332.5496000000003</v>
      </c>
      <c r="CA8" s="744">
        <f>'(Bloom Raw Data)'!CQ8</f>
        <v>3465.9549999999999</v>
      </c>
      <c r="CB8" s="745">
        <f>AVERAGE(CA8,CC8)</f>
        <v>3100.2318</v>
      </c>
      <c r="CC8" s="744">
        <f>'(Bloom Raw Data)'!CS8</f>
        <v>2734.5086000000001</v>
      </c>
      <c r="CD8" s="745">
        <f>AVERAGE(CC8,CE8)</f>
        <v>2383.1992</v>
      </c>
      <c r="CE8" s="744">
        <f>'(Bloom Raw Data)'!CU8</f>
        <v>2031.8897999999999</v>
      </c>
      <c r="CF8" s="745">
        <f>AVERAGE(CE8,CG8)</f>
        <v>1794.76665</v>
      </c>
      <c r="CG8" s="744">
        <f>'(Bloom Raw Data)'!CW8</f>
        <v>1557.6434999999999</v>
      </c>
      <c r="CH8" s="745">
        <f>AVERAGE(CG8,CI8)</f>
        <v>1495.2870499999999</v>
      </c>
      <c r="CI8" s="744">
        <f>'(Bloom Raw Data)'!CY8</f>
        <v>1432.9305999999999</v>
      </c>
      <c r="CK8" s="744">
        <f t="shared" si="2"/>
        <v>0</v>
      </c>
      <c r="CL8" s="744">
        <f t="shared" si="3"/>
        <v>0</v>
      </c>
      <c r="CM8" s="744">
        <f t="shared" si="4"/>
        <v>0</v>
      </c>
      <c r="CN8" s="744">
        <f t="shared" si="5"/>
        <v>0</v>
      </c>
      <c r="CO8" s="744">
        <f t="shared" si="6"/>
        <v>0</v>
      </c>
      <c r="CP8" s="744">
        <f t="shared" si="7"/>
        <v>0</v>
      </c>
      <c r="CQ8" s="744">
        <f t="shared" si="8"/>
        <v>0</v>
      </c>
      <c r="CR8" s="744">
        <f t="shared" si="9"/>
        <v>0</v>
      </c>
      <c r="CS8" s="744">
        <f t="shared" si="10"/>
        <v>0</v>
      </c>
      <c r="CT8" s="744">
        <f t="shared" si="11"/>
        <v>0</v>
      </c>
      <c r="CU8" s="744">
        <f t="shared" si="12"/>
        <v>0</v>
      </c>
      <c r="CV8" s="744">
        <f t="shared" si="13"/>
        <v>0</v>
      </c>
      <c r="CW8" s="744">
        <f t="shared" si="14"/>
        <v>0</v>
      </c>
      <c r="CX8" s="744">
        <f t="shared" si="15"/>
        <v>0</v>
      </c>
      <c r="CY8" s="744">
        <f t="shared" si="16"/>
        <v>0</v>
      </c>
      <c r="DA8" s="746">
        <f>'(Bloom Raw Data)'!DB8</f>
        <v>5.5773000000000001</v>
      </c>
      <c r="DB8" s="747">
        <f>AVERAGE(DA8,DC8)</f>
        <v>5.36815</v>
      </c>
      <c r="DC8" s="746">
        <f>'(Bloom Raw Data)'!DD8</f>
        <v>5.1589999999999998</v>
      </c>
      <c r="DD8" s="747">
        <f>AVERAGE(DC8,DE8)</f>
        <v>5.4947499999999998</v>
      </c>
      <c r="DE8" s="746">
        <f>'(Bloom Raw Data)'!DF8</f>
        <v>5.8304999999999998</v>
      </c>
      <c r="DF8" s="747">
        <f>AVERAGE(DE8,DG8)</f>
        <v>6.1376499999999998</v>
      </c>
      <c r="DG8" s="746">
        <f>'(Bloom Raw Data)'!DH8</f>
        <v>6.4447999999999999</v>
      </c>
      <c r="DH8" s="747">
        <f>AVERAGE(DG8,DI8)</f>
        <v>5.8017000000000003</v>
      </c>
      <c r="DI8" s="746">
        <f>'(Bloom Raw Data)'!DJ8</f>
        <v>5.1585999999999999</v>
      </c>
      <c r="DJ8" s="747">
        <f>AVERAGE(DI8,DK8)</f>
        <v>4.5745500000000003</v>
      </c>
      <c r="DK8" s="746">
        <f>'(Bloom Raw Data)'!DL8</f>
        <v>3.9904999999999999</v>
      </c>
      <c r="DL8" s="747">
        <f>AVERAGE(DK8,DM8)</f>
        <v>3.57165</v>
      </c>
      <c r="DM8" s="746">
        <f>'(Bloom Raw Data)'!DN8</f>
        <v>3.1528</v>
      </c>
      <c r="DN8" s="747">
        <f>AVERAGE(DM8,DO8)</f>
        <v>3.2616000000000001</v>
      </c>
      <c r="DO8" s="746">
        <f>'(Bloom Raw Data)'!DP8</f>
        <v>3.3704000000000001</v>
      </c>
      <c r="DR8" s="746">
        <f>'(Bloom Raw Data)'!DS8</f>
        <v>2.0177999999999998</v>
      </c>
      <c r="DS8" s="747">
        <f>AVERAGE(DR8,DT8)</f>
        <v>1.9143999999999999</v>
      </c>
      <c r="DT8" s="746">
        <f>'(Bloom Raw Data)'!DU8</f>
        <v>1.8109999999999999</v>
      </c>
      <c r="DU8" s="747">
        <f>AVERAGE(DT8,DV8)</f>
        <v>1.8664000000000001</v>
      </c>
      <c r="DV8" s="746">
        <f>'(Bloom Raw Data)'!DW8</f>
        <v>1.9218</v>
      </c>
      <c r="DW8" s="747">
        <f>AVERAGE(DV8,DX8)</f>
        <v>2.0013000000000001</v>
      </c>
      <c r="DX8" s="746">
        <f>'(Bloom Raw Data)'!DY8</f>
        <v>2.0808</v>
      </c>
      <c r="DY8" s="747">
        <f>AVERAGE(DX8,DZ8)</f>
        <v>1.8652500000000001</v>
      </c>
      <c r="DZ8" s="746">
        <f>'(Bloom Raw Data)'!EA8</f>
        <v>1.6497000000000002</v>
      </c>
      <c r="EA8" s="747">
        <f>AVERAGE(DZ8,EB8)</f>
        <v>1.44425</v>
      </c>
      <c r="EB8" s="746">
        <f>'(Bloom Raw Data)'!EC8</f>
        <v>1.2387999999999999</v>
      </c>
      <c r="EC8" s="747">
        <f>AVERAGE(EB8,ED8)</f>
        <v>1.0912999999999999</v>
      </c>
      <c r="ED8" s="746">
        <f>'(Bloom Raw Data)'!EE8</f>
        <v>0.94379999999999997</v>
      </c>
      <c r="EE8" s="747">
        <f>AVERAGE(ED8,EF8)</f>
        <v>0.91830000000000001</v>
      </c>
      <c r="EF8" s="746">
        <f>'(Bloom Raw Data)'!EG8</f>
        <v>0.89280000000000004</v>
      </c>
      <c r="EH8" s="744">
        <f>'(Bloom Raw Data)'!EJ8</f>
        <v>9.9933999999999994</v>
      </c>
      <c r="EI8" s="744">
        <f>'(Bloom Raw Data)'!EK8</f>
        <v>9.5071999999999992</v>
      </c>
      <c r="EJ8" s="744">
        <f>'(Bloom Raw Data)'!EL8</f>
        <v>8.9600000000000009</v>
      </c>
      <c r="EK8" s="744">
        <f>'(Bloom Raw Data)'!EM8</f>
        <v>9.5785999999999998</v>
      </c>
      <c r="EL8" s="744">
        <f>'(Bloom Raw Data)'!EN8</f>
        <v>10.3786</v>
      </c>
      <c r="EM8" s="744">
        <f>'(Bloom Raw Data)'!EO8</f>
        <v>10.4664</v>
      </c>
      <c r="EN8" s="744">
        <f>'(Bloom Raw Data)'!EP8</f>
        <v>11.940099999999999</v>
      </c>
      <c r="EO8" s="744">
        <f>'(Bloom Raw Data)'!EQ8</f>
        <v>10.089</v>
      </c>
      <c r="EP8" s="744" t="str">
        <f>'(Bloom Raw Data)'!ER8</f>
        <v>#N/A N/A</v>
      </c>
      <c r="EQ8" s="744" t="str">
        <f>'(Bloom Raw Data)'!ES8</f>
        <v>#N/A N/A</v>
      </c>
      <c r="ER8" s="744" t="str">
        <f>'(Bloom Raw Data)'!ET8</f>
        <v>#N/A N/A</v>
      </c>
      <c r="ES8" s="744" t="str">
        <f>'(Bloom Raw Data)'!EU8</f>
        <v>#N/A N/A</v>
      </c>
      <c r="ET8" s="744">
        <f>'(Bloom Raw Data)'!EV8</f>
        <v>6.2751000000000001</v>
      </c>
      <c r="EU8" s="744" t="str">
        <f>'(Bloom Raw Data)'!EW8</f>
        <v>#N/A N/A</v>
      </c>
      <c r="EV8" s="744" t="str">
        <f>'(Bloom Raw Data)'!EX8</f>
        <v>#N/A N/A</v>
      </c>
      <c r="EY8" s="744">
        <f>'(Bloom Raw Data)'!FR8</f>
        <v>10.009</v>
      </c>
      <c r="EZ8" s="745">
        <f>AVERAGE(EY8,FA8)</f>
        <v>7.8045</v>
      </c>
      <c r="FA8" s="744">
        <f>'(Bloom Raw Data)'!FT8</f>
        <v>5.6</v>
      </c>
      <c r="FB8" s="745">
        <f>AVERAGE(FA8,FC8)</f>
        <v>9.2794999999999987</v>
      </c>
      <c r="FC8" s="744">
        <f>'(Bloom Raw Data)'!FV8</f>
        <v>12.959</v>
      </c>
      <c r="FD8" s="745">
        <f>AVERAGE(FC8,FE8)</f>
        <v>10.529499999999999</v>
      </c>
      <c r="FE8" s="744">
        <f>'(Bloom Raw Data)'!FX8</f>
        <v>8.1</v>
      </c>
      <c r="FF8" s="745">
        <f>AVERAGE(FE8,FG8)</f>
        <v>7.6094999999999997</v>
      </c>
      <c r="FG8" s="744">
        <f>'(Bloom Raw Data)'!FZ8</f>
        <v>7.1189999999999998</v>
      </c>
      <c r="FH8" s="745">
        <f>AVERAGE(FG8,FI8)</f>
        <v>6.9094999999999995</v>
      </c>
      <c r="FI8" s="744">
        <f>'(Bloom Raw Data)'!GB8</f>
        <v>6.7</v>
      </c>
      <c r="FJ8" s="745">
        <f>AVERAGE(FI8,FK8)</f>
        <v>9.4830000000000005</v>
      </c>
      <c r="FK8" s="744">
        <f>'(Bloom Raw Data)'!GD8</f>
        <v>12.266</v>
      </c>
      <c r="FL8" s="745">
        <f>AVERAGE(FK8,FM8)</f>
        <v>11.983000000000001</v>
      </c>
      <c r="FM8" s="744">
        <f>'(Bloom Raw Data)'!GF8</f>
        <v>11.7</v>
      </c>
      <c r="FO8" s="746">
        <f>'(Bloom Raw Data)'!FA8</f>
        <v>5.9046000000000003</v>
      </c>
      <c r="FP8" s="746">
        <f>'(Bloom Raw Data)'!FB8</f>
        <v>5.6173000000000002</v>
      </c>
      <c r="FQ8" s="746">
        <f>'(Bloom Raw Data)'!FC8</f>
        <v>7.9043999999999999</v>
      </c>
      <c r="FR8" s="746">
        <f>'(Bloom Raw Data)'!FD8</f>
        <v>8.4502000000000006</v>
      </c>
      <c r="FS8" s="746">
        <f>'(Bloom Raw Data)'!FE8</f>
        <v>6.3494999999999999</v>
      </c>
      <c r="FT8" s="746">
        <f>'(Bloom Raw Data)'!FF8</f>
        <v>6.4032</v>
      </c>
      <c r="FU8" s="746">
        <f>'(Bloom Raw Data)'!FG8</f>
        <v>10.2217</v>
      </c>
      <c r="FV8" s="746">
        <f>'(Bloom Raw Data)'!FH8</f>
        <v>8.6370000000000005</v>
      </c>
      <c r="FW8" s="746" t="str">
        <f>'(Bloom Raw Data)'!FI8</f>
        <v>#N/A N/A</v>
      </c>
      <c r="FX8" s="746" t="str">
        <f>'(Bloom Raw Data)'!FJ8</f>
        <v>#N/A N/A</v>
      </c>
      <c r="FY8" s="746" t="str">
        <f>'(Bloom Raw Data)'!FK8</f>
        <v>#N/A N/A</v>
      </c>
      <c r="FZ8" s="746" t="str">
        <f>'(Bloom Raw Data)'!FL8</f>
        <v>#N/A N/A</v>
      </c>
      <c r="GA8" s="746">
        <f>'(Bloom Raw Data)'!FM8</f>
        <v>3.2523</v>
      </c>
      <c r="GB8" s="746" t="str">
        <f>'(Bloom Raw Data)'!FN8</f>
        <v>#N/A N/A</v>
      </c>
      <c r="GC8" s="746" t="str">
        <f>'(Bloom Raw Data)'!FO8</f>
        <v>#N/A N/A</v>
      </c>
      <c r="GF8" s="744">
        <f>'(Bloom Raw Data)'!GI8</f>
        <v>440.827</v>
      </c>
      <c r="GG8" s="745">
        <f>AVERAGE(GF8,GH8)</f>
        <v>370.4135</v>
      </c>
      <c r="GH8" s="744">
        <f>'(Bloom Raw Data)'!GK8</f>
        <v>300</v>
      </c>
      <c r="GI8" s="745">
        <f>AVERAGE(GH8,GJ8)</f>
        <v>365.58500000000004</v>
      </c>
      <c r="GJ8" s="744">
        <f>'(Bloom Raw Data)'!GM8</f>
        <v>431.17</v>
      </c>
      <c r="GK8" s="745">
        <f>AVERAGE(GJ8,GL8)</f>
        <v>360.185</v>
      </c>
      <c r="GL8" s="744">
        <f>'(Bloom Raw Data)'!GO8</f>
        <v>289.2</v>
      </c>
      <c r="GM8" s="745">
        <f>AVERAGE(GL8,GN8)</f>
        <v>341.58600000000001</v>
      </c>
      <c r="GN8" s="744">
        <f>'(Bloom Raw Data)'!GQ8</f>
        <v>393.97199999999998</v>
      </c>
      <c r="GO8" s="745">
        <f>AVERAGE(GN8,GP8)</f>
        <v>329.48599999999999</v>
      </c>
      <c r="GP8" s="744">
        <f>'(Bloom Raw Data)'!GS8</f>
        <v>265</v>
      </c>
      <c r="GQ8" s="745">
        <f>AVERAGE(GP8,GR8)</f>
        <v>311.39949999999999</v>
      </c>
      <c r="GR8" s="744">
        <f>'(Bloom Raw Data)'!GU8</f>
        <v>357.79899999999998</v>
      </c>
      <c r="GS8" s="745">
        <f>AVERAGE(GR8,GT8)</f>
        <v>332.4495</v>
      </c>
      <c r="GT8" s="744">
        <f>'(Bloom Raw Data)'!GW8</f>
        <v>307.10000000000002</v>
      </c>
      <c r="GV8" s="744">
        <f t="shared" si="1"/>
        <v>566.99790221074716</v>
      </c>
      <c r="GW8" s="744">
        <f t="shared" si="1"/>
        <v>568.53747566666357</v>
      </c>
      <c r="GX8" s="744">
        <f t="shared" si="1"/>
        <v>570.2018802093429</v>
      </c>
      <c r="GY8" s="744">
        <f t="shared" si="1"/>
        <v>558.78936257336557</v>
      </c>
      <c r="GZ8" s="744">
        <f t="shared" si="1"/>
        <v>548.69122716748143</v>
      </c>
      <c r="HA8" s="744">
        <f t="shared" si="1"/>
        <v>542.96833478611529</v>
      </c>
      <c r="HB8" s="744">
        <f t="shared" si="1"/>
        <v>537.79093222442896</v>
      </c>
      <c r="HC8" s="744">
        <f t="shared" si="1"/>
        <v>534.36609959149905</v>
      </c>
      <c r="HD8" s="744">
        <f t="shared" si="1"/>
        <v>530.08734928081265</v>
      </c>
      <c r="HE8" s="744">
        <f t="shared" si="1"/>
        <v>520.96910078586961</v>
      </c>
      <c r="HF8" s="744">
        <f t="shared" si="1"/>
        <v>509.18175667209624</v>
      </c>
      <c r="HG8" s="744">
        <f t="shared" si="1"/>
        <v>502.50350678257951</v>
      </c>
      <c r="HH8" s="744">
        <f t="shared" si="1"/>
        <v>494.05084369449372</v>
      </c>
      <c r="HI8" s="744">
        <f t="shared" si="1"/>
        <v>458.45200208486631</v>
      </c>
      <c r="HJ8" s="744">
        <f t="shared" si="1"/>
        <v>425.15149537146925</v>
      </c>
      <c r="HL8" s="746">
        <f>'(Bloom Raw Data)'!HQ8</f>
        <v>6.6317000000000004</v>
      </c>
      <c r="HM8" s="747">
        <f>AVERAGE(HL8,HN8)</f>
        <v>6.9982500000000005</v>
      </c>
      <c r="HN8" s="746">
        <f>'(Bloom Raw Data)'!HS8</f>
        <v>7.3647999999999998</v>
      </c>
      <c r="HO8" s="747">
        <f>AVERAGE(HN8,HP8)</f>
        <v>7.55905</v>
      </c>
      <c r="HP8" s="746">
        <f>'(Bloom Raw Data)'!HU8</f>
        <v>7.7533000000000003</v>
      </c>
      <c r="HQ8" s="747">
        <f>AVERAGE(HP8,HR8)</f>
        <v>8.3099500000000006</v>
      </c>
      <c r="HR8" s="746">
        <f>'(Bloom Raw Data)'!HW8</f>
        <v>8.8666</v>
      </c>
      <c r="HS8" s="747">
        <f>AVERAGE(HR8,HT8)</f>
        <v>8.669550000000001</v>
      </c>
      <c r="HT8" s="746">
        <f>'(Bloom Raw Data)'!HY8</f>
        <v>8.4725000000000001</v>
      </c>
      <c r="HU8" s="747">
        <f>AVERAGE(HT8,HV8)</f>
        <v>7.9193999999999996</v>
      </c>
      <c r="HV8" s="746">
        <f>'(Bloom Raw Data)'!IA8</f>
        <v>7.3662999999999998</v>
      </c>
      <c r="HW8" s="747">
        <f>AVERAGE(HV8,HX8)</f>
        <v>7.12575</v>
      </c>
      <c r="HX8" s="746">
        <f>'(Bloom Raw Data)'!IC8</f>
        <v>6.8852000000000002</v>
      </c>
      <c r="HY8" s="747">
        <f>AVERAGE(HX8,HZ8)</f>
        <v>6.569</v>
      </c>
      <c r="HZ8" s="746">
        <f>'(Bloom Raw Data)'!IE8</f>
        <v>6.2527999999999997</v>
      </c>
      <c r="IB8" s="2380"/>
    </row>
    <row r="9" spans="1:236" s="725" customFormat="1">
      <c r="A9" s="725" t="s">
        <v>323</v>
      </c>
      <c r="B9" s="725" t="s">
        <v>18</v>
      </c>
      <c r="D9" s="741">
        <f>'(Bloom Raw Data)'!D9</f>
        <v>2227.41</v>
      </c>
      <c r="E9" s="741">
        <f>'(Bloom Raw Data)'!E9</f>
        <v>2498.4149000000002</v>
      </c>
      <c r="F9" s="741">
        <f>'(Bloom Raw Data)'!F9</f>
        <v>2419.8022999999998</v>
      </c>
      <c r="G9" s="741">
        <f>'(Bloom Raw Data)'!G9</f>
        <v>2755.9508000000001</v>
      </c>
      <c r="H9" s="741">
        <f>'(Bloom Raw Data)'!H9</f>
        <v>3314.3786</v>
      </c>
      <c r="I9" s="741">
        <f>'(Bloom Raw Data)'!I9</f>
        <v>3738.9902000000002</v>
      </c>
      <c r="J9" s="741">
        <f>'(Bloom Raw Data)'!J9</f>
        <v>3698.5880000000002</v>
      </c>
      <c r="K9" s="741">
        <f>'(Bloom Raw Data)'!K9</f>
        <v>3123.0653000000002</v>
      </c>
      <c r="L9" s="741">
        <f>'(Bloom Raw Data)'!L9</f>
        <v>3347.6120999999998</v>
      </c>
      <c r="M9" s="741">
        <f>'(Bloom Raw Data)'!M9</f>
        <v>3527.7561999999998</v>
      </c>
      <c r="N9" s="741">
        <f>'(Bloom Raw Data)'!N9</f>
        <v>3918.9821999999999</v>
      </c>
      <c r="O9" s="741">
        <f>'(Bloom Raw Data)'!O9</f>
        <v>3947.5209</v>
      </c>
      <c r="P9" s="741">
        <f>'(Bloom Raw Data)'!P9</f>
        <v>4043.0142999999998</v>
      </c>
      <c r="Q9" s="741">
        <f>'(Bloom Raw Data)'!Q9</f>
        <v>4387.1509999999998</v>
      </c>
      <c r="R9" s="741">
        <f>'(Bloom Raw Data)'!R9</f>
        <v>4048.9897999999998</v>
      </c>
      <c r="T9" s="741">
        <f>'(Bloom Raw Data)'!U9</f>
        <v>2223.8649999999998</v>
      </c>
      <c r="U9" s="741">
        <f>'(Bloom Raw Data)'!V9</f>
        <v>2123.8000000000002</v>
      </c>
      <c r="V9" s="741">
        <f>'(Bloom Raw Data)'!W9</f>
        <v>2064.527</v>
      </c>
      <c r="W9" s="741">
        <f>'(Bloom Raw Data)'!X9</f>
        <v>2242.5</v>
      </c>
      <c r="X9" s="741">
        <f>'(Bloom Raw Data)'!Y9</f>
        <v>2238.1149999999998</v>
      </c>
      <c r="Y9" s="741">
        <f>'(Bloom Raw Data)'!Z9</f>
        <v>2178.8000000000002</v>
      </c>
      <c r="Z9" s="741">
        <f>'(Bloom Raw Data)'!AA9</f>
        <v>2119.502</v>
      </c>
      <c r="AA9" s="741">
        <f>'(Bloom Raw Data)'!AB9</f>
        <v>2686.6</v>
      </c>
      <c r="AB9" s="741">
        <f>'(Bloom Raw Data)'!AC9</f>
        <v>2612.9360000000001</v>
      </c>
      <c r="AC9" s="741">
        <f>'(Bloom Raw Data)'!AD9</f>
        <v>2585.4</v>
      </c>
      <c r="AD9" s="741">
        <f>'(Bloom Raw Data)'!AE9</f>
        <v>2666</v>
      </c>
      <c r="AE9" s="741">
        <f>'(Bloom Raw Data)'!AF9</f>
        <v>3027.5</v>
      </c>
      <c r="AF9" s="741">
        <f>'(Bloom Raw Data)'!AG9</f>
        <v>2936.732</v>
      </c>
      <c r="AG9" s="741">
        <f>'(Bloom Raw Data)'!AH9</f>
        <v>2955.2</v>
      </c>
      <c r="AH9" s="741">
        <f>'(Bloom Raw Data)'!AI9</f>
        <v>3759.248</v>
      </c>
      <c r="AJ9" s="741">
        <f>'(Bloom Raw Data)'!AL9</f>
        <v>39.396000000000001</v>
      </c>
      <c r="AK9" s="741">
        <f>'(Bloom Raw Data)'!AP9</f>
        <v>50.572000000000003</v>
      </c>
      <c r="AL9" s="741">
        <f>'(Bloom Raw Data)'!AT9</f>
        <v>46.893999999999998</v>
      </c>
      <c r="AM9" s="741">
        <f>'(Bloom Raw Data)'!AX9</f>
        <v>42.057000000000002</v>
      </c>
      <c r="AO9" s="742" t="str">
        <f>'(Bloom Raw Data)'!BC9</f>
        <v>#N/A N/A</v>
      </c>
      <c r="AP9" s="742" t="str">
        <f>'(Bloom Raw Data)'!BD9</f>
        <v>#N/A N/A</v>
      </c>
      <c r="AQ9" s="742" t="str">
        <f>'(Bloom Raw Data)'!BE9</f>
        <v>#N/A N/A</v>
      </c>
      <c r="AR9" s="742" t="str">
        <f>'(Bloom Raw Data)'!BF9</f>
        <v>#N/A N/A</v>
      </c>
      <c r="AS9" s="742" t="str">
        <f>'(Bloom Raw Data)'!BG9</f>
        <v>#N/A N/A</v>
      </c>
      <c r="AT9" s="742" t="str">
        <f>'(Bloom Raw Data)'!BH9</f>
        <v>#N/A N/A</v>
      </c>
      <c r="AU9" s="742" t="str">
        <f>'(Bloom Raw Data)'!BI9</f>
        <v>#N/A N/A</v>
      </c>
      <c r="AV9" s="742" t="str">
        <f>'(Bloom Raw Data)'!BJ9</f>
        <v>#N/A N/A</v>
      </c>
      <c r="AW9" s="742" t="str">
        <f>'(Bloom Raw Data)'!BK9</f>
        <v>#N/A N/A</v>
      </c>
      <c r="AX9" s="742" t="str">
        <f>'(Bloom Raw Data)'!BL9</f>
        <v>#N/A N/A</v>
      </c>
      <c r="AY9" s="742" t="str">
        <f>'(Bloom Raw Data)'!BM9</f>
        <v>#N/A N/A</v>
      </c>
      <c r="AZ9" s="742" t="str">
        <f>'(Bloom Raw Data)'!BN9</f>
        <v>#N/A N/A</v>
      </c>
      <c r="BA9" s="742" t="str">
        <f>'(Bloom Raw Data)'!BO9</f>
        <v>#N/A N/A</v>
      </c>
      <c r="BB9" s="742" t="str">
        <f>'(Bloom Raw Data)'!BP9</f>
        <v>#N/A N/A</v>
      </c>
      <c r="BC9" s="742">
        <f>'(Bloom Raw Data)'!BQ9</f>
        <v>2.1177999999999999</v>
      </c>
      <c r="BE9" s="742">
        <f>'(Bloom Raw Data)'!BT9</f>
        <v>3.7033</v>
      </c>
      <c r="BF9" s="742">
        <f>'(Bloom Raw Data)'!BU9</f>
        <v>3.4622999999999999</v>
      </c>
      <c r="BG9" s="742">
        <f>'(Bloom Raw Data)'!BV9</f>
        <v>3.3102</v>
      </c>
      <c r="BH9" s="742">
        <f>'(Bloom Raw Data)'!BW9</f>
        <v>3.4672000000000001</v>
      </c>
      <c r="BI9" s="742">
        <f>'(Bloom Raw Data)'!BX9</f>
        <v>3.3997000000000002</v>
      </c>
      <c r="BJ9" s="742">
        <f>'(Bloom Raw Data)'!BY9</f>
        <v>3.2797000000000001</v>
      </c>
      <c r="BK9" s="742">
        <f>'(Bloom Raw Data)'!BZ9</f>
        <v>3.1349</v>
      </c>
      <c r="BL9" s="742">
        <f>'(Bloom Raw Data)'!CA9</f>
        <v>4.1029999999999998</v>
      </c>
      <c r="BM9" s="742">
        <f>'(Bloom Raw Data)'!CB9</f>
        <v>3.8485</v>
      </c>
      <c r="BN9" s="742">
        <f>'(Bloom Raw Data)'!CC9</f>
        <v>3.6936999999999998</v>
      </c>
      <c r="BO9" s="742">
        <f>'(Bloom Raw Data)'!CD9</f>
        <v>3.7281</v>
      </c>
      <c r="BP9" s="742">
        <f>'(Bloom Raw Data)'!CE9</f>
        <v>3.9750999999999999</v>
      </c>
      <c r="BQ9" s="742">
        <f>'(Bloom Raw Data)'!CF9</f>
        <v>3.8224</v>
      </c>
      <c r="BR9" s="742">
        <f>'(Bloom Raw Data)'!CG9</f>
        <v>3.8087</v>
      </c>
      <c r="BS9" s="742">
        <f>'(Bloom Raw Data)'!CH9</f>
        <v>4.3651999999999997</v>
      </c>
      <c r="BU9" s="741">
        <f>'(Bloom Raw Data)'!CK9</f>
        <v>4451.2749999999996</v>
      </c>
      <c r="BV9" s="741">
        <f>'(Bloom Raw Data)'!CL9</f>
        <v>4622.2148999999999</v>
      </c>
      <c r="BW9" s="741">
        <f>'(Bloom Raw Data)'!CM9</f>
        <v>4484.3293000000003</v>
      </c>
      <c r="BX9" s="741">
        <f>'(Bloom Raw Data)'!CN9</f>
        <v>4998.4508999999998</v>
      </c>
      <c r="BY9" s="741">
        <f>'(Bloom Raw Data)'!CO9</f>
        <v>5552.4935999999998</v>
      </c>
      <c r="BZ9" s="741">
        <f>'(Bloom Raw Data)'!CP9</f>
        <v>5917.7902000000004</v>
      </c>
      <c r="CA9" s="741">
        <f>'(Bloom Raw Data)'!CQ9</f>
        <v>5818.09</v>
      </c>
      <c r="CB9" s="741">
        <f>'(Bloom Raw Data)'!CR9</f>
        <v>5809.6652999999997</v>
      </c>
      <c r="CC9" s="741">
        <f>'(Bloom Raw Data)'!CS9</f>
        <v>5960.5571</v>
      </c>
      <c r="CD9" s="741">
        <f>'(Bloom Raw Data)'!CT9</f>
        <v>6116.8562000000002</v>
      </c>
      <c r="CE9" s="741">
        <f>'(Bloom Raw Data)'!CU9</f>
        <v>6588.7061999999996</v>
      </c>
      <c r="CF9" s="741">
        <f>'(Bloom Raw Data)'!CV9</f>
        <v>6978.7209000000003</v>
      </c>
      <c r="CG9" s="741">
        <f>'(Bloom Raw Data)'!CW9</f>
        <v>6985.9123</v>
      </c>
      <c r="CH9" s="741">
        <f>'(Bloom Raw Data)'!CX9</f>
        <v>7348.451</v>
      </c>
      <c r="CI9" s="741">
        <f>'(Bloom Raw Data)'!CY9</f>
        <v>7814.3378000000002</v>
      </c>
      <c r="CK9" s="741">
        <f t="shared" si="2"/>
        <v>0</v>
      </c>
      <c r="CL9" s="741">
        <f t="shared" si="3"/>
        <v>0</v>
      </c>
      <c r="CM9" s="741">
        <f t="shared" si="4"/>
        <v>0</v>
      </c>
      <c r="CN9" s="741">
        <f t="shared" si="5"/>
        <v>9.9999999747524271E-5</v>
      </c>
      <c r="CO9" s="741">
        <f t="shared" si="6"/>
        <v>0</v>
      </c>
      <c r="CP9" s="741">
        <f t="shared" si="7"/>
        <v>0</v>
      </c>
      <c r="CQ9" s="741">
        <f t="shared" si="8"/>
        <v>0</v>
      </c>
      <c r="CR9" s="741">
        <f t="shared" si="9"/>
        <v>0</v>
      </c>
      <c r="CS9" s="741">
        <f t="shared" si="10"/>
        <v>9.0000000000145519E-3</v>
      </c>
      <c r="CT9" s="741">
        <f t="shared" si="11"/>
        <v>3.7000000000002728</v>
      </c>
      <c r="CU9" s="741">
        <f t="shared" si="12"/>
        <v>3.7239999999997053</v>
      </c>
      <c r="CV9" s="741">
        <f t="shared" si="13"/>
        <v>3.7000000000002728</v>
      </c>
      <c r="CW9" s="741">
        <f t="shared" si="14"/>
        <v>6.1660000000001673</v>
      </c>
      <c r="CX9" s="741">
        <f t="shared" si="15"/>
        <v>6.1000000000003638</v>
      </c>
      <c r="CY9" s="741">
        <f t="shared" si="16"/>
        <v>6.1000000000003638</v>
      </c>
      <c r="DA9" s="742">
        <f>'(Bloom Raw Data)'!DB9</f>
        <v>7.4126000000000003</v>
      </c>
      <c r="DB9" s="742">
        <f>'(Bloom Raw Data)'!DC9</f>
        <v>7.5354000000000001</v>
      </c>
      <c r="DC9" s="742">
        <f>'(Bloom Raw Data)'!DD9</f>
        <v>7.1901000000000002</v>
      </c>
      <c r="DD9" s="742">
        <f>'(Bloom Raw Data)'!DE9</f>
        <v>7.7282000000000002</v>
      </c>
      <c r="DE9" s="742">
        <f>'(Bloom Raw Data)'!DF9</f>
        <v>8.4344000000000001</v>
      </c>
      <c r="DF9" s="742">
        <f>'(Bloom Raw Data)'!DG9</f>
        <v>8.9080999999999992</v>
      </c>
      <c r="DG9" s="742">
        <f>'(Bloom Raw Data)'!DH9</f>
        <v>8.6053999999999995</v>
      </c>
      <c r="DH9" s="742">
        <f>'(Bloom Raw Data)'!DI9</f>
        <v>8.8725000000000005</v>
      </c>
      <c r="DI9" s="742">
        <f>'(Bloom Raw Data)'!DJ9</f>
        <v>8.7789999999999999</v>
      </c>
      <c r="DJ9" s="742">
        <f>'(Bloom Raw Data)'!DK9</f>
        <v>8.7388999999999992</v>
      </c>
      <c r="DK9" s="742">
        <f>'(Bloom Raw Data)'!DL9</f>
        <v>9.2135999999999996</v>
      </c>
      <c r="DL9" s="742">
        <f>'(Bloom Raw Data)'!DM9</f>
        <v>9.1631999999999998</v>
      </c>
      <c r="DM9" s="742">
        <f>'(Bloom Raw Data)'!DN9</f>
        <v>9.0927000000000007</v>
      </c>
      <c r="DN9" s="742">
        <f>'(Bloom Raw Data)'!DO9</f>
        <v>9.4709000000000003</v>
      </c>
      <c r="DO9" s="742">
        <f>'(Bloom Raw Data)'!DP9</f>
        <v>9.0739999999999998</v>
      </c>
      <c r="DR9" s="742">
        <f>'(Bloom Raw Data)'!DS9</f>
        <v>3.7174</v>
      </c>
      <c r="DS9" s="742">
        <f>'(Bloom Raw Data)'!DT9</f>
        <v>3.7635999999999998</v>
      </c>
      <c r="DT9" s="742">
        <f>'(Bloom Raw Data)'!DU9</f>
        <v>3.5629</v>
      </c>
      <c r="DU9" s="742">
        <f>'(Bloom Raw Data)'!DV9</f>
        <v>3.8973</v>
      </c>
      <c r="DV9" s="742">
        <f>'(Bloom Raw Data)'!DW9</f>
        <v>4.2744999999999997</v>
      </c>
      <c r="DW9" s="742">
        <f>'(Bloom Raw Data)'!DX9</f>
        <v>4.5049999999999999</v>
      </c>
      <c r="DX9" s="742">
        <f>'(Bloom Raw Data)'!DY9</f>
        <v>4.3735999999999997</v>
      </c>
      <c r="DY9" s="742">
        <f>'(Bloom Raw Data)'!DZ9</f>
        <v>4.3137999999999996</v>
      </c>
      <c r="DZ9" s="742">
        <f>'(Bloom Raw Data)'!EA9</f>
        <v>4.3310000000000004</v>
      </c>
      <c r="EA9" s="742">
        <f>'(Bloom Raw Data)'!EB9</f>
        <v>4.3422999999999998</v>
      </c>
      <c r="EB9" s="742">
        <f>'(Bloom Raw Data)'!EC9</f>
        <v>4.5966000000000005</v>
      </c>
      <c r="EC9" s="742">
        <f>'(Bloom Raw Data)'!ED9</f>
        <v>4.7938000000000001</v>
      </c>
      <c r="ED9" s="742">
        <f>'(Bloom Raw Data)'!EE9</f>
        <v>4.6923000000000004</v>
      </c>
      <c r="EE9" s="742">
        <f>'(Bloom Raw Data)'!EF9</f>
        <v>4.8017000000000003</v>
      </c>
      <c r="EF9" s="742">
        <f>'(Bloom Raw Data)'!EG9</f>
        <v>4.9602000000000004</v>
      </c>
      <c r="EH9" s="741">
        <f>'(Bloom Raw Data)'!EJ9</f>
        <v>5.4764999999999997</v>
      </c>
      <c r="EI9" s="741">
        <f>'(Bloom Raw Data)'!EK9</f>
        <v>6.0327999999999999</v>
      </c>
      <c r="EJ9" s="741">
        <f>'(Bloom Raw Data)'!EL9</f>
        <v>6.7022000000000004</v>
      </c>
      <c r="EK9" s="741">
        <f>'(Bloom Raw Data)'!EM9</f>
        <v>8.3765000000000001</v>
      </c>
      <c r="EL9" s="741">
        <f>'(Bloom Raw Data)'!EN9</f>
        <v>23.3293</v>
      </c>
      <c r="EM9" s="741">
        <f>'(Bloom Raw Data)'!EO9</f>
        <v>19.748200000000001</v>
      </c>
      <c r="EN9" s="741">
        <f>'(Bloom Raw Data)'!EP9</f>
        <v>18.382000000000001</v>
      </c>
      <c r="EO9" s="741">
        <f>'(Bloom Raw Data)'!EQ9</f>
        <v>42.266300000000001</v>
      </c>
      <c r="EP9" s="741" t="str">
        <f>'(Bloom Raw Data)'!ER9</f>
        <v>#N/A N/A</v>
      </c>
      <c r="EQ9" s="741" t="str">
        <f>'(Bloom Raw Data)'!ES9</f>
        <v>#N/A N/A</v>
      </c>
      <c r="ER9" s="741" t="str">
        <f>'(Bloom Raw Data)'!ET9</f>
        <v>#N/A N/A</v>
      </c>
      <c r="ES9" s="741" t="str">
        <f>'(Bloom Raw Data)'!EU9</f>
        <v>#N/A N/A</v>
      </c>
      <c r="ET9" s="741">
        <f>'(Bloom Raw Data)'!EV9</f>
        <v>96.481399999999994</v>
      </c>
      <c r="EU9" s="741" t="str">
        <f>'(Bloom Raw Data)'!EW9</f>
        <v>#N/A N/A</v>
      </c>
      <c r="EV9" s="741" t="str">
        <f>'(Bloom Raw Data)'!EX9</f>
        <v>#N/A N/A</v>
      </c>
      <c r="EY9" s="741">
        <f>'(Bloom Raw Data)'!FR9</f>
        <v>40.203000000000003</v>
      </c>
      <c r="EZ9" s="741">
        <f>'(Bloom Raw Data)'!FS9</f>
        <v>199.9</v>
      </c>
      <c r="FA9" s="741">
        <f>'(Bloom Raw Data)'!FT9</f>
        <v>74.486000000000004</v>
      </c>
      <c r="FB9" s="741">
        <f>'(Bloom Raw Data)'!FU9</f>
        <v>217.2</v>
      </c>
      <c r="FC9" s="741">
        <f>'(Bloom Raw Data)'!FV9</f>
        <v>97.641000000000005</v>
      </c>
      <c r="FD9" s="741">
        <f>'(Bloom Raw Data)'!FW9</f>
        <v>725.5</v>
      </c>
      <c r="FE9" s="741">
        <f>'(Bloom Raw Data)'!FX9</f>
        <v>125.925</v>
      </c>
      <c r="FF9" s="741">
        <f>'(Bloom Raw Data)'!FY9</f>
        <v>283.10000000000002</v>
      </c>
      <c r="FG9" s="741">
        <f>'(Bloom Raw Data)'!FZ9</f>
        <v>65.355000000000004</v>
      </c>
      <c r="FH9" s="741">
        <f>'(Bloom Raw Data)'!GA9</f>
        <v>432.2</v>
      </c>
      <c r="FI9" s="741">
        <f>'(Bloom Raw Data)'!GB9</f>
        <v>204.721</v>
      </c>
      <c r="FJ9" s="741">
        <f>'(Bloom Raw Data)'!GC9</f>
        <v>813.2</v>
      </c>
      <c r="FK9" s="741">
        <f>'(Bloom Raw Data)'!GD9</f>
        <v>906.3</v>
      </c>
      <c r="FL9" s="741">
        <f>'(Bloom Raw Data)'!GE9</f>
        <v>898.8</v>
      </c>
      <c r="FM9" s="741">
        <f>'(Bloom Raw Data)'!GF9</f>
        <v>114.05200000000001</v>
      </c>
      <c r="FO9" s="742">
        <f>'(Bloom Raw Data)'!FA9</f>
        <v>3.5528</v>
      </c>
      <c r="FP9" s="742">
        <f>'(Bloom Raw Data)'!FB9</f>
        <v>3.8120000000000003</v>
      </c>
      <c r="FQ9" s="742">
        <f>'(Bloom Raw Data)'!FC9</f>
        <v>10.048500000000001</v>
      </c>
      <c r="FR9" s="742">
        <f>'(Bloom Raw Data)'!FD9</f>
        <v>10.6</v>
      </c>
      <c r="FS9" s="742">
        <f>'(Bloom Raw Data)'!FE9</f>
        <v>9.6486000000000001</v>
      </c>
      <c r="FT9" s="742">
        <f>'(Bloom Raw Data)'!FF9</f>
        <v>8.5795999999999992</v>
      </c>
      <c r="FU9" s="742" t="str">
        <f>'(Bloom Raw Data)'!FG9</f>
        <v>#N/A N/A</v>
      </c>
      <c r="FV9" s="742" t="str">
        <f>'(Bloom Raw Data)'!FH9</f>
        <v>#N/A N/A</v>
      </c>
      <c r="FW9" s="742" t="str">
        <f>'(Bloom Raw Data)'!FI9</f>
        <v>#N/A N/A</v>
      </c>
      <c r="FX9" s="742" t="str">
        <f>'(Bloom Raw Data)'!FJ9</f>
        <v>#N/A N/A</v>
      </c>
      <c r="FY9" s="742" t="str">
        <f>'(Bloom Raw Data)'!FK9</f>
        <v>#N/A N/A</v>
      </c>
      <c r="FZ9" s="742" t="str">
        <f>'(Bloom Raw Data)'!FL9</f>
        <v>#N/A N/A</v>
      </c>
      <c r="GA9" s="742" t="str">
        <f>'(Bloom Raw Data)'!FM9</f>
        <v>#N/A N/A</v>
      </c>
      <c r="GB9" s="742" t="str">
        <f>'(Bloom Raw Data)'!FN9</f>
        <v>#N/A N/A</v>
      </c>
      <c r="GC9" s="742" t="str">
        <f>'(Bloom Raw Data)'!FO9</f>
        <v>#N/A N/A</v>
      </c>
      <c r="GF9" s="741">
        <f>'(Bloom Raw Data)'!GI9</f>
        <v>360.05599999999998</v>
      </c>
      <c r="GG9" s="741">
        <f>'(Bloom Raw Data)'!GJ9</f>
        <v>376.4</v>
      </c>
      <c r="GH9" s="741">
        <f>'(Bloom Raw Data)'!GK9</f>
        <v>138.29900000000001</v>
      </c>
      <c r="GI9" s="741">
        <f>'(Bloom Raw Data)'!GL9</f>
        <v>164.6</v>
      </c>
      <c r="GJ9" s="741">
        <f>'(Bloom Raw Data)'!GM9</f>
        <v>217.47200000000001</v>
      </c>
      <c r="GK9" s="741">
        <f>'(Bloom Raw Data)'!GN9</f>
        <v>275.89999999999998</v>
      </c>
      <c r="GL9" s="741">
        <f>'(Bloom Raw Data)'!GO9</f>
        <v>-210</v>
      </c>
      <c r="GM9" s="741">
        <f>'(Bloom Raw Data)'!GP9</f>
        <v>-258</v>
      </c>
      <c r="GN9" s="741">
        <f>'(Bloom Raw Data)'!GQ9</f>
        <v>-248.233</v>
      </c>
      <c r="GO9" s="741">
        <f>'(Bloom Raw Data)'!GR9</f>
        <v>-280</v>
      </c>
      <c r="GP9" s="741">
        <f>'(Bloom Raw Data)'!GS9</f>
        <v>-740.82799999999997</v>
      </c>
      <c r="GQ9" s="741">
        <f>'(Bloom Raw Data)'!GT9</f>
        <v>-721.3</v>
      </c>
      <c r="GR9" s="741">
        <f>'(Bloom Raw Data)'!GU9</f>
        <v>-714.21600000000001</v>
      </c>
      <c r="GS9" s="741">
        <f>'(Bloom Raw Data)'!GV9</f>
        <v>-671.4</v>
      </c>
      <c r="GT9" s="741">
        <f>'(Bloom Raw Data)'!GW9</f>
        <v>-1491.5</v>
      </c>
      <c r="GV9" s="741">
        <f t="shared" si="1"/>
        <v>600.50117367725215</v>
      </c>
      <c r="GW9" s="741">
        <f t="shared" si="1"/>
        <v>613.40007166175644</v>
      </c>
      <c r="GX9" s="741">
        <f t="shared" si="1"/>
        <v>623.68107536751927</v>
      </c>
      <c r="GY9" s="741">
        <f t="shared" si="1"/>
        <v>646.78073807613669</v>
      </c>
      <c r="GZ9" s="741">
        <f t="shared" si="1"/>
        <v>658.31518543109166</v>
      </c>
      <c r="HA9" s="741">
        <f t="shared" si="1"/>
        <v>664.31564531157051</v>
      </c>
      <c r="HB9" s="741">
        <f t="shared" si="1"/>
        <v>676.09756664420024</v>
      </c>
      <c r="HC9" s="741">
        <f t="shared" si="1"/>
        <v>654.79462383770067</v>
      </c>
      <c r="HD9" s="741">
        <f t="shared" si="1"/>
        <v>678.95627064585949</v>
      </c>
      <c r="HE9" s="741">
        <f t="shared" si="1"/>
        <v>699.95722573779312</v>
      </c>
      <c r="HF9" s="741">
        <f t="shared" si="1"/>
        <v>715.10660328210474</v>
      </c>
      <c r="HG9" s="741">
        <f t="shared" si="1"/>
        <v>761.60303169198539</v>
      </c>
      <c r="HH9" s="741">
        <f t="shared" si="1"/>
        <v>768.29899809737481</v>
      </c>
      <c r="HI9" s="741">
        <f t="shared" si="1"/>
        <v>775.89785553643264</v>
      </c>
      <c r="HJ9" s="741">
        <f t="shared" si="1"/>
        <v>861.17895084857844</v>
      </c>
      <c r="HL9" s="742">
        <f>'(Bloom Raw Data)'!HQ9</f>
        <v>6.7294</v>
      </c>
      <c r="HM9" s="742">
        <f>'(Bloom Raw Data)'!HR9</f>
        <v>5.7431000000000001</v>
      </c>
      <c r="HN9" s="742">
        <f>'(Bloom Raw Data)'!HS9</f>
        <v>5.7416999999999998</v>
      </c>
      <c r="HO9" s="742">
        <f>'(Bloom Raw Data)'!HT9</f>
        <v>5.7271000000000001</v>
      </c>
      <c r="HP9" s="742">
        <f>'(Bloom Raw Data)'!HU9</f>
        <v>5.5990000000000002</v>
      </c>
      <c r="HQ9" s="742">
        <f>'(Bloom Raw Data)'!HV9</f>
        <v>6.3922999999999996</v>
      </c>
      <c r="HR9" s="742">
        <f>'(Bloom Raw Data)'!HW9</f>
        <v>6.8342999999999998</v>
      </c>
      <c r="HS9" s="742">
        <f>'(Bloom Raw Data)'!HX9</f>
        <v>7.4036999999999997</v>
      </c>
      <c r="HT9" s="742">
        <f>'(Bloom Raw Data)'!HY9</f>
        <v>6.3003</v>
      </c>
      <c r="HU9" s="742">
        <f>'(Bloom Raw Data)'!HZ9</f>
        <v>6.3733000000000004</v>
      </c>
      <c r="HV9" s="742">
        <f>'(Bloom Raw Data)'!IA9</f>
        <v>5.8521999999999998</v>
      </c>
      <c r="HW9" s="742">
        <f>'(Bloom Raw Data)'!IB9</f>
        <v>5.6871999999999998</v>
      </c>
      <c r="HX9" s="742">
        <f>'(Bloom Raw Data)'!IC9</f>
        <v>5.2569999999999997</v>
      </c>
      <c r="HY9" s="742">
        <f>'(Bloom Raw Data)'!ID9</f>
        <v>5.3704999999999998</v>
      </c>
      <c r="HZ9" s="742">
        <f>'(Bloom Raw Data)'!IE9</f>
        <v>5.3070000000000004</v>
      </c>
      <c r="IB9" s="1214"/>
    </row>
    <row r="10" spans="1:236">
      <c r="A10" s="11" t="s">
        <v>545</v>
      </c>
      <c r="B10" s="11" t="s">
        <v>13</v>
      </c>
      <c r="D10" s="167">
        <f>'(Bloom Raw Data)'!D10</f>
        <v>48433.336499999998</v>
      </c>
      <c r="E10" s="167">
        <f>'(Bloom Raw Data)'!E10</f>
        <v>48336.4</v>
      </c>
      <c r="F10" s="167">
        <f>'(Bloom Raw Data)'!F10</f>
        <v>43503.676299999999</v>
      </c>
      <c r="G10" s="167">
        <f>'(Bloom Raw Data)'!G10</f>
        <v>45364.9</v>
      </c>
      <c r="H10" s="167">
        <f>'(Bloom Raw Data)'!H10</f>
        <v>39571.942900000002</v>
      </c>
      <c r="I10" s="167">
        <f>'(Bloom Raw Data)'!I10</f>
        <v>35194.5</v>
      </c>
      <c r="J10" s="167">
        <f>'(Bloom Raw Data)'!J10</f>
        <v>38725.5</v>
      </c>
      <c r="K10" s="167">
        <f>'(Bloom Raw Data)'!K10</f>
        <v>37562.25</v>
      </c>
      <c r="L10" s="167">
        <f>'(Bloom Raw Data)'!L10</f>
        <v>37614.110399999998</v>
      </c>
      <c r="M10" s="167">
        <f>'(Bloom Raw Data)'!M10</f>
        <v>33478.5</v>
      </c>
      <c r="N10" s="167">
        <f>'(Bloom Raw Data)'!N10</f>
        <v>33660</v>
      </c>
      <c r="O10" s="167">
        <f>'(Bloom Raw Data)'!O10</f>
        <v>34864.5</v>
      </c>
      <c r="P10" s="167">
        <f>'(Bloom Raw Data)'!P10</f>
        <v>33033</v>
      </c>
      <c r="Q10" s="167">
        <f>'(Bloom Raw Data)'!Q10</f>
        <v>36869.25</v>
      </c>
      <c r="R10" s="167">
        <f>'(Bloom Raw Data)'!R10</f>
        <v>37709.279999999999</v>
      </c>
      <c r="T10" s="167">
        <f>'(Bloom Raw Data)'!U10</f>
        <v>33635</v>
      </c>
      <c r="U10" s="167">
        <f>'(Bloom Raw Data)'!V10</f>
        <v>33669</v>
      </c>
      <c r="V10" s="167">
        <f>'(Bloom Raw Data)'!W10</f>
        <v>32963</v>
      </c>
      <c r="W10" s="167">
        <f>'(Bloom Raw Data)'!X10</f>
        <v>31227</v>
      </c>
      <c r="X10" s="167">
        <f>'(Bloom Raw Data)'!Y10</f>
        <v>22813</v>
      </c>
      <c r="Y10" s="167">
        <f>'(Bloom Raw Data)'!Z10</f>
        <v>21766</v>
      </c>
      <c r="Z10" s="167">
        <f>'(Bloom Raw Data)'!AA10</f>
        <v>21303</v>
      </c>
      <c r="AA10" s="167">
        <f>'(Bloom Raw Data)'!AB10</f>
        <v>21761</v>
      </c>
      <c r="AB10" s="167">
        <f>'(Bloom Raw Data)'!AC10</f>
        <v>21731</v>
      </c>
      <c r="AC10" s="167">
        <f>'(Bloom Raw Data)'!AD10</f>
        <v>22553</v>
      </c>
      <c r="AD10" s="167">
        <f>'(Bloom Raw Data)'!AE10</f>
        <v>23061</v>
      </c>
      <c r="AE10" s="167">
        <f>'(Bloom Raw Data)'!AF10</f>
        <v>23764</v>
      </c>
      <c r="AF10" s="167">
        <f>'(Bloom Raw Data)'!AG10</f>
        <v>22971</v>
      </c>
      <c r="AG10" s="167">
        <f>'(Bloom Raw Data)'!AH10</f>
        <v>23624</v>
      </c>
      <c r="AH10" s="167">
        <f>'(Bloom Raw Data)'!AI10</f>
        <v>23058</v>
      </c>
      <c r="AJ10" s="167">
        <f>'(Bloom Raw Data)'!AL10</f>
        <v>8817</v>
      </c>
      <c r="AK10" s="167">
        <f>'(Bloom Raw Data)'!AP10</f>
        <v>8613</v>
      </c>
      <c r="AL10" s="167">
        <f>'(Bloom Raw Data)'!AT10</f>
        <v>8438</v>
      </c>
      <c r="AM10" s="167">
        <f>'(Bloom Raw Data)'!AX10</f>
        <v>7978</v>
      </c>
      <c r="AO10" s="168" t="str">
        <f>'(Bloom Raw Data)'!BC10</f>
        <v>#N/A N/A</v>
      </c>
      <c r="AP10" s="168" t="str">
        <f>'(Bloom Raw Data)'!BD10</f>
        <v>#N/A N/A</v>
      </c>
      <c r="AQ10" s="168" t="str">
        <f>'(Bloom Raw Data)'!BE10</f>
        <v>#N/A N/A</v>
      </c>
      <c r="AR10" s="168" t="str">
        <f>'(Bloom Raw Data)'!BF10</f>
        <v>#N/A N/A</v>
      </c>
      <c r="AS10" s="168" t="str">
        <f>'(Bloom Raw Data)'!BG10</f>
        <v>#N/A N/A</v>
      </c>
      <c r="AT10" s="168" t="str">
        <f>'(Bloom Raw Data)'!BH10</f>
        <v>#N/A N/A</v>
      </c>
      <c r="AU10" s="168" t="str">
        <f>'(Bloom Raw Data)'!BI10</f>
        <v>#N/A N/A</v>
      </c>
      <c r="AV10" s="168" t="str">
        <f>'(Bloom Raw Data)'!BJ10</f>
        <v>#N/A N/A</v>
      </c>
      <c r="AW10" s="168" t="str">
        <f>'(Bloom Raw Data)'!BK10</f>
        <v>#N/A N/A</v>
      </c>
      <c r="AX10" s="168" t="str">
        <f>'(Bloom Raw Data)'!BL10</f>
        <v>#N/A N/A</v>
      </c>
      <c r="AY10" s="168" t="str">
        <f>'(Bloom Raw Data)'!BM10</f>
        <v>#N/A N/A</v>
      </c>
      <c r="AZ10" s="168" t="str">
        <f>'(Bloom Raw Data)'!BN10</f>
        <v>#N/A N/A</v>
      </c>
      <c r="BA10" s="168" t="str">
        <f>'(Bloom Raw Data)'!BO10</f>
        <v>#N/A N/A</v>
      </c>
      <c r="BB10" s="168" t="str">
        <f>'(Bloom Raw Data)'!BP10</f>
        <v>#N/A N/A</v>
      </c>
      <c r="BC10" s="168" t="str">
        <f>'(Bloom Raw Data)'!BQ10</f>
        <v>#N/A N/A</v>
      </c>
      <c r="BE10" s="168">
        <f>'(Bloom Raw Data)'!BT10</f>
        <v>3.1884999999999999</v>
      </c>
      <c r="BF10" s="168">
        <f>'(Bloom Raw Data)'!BU10</f>
        <v>3.3224</v>
      </c>
      <c r="BG10" s="168">
        <f>'(Bloom Raw Data)'!BV10</f>
        <v>3.2050000000000001</v>
      </c>
      <c r="BH10" s="168">
        <f>'(Bloom Raw Data)'!BW10</f>
        <v>3.0272999999999999</v>
      </c>
      <c r="BI10" s="168">
        <f>'(Bloom Raw Data)'!BX10</f>
        <v>2.117</v>
      </c>
      <c r="BJ10" s="168">
        <f>'(Bloom Raw Data)'!BY10</f>
        <v>2.0137</v>
      </c>
      <c r="BK10" s="168">
        <f>'(Bloom Raw Data)'!BZ10</f>
        <v>2.1109</v>
      </c>
      <c r="BL10" s="168">
        <f>'(Bloom Raw Data)'!CA10</f>
        <v>2.1484000000000001</v>
      </c>
      <c r="BM10" s="168">
        <f>'(Bloom Raw Data)'!CB10</f>
        <v>1.9864000000000002</v>
      </c>
      <c r="BN10" s="168">
        <f>'(Bloom Raw Data)'!CC10</f>
        <v>2.0720999999999998</v>
      </c>
      <c r="BO10" s="168">
        <f>'(Bloom Raw Data)'!CD10</f>
        <v>2.1252</v>
      </c>
      <c r="BP10" s="168">
        <f>'(Bloom Raw Data)'!CE10</f>
        <v>2.2174</v>
      </c>
      <c r="BQ10" s="168">
        <f>'(Bloom Raw Data)'!CF10</f>
        <v>2.1798000000000002</v>
      </c>
      <c r="BR10" s="168">
        <f>'(Bloom Raw Data)'!CG10</f>
        <v>2.2622</v>
      </c>
      <c r="BS10" s="168">
        <f>'(Bloom Raw Data)'!CH10</f>
        <v>2.2195</v>
      </c>
      <c r="BU10" s="167">
        <f>'(Bloom Raw Data)'!CK10</f>
        <v>82068.336500000005</v>
      </c>
      <c r="BV10" s="167">
        <f>'(Bloom Raw Data)'!CL10</f>
        <v>82005.399999999994</v>
      </c>
      <c r="BW10" s="167">
        <f>'(Bloom Raw Data)'!CM10</f>
        <v>76466.676300000006</v>
      </c>
      <c r="BX10" s="167">
        <f>'(Bloom Raw Data)'!CN10</f>
        <v>76591.899999999994</v>
      </c>
      <c r="BY10" s="167">
        <f>'(Bloom Raw Data)'!CO10</f>
        <v>62384.942900000002</v>
      </c>
      <c r="BZ10" s="167">
        <f>'(Bloom Raw Data)'!CP10</f>
        <v>56960.5</v>
      </c>
      <c r="CA10" s="167">
        <f>'(Bloom Raw Data)'!CQ10</f>
        <v>60028.5</v>
      </c>
      <c r="CB10" s="167">
        <f>'(Bloom Raw Data)'!CR10</f>
        <v>59323.25</v>
      </c>
      <c r="CC10" s="167">
        <f>'(Bloom Raw Data)'!CS10</f>
        <v>59345.110399999998</v>
      </c>
      <c r="CD10" s="167">
        <f>'(Bloom Raw Data)'!CT10</f>
        <v>56031.5</v>
      </c>
      <c r="CE10" s="167">
        <f>'(Bloom Raw Data)'!CU10</f>
        <v>56721</v>
      </c>
      <c r="CF10" s="167">
        <f>'(Bloom Raw Data)'!CV10</f>
        <v>58628.5</v>
      </c>
      <c r="CG10" s="167">
        <f>'(Bloom Raw Data)'!CW10</f>
        <v>56004</v>
      </c>
      <c r="CH10" s="167">
        <f>'(Bloom Raw Data)'!CX10</f>
        <v>60493.25</v>
      </c>
      <c r="CI10" s="167">
        <f>'(Bloom Raw Data)'!CY10</f>
        <v>60767.28</v>
      </c>
      <c r="CK10" s="167">
        <f t="shared" si="2"/>
        <v>0</v>
      </c>
      <c r="CL10" s="167">
        <f t="shared" si="3"/>
        <v>0</v>
      </c>
      <c r="CM10" s="167">
        <f t="shared" si="4"/>
        <v>0</v>
      </c>
      <c r="CN10" s="167">
        <f t="shared" si="5"/>
        <v>0</v>
      </c>
      <c r="CO10" s="167">
        <f t="shared" si="6"/>
        <v>0</v>
      </c>
      <c r="CP10" s="167">
        <f t="shared" si="7"/>
        <v>0</v>
      </c>
      <c r="CQ10" s="167">
        <f t="shared" si="8"/>
        <v>0</v>
      </c>
      <c r="CR10" s="167">
        <f t="shared" si="9"/>
        <v>0</v>
      </c>
      <c r="CS10" s="167">
        <f t="shared" si="10"/>
        <v>0</v>
      </c>
      <c r="CT10" s="167">
        <f t="shared" si="11"/>
        <v>0</v>
      </c>
      <c r="CU10" s="167">
        <f t="shared" si="12"/>
        <v>0</v>
      </c>
      <c r="CV10" s="167">
        <f t="shared" si="13"/>
        <v>0</v>
      </c>
      <c r="CW10" s="167">
        <f t="shared" si="14"/>
        <v>0</v>
      </c>
      <c r="CX10" s="167">
        <f t="shared" si="15"/>
        <v>0</v>
      </c>
      <c r="CY10" s="167">
        <f t="shared" si="16"/>
        <v>0</v>
      </c>
      <c r="DA10" s="168">
        <f>'(Bloom Raw Data)'!DB10</f>
        <v>7.7797000000000001</v>
      </c>
      <c r="DB10" s="168">
        <f>'(Bloom Raw Data)'!DC10</f>
        <v>8.0921000000000003</v>
      </c>
      <c r="DC10" s="168">
        <f>'(Bloom Raw Data)'!DD10</f>
        <v>7.4348000000000001</v>
      </c>
      <c r="DD10" s="168">
        <f>'(Bloom Raw Data)'!DE10</f>
        <v>7.4253</v>
      </c>
      <c r="DE10" s="168">
        <f>'(Bloom Raw Data)'!DF10</f>
        <v>5.7892000000000001</v>
      </c>
      <c r="DF10" s="168">
        <f>'(Bloom Raw Data)'!DG10</f>
        <v>5.2697000000000003</v>
      </c>
      <c r="DG10" s="168">
        <f>'(Bloom Raw Data)'!DH10</f>
        <v>5.9481000000000002</v>
      </c>
      <c r="DH10" s="168">
        <f>'(Bloom Raw Data)'!DI10</f>
        <v>5.8567999999999998</v>
      </c>
      <c r="DI10" s="168">
        <f>'(Bloom Raw Data)'!DJ10</f>
        <v>5.4245999999999999</v>
      </c>
      <c r="DJ10" s="168">
        <f>'(Bloom Raw Data)'!DK10</f>
        <v>5.1481000000000003</v>
      </c>
      <c r="DK10" s="168">
        <f>'(Bloom Raw Data)'!DL10</f>
        <v>5.2272999999999996</v>
      </c>
      <c r="DL10" s="168">
        <f>'(Bloom Raw Data)'!DM10</f>
        <v>5.4706000000000001</v>
      </c>
      <c r="DM10" s="168">
        <f>'(Bloom Raw Data)'!DN10</f>
        <v>5.3144999999999998</v>
      </c>
      <c r="DN10" s="168">
        <f>'(Bloom Raw Data)'!DO10</f>
        <v>5.7927</v>
      </c>
      <c r="DO10" s="168">
        <f>'(Bloom Raw Data)'!DP10</f>
        <v>5.8491999999999997</v>
      </c>
      <c r="DR10" s="168">
        <f>'(Bloom Raw Data)'!DS10</f>
        <v>3.1469</v>
      </c>
      <c r="DS10" s="168">
        <f>'(Bloom Raw Data)'!DT10</f>
        <v>3.4558</v>
      </c>
      <c r="DT10" s="168">
        <f>'(Bloom Raw Data)'!DU10</f>
        <v>3.1909000000000001</v>
      </c>
      <c r="DU10" s="168">
        <f>'(Bloom Raw Data)'!DV10</f>
        <v>3.2008999999999999</v>
      </c>
      <c r="DV10" s="168">
        <f>'(Bloom Raw Data)'!DW10</f>
        <v>2.1667000000000001</v>
      </c>
      <c r="DW10" s="168">
        <f>'(Bloom Raw Data)'!DX10</f>
        <v>1.9742</v>
      </c>
      <c r="DX10" s="168">
        <f>'(Bloom Raw Data)'!DY10</f>
        <v>2.2894000000000001</v>
      </c>
      <c r="DY10" s="168">
        <f>'(Bloom Raw Data)'!DZ10</f>
        <v>2.2618</v>
      </c>
      <c r="DZ10" s="168">
        <f>'(Bloom Raw Data)'!EA10</f>
        <v>2.2561</v>
      </c>
      <c r="EA10" s="168">
        <f>'(Bloom Raw Data)'!EB10</f>
        <v>2.0871</v>
      </c>
      <c r="EB10" s="168">
        <f>'(Bloom Raw Data)'!EC10</f>
        <v>2.1507000000000001</v>
      </c>
      <c r="EC10" s="168">
        <f>'(Bloom Raw Data)'!ED10</f>
        <v>2.2332000000000001</v>
      </c>
      <c r="ED10" s="168">
        <f>'(Bloom Raw Data)'!EE10</f>
        <v>2.1444000000000001</v>
      </c>
      <c r="EE10" s="168">
        <f>'(Bloom Raw Data)'!EF10</f>
        <v>2.3525999999999998</v>
      </c>
      <c r="EF10" s="168">
        <f>'(Bloom Raw Data)'!EG10</f>
        <v>2.4035000000000002</v>
      </c>
      <c r="EH10" s="167" t="str">
        <f>'(Bloom Raw Data)'!EJ10</f>
        <v>#N/A N/A</v>
      </c>
      <c r="EI10" s="167" t="str">
        <f>'(Bloom Raw Data)'!EK10</f>
        <v>#N/A N/A</v>
      </c>
      <c r="EJ10" s="167" t="str">
        <f>'(Bloom Raw Data)'!EL10</f>
        <v>#N/A N/A</v>
      </c>
      <c r="EK10" s="167" t="str">
        <f>'(Bloom Raw Data)'!EM10</f>
        <v>#N/A N/A</v>
      </c>
      <c r="EL10" s="167" t="str">
        <f>'(Bloom Raw Data)'!EN10</f>
        <v>#N/A N/A</v>
      </c>
      <c r="EM10" s="167">
        <f>'(Bloom Raw Data)'!EO10</f>
        <v>19.610199999999999</v>
      </c>
      <c r="EN10" s="167">
        <f>'(Bloom Raw Data)'!EP10</f>
        <v>21.346900000000002</v>
      </c>
      <c r="EO10" s="167">
        <f>'(Bloom Raw Data)'!EQ10</f>
        <v>15.940099999999999</v>
      </c>
      <c r="EP10" s="167" t="str">
        <f>'(Bloom Raw Data)'!ER10</f>
        <v>#N/A N/A</v>
      </c>
      <c r="EQ10" s="167" t="str">
        <f>'(Bloom Raw Data)'!ES10</f>
        <v>#N/A N/A</v>
      </c>
      <c r="ER10" s="167" t="str">
        <f>'(Bloom Raw Data)'!ET10</f>
        <v>#N/A N/A</v>
      </c>
      <c r="ES10" s="167" t="str">
        <f>'(Bloom Raw Data)'!EU10</f>
        <v>#N/A N/A</v>
      </c>
      <c r="ET10" s="167" t="str">
        <f>'(Bloom Raw Data)'!EV10</f>
        <v>#N/A N/A</v>
      </c>
      <c r="EU10" s="167" t="str">
        <f>'(Bloom Raw Data)'!EW10</f>
        <v>#N/A N/A</v>
      </c>
      <c r="EV10" s="167" t="str">
        <f>'(Bloom Raw Data)'!EX10</f>
        <v>#N/A N/A</v>
      </c>
      <c r="EY10" s="167">
        <f>'(Bloom Raw Data)'!FR10</f>
        <v>763</v>
      </c>
      <c r="EZ10" s="167">
        <f>'(Bloom Raw Data)'!FS10</f>
        <v>545</v>
      </c>
      <c r="FA10" s="167">
        <f>'(Bloom Raw Data)'!FT10</f>
        <v>411</v>
      </c>
      <c r="FB10" s="167">
        <f>'(Bloom Raw Data)'!FU10</f>
        <v>594</v>
      </c>
      <c r="FC10" s="167">
        <f>'(Bloom Raw Data)'!FV10</f>
        <v>831</v>
      </c>
      <c r="FD10" s="167">
        <f>'(Bloom Raw Data)'!FW10</f>
        <v>507</v>
      </c>
      <c r="FE10" s="167">
        <f>'(Bloom Raw Data)'!FX10</f>
        <v>1067</v>
      </c>
      <c r="FF10" s="167">
        <f>'(Bloom Raw Data)'!FY10</f>
        <v>910</v>
      </c>
      <c r="FG10" s="167">
        <f>'(Bloom Raw Data)'!FZ10</f>
        <v>1489</v>
      </c>
      <c r="FH10" s="167">
        <f>'(Bloom Raw Data)'!GA10</f>
        <v>4051</v>
      </c>
      <c r="FI10" s="167">
        <f>'(Bloom Raw Data)'!GB10</f>
        <v>911</v>
      </c>
      <c r="FJ10" s="167">
        <f>'(Bloom Raw Data)'!GC10</f>
        <v>262</v>
      </c>
      <c r="FK10" s="167">
        <f>'(Bloom Raw Data)'!GD10</f>
        <v>973</v>
      </c>
      <c r="FL10" s="167">
        <f>'(Bloom Raw Data)'!GE10</f>
        <v>221</v>
      </c>
      <c r="FM10" s="167">
        <f>'(Bloom Raw Data)'!GF10</f>
        <v>431</v>
      </c>
      <c r="FO10" s="168" t="str">
        <f>'(Bloom Raw Data)'!FA10</f>
        <v>#N/A N/A</v>
      </c>
      <c r="FP10" s="168">
        <f>'(Bloom Raw Data)'!FB10</f>
        <v>1.7650999999999999</v>
      </c>
      <c r="FQ10" s="168">
        <f>'(Bloom Raw Data)'!FC10</f>
        <v>1.4973000000000001</v>
      </c>
      <c r="FR10" s="168">
        <f>'(Bloom Raw Data)'!FD10</f>
        <v>1.5802</v>
      </c>
      <c r="FS10" s="168" t="str">
        <f>'(Bloom Raw Data)'!FE10</f>
        <v>#N/A N/A</v>
      </c>
      <c r="FT10" s="168">
        <f>'(Bloom Raw Data)'!FF10</f>
        <v>1.5804</v>
      </c>
      <c r="FU10" s="168">
        <f>'(Bloom Raw Data)'!FG10</f>
        <v>1.8797000000000001</v>
      </c>
      <c r="FV10" s="168">
        <f>'(Bloom Raw Data)'!FH10</f>
        <v>1.8462000000000001</v>
      </c>
      <c r="FW10" s="168" t="str">
        <f>'(Bloom Raw Data)'!FI10</f>
        <v>#N/A N/A</v>
      </c>
      <c r="FX10" s="168" t="str">
        <f>'(Bloom Raw Data)'!FJ10</f>
        <v>#N/A N/A</v>
      </c>
      <c r="FY10" s="168" t="str">
        <f>'(Bloom Raw Data)'!FK10</f>
        <v>#N/A N/A</v>
      </c>
      <c r="FZ10" s="168" t="str">
        <f>'(Bloom Raw Data)'!FL10</f>
        <v>#N/A N/A</v>
      </c>
      <c r="GA10" s="168" t="str">
        <f>'(Bloom Raw Data)'!FM10</f>
        <v>#N/A N/A</v>
      </c>
      <c r="GB10" s="168" t="str">
        <f>'(Bloom Raw Data)'!FN10</f>
        <v>#N/A N/A</v>
      </c>
      <c r="GC10" s="168" t="str">
        <f>'(Bloom Raw Data)'!FO10</f>
        <v>#N/A N/A</v>
      </c>
      <c r="GF10" s="167">
        <f>'(Bloom Raw Data)'!GI10</f>
        <v>27078</v>
      </c>
      <c r="GG10" s="167">
        <f>'(Bloom Raw Data)'!GJ10</f>
        <v>27384</v>
      </c>
      <c r="GH10" s="167">
        <f>'(Bloom Raw Data)'!GK10</f>
        <v>29055</v>
      </c>
      <c r="GI10" s="167">
        <f>'(Bloom Raw Data)'!GL10</f>
        <v>28708</v>
      </c>
      <c r="GJ10" s="167">
        <f>'(Bloom Raw Data)'!GM10</f>
        <v>20855</v>
      </c>
      <c r="GK10" s="167">
        <f>'(Bloom Raw Data)'!GN10</f>
        <v>22269</v>
      </c>
      <c r="GL10" s="167">
        <f>'(Bloom Raw Data)'!GO10</f>
        <v>20602</v>
      </c>
      <c r="GM10" s="167">
        <f>'(Bloom Raw Data)'!GP10</f>
        <v>20346</v>
      </c>
      <c r="GN10" s="167">
        <f>'(Bloom Raw Data)'!GQ10</f>
        <v>22244</v>
      </c>
      <c r="GO10" s="167">
        <f>'(Bloom Raw Data)'!GR10</f>
        <v>20625</v>
      </c>
      <c r="GP10" s="167">
        <f>'(Bloom Raw Data)'!GS10</f>
        <v>21268</v>
      </c>
      <c r="GQ10" s="167">
        <f>'(Bloom Raw Data)'!GT10</f>
        <v>21346</v>
      </c>
      <c r="GR10" s="167">
        <f>'(Bloom Raw Data)'!GU10</f>
        <v>21513</v>
      </c>
      <c r="GS10" s="167">
        <f>'(Bloom Raw Data)'!GV10</f>
        <v>20494</v>
      </c>
      <c r="GT10" s="167">
        <f>'(Bloom Raw Data)'!GW10</f>
        <v>21301</v>
      </c>
      <c r="GV10" s="167">
        <f t="shared" si="1"/>
        <v>10549.036145352649</v>
      </c>
      <c r="GW10" s="167">
        <f t="shared" si="1"/>
        <v>10134.007241630725</v>
      </c>
      <c r="GX10" s="167">
        <f t="shared" si="1"/>
        <v>10284.96749071932</v>
      </c>
      <c r="GY10" s="167">
        <f t="shared" si="1"/>
        <v>10314.990640108816</v>
      </c>
      <c r="GZ10" s="167">
        <f t="shared" si="1"/>
        <v>10776.090461549091</v>
      </c>
      <c r="HA10" s="167">
        <f t="shared" si="1"/>
        <v>10809.059339241323</v>
      </c>
      <c r="HB10" s="167">
        <f t="shared" si="1"/>
        <v>10092.046199626771</v>
      </c>
      <c r="HC10" s="167">
        <f t="shared" si="1"/>
        <v>10128.952670400218</v>
      </c>
      <c r="HD10" s="167">
        <f t="shared" si="1"/>
        <v>10939.997492902703</v>
      </c>
      <c r="HE10" s="167">
        <f t="shared" si="1"/>
        <v>10883.918338804608</v>
      </c>
      <c r="HF10" s="167">
        <f t="shared" si="1"/>
        <v>10850.917299561916</v>
      </c>
      <c r="HG10" s="167">
        <f t="shared" si="1"/>
        <v>10717.014587065403</v>
      </c>
      <c r="HH10" s="167">
        <f t="shared" si="1"/>
        <v>10537.962178944397</v>
      </c>
      <c r="HI10" s="167">
        <f t="shared" si="1"/>
        <v>10443.014483746785</v>
      </c>
      <c r="HJ10" s="167">
        <f t="shared" si="1"/>
        <v>10388.989947343227</v>
      </c>
      <c r="HL10" s="168">
        <f>'(Bloom Raw Data)'!HQ10</f>
        <v>5.8493000000000004</v>
      </c>
      <c r="HM10" s="168">
        <f>'(Bloom Raw Data)'!HR10</f>
        <v>6.3597999999999999</v>
      </c>
      <c r="HN10" s="168">
        <f>'(Bloom Raw Data)'!HS10</f>
        <v>6.1060999999999996</v>
      </c>
      <c r="HO10" s="168">
        <f>'(Bloom Raw Data)'!HT10</f>
        <v>6.2808999999999999</v>
      </c>
      <c r="HP10" s="168">
        <f>'(Bloom Raw Data)'!HU10</f>
        <v>6.1692</v>
      </c>
      <c r="HQ10" s="168">
        <f>'(Bloom Raw Data)'!HV10</f>
        <v>6.2121000000000004</v>
      </c>
      <c r="HR10" s="168">
        <f>'(Bloom Raw Data)'!HW10</f>
        <v>6.5754000000000001</v>
      </c>
      <c r="HS10" s="168">
        <f>'(Bloom Raw Data)'!HX10</f>
        <v>6.4329999999999998</v>
      </c>
      <c r="HT10" s="168">
        <f>'(Bloom Raw Data)'!HY10</f>
        <v>5.2751000000000001</v>
      </c>
      <c r="HU10" s="168">
        <f>'(Bloom Raw Data)'!HZ10</f>
        <v>6.8921000000000001</v>
      </c>
      <c r="HV10" s="168">
        <f>'(Bloom Raw Data)'!IA10</f>
        <v>6.2957999999999998</v>
      </c>
      <c r="HW10" s="168">
        <f>'(Bloom Raw Data)'!IB10</f>
        <v>6.5667999999999997</v>
      </c>
      <c r="HX10" s="168">
        <f>'(Bloom Raw Data)'!IC10</f>
        <v>5.7587000000000002</v>
      </c>
      <c r="HY10" s="168">
        <f>'(Bloom Raw Data)'!ID10</f>
        <v>5.9950999999999999</v>
      </c>
      <c r="HZ10" s="168">
        <f>'(Bloom Raw Data)'!IE10</f>
        <v>6.0989000000000004</v>
      </c>
    </row>
    <row r="11" spans="1:236">
      <c r="A11" s="12" t="s">
        <v>219</v>
      </c>
      <c r="B11" s="11" t="s">
        <v>9</v>
      </c>
      <c r="D11" s="167">
        <f>'(Bloom Raw Data)'!D11</f>
        <v>88965.659</v>
      </c>
      <c r="E11" s="167">
        <f>'(Bloom Raw Data)'!E11</f>
        <v>80052.489799999996</v>
      </c>
      <c r="F11" s="167">
        <f>'(Bloom Raw Data)'!F11</f>
        <v>69623.667400000006</v>
      </c>
      <c r="G11" s="167">
        <f>'(Bloom Raw Data)'!G11</f>
        <v>82904.987299999993</v>
      </c>
      <c r="H11" s="167">
        <f>'(Bloom Raw Data)'!H11</f>
        <v>76491.648499999996</v>
      </c>
      <c r="I11" s="167">
        <f>'(Bloom Raw Data)'!I11</f>
        <v>80622.989300000001</v>
      </c>
      <c r="J11" s="167">
        <f>'(Bloom Raw Data)'!J11</f>
        <v>76948.972599999994</v>
      </c>
      <c r="K11" s="167">
        <f>'(Bloom Raw Data)'!K11</f>
        <v>65835.642300000007</v>
      </c>
      <c r="L11" s="167">
        <f>'(Bloom Raw Data)'!L11</f>
        <v>59961.950599999996</v>
      </c>
      <c r="M11" s="167">
        <f>'(Bloom Raw Data)'!M11</f>
        <v>54950.805</v>
      </c>
      <c r="N11" s="167">
        <f>'(Bloom Raw Data)'!N11</f>
        <v>46913.88</v>
      </c>
      <c r="O11" s="167">
        <f>'(Bloom Raw Data)'!O11</f>
        <v>47216.625</v>
      </c>
      <c r="P11" s="167">
        <f>'(Bloom Raw Data)'!P11</f>
        <v>45887.371299999999</v>
      </c>
      <c r="Q11" s="167">
        <f>'(Bloom Raw Data)'!Q11</f>
        <v>47740.247900000002</v>
      </c>
      <c r="R11" s="167">
        <f>'(Bloom Raw Data)'!R11</f>
        <v>44430.485000000001</v>
      </c>
      <c r="T11" s="167">
        <f>'(Bloom Raw Data)'!U11</f>
        <v>45772</v>
      </c>
      <c r="U11" s="167">
        <f>'(Bloom Raw Data)'!V11</f>
        <v>48411</v>
      </c>
      <c r="V11" s="167">
        <f>'(Bloom Raw Data)'!W11</f>
        <v>52897</v>
      </c>
      <c r="W11" s="167">
        <f>'(Bloom Raw Data)'!X11</f>
        <v>54502</v>
      </c>
      <c r="X11" s="167">
        <f>'(Bloom Raw Data)'!Y11</f>
        <v>55306</v>
      </c>
      <c r="Y11" s="167">
        <f>'(Bloom Raw Data)'!Z11</f>
        <v>53185</v>
      </c>
      <c r="Z11" s="167">
        <f>'(Bloom Raw Data)'!AA11</f>
        <v>54652.654999999999</v>
      </c>
      <c r="AA11" s="167">
        <f>'(Bloom Raw Data)'!AB11</f>
        <v>55568</v>
      </c>
      <c r="AB11" s="167">
        <f>'(Bloom Raw Data)'!AC11</f>
        <v>59551</v>
      </c>
      <c r="AC11" s="167">
        <f>'(Bloom Raw Data)'!AD11</f>
        <v>59505</v>
      </c>
      <c r="AD11" s="167">
        <f>'(Bloom Raw Data)'!AE11</f>
        <v>62058</v>
      </c>
      <c r="AE11" s="167">
        <f>'(Bloom Raw Data)'!AF11</f>
        <v>59435</v>
      </c>
      <c r="AF11" s="167">
        <f>'(Bloom Raw Data)'!AG11</f>
        <v>55134</v>
      </c>
      <c r="AG11" s="167">
        <f>'(Bloom Raw Data)'!AH11</f>
        <v>55359</v>
      </c>
      <c r="AH11" s="167">
        <f>'(Bloom Raw Data)'!AI11</f>
        <v>52965</v>
      </c>
      <c r="AJ11" s="167">
        <f>'(Bloom Raw Data)'!AL11</f>
        <v>6547</v>
      </c>
      <c r="AK11" s="167">
        <f>'(Bloom Raw Data)'!AP11</f>
        <v>8842</v>
      </c>
      <c r="AL11" s="167">
        <f>'(Bloom Raw Data)'!AT11</f>
        <v>9613</v>
      </c>
      <c r="AM11" s="167">
        <f>'(Bloom Raw Data)'!AX11</f>
        <v>10128</v>
      </c>
      <c r="AO11" s="168" t="str">
        <f>'(Bloom Raw Data)'!BC11</f>
        <v>#N/A N/A</v>
      </c>
      <c r="AP11" s="168" t="str">
        <f>'(Bloom Raw Data)'!BD11</f>
        <v>#N/A N/A</v>
      </c>
      <c r="AQ11" s="168">
        <f>'(Bloom Raw Data)'!BE11</f>
        <v>5.0190999999999999</v>
      </c>
      <c r="AR11" s="168" t="str">
        <f>'(Bloom Raw Data)'!BF11</f>
        <v>#N/A N/A</v>
      </c>
      <c r="AS11" s="168" t="str">
        <f>'(Bloom Raw Data)'!BG11</f>
        <v>#N/A N/A</v>
      </c>
      <c r="AT11" s="168" t="str">
        <f>'(Bloom Raw Data)'!BH11</f>
        <v>#N/A N/A</v>
      </c>
      <c r="AU11" s="168" t="str">
        <f>'(Bloom Raw Data)'!BI11</f>
        <v>#N/A N/A</v>
      </c>
      <c r="AV11" s="168" t="str">
        <f>'(Bloom Raw Data)'!BJ11</f>
        <v>#N/A N/A</v>
      </c>
      <c r="AW11" s="168" t="str">
        <f>'(Bloom Raw Data)'!BK11</f>
        <v>#N/A N/A</v>
      </c>
      <c r="AX11" s="168" t="str">
        <f>'(Bloom Raw Data)'!BL11</f>
        <v>#N/A N/A</v>
      </c>
      <c r="AY11" s="168" t="str">
        <f>'(Bloom Raw Data)'!BM11</f>
        <v>#N/A N/A</v>
      </c>
      <c r="AZ11" s="168" t="str">
        <f>'(Bloom Raw Data)'!BN11</f>
        <v>#N/A N/A</v>
      </c>
      <c r="BA11" s="168" t="str">
        <f>'(Bloom Raw Data)'!BO11</f>
        <v>#N/A N/A</v>
      </c>
      <c r="BB11" s="168" t="str">
        <f>'(Bloom Raw Data)'!BP11</f>
        <v>#N/A N/A</v>
      </c>
      <c r="BC11" s="168" t="str">
        <f>'(Bloom Raw Data)'!BQ11</f>
        <v>#N/A N/A</v>
      </c>
      <c r="BE11" s="168">
        <f>'(Bloom Raw Data)'!BT11</f>
        <v>2.0251000000000001</v>
      </c>
      <c r="BF11" s="168">
        <f>'(Bloom Raw Data)'!BU11</f>
        <v>2.1671999999999998</v>
      </c>
      <c r="BG11" s="168">
        <f>'(Bloom Raw Data)'!BV11</f>
        <v>2.3589000000000002</v>
      </c>
      <c r="BH11" s="168">
        <f>'(Bloom Raw Data)'!BW11</f>
        <v>2.4390000000000001</v>
      </c>
      <c r="BI11" s="168">
        <f>'(Bloom Raw Data)'!BX11</f>
        <v>2.1456</v>
      </c>
      <c r="BJ11" s="168">
        <f>'(Bloom Raw Data)'!BY11</f>
        <v>2.0360999999999998</v>
      </c>
      <c r="BK11" s="168">
        <f>'(Bloom Raw Data)'!BZ11</f>
        <v>2.0962999999999998</v>
      </c>
      <c r="BL11" s="168">
        <f>'(Bloom Raw Data)'!CA11</f>
        <v>2.379</v>
      </c>
      <c r="BM11" s="168">
        <f>'(Bloom Raw Data)'!CB11</f>
        <v>3.0708000000000002</v>
      </c>
      <c r="BN11" s="168">
        <f>'(Bloom Raw Data)'!CC11</f>
        <v>3.1507000000000001</v>
      </c>
      <c r="BO11" s="168">
        <f>'(Bloom Raw Data)'!CD11</f>
        <v>3.3624999999999998</v>
      </c>
      <c r="BP11" s="168">
        <f>'(Bloom Raw Data)'!CE11</f>
        <v>2.8433999999999999</v>
      </c>
      <c r="BQ11" s="168">
        <f>'(Bloom Raw Data)'!CF11</f>
        <v>2.5998000000000001</v>
      </c>
      <c r="BR11" s="168">
        <f>'(Bloom Raw Data)'!CG11</f>
        <v>2.6635999999999997</v>
      </c>
      <c r="BS11" s="168">
        <f>'(Bloom Raw Data)'!CH11</f>
        <v>2.6076000000000001</v>
      </c>
      <c r="BU11" s="167">
        <f>'(Bloom Raw Data)'!CK11</f>
        <v>137277.65900000001</v>
      </c>
      <c r="BV11" s="167">
        <f>'(Bloom Raw Data)'!CL11</f>
        <v>131144.48980000001</v>
      </c>
      <c r="BW11" s="167">
        <f>'(Bloom Raw Data)'!CM11</f>
        <v>125135.6675</v>
      </c>
      <c r="BX11" s="167">
        <f>'(Bloom Raw Data)'!CN11</f>
        <v>146819.98730000001</v>
      </c>
      <c r="BY11" s="167">
        <f>'(Bloom Raw Data)'!CO11</f>
        <v>139029.64850000001</v>
      </c>
      <c r="BZ11" s="167">
        <f>'(Bloom Raw Data)'!CP11</f>
        <v>140089.98929999999</v>
      </c>
      <c r="CA11" s="167">
        <f>'(Bloom Raw Data)'!CQ11</f>
        <v>137325.4656</v>
      </c>
      <c r="CB11" s="167">
        <f>'(Bloom Raw Data)'!CR11</f>
        <v>126630.64230000001</v>
      </c>
      <c r="CC11" s="167">
        <f>'(Bloom Raw Data)'!CS11</f>
        <v>125259.9506</v>
      </c>
      <c r="CD11" s="167">
        <f>'(Bloom Raw Data)'!CT11</f>
        <v>120343.80499999999</v>
      </c>
      <c r="CE11" s="167">
        <f>'(Bloom Raw Data)'!CU11</f>
        <v>114297.88</v>
      </c>
      <c r="CF11" s="167">
        <f>'(Bloom Raw Data)'!CV11</f>
        <v>111955.625</v>
      </c>
      <c r="CG11" s="167">
        <f>'(Bloom Raw Data)'!CW11</f>
        <v>108221.3713</v>
      </c>
      <c r="CH11" s="167">
        <f>'(Bloom Raw Data)'!CX11</f>
        <v>110361.2479</v>
      </c>
      <c r="CI11" s="167">
        <f>'(Bloom Raw Data)'!CY11</f>
        <v>103853.485</v>
      </c>
      <c r="CK11" s="167">
        <f t="shared" si="2"/>
        <v>2540.0000000000146</v>
      </c>
      <c r="CL11" s="167">
        <f t="shared" si="3"/>
        <v>2681.0000000000146</v>
      </c>
      <c r="CM11" s="167">
        <f t="shared" si="4"/>
        <v>2615.0000999999902</v>
      </c>
      <c r="CN11" s="167">
        <f t="shared" si="5"/>
        <v>9413.0000000000146</v>
      </c>
      <c r="CO11" s="167">
        <f t="shared" si="6"/>
        <v>7232.0000000000146</v>
      </c>
      <c r="CP11" s="167">
        <f t="shared" si="7"/>
        <v>6281.9999999999854</v>
      </c>
      <c r="CQ11" s="167">
        <f t="shared" si="8"/>
        <v>5723.8380000000034</v>
      </c>
      <c r="CR11" s="167">
        <f t="shared" si="9"/>
        <v>5227</v>
      </c>
      <c r="CS11" s="167">
        <f t="shared" si="10"/>
        <v>5747</v>
      </c>
      <c r="CT11" s="167">
        <f t="shared" si="11"/>
        <v>5887.9999999999927</v>
      </c>
      <c r="CU11" s="167">
        <f t="shared" si="12"/>
        <v>5326</v>
      </c>
      <c r="CV11" s="167">
        <f t="shared" si="13"/>
        <v>5304</v>
      </c>
      <c r="CW11" s="167">
        <f t="shared" si="14"/>
        <v>7200</v>
      </c>
      <c r="CX11" s="167">
        <f t="shared" si="15"/>
        <v>7262</v>
      </c>
      <c r="CY11" s="167">
        <f t="shared" si="16"/>
        <v>6458</v>
      </c>
      <c r="DA11" s="168">
        <f>'(Bloom Raw Data)'!DB11</f>
        <v>6.0735000000000001</v>
      </c>
      <c r="DB11" s="168">
        <f>'(Bloom Raw Data)'!DC11</f>
        <v>5.8710000000000004</v>
      </c>
      <c r="DC11" s="168">
        <f>'(Bloom Raw Data)'!DD11</f>
        <v>5.5803000000000003</v>
      </c>
      <c r="DD11" s="168">
        <f>'(Bloom Raw Data)'!DE11</f>
        <v>6.5702999999999996</v>
      </c>
      <c r="DE11" s="168">
        <f>'(Bloom Raw Data)'!DF11</f>
        <v>5.3936000000000002</v>
      </c>
      <c r="DF11" s="168">
        <f>'(Bloom Raw Data)'!DG11</f>
        <v>5.3631000000000002</v>
      </c>
      <c r="DG11" s="168">
        <f>'(Bloom Raw Data)'!DH11</f>
        <v>5.2674000000000003</v>
      </c>
      <c r="DH11" s="168">
        <f>'(Bloom Raw Data)'!DI11</f>
        <v>5.4214000000000002</v>
      </c>
      <c r="DI11" s="168">
        <f>'(Bloom Raw Data)'!DJ11</f>
        <v>6.4592000000000001</v>
      </c>
      <c r="DJ11" s="168">
        <f>'(Bloom Raw Data)'!DK11</f>
        <v>6.3719000000000001</v>
      </c>
      <c r="DK11" s="168">
        <f>'(Bloom Raw Data)'!DL11</f>
        <v>6.1929999999999996</v>
      </c>
      <c r="DL11" s="168">
        <f>'(Bloom Raw Data)'!DM11</f>
        <v>5.3559999999999999</v>
      </c>
      <c r="DM11" s="168">
        <f>'(Bloom Raw Data)'!DN11</f>
        <v>5.1032000000000002</v>
      </c>
      <c r="DN11" s="168">
        <f>'(Bloom Raw Data)'!DO11</f>
        <v>5.31</v>
      </c>
      <c r="DO11" s="168">
        <f>'(Bloom Raw Data)'!DP11</f>
        <v>5.1130000000000004</v>
      </c>
      <c r="DR11" s="168">
        <f>'(Bloom Raw Data)'!DS11</f>
        <v>2.4198</v>
      </c>
      <c r="DS11" s="168">
        <f>'(Bloom Raw Data)'!DT11</f>
        <v>2.3024</v>
      </c>
      <c r="DT11" s="168">
        <f>'(Bloom Raw Data)'!DU11</f>
        <v>2.1501999999999999</v>
      </c>
      <c r="DU11" s="168">
        <f>'(Bloom Raw Data)'!DV11</f>
        <v>2.4763000000000002</v>
      </c>
      <c r="DV11" s="168">
        <f>'(Bloom Raw Data)'!DW11</f>
        <v>2.2890000000000001</v>
      </c>
      <c r="DW11" s="168">
        <f>'(Bloom Raw Data)'!DX11</f>
        <v>2.2507999999999999</v>
      </c>
      <c r="DX11" s="168">
        <f>'(Bloom Raw Data)'!DY11</f>
        <v>2.1947000000000001</v>
      </c>
      <c r="DY11" s="168">
        <f>'(Bloom Raw Data)'!DZ11</f>
        <v>2.0059</v>
      </c>
      <c r="DZ11" s="168">
        <f>'(Bloom Raw Data)'!EA11</f>
        <v>1.9933999999999998</v>
      </c>
      <c r="EA11" s="168">
        <f>'(Bloom Raw Data)'!EB11</f>
        <v>1.9129</v>
      </c>
      <c r="EB11" s="168">
        <f>'(Bloom Raw Data)'!EC11</f>
        <v>1.8162</v>
      </c>
      <c r="EC11" s="168">
        <f>'(Bloom Raw Data)'!ED11</f>
        <v>1.786</v>
      </c>
      <c r="ED11" s="168">
        <f>'(Bloom Raw Data)'!EE11</f>
        <v>1.7355</v>
      </c>
      <c r="EE11" s="168">
        <f>'(Bloom Raw Data)'!EF11</f>
        <v>1.8096000000000001</v>
      </c>
      <c r="EF11" s="168">
        <f>'(Bloom Raw Data)'!EG11</f>
        <v>1.7326999999999999</v>
      </c>
      <c r="EH11" s="167" t="str">
        <f>'(Bloom Raw Data)'!EJ11</f>
        <v>#N/A N/A</v>
      </c>
      <c r="EI11" s="167">
        <f>'(Bloom Raw Data)'!EK11</f>
        <v>10.051</v>
      </c>
      <c r="EJ11" s="167">
        <f>'(Bloom Raw Data)'!EL11</f>
        <v>8.5030999999999999</v>
      </c>
      <c r="EK11" s="167">
        <f>'(Bloom Raw Data)'!EM11</f>
        <v>7.2839</v>
      </c>
      <c r="EL11" s="167" t="str">
        <f>'(Bloom Raw Data)'!EN11</f>
        <v>#N/A N/A</v>
      </c>
      <c r="EM11" s="167">
        <f>'(Bloom Raw Data)'!EO11</f>
        <v>7.6563999999999997</v>
      </c>
      <c r="EN11" s="167">
        <f>'(Bloom Raw Data)'!EP11</f>
        <v>7.7541000000000002</v>
      </c>
      <c r="EO11" s="167">
        <f>'(Bloom Raw Data)'!EQ11</f>
        <v>15.699199999999999</v>
      </c>
      <c r="EP11" s="167" t="str">
        <f>'(Bloom Raw Data)'!ER11</f>
        <v>#N/A N/A</v>
      </c>
      <c r="EQ11" s="167" t="str">
        <f>'(Bloom Raw Data)'!ES11</f>
        <v>#N/A N/A</v>
      </c>
      <c r="ER11" s="167" t="str">
        <f>'(Bloom Raw Data)'!ET11</f>
        <v>#N/A N/A</v>
      </c>
      <c r="ES11" s="167" t="str">
        <f>'(Bloom Raw Data)'!EU11</f>
        <v>#N/A N/A</v>
      </c>
      <c r="ET11" s="167">
        <f>'(Bloom Raw Data)'!EV11</f>
        <v>11.6455</v>
      </c>
      <c r="EU11" s="167" t="str">
        <f>'(Bloom Raw Data)'!EW11</f>
        <v>#N/A N/A</v>
      </c>
      <c r="EV11" s="167" t="str">
        <f>'(Bloom Raw Data)'!EX11</f>
        <v>#N/A N/A</v>
      </c>
      <c r="EY11" s="167">
        <f>'(Bloom Raw Data)'!FR11</f>
        <v>9113</v>
      </c>
      <c r="EZ11" s="167">
        <f>'(Bloom Raw Data)'!FS11</f>
        <v>7882</v>
      </c>
      <c r="FA11" s="167">
        <f>'(Bloom Raw Data)'!FT11</f>
        <v>6654</v>
      </c>
      <c r="FB11" s="167">
        <f>'(Bloom Raw Data)'!FU11</f>
        <v>4359</v>
      </c>
      <c r="FC11" s="167">
        <f>'(Bloom Raw Data)'!FV11</f>
        <v>4220</v>
      </c>
      <c r="FD11" s="167">
        <f>'(Bloom Raw Data)'!FW11</f>
        <v>5507</v>
      </c>
      <c r="FE11" s="167">
        <f>'(Bloom Raw Data)'!FX11</f>
        <v>3193.5169999999998</v>
      </c>
      <c r="FF11" s="167">
        <f>'(Bloom Raw Data)'!FY11</f>
        <v>3354</v>
      </c>
      <c r="FG11" s="167">
        <f>'(Bloom Raw Data)'!FZ11</f>
        <v>4135</v>
      </c>
      <c r="FH11" s="167">
        <f>'(Bloom Raw Data)'!GA11</f>
        <v>5729</v>
      </c>
      <c r="FI11" s="167">
        <f>'(Bloom Raw Data)'!GB11</f>
        <v>4003</v>
      </c>
      <c r="FJ11" s="167">
        <f>'(Bloom Raw Data)'!GC11</f>
        <v>7123</v>
      </c>
      <c r="FK11" s="167">
        <f>'(Bloom Raw Data)'!GD11</f>
        <v>9847</v>
      </c>
      <c r="FL11" s="167">
        <f>'(Bloom Raw Data)'!GE11</f>
        <v>6167</v>
      </c>
      <c r="FM11" s="167">
        <f>'(Bloom Raw Data)'!GF11</f>
        <v>7740</v>
      </c>
      <c r="FO11" s="168" t="str">
        <f>'(Bloom Raw Data)'!FA11</f>
        <v>#N/A N/A</v>
      </c>
      <c r="FP11" s="168">
        <f>'(Bloom Raw Data)'!FB11</f>
        <v>3.6615000000000002</v>
      </c>
      <c r="FQ11" s="168">
        <f>'(Bloom Raw Data)'!FC11</f>
        <v>3.4919000000000002</v>
      </c>
      <c r="FR11" s="168">
        <f>'(Bloom Raw Data)'!FD11</f>
        <v>3.6089000000000002</v>
      </c>
      <c r="FS11" s="168" t="str">
        <f>'(Bloom Raw Data)'!FE11</f>
        <v>#N/A N/A</v>
      </c>
      <c r="FT11" s="168">
        <f>'(Bloom Raw Data)'!FF11</f>
        <v>3.1139000000000001</v>
      </c>
      <c r="FU11" s="168">
        <f>'(Bloom Raw Data)'!FG11</f>
        <v>3.6791</v>
      </c>
      <c r="FV11" s="168">
        <f>'(Bloom Raw Data)'!FH11</f>
        <v>3.5662000000000003</v>
      </c>
      <c r="FW11" s="168" t="str">
        <f>'(Bloom Raw Data)'!FI11</f>
        <v>#N/A N/A</v>
      </c>
      <c r="FX11" s="168" t="str">
        <f>'(Bloom Raw Data)'!FJ11</f>
        <v>#N/A N/A</v>
      </c>
      <c r="FY11" s="168" t="str">
        <f>'(Bloom Raw Data)'!FK11</f>
        <v>#N/A N/A</v>
      </c>
      <c r="FZ11" s="168" t="str">
        <f>'(Bloom Raw Data)'!FL11</f>
        <v>#N/A N/A</v>
      </c>
      <c r="GA11" s="168">
        <f>'(Bloom Raw Data)'!FM11</f>
        <v>2.2427000000000001</v>
      </c>
      <c r="GB11" s="168" t="str">
        <f>'(Bloom Raw Data)'!FN11</f>
        <v>#N/A N/A</v>
      </c>
      <c r="GC11" s="168" t="str">
        <f>'(Bloom Raw Data)'!FO11</f>
        <v>#N/A N/A</v>
      </c>
      <c r="GD11" s="176"/>
      <c r="GE11" s="176"/>
      <c r="GF11" s="167">
        <f>'(Bloom Raw Data)'!GI11</f>
        <v>24274</v>
      </c>
      <c r="GG11" s="167">
        <f>'(Bloom Raw Data)'!GJ11</f>
        <v>23926</v>
      </c>
      <c r="GH11" s="167">
        <f>'(Bloom Raw Data)'!GK11</f>
        <v>21990</v>
      </c>
      <c r="GI11" s="167">
        <f>'(Bloom Raw Data)'!GL11</f>
        <v>31736</v>
      </c>
      <c r="GJ11" s="167">
        <f>'(Bloom Raw Data)'!GM11</f>
        <v>31684</v>
      </c>
      <c r="GK11" s="167">
        <f>'(Bloom Raw Data)'!GN11</f>
        <v>31441</v>
      </c>
      <c r="GL11" s="167">
        <f>'(Bloom Raw Data)'!GO11</f>
        <v>26047.917000000001</v>
      </c>
      <c r="GM11" s="167">
        <f>'(Bloom Raw Data)'!GP11</f>
        <v>23166</v>
      </c>
      <c r="GN11" s="167">
        <f>'(Bloom Raw Data)'!GQ11</f>
        <v>27383</v>
      </c>
      <c r="GO11" s="167">
        <f>'(Bloom Raw Data)'!GR11</f>
        <v>27551</v>
      </c>
      <c r="GP11" s="167">
        <f>'(Bloom Raw Data)'!GS11</f>
        <v>26026</v>
      </c>
      <c r="GQ11" s="167">
        <f>'(Bloom Raw Data)'!GT11</f>
        <v>26194</v>
      </c>
      <c r="GR11" s="167">
        <f>'(Bloom Raw Data)'!GU11</f>
        <v>27661</v>
      </c>
      <c r="GS11" s="167">
        <f>'(Bloom Raw Data)'!GV11</f>
        <v>28667</v>
      </c>
      <c r="GT11" s="167">
        <f>'(Bloom Raw Data)'!GW11</f>
        <v>25079</v>
      </c>
      <c r="GV11" s="167">
        <f t="shared" si="1"/>
        <v>22602.72643451058</v>
      </c>
      <c r="GW11" s="167">
        <f t="shared" si="1"/>
        <v>22337.674978708907</v>
      </c>
      <c r="GX11" s="167">
        <f t="shared" si="1"/>
        <v>22424.54124330233</v>
      </c>
      <c r="GY11" s="167">
        <f t="shared" si="1"/>
        <v>22346.009664703288</v>
      </c>
      <c r="GZ11" s="167">
        <f t="shared" si="1"/>
        <v>25776.781463215662</v>
      </c>
      <c r="HA11" s="167">
        <f t="shared" si="1"/>
        <v>26121.084689824911</v>
      </c>
      <c r="HB11" s="167">
        <f t="shared" si="1"/>
        <v>26070.825378744728</v>
      </c>
      <c r="HC11" s="167">
        <f t="shared" si="1"/>
        <v>23357.553823735569</v>
      </c>
      <c r="HD11" s="167">
        <f t="shared" si="1"/>
        <v>19392.486778548428</v>
      </c>
      <c r="HE11" s="167">
        <f t="shared" si="1"/>
        <v>18886.643701250803</v>
      </c>
      <c r="HF11" s="167">
        <f t="shared" si="1"/>
        <v>18455.979331503313</v>
      </c>
      <c r="HG11" s="167">
        <f t="shared" si="1"/>
        <v>20902.842606422702</v>
      </c>
      <c r="HH11" s="167">
        <f t="shared" si="1"/>
        <v>21206.570641950148</v>
      </c>
      <c r="HI11" s="167">
        <f t="shared" si="1"/>
        <v>20783.6625047081</v>
      </c>
      <c r="HJ11" s="167">
        <f t="shared" si="1"/>
        <v>20311.65362800704</v>
      </c>
      <c r="HL11" s="168">
        <f>'(Bloom Raw Data)'!HQ11</f>
        <v>6.9020000000000001</v>
      </c>
      <c r="HM11" s="168">
        <f>'(Bloom Raw Data)'!HR11</f>
        <v>6.9068000000000005</v>
      </c>
      <c r="HN11" s="168">
        <f>'(Bloom Raw Data)'!HS11</f>
        <v>7.7519</v>
      </c>
      <c r="HO11" s="168">
        <f>'(Bloom Raw Data)'!HT11</f>
        <v>7.3968999999999996</v>
      </c>
      <c r="HP11" s="168">
        <f>'(Bloom Raw Data)'!HU11</f>
        <v>7.2126999999999999</v>
      </c>
      <c r="HQ11" s="168">
        <f>'(Bloom Raw Data)'!HV11</f>
        <v>7.7008000000000001</v>
      </c>
      <c r="HR11" s="168">
        <f>'(Bloom Raw Data)'!HW11</f>
        <v>7.7841000000000005</v>
      </c>
      <c r="HS11" s="168">
        <f>'(Bloom Raw Data)'!HX11</f>
        <v>7.9416000000000002</v>
      </c>
      <c r="HT11" s="168">
        <f>'(Bloom Raw Data)'!HY11</f>
        <v>7.7706999999999997</v>
      </c>
      <c r="HU11" s="168">
        <f>'(Bloom Raw Data)'!HZ11</f>
        <v>7.2561</v>
      </c>
      <c r="HV11" s="168">
        <f>'(Bloom Raw Data)'!IA11</f>
        <v>7.1321000000000003</v>
      </c>
      <c r="HW11" s="168">
        <f>'(Bloom Raw Data)'!IB11</f>
        <v>6.9469000000000003</v>
      </c>
      <c r="HX11" s="168">
        <f>'(Bloom Raw Data)'!IC11</f>
        <v>6.4795999999999996</v>
      </c>
      <c r="HY11" s="168">
        <f>'(Bloom Raw Data)'!ID11</f>
        <v>8.1409000000000002</v>
      </c>
      <c r="HZ11" s="168">
        <f>'(Bloom Raw Data)'!IE11</f>
        <v>7.5750999999999999</v>
      </c>
    </row>
    <row r="12" spans="1:236">
      <c r="A12" s="11" t="s">
        <v>73</v>
      </c>
      <c r="B12" s="11" t="s">
        <v>84</v>
      </c>
      <c r="D12" s="167">
        <f>'(Bloom Raw Data)'!D12</f>
        <v>2483.6786000000002</v>
      </c>
      <c r="E12" s="167">
        <f>'(Bloom Raw Data)'!E12</f>
        <v>2378.6932999999999</v>
      </c>
      <c r="F12" s="167">
        <f>'(Bloom Raw Data)'!F12</f>
        <v>2215.0933</v>
      </c>
      <c r="G12" s="167">
        <f>'(Bloom Raw Data)'!G12</f>
        <v>2624.7764000000002</v>
      </c>
      <c r="H12" s="167">
        <f>'(Bloom Raw Data)'!H12</f>
        <v>2705.8244</v>
      </c>
      <c r="I12" s="167">
        <f>'(Bloom Raw Data)'!I12</f>
        <v>2420.9623999999999</v>
      </c>
      <c r="J12" s="167">
        <f>'(Bloom Raw Data)'!J12</f>
        <v>2313.2302</v>
      </c>
      <c r="K12" s="167">
        <f>'(Bloom Raw Data)'!K12</f>
        <v>2556.6212</v>
      </c>
      <c r="L12" s="167">
        <f>'(Bloom Raw Data)'!L12</f>
        <v>2519.9494</v>
      </c>
      <c r="M12" s="167">
        <f>'(Bloom Raw Data)'!M12</f>
        <v>2810.1484</v>
      </c>
      <c r="N12" s="167">
        <f>'(Bloom Raw Data)'!N12</f>
        <v>2487.5765000000001</v>
      </c>
      <c r="O12" s="167">
        <f>'(Bloom Raw Data)'!O12</f>
        <v>2755.4386</v>
      </c>
      <c r="P12" s="167">
        <f>'(Bloom Raw Data)'!P12</f>
        <v>2624.5967999999998</v>
      </c>
      <c r="Q12" s="167">
        <f>'(Bloom Raw Data)'!Q12</f>
        <v>2273.2725999999998</v>
      </c>
      <c r="R12" s="167">
        <f>'(Bloom Raw Data)'!R12</f>
        <v>2364.3629999999998</v>
      </c>
      <c r="T12" s="167">
        <f>'(Bloom Raw Data)'!U12</f>
        <v>718.5</v>
      </c>
      <c r="U12" s="167">
        <f>'(Bloom Raw Data)'!V12</f>
        <v>817.3</v>
      </c>
      <c r="V12" s="167">
        <f>'(Bloom Raw Data)'!W12</f>
        <v>752.5</v>
      </c>
      <c r="W12" s="167">
        <f>'(Bloom Raw Data)'!X12</f>
        <v>724.8</v>
      </c>
      <c r="X12" s="167">
        <f>'(Bloom Raw Data)'!Y12</f>
        <v>776.3</v>
      </c>
      <c r="Y12" s="167">
        <f>'(Bloom Raw Data)'!Z12</f>
        <v>751.6</v>
      </c>
      <c r="Z12" s="167">
        <f>'(Bloom Raw Data)'!AA12</f>
        <v>845.4</v>
      </c>
      <c r="AA12" s="167">
        <f>'(Bloom Raw Data)'!AB12</f>
        <v>556.70000000000005</v>
      </c>
      <c r="AB12" s="167">
        <f>'(Bloom Raw Data)'!AC12</f>
        <v>788.1</v>
      </c>
      <c r="AC12" s="167">
        <f>'(Bloom Raw Data)'!AD12</f>
        <v>753.8</v>
      </c>
      <c r="AD12" s="167">
        <f>'(Bloom Raw Data)'!AE12</f>
        <v>909.1</v>
      </c>
      <c r="AE12" s="167">
        <f>'(Bloom Raw Data)'!AF12</f>
        <v>874.2</v>
      </c>
      <c r="AF12" s="167">
        <f>'(Bloom Raw Data)'!AG12</f>
        <v>838.6</v>
      </c>
      <c r="AG12" s="167">
        <f>'(Bloom Raw Data)'!AH12</f>
        <v>807.4</v>
      </c>
      <c r="AH12" s="167">
        <f>'(Bloom Raw Data)'!AI12</f>
        <v>1042.4000000000001</v>
      </c>
      <c r="AJ12" s="167">
        <f>'(Bloom Raw Data)'!AL12</f>
        <v>67.5</v>
      </c>
      <c r="AK12" s="167">
        <f>'(Bloom Raw Data)'!AP12</f>
        <v>61.7</v>
      </c>
      <c r="AL12" s="167">
        <f>'(Bloom Raw Data)'!AT12</f>
        <v>182.6</v>
      </c>
      <c r="AM12" s="167">
        <f>'(Bloom Raw Data)'!AX12</f>
        <v>90.5</v>
      </c>
      <c r="AO12" s="168" t="str">
        <f>'(Bloom Raw Data)'!BC12</f>
        <v>#N/A N/A</v>
      </c>
      <c r="AP12" s="168" t="str">
        <f>'(Bloom Raw Data)'!BD12</f>
        <v>#N/A N/A</v>
      </c>
      <c r="AQ12" s="168" t="str">
        <f>'(Bloom Raw Data)'!BE12</f>
        <v>#N/A N/A</v>
      </c>
      <c r="AR12" s="168" t="str">
        <f>'(Bloom Raw Data)'!BF12</f>
        <v>#N/A N/A</v>
      </c>
      <c r="AS12" s="168" t="str">
        <f>'(Bloom Raw Data)'!BG12</f>
        <v>#N/A N/A</v>
      </c>
      <c r="AT12" s="168" t="str">
        <f>'(Bloom Raw Data)'!BH12</f>
        <v>#N/A N/A</v>
      </c>
      <c r="AU12" s="168" t="str">
        <f>'(Bloom Raw Data)'!BI12</f>
        <v>#N/A N/A</v>
      </c>
      <c r="AV12" s="168" t="str">
        <f>'(Bloom Raw Data)'!BJ12</f>
        <v>#N/A N/A</v>
      </c>
      <c r="AW12" s="168" t="str">
        <f>'(Bloom Raw Data)'!BK12</f>
        <v>#N/A N/A</v>
      </c>
      <c r="AX12" s="168" t="str">
        <f>'(Bloom Raw Data)'!BL12</f>
        <v>#N/A N/A</v>
      </c>
      <c r="AY12" s="168" t="str">
        <f>'(Bloom Raw Data)'!BM12</f>
        <v>#N/A N/A</v>
      </c>
      <c r="AZ12" s="168" t="str">
        <f>'(Bloom Raw Data)'!BN12</f>
        <v>#N/A N/A</v>
      </c>
      <c r="BA12" s="168" t="str">
        <f>'(Bloom Raw Data)'!BO12</f>
        <v>#N/A N/A</v>
      </c>
      <c r="BB12" s="168" t="str">
        <f>'(Bloom Raw Data)'!BP12</f>
        <v>#N/A N/A</v>
      </c>
      <c r="BC12" s="168" t="str">
        <f>'(Bloom Raw Data)'!BQ12</f>
        <v>#N/A N/A</v>
      </c>
      <c r="BE12" s="168">
        <f>'(Bloom Raw Data)'!BT12</f>
        <v>1.4876</v>
      </c>
      <c r="BF12" s="168">
        <f>'(Bloom Raw Data)'!BU12</f>
        <v>1.6893</v>
      </c>
      <c r="BG12" s="168">
        <f>'(Bloom Raw Data)'!BV12</f>
        <v>1.5487</v>
      </c>
      <c r="BH12" s="168">
        <f>'(Bloom Raw Data)'!BW12</f>
        <v>1.504</v>
      </c>
      <c r="BI12" s="168">
        <f>'(Bloom Raw Data)'!BX12</f>
        <v>1.6015999999999999</v>
      </c>
      <c r="BJ12" s="168">
        <f>'(Bloom Raw Data)'!BY12</f>
        <v>1.5446</v>
      </c>
      <c r="BK12" s="168">
        <f>'(Bloom Raw Data)'!BZ12</f>
        <v>1.7278</v>
      </c>
      <c r="BL12" s="168">
        <f>'(Bloom Raw Data)'!CA12</f>
        <v>1.1203000000000001</v>
      </c>
      <c r="BM12" s="168">
        <f>'(Bloom Raw Data)'!CB12</f>
        <v>1.5655999999999999</v>
      </c>
      <c r="BN12" s="168">
        <f>'(Bloom Raw Data)'!CC12</f>
        <v>1.4870999999999999</v>
      </c>
      <c r="BO12" s="168">
        <f>'(Bloom Raw Data)'!CD12</f>
        <v>1.7909999999999999</v>
      </c>
      <c r="BP12" s="168">
        <f>'(Bloom Raw Data)'!CE12</f>
        <v>1.7246000000000001</v>
      </c>
      <c r="BQ12" s="168">
        <f>'(Bloom Raw Data)'!CF12</f>
        <v>1.6739000000000002</v>
      </c>
      <c r="BR12" s="168">
        <f>'(Bloom Raw Data)'!CG12</f>
        <v>1.6518000000000002</v>
      </c>
      <c r="BS12" s="168">
        <f>'(Bloom Raw Data)'!CH12</f>
        <v>2.1326000000000001</v>
      </c>
      <c r="BU12" s="167">
        <f>'(Bloom Raw Data)'!CK12</f>
        <v>3202.9785999999999</v>
      </c>
      <c r="BV12" s="167">
        <f>'(Bloom Raw Data)'!CL12</f>
        <v>3196.9933000000001</v>
      </c>
      <c r="BW12" s="167">
        <f>'(Bloom Raw Data)'!CM12</f>
        <v>2970.8933000000002</v>
      </c>
      <c r="BX12" s="167">
        <f>'(Bloom Raw Data)'!CN12</f>
        <v>3352.2764000000002</v>
      </c>
      <c r="BY12" s="167">
        <f>'(Bloom Raw Data)'!CO12</f>
        <v>3485.2244000000001</v>
      </c>
      <c r="BZ12" s="167">
        <f>'(Bloom Raw Data)'!CP12</f>
        <v>3175.6624000000002</v>
      </c>
      <c r="CA12" s="167">
        <f>'(Bloom Raw Data)'!CQ12</f>
        <v>3162.5302000000001</v>
      </c>
      <c r="CB12" s="167">
        <f>'(Bloom Raw Data)'!CR12</f>
        <v>3116.7212</v>
      </c>
      <c r="CC12" s="167">
        <f>'(Bloom Raw Data)'!CS12</f>
        <v>3311.5493999999999</v>
      </c>
      <c r="CD12" s="167">
        <f>'(Bloom Raw Data)'!CT12</f>
        <v>3567.2483999999999</v>
      </c>
      <c r="CE12" s="167">
        <f>'(Bloom Raw Data)'!CU12</f>
        <v>3399.2764999999999</v>
      </c>
      <c r="CF12" s="167">
        <f>'(Bloom Raw Data)'!CV12</f>
        <v>3632.1386000000002</v>
      </c>
      <c r="CG12" s="167">
        <f>'(Bloom Raw Data)'!CW12</f>
        <v>3465.9967999999999</v>
      </c>
      <c r="CH12" s="167">
        <f>'(Bloom Raw Data)'!CX12</f>
        <v>3083.4726000000001</v>
      </c>
      <c r="CI12" s="167">
        <f>'(Bloom Raw Data)'!CY12</f>
        <v>3433.7629999999999</v>
      </c>
      <c r="CK12" s="167">
        <f t="shared" si="2"/>
        <v>0.79999999999972715</v>
      </c>
      <c r="CL12" s="167">
        <f t="shared" si="3"/>
        <v>1.0000000000002274</v>
      </c>
      <c r="CM12" s="167">
        <f t="shared" si="4"/>
        <v>3.3000000000001819</v>
      </c>
      <c r="CN12" s="167">
        <f t="shared" si="5"/>
        <v>2.7000000000000455</v>
      </c>
      <c r="CO12" s="167">
        <f t="shared" si="6"/>
        <v>3.1000000000001364</v>
      </c>
      <c r="CP12" s="167">
        <f t="shared" si="7"/>
        <v>3.1000000000002501</v>
      </c>
      <c r="CQ12" s="167">
        <f t="shared" si="8"/>
        <v>3.9000000000002046</v>
      </c>
      <c r="CR12" s="167">
        <f t="shared" si="9"/>
        <v>3.3999999999998636</v>
      </c>
      <c r="CS12" s="167">
        <f t="shared" si="10"/>
        <v>3.4999999999998863</v>
      </c>
      <c r="CT12" s="167">
        <f t="shared" si="11"/>
        <v>3.2999999999999545</v>
      </c>
      <c r="CU12" s="167">
        <f t="shared" si="12"/>
        <v>2.5999999999997954</v>
      </c>
      <c r="CV12" s="167">
        <f t="shared" si="13"/>
        <v>2.5000000000002274</v>
      </c>
      <c r="CW12" s="167">
        <f t="shared" si="14"/>
        <v>2.8000000000000682</v>
      </c>
      <c r="CX12" s="167">
        <f t="shared" si="15"/>
        <v>2.8000000000002956</v>
      </c>
      <c r="CY12" s="167">
        <f t="shared" si="16"/>
        <v>27</v>
      </c>
      <c r="DA12" s="168">
        <f>'(Bloom Raw Data)'!DB12</f>
        <v>6.6314000000000002</v>
      </c>
      <c r="DB12" s="168">
        <f>'(Bloom Raw Data)'!DC12</f>
        <v>6.6081000000000003</v>
      </c>
      <c r="DC12" s="168">
        <f>'(Bloom Raw Data)'!DD12</f>
        <v>6.1142000000000003</v>
      </c>
      <c r="DD12" s="168">
        <f>'(Bloom Raw Data)'!DE12</f>
        <v>6.9564000000000004</v>
      </c>
      <c r="DE12" s="168">
        <f>'(Bloom Raw Data)'!DF12</f>
        <v>7.1905000000000001</v>
      </c>
      <c r="DF12" s="168">
        <f>'(Bloom Raw Data)'!DG12</f>
        <v>6.5262000000000002</v>
      </c>
      <c r="DG12" s="168">
        <f>'(Bloom Raw Data)'!DH12</f>
        <v>6.4634</v>
      </c>
      <c r="DH12" s="168">
        <f>'(Bloom Raw Data)'!DI12</f>
        <v>6.2722999999999995</v>
      </c>
      <c r="DI12" s="168">
        <f>'(Bloom Raw Data)'!DJ12</f>
        <v>6.5784000000000002</v>
      </c>
      <c r="DJ12" s="168">
        <f>'(Bloom Raw Data)'!DK12</f>
        <v>7.0373999999999999</v>
      </c>
      <c r="DK12" s="168">
        <f>'(Bloom Raw Data)'!DL12</f>
        <v>6.6967999999999996</v>
      </c>
      <c r="DL12" s="168">
        <f>'(Bloom Raw Data)'!DM12</f>
        <v>7.1654</v>
      </c>
      <c r="DM12" s="168">
        <f>'(Bloom Raw Data)'!DN12</f>
        <v>6.9181999999999997</v>
      </c>
      <c r="DN12" s="168">
        <f>'(Bloom Raw Data)'!DO12</f>
        <v>6.3083</v>
      </c>
      <c r="DO12" s="168">
        <f>'(Bloom Raw Data)'!DP12</f>
        <v>7.0248999999999997</v>
      </c>
      <c r="DR12" s="168">
        <f>'(Bloom Raw Data)'!DS12</f>
        <v>2.2391999999999999</v>
      </c>
      <c r="DS12" s="168">
        <f>'(Bloom Raw Data)'!DT12</f>
        <v>2.2319</v>
      </c>
      <c r="DT12" s="168">
        <f>'(Bloom Raw Data)'!DU12</f>
        <v>2.0605000000000002</v>
      </c>
      <c r="DU12" s="168">
        <f>'(Bloom Raw Data)'!DV12</f>
        <v>2.3191000000000002</v>
      </c>
      <c r="DV12" s="168">
        <f>'(Bloom Raw Data)'!DW12</f>
        <v>2.3818999999999999</v>
      </c>
      <c r="DW12" s="168">
        <f>'(Bloom Raw Data)'!DX12</f>
        <v>2.1398999999999999</v>
      </c>
      <c r="DX12" s="168">
        <f>'(Bloom Raw Data)'!DY12</f>
        <v>2.1118999999999999</v>
      </c>
      <c r="DY12" s="168">
        <f>'(Bloom Raw Data)'!DZ12</f>
        <v>2.0615000000000001</v>
      </c>
      <c r="DZ12" s="168">
        <f>'(Bloom Raw Data)'!EA12</f>
        <v>2.1644000000000001</v>
      </c>
      <c r="EA12" s="168">
        <f>'(Bloom Raw Data)'!EB12</f>
        <v>2.3199000000000001</v>
      </c>
      <c r="EB12" s="168">
        <f>'(Bloom Raw Data)'!EC12</f>
        <v>2.1941000000000002</v>
      </c>
      <c r="EC12" s="168">
        <f>'(Bloom Raw Data)'!ED12</f>
        <v>2.3308</v>
      </c>
      <c r="ED12" s="168">
        <f>'(Bloom Raw Data)'!EE12</f>
        <v>2.2311999999999999</v>
      </c>
      <c r="EE12" s="168">
        <f>'(Bloom Raw Data)'!EF12</f>
        <v>2.0110999999999999</v>
      </c>
      <c r="EF12" s="168">
        <f>'(Bloom Raw Data)'!EG12</f>
        <v>2.2385999999999999</v>
      </c>
      <c r="EH12" s="167" t="str">
        <f>'(Bloom Raw Data)'!EJ12</f>
        <v>#N/A N/A</v>
      </c>
      <c r="EI12" s="167">
        <f>'(Bloom Raw Data)'!EK12</f>
        <v>15.650600000000001</v>
      </c>
      <c r="EJ12" s="167">
        <f>'(Bloom Raw Data)'!EL12</f>
        <v>14.8477</v>
      </c>
      <c r="EK12" s="167">
        <f>'(Bloom Raw Data)'!EM12</f>
        <v>17.815300000000001</v>
      </c>
      <c r="EL12" s="167" t="str">
        <f>'(Bloom Raw Data)'!EN12</f>
        <v>#N/A N/A</v>
      </c>
      <c r="EM12" s="167">
        <f>'(Bloom Raw Data)'!EO12</f>
        <v>12.794599999999999</v>
      </c>
      <c r="EN12" s="167">
        <f>'(Bloom Raw Data)'!EP12</f>
        <v>11.863</v>
      </c>
      <c r="EO12" s="167">
        <f>'(Bloom Raw Data)'!EQ12</f>
        <v>11.8933</v>
      </c>
      <c r="EP12" s="167" t="str">
        <f>'(Bloom Raw Data)'!ER12</f>
        <v>#N/A N/A</v>
      </c>
      <c r="EQ12" s="167" t="str">
        <f>'(Bloom Raw Data)'!ES12</f>
        <v>#N/A N/A</v>
      </c>
      <c r="ER12" s="167" t="str">
        <f>'(Bloom Raw Data)'!ET12</f>
        <v>#N/A N/A</v>
      </c>
      <c r="ES12" s="167" t="str">
        <f>'(Bloom Raw Data)'!EU12</f>
        <v>#N/A N/A</v>
      </c>
      <c r="ET12" s="167" t="str">
        <f>'(Bloom Raw Data)'!EV12</f>
        <v>#N/A N/A</v>
      </c>
      <c r="EU12" s="167" t="str">
        <f>'(Bloom Raw Data)'!EW12</f>
        <v>#N/A N/A</v>
      </c>
      <c r="EV12" s="167" t="str">
        <f>'(Bloom Raw Data)'!EX12</f>
        <v>#N/A N/A</v>
      </c>
      <c r="EY12" s="167">
        <f>'(Bloom Raw Data)'!FR12</f>
        <v>31</v>
      </c>
      <c r="EZ12" s="167">
        <f>'(Bloom Raw Data)'!FS12</f>
        <v>26.2</v>
      </c>
      <c r="FA12" s="167">
        <f>'(Bloom Raw Data)'!FT12</f>
        <v>31.6</v>
      </c>
      <c r="FB12" s="167">
        <f>'(Bloom Raw Data)'!FU12</f>
        <v>17.100000000000001</v>
      </c>
      <c r="FC12" s="167">
        <f>'(Bloom Raw Data)'!FV12</f>
        <v>31.8</v>
      </c>
      <c r="FD12" s="167">
        <f>'(Bloom Raw Data)'!FW12</f>
        <v>43.8</v>
      </c>
      <c r="FE12" s="167">
        <f>'(Bloom Raw Data)'!FX12</f>
        <v>41.5</v>
      </c>
      <c r="FF12" s="167">
        <f>'(Bloom Raw Data)'!FY12</f>
        <v>19.399999999999999</v>
      </c>
      <c r="FG12" s="167">
        <f>'(Bloom Raw Data)'!FZ12</f>
        <v>59</v>
      </c>
      <c r="FH12" s="167">
        <f>'(Bloom Raw Data)'!GA12</f>
        <v>64</v>
      </c>
      <c r="FI12" s="167">
        <f>'(Bloom Raw Data)'!GB12</f>
        <v>37.1</v>
      </c>
      <c r="FJ12" s="167">
        <f>'(Bloom Raw Data)'!GC12</f>
        <v>17.7</v>
      </c>
      <c r="FK12" s="167">
        <f>'(Bloom Raw Data)'!GD12</f>
        <v>39.799999999999997</v>
      </c>
      <c r="FL12" s="167">
        <f>'(Bloom Raw Data)'!GE12</f>
        <v>83.3</v>
      </c>
      <c r="FM12" s="167">
        <f>'(Bloom Raw Data)'!GF12</f>
        <v>48.1</v>
      </c>
      <c r="FO12" s="168" t="str">
        <f>'(Bloom Raw Data)'!FA12</f>
        <v>#N/A N/A</v>
      </c>
      <c r="FP12" s="168">
        <f>'(Bloom Raw Data)'!FB12</f>
        <v>2.9316</v>
      </c>
      <c r="FQ12" s="168">
        <f>'(Bloom Raw Data)'!FC12</f>
        <v>2.6013000000000002</v>
      </c>
      <c r="FR12" s="168">
        <f>'(Bloom Raw Data)'!FD12</f>
        <v>2.8885000000000001</v>
      </c>
      <c r="FS12" s="168" t="str">
        <f>'(Bloom Raw Data)'!FE12</f>
        <v>#N/A N/A</v>
      </c>
      <c r="FT12" s="168">
        <f>'(Bloom Raw Data)'!FF12</f>
        <v>3.2160000000000002</v>
      </c>
      <c r="FU12" s="168">
        <f>'(Bloom Raw Data)'!FG12</f>
        <v>2.8923000000000001</v>
      </c>
      <c r="FV12" s="168">
        <f>'(Bloom Raw Data)'!FH12</f>
        <v>2.9748000000000001</v>
      </c>
      <c r="FW12" s="168" t="str">
        <f>'(Bloom Raw Data)'!FI12</f>
        <v>#N/A N/A</v>
      </c>
      <c r="FX12" s="168" t="str">
        <f>'(Bloom Raw Data)'!FJ12</f>
        <v>#N/A N/A</v>
      </c>
      <c r="FY12" s="168" t="str">
        <f>'(Bloom Raw Data)'!FK12</f>
        <v>#N/A N/A</v>
      </c>
      <c r="FZ12" s="168" t="str">
        <f>'(Bloom Raw Data)'!FL12</f>
        <v>#N/A N/A</v>
      </c>
      <c r="GA12" s="168" t="str">
        <f>'(Bloom Raw Data)'!FM12</f>
        <v>#N/A N/A</v>
      </c>
      <c r="GB12" s="168" t="str">
        <f>'(Bloom Raw Data)'!FN12</f>
        <v>#N/A N/A</v>
      </c>
      <c r="GC12" s="168" t="str">
        <f>'(Bloom Raw Data)'!FO12</f>
        <v>#N/A N/A</v>
      </c>
      <c r="GD12" s="176"/>
      <c r="GE12" s="176"/>
      <c r="GF12" s="167">
        <f>'(Bloom Raw Data)'!GI12</f>
        <v>900</v>
      </c>
      <c r="GG12" s="167">
        <f>'(Bloom Raw Data)'!GJ12</f>
        <v>767.3</v>
      </c>
      <c r="GH12" s="167">
        <f>'(Bloom Raw Data)'!GK12</f>
        <v>807.5</v>
      </c>
      <c r="GI12" s="167">
        <f>'(Bloom Raw Data)'!GL12</f>
        <v>860.9</v>
      </c>
      <c r="GJ12" s="167">
        <f>'(Bloom Raw Data)'!GM12</f>
        <v>832.9</v>
      </c>
      <c r="GK12" s="167">
        <f>'(Bloom Raw Data)'!GN12</f>
        <v>736.5</v>
      </c>
      <c r="GL12" s="167">
        <f>'(Bloom Raw Data)'!GO12</f>
        <v>783.1</v>
      </c>
      <c r="GM12" s="167">
        <f>'(Bloom Raw Data)'!GP12</f>
        <v>840.7</v>
      </c>
      <c r="GN12" s="167">
        <f>'(Bloom Raw Data)'!GQ12</f>
        <v>840.3</v>
      </c>
      <c r="GO12" s="167">
        <f>'(Bloom Raw Data)'!GR12</f>
        <v>891.1</v>
      </c>
      <c r="GP12" s="167">
        <f>'(Bloom Raw Data)'!GS12</f>
        <v>737.4</v>
      </c>
      <c r="GQ12" s="167">
        <f>'(Bloom Raw Data)'!GT12</f>
        <v>798.2</v>
      </c>
      <c r="GR12" s="167">
        <f>'(Bloom Raw Data)'!GU12</f>
        <v>851.4</v>
      </c>
      <c r="GS12" s="167">
        <f>'(Bloom Raw Data)'!GV12</f>
        <v>681.9</v>
      </c>
      <c r="GT12" s="167">
        <f>'(Bloom Raw Data)'!GW12</f>
        <v>762.8</v>
      </c>
      <c r="GV12" s="167">
        <f t="shared" si="1"/>
        <v>483.00186989172721</v>
      </c>
      <c r="GW12" s="167">
        <f t="shared" si="1"/>
        <v>483.79917071472886</v>
      </c>
      <c r="GX12" s="167">
        <f t="shared" si="1"/>
        <v>485.9005757090053</v>
      </c>
      <c r="GY12" s="167">
        <f t="shared" si="1"/>
        <v>481.89816571790004</v>
      </c>
      <c r="GZ12" s="167">
        <f t="shared" si="1"/>
        <v>484.6984771573604</v>
      </c>
      <c r="HA12" s="167">
        <f t="shared" si="1"/>
        <v>486.60206552051733</v>
      </c>
      <c r="HB12" s="167">
        <f t="shared" si="1"/>
        <v>489.29823312807503</v>
      </c>
      <c r="HC12" s="167">
        <f t="shared" si="1"/>
        <v>496.90244407952429</v>
      </c>
      <c r="HD12" s="167">
        <f t="shared" si="1"/>
        <v>503.39739146296967</v>
      </c>
      <c r="HE12" s="167">
        <f t="shared" si="1"/>
        <v>506.89862733395859</v>
      </c>
      <c r="HF12" s="167">
        <f t="shared" si="1"/>
        <v>507.59713594552625</v>
      </c>
      <c r="HG12" s="167">
        <f t="shared" si="1"/>
        <v>506.89962877159689</v>
      </c>
      <c r="HH12" s="167">
        <f t="shared" si="1"/>
        <v>500.99690670983784</v>
      </c>
      <c r="HI12" s="167">
        <f t="shared" si="1"/>
        <v>488.79612573910561</v>
      </c>
      <c r="HJ12" s="167">
        <f t="shared" si="1"/>
        <v>488.79884411165995</v>
      </c>
      <c r="HL12" s="168">
        <f>'(Bloom Raw Data)'!HQ12</f>
        <v>8.0693000000000001</v>
      </c>
      <c r="HM12" s="168">
        <f>'(Bloom Raw Data)'!HR12</f>
        <v>6.9188000000000001</v>
      </c>
      <c r="HN12" s="168">
        <f>'(Bloom Raw Data)'!HS12</f>
        <v>8.6876999999999995</v>
      </c>
      <c r="HO12" s="168">
        <f>'(Bloom Raw Data)'!HT12</f>
        <v>8.0861999999999998</v>
      </c>
      <c r="HP12" s="168">
        <f>'(Bloom Raw Data)'!HU12</f>
        <v>8.1341999999999999</v>
      </c>
      <c r="HQ12" s="168">
        <f>'(Bloom Raw Data)'!HV12</f>
        <v>7.7977999999999996</v>
      </c>
      <c r="HR12" s="168">
        <f>'(Bloom Raw Data)'!HW12</f>
        <v>8.2479999999999993</v>
      </c>
      <c r="HS12" s="168">
        <f>'(Bloom Raw Data)'!HX12</f>
        <v>8.8902999999999999</v>
      </c>
      <c r="HT12" s="168">
        <f>'(Bloom Raw Data)'!HY12</f>
        <v>8.1969999999999992</v>
      </c>
      <c r="HU12" s="168">
        <f>'(Bloom Raw Data)'!HZ12</f>
        <v>7.0986000000000002</v>
      </c>
      <c r="HV12" s="168">
        <f>'(Bloom Raw Data)'!IA12</f>
        <v>6.5967000000000002</v>
      </c>
      <c r="HW12" s="168">
        <f>'(Bloom Raw Data)'!IB12</f>
        <v>6.2721999999999998</v>
      </c>
      <c r="HX12" s="168">
        <f>'(Bloom Raw Data)'!IC12</f>
        <v>7.3335999999999997</v>
      </c>
      <c r="HY12" s="168">
        <f>'(Bloom Raw Data)'!ID12</f>
        <v>6.2622999999999998</v>
      </c>
      <c r="HZ12" s="168">
        <f>'(Bloom Raw Data)'!IE12</f>
        <v>5.6490999999999998</v>
      </c>
    </row>
    <row r="13" spans="1:236" s="25" customFormat="1">
      <c r="A13" s="25" t="s">
        <v>19</v>
      </c>
      <c r="B13" s="25" t="s">
        <v>33</v>
      </c>
      <c r="D13" s="26">
        <f>'(Bloom Raw Data)'!D13</f>
        <v>4553.7582000000002</v>
      </c>
      <c r="E13" s="27">
        <f>AVERAGE(D13,F13)</f>
        <v>4019.1419500000002</v>
      </c>
      <c r="F13" s="26">
        <f>'(Bloom Raw Data)'!F13</f>
        <v>3484.5257000000001</v>
      </c>
      <c r="G13" s="27">
        <f>AVERAGE(F13,H13)</f>
        <v>3966.1084000000001</v>
      </c>
      <c r="H13" s="26">
        <f>'(Bloom Raw Data)'!H13</f>
        <v>4447.6911</v>
      </c>
      <c r="I13" s="27">
        <f>AVERAGE(H13,J13)</f>
        <v>4755.5126</v>
      </c>
      <c r="J13" s="26">
        <f>'(Bloom Raw Data)'!J13</f>
        <v>5063.3341</v>
      </c>
      <c r="K13" s="27">
        <f>AVERAGE(J13,L13)</f>
        <v>5250.0250500000002</v>
      </c>
      <c r="L13" s="26">
        <f>'(Bloom Raw Data)'!L13</f>
        <v>5436.7160000000003</v>
      </c>
      <c r="M13" s="27">
        <f>AVERAGE(L13,N13)</f>
        <v>5980.1954999999998</v>
      </c>
      <c r="N13" s="26">
        <f>'(Bloom Raw Data)'!N13</f>
        <v>6523.6750000000002</v>
      </c>
      <c r="O13" s="27">
        <f>AVERAGE(N13,P13)</f>
        <v>7007.7803999999996</v>
      </c>
      <c r="P13" s="26">
        <f>'(Bloom Raw Data)'!P13</f>
        <v>7491.8858</v>
      </c>
      <c r="Q13" s="27">
        <f>AVERAGE(P13,R13)</f>
        <v>8531.7053977700889</v>
      </c>
      <c r="R13" s="30">
        <f>P13*166.15/130.05</f>
        <v>9571.524995540176</v>
      </c>
      <c r="T13" s="26">
        <f>'(Bloom Raw Data)'!U13</f>
        <v>664.87699999999995</v>
      </c>
      <c r="U13" s="27">
        <f>AVERAGE(T13,V13)</f>
        <v>691.05199999999991</v>
      </c>
      <c r="V13" s="26">
        <f>'(Bloom Raw Data)'!W13</f>
        <v>717.22699999999998</v>
      </c>
      <c r="W13" s="27">
        <f>AVERAGE(V13,X13)</f>
        <v>704.26900000000001</v>
      </c>
      <c r="X13" s="26">
        <f>'(Bloom Raw Data)'!Y13</f>
        <v>691.31100000000004</v>
      </c>
      <c r="Y13" s="27">
        <f>AVERAGE(X13,Z13)</f>
        <v>687.36950000000002</v>
      </c>
      <c r="Z13" s="26">
        <f>'(Bloom Raw Data)'!AA13</f>
        <v>683.428</v>
      </c>
      <c r="AA13" s="27">
        <f>AVERAGE(Z13,AB13)</f>
        <v>826.42399999999998</v>
      </c>
      <c r="AB13" s="26">
        <f>'(Bloom Raw Data)'!AC13</f>
        <v>969.42</v>
      </c>
      <c r="AC13" s="27">
        <f>AVERAGE(AB13,AD13)</f>
        <v>1047.8895</v>
      </c>
      <c r="AD13" s="26">
        <f>'(Bloom Raw Data)'!AE13</f>
        <v>1126.3589999999999</v>
      </c>
      <c r="AE13" s="27">
        <f>AVERAGE(AD13,AF13)</f>
        <v>1095.3049999999998</v>
      </c>
      <c r="AF13" s="26">
        <f>'(Bloom Raw Data)'!AG13</f>
        <v>1064.251</v>
      </c>
      <c r="AG13" s="27">
        <f>AVERAGE(AF13,AH13)</f>
        <v>1051.5304999999998</v>
      </c>
      <c r="AH13" s="26">
        <v>1038.81</v>
      </c>
      <c r="AJ13" s="26">
        <f>'(Bloom Raw Data)'!AL13</f>
        <v>14.516999999999999</v>
      </c>
      <c r="AK13" s="26">
        <f>'(Bloom Raw Data)'!AP13</f>
        <v>0.311</v>
      </c>
      <c r="AL13" s="26">
        <f>'(Bloom Raw Data)'!AT13</f>
        <v>402</v>
      </c>
      <c r="AM13" s="26">
        <f>'(Bloom Raw Data)'!AX13</f>
        <v>448</v>
      </c>
      <c r="AO13" s="28">
        <f>'(Bloom Raw Data)'!BC13</f>
        <v>7.8322000000000003</v>
      </c>
      <c r="AP13" s="29">
        <f>AVERAGE(AO13,AQ13)</f>
        <v>9.6950500000000002</v>
      </c>
      <c r="AQ13" s="28">
        <f>'(Bloom Raw Data)'!BE13</f>
        <v>11.5579</v>
      </c>
      <c r="AR13" s="29">
        <f>AVERAGE(AQ13,AS13)</f>
        <v>10.90835</v>
      </c>
      <c r="AS13" s="28">
        <f>'(Bloom Raw Data)'!BG13</f>
        <v>10.258800000000001</v>
      </c>
      <c r="AT13" s="29">
        <f>AVERAGE(AS13,AU13)</f>
        <v>10.320250000000001</v>
      </c>
      <c r="AU13" s="28">
        <f>'(Bloom Raw Data)'!BI13</f>
        <v>10.3817</v>
      </c>
      <c r="AV13" s="29">
        <f>AVERAGE(AU13,AW13)</f>
        <v>9.4272999999999989</v>
      </c>
      <c r="AW13" s="28">
        <f>'(Bloom Raw Data)'!BK13</f>
        <v>8.4728999999999992</v>
      </c>
      <c r="AX13" s="29">
        <f>AVERAGE(AW13,AY13)</f>
        <v>7.3998999999999997</v>
      </c>
      <c r="AY13" s="28">
        <f>'(Bloom Raw Data)'!BM13</f>
        <v>6.3269000000000002</v>
      </c>
      <c r="AZ13" s="29">
        <f>AVERAGE(AY13,BA13)</f>
        <v>6.9750499999999995</v>
      </c>
      <c r="BA13" s="28">
        <f>'(Bloom Raw Data)'!BO13</f>
        <v>7.6231999999999998</v>
      </c>
      <c r="BB13" s="29">
        <f>AVERAGE(BA13,BC13)</f>
        <v>8.4421999999999997</v>
      </c>
      <c r="BC13" s="28">
        <f>'(Bloom Raw Data)'!BQ13</f>
        <v>9.2612000000000005</v>
      </c>
      <c r="BE13" s="28">
        <f>'(Bloom Raw Data)'!BT13</f>
        <v>1.0165</v>
      </c>
      <c r="BF13" s="29">
        <f>AVERAGE(BE13,BG13)</f>
        <v>0.95514999999999994</v>
      </c>
      <c r="BG13" s="28">
        <f>'(Bloom Raw Data)'!BV13</f>
        <v>0.89380000000000004</v>
      </c>
      <c r="BH13" s="29">
        <f>AVERAGE(BG13,BI13)</f>
        <v>0.88444999999999996</v>
      </c>
      <c r="BI13" s="28">
        <f>'(Bloom Raw Data)'!BX13</f>
        <v>0.87509999999999999</v>
      </c>
      <c r="BJ13" s="29">
        <f>AVERAGE(BI13,BK13)</f>
        <v>0.89165000000000005</v>
      </c>
      <c r="BK13" s="28">
        <f>'(Bloom Raw Data)'!BZ13</f>
        <v>0.90820000000000001</v>
      </c>
      <c r="BL13" s="29">
        <f>AVERAGE(BK13,BM13)</f>
        <v>1.0427999999999999</v>
      </c>
      <c r="BM13" s="28">
        <f>'(Bloom Raw Data)'!CB13</f>
        <v>1.1774</v>
      </c>
      <c r="BN13" s="29">
        <f>AVERAGE(BM13,BO13)</f>
        <v>1.2726999999999999</v>
      </c>
      <c r="BO13" s="28">
        <f>'(Bloom Raw Data)'!CD13</f>
        <v>1.3679999999999999</v>
      </c>
      <c r="BP13" s="29">
        <f>AVERAGE(BO13,BQ13)</f>
        <v>1.2681</v>
      </c>
      <c r="BQ13" s="28">
        <f>'(Bloom Raw Data)'!CF13</f>
        <v>1.1681999999999999</v>
      </c>
      <c r="BR13" s="29">
        <f>AVERAGE(BQ13,BS13)</f>
        <v>1.0645</v>
      </c>
      <c r="BS13" s="28">
        <f>'(Bloom Raw Data)'!CH13</f>
        <v>0.96079999999999999</v>
      </c>
      <c r="BU13" s="26">
        <f>'(Bloom Raw Data)'!CK13</f>
        <v>5219.1722</v>
      </c>
      <c r="BV13" s="27">
        <f>AVERAGE(BU13,BW13)</f>
        <v>4710.8074500000002</v>
      </c>
      <c r="BW13" s="26">
        <f>'(Bloom Raw Data)'!CM13</f>
        <v>4202.4426999999996</v>
      </c>
      <c r="BX13" s="27">
        <f>AVERAGE(BW13,BY13)</f>
        <v>4670.9583999999995</v>
      </c>
      <c r="BY13" s="26">
        <f>'(Bloom Raw Data)'!CO13</f>
        <v>5139.4741000000004</v>
      </c>
      <c r="BZ13" s="27">
        <f>AVERAGE(BY13,CA13)</f>
        <v>5443.2681000000002</v>
      </c>
      <c r="CA13" s="26">
        <f>'(Bloom Raw Data)'!CQ13</f>
        <v>5747.0621000000001</v>
      </c>
      <c r="CB13" s="27">
        <f>AVERAGE(CA13,CC13)</f>
        <v>6076.9990500000004</v>
      </c>
      <c r="CC13" s="26">
        <f>'(Bloom Raw Data)'!CS13</f>
        <v>6406.9359999999997</v>
      </c>
      <c r="CD13" s="27">
        <f>AVERAGE(CC13,CE13)</f>
        <v>7028.4849999999997</v>
      </c>
      <c r="CE13" s="26">
        <f>'(Bloom Raw Data)'!CU13</f>
        <v>7650.0339999999997</v>
      </c>
      <c r="CF13" s="27">
        <f>AVERAGE(CE13,CG13)</f>
        <v>8103.0853999999999</v>
      </c>
      <c r="CG13" s="26">
        <f>'(Bloom Raw Data)'!CW13</f>
        <v>8556.1368000000002</v>
      </c>
      <c r="CH13" s="27">
        <f>AVERAGE(CG13,CI13)</f>
        <v>9583.2358977700878</v>
      </c>
      <c r="CI13" s="128">
        <f>R13+AH13+(CG13-P13-AF13)</f>
        <v>10610.334995540175</v>
      </c>
      <c r="CK13" s="26">
        <f t="shared" si="2"/>
        <v>0.53699999999980719</v>
      </c>
      <c r="CL13" s="26">
        <f t="shared" si="3"/>
        <v>0.61350000000015825</v>
      </c>
      <c r="CM13" s="26">
        <f t="shared" si="4"/>
        <v>0.68999999999948614</v>
      </c>
      <c r="CN13" s="26">
        <f t="shared" si="5"/>
        <v>0.58099999999944885</v>
      </c>
      <c r="CO13" s="26">
        <f t="shared" si="6"/>
        <v>0.47200000000032105</v>
      </c>
      <c r="CP13" s="26">
        <f t="shared" si="7"/>
        <v>0.38600000000019463</v>
      </c>
      <c r="CQ13" s="26">
        <f t="shared" si="8"/>
        <v>0.30000000000006821</v>
      </c>
      <c r="CR13" s="26">
        <f t="shared" si="9"/>
        <v>0.5500000000001819</v>
      </c>
      <c r="CS13" s="26">
        <f t="shared" si="10"/>
        <v>0.79999999999938609</v>
      </c>
      <c r="CT13" s="26">
        <f t="shared" si="11"/>
        <v>0.39999999999986358</v>
      </c>
      <c r="CU13" s="26">
        <f t="shared" si="12"/>
        <v>0</v>
      </c>
      <c r="CV13" s="26">
        <f t="shared" si="13"/>
        <v>0</v>
      </c>
      <c r="CW13" s="26">
        <f t="shared" si="14"/>
        <v>0</v>
      </c>
      <c r="CX13" s="26">
        <f t="shared" si="15"/>
        <v>0</v>
      </c>
      <c r="CY13" s="26">
        <f t="shared" si="16"/>
        <v>0</v>
      </c>
      <c r="DA13" s="28">
        <f>'(Bloom Raw Data)'!DB13</f>
        <v>7.9791999999999996</v>
      </c>
      <c r="DB13" s="29">
        <f>AVERAGE(DA13,DC13)</f>
        <v>6.60825</v>
      </c>
      <c r="DC13" s="28">
        <f>'(Bloom Raw Data)'!DD13</f>
        <v>5.2373000000000003</v>
      </c>
      <c r="DD13" s="29">
        <f>AVERAGE(DC13,DE13)</f>
        <v>5.8715000000000002</v>
      </c>
      <c r="DE13" s="28">
        <f>'(Bloom Raw Data)'!DF13</f>
        <v>6.5057</v>
      </c>
      <c r="DF13" s="29">
        <f>AVERAGE(DE13,DG13)</f>
        <v>7.0716000000000001</v>
      </c>
      <c r="DG13" s="28">
        <f>'(Bloom Raw Data)'!DH13</f>
        <v>7.6375000000000002</v>
      </c>
      <c r="DH13" s="29">
        <f>AVERAGE(DG13,DI13)</f>
        <v>7.7094500000000004</v>
      </c>
      <c r="DI13" s="28">
        <f>'(Bloom Raw Data)'!DJ13</f>
        <v>7.7813999999999997</v>
      </c>
      <c r="DJ13" s="29">
        <f>AVERAGE(DI13,DK13)</f>
        <v>8.5364499999999985</v>
      </c>
      <c r="DK13" s="28">
        <f>'(Bloom Raw Data)'!DL13</f>
        <v>9.2914999999999992</v>
      </c>
      <c r="DL13" s="29">
        <f>AVERAGE(DK13,DM13)</f>
        <v>9.3415999999999997</v>
      </c>
      <c r="DM13" s="28">
        <f>'(Bloom Raw Data)'!DN13</f>
        <v>9.3917000000000002</v>
      </c>
      <c r="DN13" s="29">
        <f>DM13</f>
        <v>9.3917000000000002</v>
      </c>
      <c r="DO13" s="130">
        <f>CI13/HJ13</f>
        <v>9.8286456938745843</v>
      </c>
      <c r="DR13" s="28">
        <f>'(Bloom Raw Data)'!DS13</f>
        <v>2.6703000000000001</v>
      </c>
      <c r="DS13" s="175">
        <f>AVERAGE(DR13,DT13)</f>
        <v>2.3859500000000002</v>
      </c>
      <c r="DT13" s="28">
        <f>'(Bloom Raw Data)'!DU13</f>
        <v>2.1015999999999999</v>
      </c>
      <c r="DU13" s="175">
        <f>AVERAGE(DT13,DV13)</f>
        <v>2.31155</v>
      </c>
      <c r="DV13" s="28">
        <f>'(Bloom Raw Data)'!DW13</f>
        <v>2.5215000000000001</v>
      </c>
      <c r="DW13" s="175">
        <f>AVERAGE(DV13,DX13)</f>
        <v>2.6524000000000001</v>
      </c>
      <c r="DX13" s="28">
        <f>'(Bloom Raw Data)'!DY13</f>
        <v>2.7833000000000001</v>
      </c>
      <c r="DY13" s="175">
        <f>AVERAGE(DX13,DZ13)</f>
        <v>2.9012500000000001</v>
      </c>
      <c r="DZ13" s="28">
        <f>'(Bloom Raw Data)'!EA13</f>
        <v>3.0192000000000001</v>
      </c>
      <c r="EA13" s="175">
        <f>AVERAGE(DZ13,EB13)</f>
        <v>3.0245500000000001</v>
      </c>
      <c r="EB13" s="28">
        <f>'(Bloom Raw Data)'!EC13</f>
        <v>3.0299</v>
      </c>
      <c r="EC13" s="175">
        <f>AVERAGE(EB13,ED13)</f>
        <v>2.8716499999999998</v>
      </c>
      <c r="ED13" s="28">
        <f>'(Bloom Raw Data)'!EE13</f>
        <v>2.7134</v>
      </c>
      <c r="EE13" s="175">
        <f>AVERAGE(ED13,EF13)</f>
        <v>2.86165</v>
      </c>
      <c r="EF13" s="28">
        <f>'(Bloom Raw Data)'!EG13</f>
        <v>3.0099</v>
      </c>
      <c r="EH13" s="26">
        <f>'(Bloom Raw Data)'!EJ13</f>
        <v>18.4313</v>
      </c>
      <c r="EI13" s="26">
        <f>'(Bloom Raw Data)'!EK13</f>
        <v>16.849</v>
      </c>
      <c r="EJ13" s="26">
        <f>'(Bloom Raw Data)'!EL13</f>
        <v>10.015700000000001</v>
      </c>
      <c r="EK13" s="26">
        <f>'(Bloom Raw Data)'!EM13</f>
        <v>11.9984</v>
      </c>
      <c r="EL13" s="26">
        <f>'(Bloom Raw Data)'!EN13</f>
        <v>14.1812</v>
      </c>
      <c r="EM13" s="26">
        <f>'(Bloom Raw Data)'!EO13</f>
        <v>14.7387</v>
      </c>
      <c r="EN13" s="26">
        <f>'(Bloom Raw Data)'!EP13</f>
        <v>17.592400000000001</v>
      </c>
      <c r="EO13" s="26">
        <f>'(Bloom Raw Data)'!EQ13</f>
        <v>15.970599999999999</v>
      </c>
      <c r="EP13" s="26" t="str">
        <f>'(Bloom Raw Data)'!ER13</f>
        <v>#N/A N/A</v>
      </c>
      <c r="EQ13" s="26" t="str">
        <f>'(Bloom Raw Data)'!ES13</f>
        <v>#N/A N/A</v>
      </c>
      <c r="ER13" s="26" t="str">
        <f>'(Bloom Raw Data)'!ET13</f>
        <v>#N/A N/A</v>
      </c>
      <c r="ES13" s="26" t="str">
        <f>'(Bloom Raw Data)'!EU13</f>
        <v>#N/A N/A</v>
      </c>
      <c r="ET13" s="26">
        <f>'(Bloom Raw Data)'!EV13</f>
        <v>39.737299999999998</v>
      </c>
      <c r="EU13" s="26" t="str">
        <f>'(Bloom Raw Data)'!EW13</f>
        <v>#N/A N/A</v>
      </c>
      <c r="EV13" s="26" t="str">
        <f>'(Bloom Raw Data)'!EX13</f>
        <v>#N/A N/A</v>
      </c>
      <c r="EY13" s="26">
        <f>'(Bloom Raw Data)'!FR13</f>
        <v>9.5359999999999996</v>
      </c>
      <c r="EZ13" s="177">
        <f>AVERAGE(EY13,FA13)</f>
        <v>207.21</v>
      </c>
      <c r="FA13" s="26">
        <f>'(Bloom Raw Data)'!FT13</f>
        <v>404.88400000000001</v>
      </c>
      <c r="FB13" s="177">
        <f>AVERAGE(FA13,FC13)</f>
        <v>241.15700000000001</v>
      </c>
      <c r="FC13" s="26">
        <f>'(Bloom Raw Data)'!FV13</f>
        <v>77.430000000000007</v>
      </c>
      <c r="FD13" s="177">
        <f>AVERAGE(FC13,FE13)</f>
        <v>41.968000000000004</v>
      </c>
      <c r="FE13" s="26">
        <f>'(Bloom Raw Data)'!FX13</f>
        <v>6.5060000000000002</v>
      </c>
      <c r="FF13" s="177">
        <f>AVERAGE(FE13,FG13)</f>
        <v>43.677500000000002</v>
      </c>
      <c r="FG13" s="26">
        <f>'(Bloom Raw Data)'!FZ13</f>
        <v>80.849000000000004</v>
      </c>
      <c r="FH13" s="177">
        <f>AVERAGE(FG13,FI13)</f>
        <v>44.756</v>
      </c>
      <c r="FI13" s="26">
        <f>'(Bloom Raw Data)'!GB13</f>
        <v>8.6630000000000003</v>
      </c>
      <c r="FJ13" s="177">
        <f>AVERAGE(FI13,FK13)</f>
        <v>196.40950000000001</v>
      </c>
      <c r="FK13" s="26">
        <f>'(Bloom Raw Data)'!GD13</f>
        <v>384.15600000000001</v>
      </c>
      <c r="FL13" s="177">
        <f>AVERAGE(FK13,FM13)</f>
        <v>218.404</v>
      </c>
      <c r="FM13" s="26">
        <f>'(Bloom Raw Data)'!GF13</f>
        <v>52.652000000000001</v>
      </c>
      <c r="FO13" s="28">
        <f>'(Bloom Raw Data)'!FA13</f>
        <v>5.9614000000000003</v>
      </c>
      <c r="FP13" s="28">
        <f>'(Bloom Raw Data)'!FB13</f>
        <v>5.4496000000000002</v>
      </c>
      <c r="FQ13" s="28">
        <f>'(Bloom Raw Data)'!FC13</f>
        <v>3.7848000000000002</v>
      </c>
      <c r="FR13" s="28">
        <f>'(Bloom Raw Data)'!FD13</f>
        <v>4.5341000000000005</v>
      </c>
      <c r="FS13" s="28">
        <f>'(Bloom Raw Data)'!FE13</f>
        <v>4.1264000000000003</v>
      </c>
      <c r="FT13" s="28">
        <f>'(Bloom Raw Data)'!FF13</f>
        <v>4.2885999999999997</v>
      </c>
      <c r="FU13" s="28">
        <f>'(Bloom Raw Data)'!FG13</f>
        <v>4.1718000000000002</v>
      </c>
      <c r="FV13" s="28">
        <f>'(Bloom Raw Data)'!FH13</f>
        <v>3.7871999999999999</v>
      </c>
      <c r="FW13" s="28" t="str">
        <f>'(Bloom Raw Data)'!FI13</f>
        <v>#N/A N/A</v>
      </c>
      <c r="FX13" s="28" t="str">
        <f>'(Bloom Raw Data)'!FJ13</f>
        <v>#N/A N/A</v>
      </c>
      <c r="FY13" s="28" t="str">
        <f>'(Bloom Raw Data)'!FK13</f>
        <v>#N/A N/A</v>
      </c>
      <c r="FZ13" s="28" t="str">
        <f>'(Bloom Raw Data)'!FL13</f>
        <v>#N/A N/A</v>
      </c>
      <c r="GA13" s="28">
        <f>'(Bloom Raw Data)'!FM13</f>
        <v>4.3388999999999998</v>
      </c>
      <c r="GB13" s="28" t="str">
        <f>'(Bloom Raw Data)'!FN13</f>
        <v>#N/A N/A</v>
      </c>
      <c r="GC13" s="28" t="str">
        <f>'(Bloom Raw Data)'!FO13</f>
        <v>#N/A N/A</v>
      </c>
      <c r="GD13" s="178"/>
      <c r="GE13" s="178"/>
      <c r="GF13" s="26">
        <f>'(Bloom Raw Data)'!GI13</f>
        <v>764.41</v>
      </c>
      <c r="GG13" s="177">
        <f>AVERAGE(GF13,GH13)</f>
        <v>842.87950000000001</v>
      </c>
      <c r="GH13" s="26">
        <f>'(Bloom Raw Data)'!GK13</f>
        <v>921.34900000000005</v>
      </c>
      <c r="GI13" s="177">
        <f>AVERAGE(GH13,GJ13)</f>
        <v>999.84400000000005</v>
      </c>
      <c r="GJ13" s="26">
        <f>'(Bloom Raw Data)'!GM13</f>
        <v>1078.3389999999999</v>
      </c>
      <c r="GK13" s="177">
        <f>AVERAGE(GJ13,GL13)</f>
        <v>1146.1689999999999</v>
      </c>
      <c r="GL13" s="26">
        <f>'(Bloom Raw Data)'!GO13</f>
        <v>1213.999</v>
      </c>
      <c r="GM13" s="177">
        <f>AVERAGE(GL13,GN13)</f>
        <v>1369.3600000000001</v>
      </c>
      <c r="GN13" s="26">
        <f>'(Bloom Raw Data)'!GQ13</f>
        <v>1524.721</v>
      </c>
      <c r="GO13" s="177">
        <f>AVERAGE(GN13,GP13)</f>
        <v>1557.3110000000001</v>
      </c>
      <c r="GP13" s="26">
        <f>'(Bloom Raw Data)'!GS13</f>
        <v>1589.9010000000001</v>
      </c>
      <c r="GQ13" s="177">
        <f>AVERAGE(GP13,GR13)</f>
        <v>1658.297</v>
      </c>
      <c r="GR13" s="26">
        <f>'(Bloom Raw Data)'!GU13</f>
        <v>1726.693</v>
      </c>
      <c r="GS13" s="177">
        <f>AVERAGE(GR13,GT13)</f>
        <v>1800.3525</v>
      </c>
      <c r="GT13" s="26">
        <f>'(Bloom Raw Data)'!GW13</f>
        <v>1874.0119999999999</v>
      </c>
      <c r="GV13" s="26">
        <f t="shared" ref="GV13:GV27" si="17">BU13/DA13</f>
        <v>654.09717766192102</v>
      </c>
      <c r="GW13" s="26">
        <f t="shared" ref="GW13:GW27" si="18">BV13/DB13</f>
        <v>712.86762002042906</v>
      </c>
      <c r="GX13" s="26">
        <f t="shared" ref="GX13:GX27" si="19">BW13/DC13</f>
        <v>802.40633532545382</v>
      </c>
      <c r="GY13" s="26">
        <f t="shared" ref="GY13:GY27" si="20">BX13/DD13</f>
        <v>795.53068210849005</v>
      </c>
      <c r="GZ13" s="26">
        <f t="shared" ref="GZ13:GZ27" si="21">BY13/DE13</f>
        <v>789.99555774167277</v>
      </c>
      <c r="HA13" s="26">
        <f t="shared" ref="HA13:HA27" si="22">BZ13/DF13</f>
        <v>769.7364245715255</v>
      </c>
      <c r="HB13" s="26">
        <f t="shared" ref="HB13:HB27" si="23">CA13/DG13</f>
        <v>752.47948936170212</v>
      </c>
      <c r="HC13" s="26">
        <f t="shared" ref="HC13:HC27" si="24">CB13/DH13</f>
        <v>788.25325412318648</v>
      </c>
      <c r="HD13" s="26">
        <f t="shared" ref="HD13:HD27" si="25">CC13/DI13</f>
        <v>823.36546122805669</v>
      </c>
      <c r="HE13" s="26">
        <f t="shared" ref="HE13:HE27" si="26">CD13/DJ13</f>
        <v>823.34987026222859</v>
      </c>
      <c r="HF13" s="26">
        <f t="shared" ref="HF13:HF27" si="27">CE13/DK13</f>
        <v>823.33681321638062</v>
      </c>
      <c r="HG13" s="26">
        <f t="shared" ref="HG13:HG27" si="28">CF13/DL13</f>
        <v>867.41943564271651</v>
      </c>
      <c r="HH13" s="26">
        <f t="shared" ref="HH13:HH27" si="29">CG13/DM13</f>
        <v>911.03174079240182</v>
      </c>
      <c r="HI13" s="26">
        <f t="shared" ref="HI13:HI27" si="30">CH13/DN13</f>
        <v>1020.3941669527442</v>
      </c>
      <c r="HJ13" s="30">
        <f>585.8+HH13-417.3</f>
        <v>1079.5317407924019</v>
      </c>
      <c r="HL13" s="28">
        <f>'(Bloom Raw Data)'!HQ13</f>
        <v>8.2020999999999997</v>
      </c>
      <c r="HM13" s="175">
        <f>AVERAGE(HL13,HN13)</f>
        <v>9.5455499999999986</v>
      </c>
      <c r="HN13" s="28">
        <f>'(Bloom Raw Data)'!HS13</f>
        <v>10.888999999999999</v>
      </c>
      <c r="HO13" s="175">
        <f>AVERAGE(HN13,HP13)</f>
        <v>10.1669</v>
      </c>
      <c r="HP13" s="28">
        <f>'(Bloom Raw Data)'!HU13</f>
        <v>9.4448000000000008</v>
      </c>
      <c r="HQ13" s="175">
        <f>AVERAGE(HP13,HR13)</f>
        <v>8.9955500000000015</v>
      </c>
      <c r="HR13" s="28">
        <f>'(Bloom Raw Data)'!HW13</f>
        <v>8.5463000000000005</v>
      </c>
      <c r="HS13" s="175">
        <f>AVERAGE(HR13,HT13)</f>
        <v>7.9739500000000003</v>
      </c>
      <c r="HT13" s="28">
        <f>'(Bloom Raw Data)'!HY13</f>
        <v>7.4016000000000002</v>
      </c>
      <c r="HU13" s="175">
        <f>AVERAGE(HT13,HV13)</f>
        <v>7.2644500000000001</v>
      </c>
      <c r="HV13" s="28">
        <f>'(Bloom Raw Data)'!IA13</f>
        <v>7.1273</v>
      </c>
      <c r="HW13" s="175">
        <f>AVERAGE(HV13,HX13)</f>
        <v>6.4127999999999998</v>
      </c>
      <c r="HX13" s="28">
        <f>'(Bloom Raw Data)'!IC13</f>
        <v>5.6982999999999997</v>
      </c>
      <c r="HY13" s="175">
        <f>AVERAGE(HX13,HZ13)</f>
        <v>6.4618500000000001</v>
      </c>
      <c r="HZ13" s="28">
        <f>'(Bloom Raw Data)'!IE13</f>
        <v>7.2253999999999996</v>
      </c>
      <c r="IB13" s="469"/>
    </row>
    <row r="14" spans="1:236" s="25" customFormat="1">
      <c r="A14" s="25" t="s">
        <v>19</v>
      </c>
      <c r="B14" s="25" t="s">
        <v>74</v>
      </c>
      <c r="D14" s="26">
        <f>'(Bloom Raw Data)'!D14</f>
        <v>46131.404699999999</v>
      </c>
      <c r="E14" s="27">
        <f>AVERAGE(D14,F14)</f>
        <v>41969.843999999997</v>
      </c>
      <c r="F14" s="26">
        <f>'(Bloom Raw Data)'!F14</f>
        <v>37808.283300000003</v>
      </c>
      <c r="G14" s="27">
        <f>AVERAGE(F14,H14)</f>
        <v>39558.580700000006</v>
      </c>
      <c r="H14" s="26">
        <f>'(Bloom Raw Data)'!H14</f>
        <v>41308.878100000002</v>
      </c>
      <c r="I14" s="27">
        <f>AVERAGE(H14,J14)</f>
        <v>40066.725200000001</v>
      </c>
      <c r="J14" s="26">
        <f>'(Bloom Raw Data)'!J14</f>
        <v>38824.5723</v>
      </c>
      <c r="K14" s="27">
        <f>AVERAGE(J14,L14)</f>
        <v>35390.618650000004</v>
      </c>
      <c r="L14" s="26">
        <f>'(Bloom Raw Data)'!L14</f>
        <v>31956.665000000001</v>
      </c>
      <c r="M14" s="27">
        <f>AVERAGE(L14,N14)</f>
        <v>29623.968249999998</v>
      </c>
      <c r="N14" s="26">
        <f>'(Bloom Raw Data)'!N14</f>
        <v>27291.271499999999</v>
      </c>
      <c r="O14" s="27">
        <f>AVERAGE(N14,P14)</f>
        <v>24600.597300000001</v>
      </c>
      <c r="P14" s="26">
        <f>'(Bloom Raw Data)'!P14</f>
        <v>21909.9231</v>
      </c>
      <c r="Q14" s="27">
        <f>AVERAGE(P14,R14)</f>
        <v>20517.258099999999</v>
      </c>
      <c r="R14" s="26">
        <f>'(Bloom Raw Data)'!R14</f>
        <v>19124.593099999998</v>
      </c>
      <c r="T14" s="26">
        <f>'(Bloom Raw Data)'!U14</f>
        <v>32909</v>
      </c>
      <c r="U14" s="27">
        <f>AVERAGE(T14,V14)</f>
        <v>33908.5</v>
      </c>
      <c r="V14" s="26">
        <f>'(Bloom Raw Data)'!W14</f>
        <v>34908</v>
      </c>
      <c r="W14" s="27">
        <f>AVERAGE(V14,X14)</f>
        <v>32932</v>
      </c>
      <c r="X14" s="26">
        <f>'(Bloom Raw Data)'!Y14</f>
        <v>30956</v>
      </c>
      <c r="Y14" s="27">
        <f>AVERAGE(X14,Z14)</f>
        <v>31335.5</v>
      </c>
      <c r="Z14" s="26">
        <f>'(Bloom Raw Data)'!AA14</f>
        <v>31715</v>
      </c>
      <c r="AA14" s="27">
        <f>AVERAGE(Z14,AB14)</f>
        <v>31048</v>
      </c>
      <c r="AB14" s="26">
        <f>'(Bloom Raw Data)'!AC14</f>
        <v>30381</v>
      </c>
      <c r="AC14" s="27">
        <f>AVERAGE(AB14,AD14)</f>
        <v>31067</v>
      </c>
      <c r="AD14" s="26">
        <f>'(Bloom Raw Data)'!AE14</f>
        <v>31753</v>
      </c>
      <c r="AE14" s="27">
        <f>AVERAGE(AD14,AF14)</f>
        <v>31252.5</v>
      </c>
      <c r="AF14" s="26">
        <f>'(Bloom Raw Data)'!AG14</f>
        <v>30752</v>
      </c>
      <c r="AG14" s="27">
        <f>AVERAGE(AF14,AH14)</f>
        <v>30456.5</v>
      </c>
      <c r="AH14" s="26">
        <f>'(Bloom Raw Data)'!AI14</f>
        <v>30161</v>
      </c>
      <c r="AJ14" s="128">
        <f>AK14</f>
        <v>6685</v>
      </c>
      <c r="AK14" s="26">
        <f>'(Bloom Raw Data)'!AP14</f>
        <v>6685</v>
      </c>
      <c r="AL14" s="26">
        <f>'(Bloom Raw Data)'!AT14</f>
        <v>6255</v>
      </c>
      <c r="AM14" s="26">
        <f>'(Bloom Raw Data)'!AX14</f>
        <v>7453</v>
      </c>
      <c r="AO14" s="28">
        <f>'(Bloom Raw Data)'!BC14</f>
        <v>2.4908999999999999</v>
      </c>
      <c r="AP14" s="29">
        <f>AVERAGE(AO14,AQ14)</f>
        <v>3.6191999999999998</v>
      </c>
      <c r="AQ14" s="28">
        <f>'(Bloom Raw Data)'!BE14</f>
        <v>4.7474999999999996</v>
      </c>
      <c r="AR14" s="29">
        <f>AVERAGE(AQ14,AS14)</f>
        <v>3.9719499999999996</v>
      </c>
      <c r="AS14" s="28">
        <f>'(Bloom Raw Data)'!BG14</f>
        <v>3.1964000000000001</v>
      </c>
      <c r="AT14" s="29">
        <f>AVERAGE(AS14,AU14)</f>
        <v>3.7259000000000002</v>
      </c>
      <c r="AU14" s="28">
        <f>'(Bloom Raw Data)'!BI14</f>
        <v>4.2553999999999998</v>
      </c>
      <c r="AV14" s="29">
        <f>AVERAGE(AU14,AW14)</f>
        <v>4.0244</v>
      </c>
      <c r="AW14" s="28">
        <f>'(Bloom Raw Data)'!BK14</f>
        <v>3.7934000000000001</v>
      </c>
      <c r="AX14" s="29">
        <f>AVERAGE(AW14,AY14)</f>
        <v>4.2875499999999995</v>
      </c>
      <c r="AY14" s="28">
        <f>'(Bloom Raw Data)'!BM14</f>
        <v>4.7816999999999998</v>
      </c>
      <c r="AZ14" s="29">
        <f>AVERAGE(AY14,BA14)</f>
        <v>3.5902500000000002</v>
      </c>
      <c r="BA14" s="28">
        <f>'(Bloom Raw Data)'!BO14</f>
        <v>2.3988</v>
      </c>
      <c r="BB14" s="29">
        <f>AVERAGE(BA14,BC14)</f>
        <v>3.1452999999999998</v>
      </c>
      <c r="BC14" s="28">
        <f>'(Bloom Raw Data)'!BQ14</f>
        <v>3.8917999999999999</v>
      </c>
      <c r="BE14" s="28">
        <f>'(Bloom Raw Data)'!BT14</f>
        <v>2.3454000000000002</v>
      </c>
      <c r="BF14" s="29">
        <f>AVERAGE(BE14,BG14)</f>
        <v>2.44895</v>
      </c>
      <c r="BG14" s="28">
        <f>'(Bloom Raw Data)'!BV14</f>
        <v>2.5525000000000002</v>
      </c>
      <c r="BH14" s="29">
        <f>AVERAGE(BG14,BI14)</f>
        <v>2.32335</v>
      </c>
      <c r="BI14" s="28">
        <f>'(Bloom Raw Data)'!BX14</f>
        <v>2.0941999999999998</v>
      </c>
      <c r="BJ14" s="29">
        <f>AVERAGE(BI14,BK14)</f>
        <v>2.1409500000000001</v>
      </c>
      <c r="BK14" s="28">
        <f>'(Bloom Raw Data)'!BZ14</f>
        <v>2.1877</v>
      </c>
      <c r="BL14" s="29">
        <f>AVERAGE(BK14,BM14)</f>
        <v>2.1052499999999998</v>
      </c>
      <c r="BM14" s="28">
        <f>'(Bloom Raw Data)'!CB14</f>
        <v>2.0228000000000002</v>
      </c>
      <c r="BN14" s="29">
        <f>AVERAGE(BM14,BO14)</f>
        <v>2.1268000000000002</v>
      </c>
      <c r="BO14" s="28">
        <f>'(Bloom Raw Data)'!CD14</f>
        <v>2.2307999999999999</v>
      </c>
      <c r="BP14" s="29">
        <f>AVERAGE(BO14,BQ14)</f>
        <v>2.3579999999999997</v>
      </c>
      <c r="BQ14" s="28">
        <f>'(Bloom Raw Data)'!CF14</f>
        <v>2.4851999999999999</v>
      </c>
      <c r="BR14" s="29">
        <f>AVERAGE(BQ14,BS14)</f>
        <v>2.5004499999999998</v>
      </c>
      <c r="BS14" s="28">
        <f>'(Bloom Raw Data)'!CH14</f>
        <v>2.5156999999999998</v>
      </c>
      <c r="BU14" s="26">
        <f>'(Bloom Raw Data)'!CK14</f>
        <v>81753.404699999999</v>
      </c>
      <c r="BV14" s="27">
        <f>AVERAGE(BU14,BW14)</f>
        <v>78425.843999999997</v>
      </c>
      <c r="BW14" s="26">
        <f>'(Bloom Raw Data)'!CM14</f>
        <v>75098.283299999996</v>
      </c>
      <c r="BX14" s="27">
        <f>AVERAGE(BW14,BY14)</f>
        <v>74905.580699999991</v>
      </c>
      <c r="BY14" s="26">
        <f>'(Bloom Raw Data)'!CO14</f>
        <v>74712.878100000002</v>
      </c>
      <c r="BZ14" s="27">
        <f>AVERAGE(BY14,CA14)</f>
        <v>73641.225200000001</v>
      </c>
      <c r="CA14" s="26">
        <f>'(Bloom Raw Data)'!CQ14</f>
        <v>72569.5723</v>
      </c>
      <c r="CB14" s="27">
        <f>AVERAGE(CA14,CC14)</f>
        <v>68463.118650000004</v>
      </c>
      <c r="CC14" s="26">
        <f>'(Bloom Raw Data)'!CS14</f>
        <v>64356.665000000001</v>
      </c>
      <c r="CD14" s="27">
        <f>AVERAGE(CC14,CE14)</f>
        <v>62526.468250000005</v>
      </c>
      <c r="CE14" s="26">
        <f>'(Bloom Raw Data)'!CU14</f>
        <v>60696.271500000003</v>
      </c>
      <c r="CF14" s="27">
        <f>AVERAGE(CE14,CG14)</f>
        <v>57718.097300000001</v>
      </c>
      <c r="CG14" s="26">
        <f>'(Bloom Raw Data)'!CW14</f>
        <v>54739.9231</v>
      </c>
      <c r="CH14" s="27">
        <f>AVERAGE(CG14,CI14)</f>
        <v>52946.258099999999</v>
      </c>
      <c r="CI14" s="26">
        <f>'(Bloom Raw Data)'!CY14</f>
        <v>51152.593099999998</v>
      </c>
      <c r="CK14" s="26">
        <f t="shared" si="2"/>
        <v>2713</v>
      </c>
      <c r="CL14" s="26">
        <f t="shared" si="3"/>
        <v>2547.5</v>
      </c>
      <c r="CM14" s="26">
        <f t="shared" si="4"/>
        <v>2381.9999999999927</v>
      </c>
      <c r="CN14" s="26">
        <f t="shared" si="5"/>
        <v>2414.9999999999854</v>
      </c>
      <c r="CO14" s="26">
        <f t="shared" si="6"/>
        <v>2448</v>
      </c>
      <c r="CP14" s="26">
        <f t="shared" si="7"/>
        <v>2239</v>
      </c>
      <c r="CQ14" s="26">
        <f t="shared" si="8"/>
        <v>2030</v>
      </c>
      <c r="CR14" s="26">
        <f t="shared" si="9"/>
        <v>2024.5</v>
      </c>
      <c r="CS14" s="26">
        <f t="shared" si="10"/>
        <v>2019</v>
      </c>
      <c r="CT14" s="26">
        <f t="shared" si="11"/>
        <v>1835.5000000000073</v>
      </c>
      <c r="CU14" s="26">
        <f t="shared" si="12"/>
        <v>1652</v>
      </c>
      <c r="CV14" s="26">
        <f t="shared" si="13"/>
        <v>1865</v>
      </c>
      <c r="CW14" s="26">
        <f t="shared" si="14"/>
        <v>2078</v>
      </c>
      <c r="CX14" s="26">
        <f t="shared" si="15"/>
        <v>1972.5</v>
      </c>
      <c r="CY14" s="26">
        <f t="shared" si="16"/>
        <v>1867</v>
      </c>
      <c r="DA14" s="28">
        <f>'(Bloom Raw Data)'!DB14</f>
        <v>5.8266</v>
      </c>
      <c r="DB14" s="29">
        <f>AVERAGE(DA14,DC14)</f>
        <v>5.6589</v>
      </c>
      <c r="DC14" s="28">
        <f>'(Bloom Raw Data)'!DD14</f>
        <v>5.4912000000000001</v>
      </c>
      <c r="DD14" s="29">
        <f>AVERAGE(DC14,DE14)</f>
        <v>5.2727500000000003</v>
      </c>
      <c r="DE14" s="28">
        <f>'(Bloom Raw Data)'!DF14</f>
        <v>5.0542999999999996</v>
      </c>
      <c r="DF14" s="29">
        <f>AVERAGE(DE14,DG14)</f>
        <v>5.0300499999999992</v>
      </c>
      <c r="DG14" s="28">
        <f>'(Bloom Raw Data)'!DH14</f>
        <v>5.0057999999999998</v>
      </c>
      <c r="DH14" s="29">
        <f>AVERAGE(DG14,DI14)</f>
        <v>4.6454000000000004</v>
      </c>
      <c r="DI14" s="28">
        <f>'(Bloom Raw Data)'!DJ14</f>
        <v>4.2850000000000001</v>
      </c>
      <c r="DJ14" s="29">
        <f>AVERAGE(DI14,DK14)</f>
        <v>4.2745999999999995</v>
      </c>
      <c r="DK14" s="28">
        <f>'(Bloom Raw Data)'!DL14</f>
        <v>4.2641999999999998</v>
      </c>
      <c r="DL14" s="29">
        <f>AVERAGE(DK14,DM14)</f>
        <v>4.3439999999999994</v>
      </c>
      <c r="DM14" s="28">
        <f>'(Bloom Raw Data)'!DN14</f>
        <v>4.4238</v>
      </c>
      <c r="DN14" s="29">
        <f>AVERAGE(DM14,DO14)</f>
        <v>4.3452000000000002</v>
      </c>
      <c r="DO14" s="28">
        <f>'(Bloom Raw Data)'!DP14</f>
        <v>4.2666000000000004</v>
      </c>
      <c r="DR14" s="28">
        <f>'(Bloom Raw Data)'!DS14</f>
        <v>1.823</v>
      </c>
      <c r="DS14" s="175">
        <f>AVERAGE(DR14,DT14)</f>
        <v>1.7539499999999999</v>
      </c>
      <c r="DT14" s="28">
        <f>'(Bloom Raw Data)'!DU14</f>
        <v>1.6848999999999998</v>
      </c>
      <c r="DU14" s="175">
        <f>AVERAGE(DT14,DV14)</f>
        <v>1.6634</v>
      </c>
      <c r="DV14" s="28">
        <f>'(Bloom Raw Data)'!DW14</f>
        <v>1.6419000000000001</v>
      </c>
      <c r="DW14" s="175">
        <f>AVERAGE(DV14,DX14)</f>
        <v>1.611</v>
      </c>
      <c r="DX14" s="28">
        <f>'(Bloom Raw Data)'!DY14</f>
        <v>1.5800999999999998</v>
      </c>
      <c r="DY14" s="175">
        <f>AVERAGE(DX14,DZ14)</f>
        <v>1.50075</v>
      </c>
      <c r="DZ14" s="28">
        <f>'(Bloom Raw Data)'!EA14</f>
        <v>1.4214</v>
      </c>
      <c r="EA14" s="175">
        <f>AVERAGE(DZ14,EB14)</f>
        <v>1.3919000000000001</v>
      </c>
      <c r="EB14" s="28">
        <f>'(Bloom Raw Data)'!EC14</f>
        <v>1.3624000000000001</v>
      </c>
      <c r="EC14" s="175">
        <f>AVERAGE(EB14,ED14)</f>
        <v>1.3102</v>
      </c>
      <c r="ED14" s="28">
        <f>'(Bloom Raw Data)'!EE14</f>
        <v>1.258</v>
      </c>
      <c r="EE14" s="175">
        <f>AVERAGE(ED14,EF14)</f>
        <v>1.234</v>
      </c>
      <c r="EF14" s="28">
        <f>'(Bloom Raw Data)'!EG14</f>
        <v>1.21</v>
      </c>
      <c r="EH14" s="26">
        <f>'(Bloom Raw Data)'!EJ14</f>
        <v>16.374300000000002</v>
      </c>
      <c r="EI14" s="26">
        <f>'(Bloom Raw Data)'!EK14</f>
        <v>16.642099999999999</v>
      </c>
      <c r="EJ14" s="26">
        <f>'(Bloom Raw Data)'!EL14</f>
        <v>12.815200000000001</v>
      </c>
      <c r="EK14" s="26">
        <f>'(Bloom Raw Data)'!EM14</f>
        <v>14.219099999999999</v>
      </c>
      <c r="EL14" s="26">
        <f>'(Bloom Raw Data)'!EN14</f>
        <v>10.861800000000001</v>
      </c>
      <c r="EM14" s="26">
        <f>'(Bloom Raw Data)'!EO14</f>
        <v>11.0115</v>
      </c>
      <c r="EN14" s="26">
        <f>'(Bloom Raw Data)'!EP14</f>
        <v>12.4</v>
      </c>
      <c r="EO14" s="26">
        <f>'(Bloom Raw Data)'!EQ14</f>
        <v>10.4003</v>
      </c>
      <c r="EP14" s="26" t="str">
        <f>'(Bloom Raw Data)'!ER14</f>
        <v>#N/A N/A</v>
      </c>
      <c r="EQ14" s="26" t="str">
        <f>'(Bloom Raw Data)'!ES14</f>
        <v>#N/A N/A</v>
      </c>
      <c r="ER14" s="26" t="str">
        <f>'(Bloom Raw Data)'!ET14</f>
        <v>#N/A N/A</v>
      </c>
      <c r="ES14" s="26" t="str">
        <f>'(Bloom Raw Data)'!EU14</f>
        <v>#N/A N/A</v>
      </c>
      <c r="ET14" s="26">
        <f>'(Bloom Raw Data)'!EV14</f>
        <v>26.9</v>
      </c>
      <c r="EU14" s="26" t="str">
        <f>'(Bloom Raw Data)'!EW14</f>
        <v>#N/A N/A</v>
      </c>
      <c r="EV14" s="26" t="str">
        <f>'(Bloom Raw Data)'!EX14</f>
        <v>#N/A N/A</v>
      </c>
      <c r="EY14" s="26">
        <f>'(Bloom Raw Data)'!FR14</f>
        <v>894</v>
      </c>
      <c r="EZ14" s="177">
        <f>AVERAGE(EY14,FA14)</f>
        <v>4194.5</v>
      </c>
      <c r="FA14" s="26">
        <f>'(Bloom Raw Data)'!FT14</f>
        <v>7495</v>
      </c>
      <c r="FB14" s="177">
        <f>AVERAGE(FA14,FC14)</f>
        <v>4361</v>
      </c>
      <c r="FC14" s="26">
        <f>'(Bloom Raw Data)'!FV14</f>
        <v>1227</v>
      </c>
      <c r="FD14" s="177">
        <f>AVERAGE(FC14,FE14)</f>
        <v>1137.5</v>
      </c>
      <c r="FE14" s="26">
        <f>'(Bloom Raw Data)'!FX14</f>
        <v>1048</v>
      </c>
      <c r="FF14" s="177">
        <f>AVERAGE(FE14,FG14)</f>
        <v>1179.5</v>
      </c>
      <c r="FG14" s="26">
        <f>'(Bloom Raw Data)'!FZ14</f>
        <v>1311</v>
      </c>
      <c r="FH14" s="177">
        <f>AVERAGE(FG14,FI14)</f>
        <v>4236.5</v>
      </c>
      <c r="FI14" s="26">
        <f>'(Bloom Raw Data)'!GB14</f>
        <v>7162</v>
      </c>
      <c r="FJ14" s="177">
        <f>AVERAGE(FI14,FK14)</f>
        <v>7741.5</v>
      </c>
      <c r="FK14" s="26">
        <f>'(Bloom Raw Data)'!GD14</f>
        <v>8321</v>
      </c>
      <c r="FL14" s="177">
        <f>AVERAGE(FK14,FM14)</f>
        <v>7058</v>
      </c>
      <c r="FM14" s="26">
        <f>'(Bloom Raw Data)'!GF14</f>
        <v>5795</v>
      </c>
      <c r="FO14" s="28">
        <f>'(Bloom Raw Data)'!FA14</f>
        <v>1.7172000000000001</v>
      </c>
      <c r="FP14" s="28">
        <f>'(Bloom Raw Data)'!FB14</f>
        <v>1.7452999999999999</v>
      </c>
      <c r="FQ14" s="28">
        <f>'(Bloom Raw Data)'!FC14</f>
        <v>1.2374000000000001</v>
      </c>
      <c r="FR14" s="28">
        <f>'(Bloom Raw Data)'!FD14</f>
        <v>1.3729</v>
      </c>
      <c r="FS14" s="28">
        <f>'(Bloom Raw Data)'!FE14</f>
        <v>1.4195</v>
      </c>
      <c r="FT14" s="28">
        <f>'(Bloom Raw Data)'!FF14</f>
        <v>1.4391</v>
      </c>
      <c r="FU14" s="28">
        <f>'(Bloom Raw Data)'!FG14</f>
        <v>1.3783000000000001</v>
      </c>
      <c r="FV14" s="28">
        <f>'(Bloom Raw Data)'!FH14</f>
        <v>1.1559999999999999</v>
      </c>
      <c r="FW14" s="28" t="str">
        <f>'(Bloom Raw Data)'!FI14</f>
        <v>#N/A N/A</v>
      </c>
      <c r="FX14" s="28" t="str">
        <f>'(Bloom Raw Data)'!FJ14</f>
        <v>#N/A N/A</v>
      </c>
      <c r="FY14" s="28" t="str">
        <f>'(Bloom Raw Data)'!FK14</f>
        <v>#N/A N/A</v>
      </c>
      <c r="FZ14" s="28" t="str">
        <f>'(Bloom Raw Data)'!FL14</f>
        <v>#N/A N/A</v>
      </c>
      <c r="GA14" s="28">
        <f>'(Bloom Raw Data)'!FM14</f>
        <v>0.90139999999999998</v>
      </c>
      <c r="GB14" s="28" t="str">
        <f>'(Bloom Raw Data)'!FN14</f>
        <v>#N/A N/A</v>
      </c>
      <c r="GC14" s="28" t="str">
        <f>'(Bloom Raw Data)'!FO14</f>
        <v>#N/A N/A</v>
      </c>
      <c r="GD14" s="178"/>
      <c r="GE14" s="178"/>
      <c r="GF14" s="26">
        <f>'(Bloom Raw Data)'!GI14</f>
        <v>29577</v>
      </c>
      <c r="GG14" s="177">
        <f>AVERAGE(GF14,GH14)</f>
        <v>31257</v>
      </c>
      <c r="GH14" s="26">
        <f>'(Bloom Raw Data)'!GK14</f>
        <v>32937</v>
      </c>
      <c r="GI14" s="177">
        <f>AVERAGE(GH14,GJ14)</f>
        <v>32243</v>
      </c>
      <c r="GJ14" s="26">
        <f>'(Bloom Raw Data)'!GM14</f>
        <v>31549</v>
      </c>
      <c r="GK14" s="177">
        <f>AVERAGE(GJ14,GL14)</f>
        <v>30874</v>
      </c>
      <c r="GL14" s="26">
        <f>'(Bloom Raw Data)'!GO14</f>
        <v>30199</v>
      </c>
      <c r="GM14" s="177">
        <f>AVERAGE(GL14,GN14)</f>
        <v>29895.5</v>
      </c>
      <c r="GN14" s="26">
        <f>'(Bloom Raw Data)'!GQ14</f>
        <v>29592</v>
      </c>
      <c r="GO14" s="177">
        <f>AVERAGE(GN14,GP14)</f>
        <v>29312.5</v>
      </c>
      <c r="GP14" s="26">
        <f>'(Bloom Raw Data)'!GS14</f>
        <v>29033</v>
      </c>
      <c r="GQ14" s="177">
        <f>AVERAGE(GP14,GR14)</f>
        <v>27708.5</v>
      </c>
      <c r="GR14" s="26">
        <f>'(Bloom Raw Data)'!GU14</f>
        <v>26384</v>
      </c>
      <c r="GS14" s="177">
        <f>AVERAGE(GR14,GT14)</f>
        <v>26293</v>
      </c>
      <c r="GT14" s="26">
        <f>'(Bloom Raw Data)'!GW14</f>
        <v>26202</v>
      </c>
      <c r="GV14" s="26">
        <f t="shared" si="17"/>
        <v>14031.065235300175</v>
      </c>
      <c r="GW14" s="26">
        <f t="shared" si="18"/>
        <v>13858.849599745534</v>
      </c>
      <c r="GX14" s="26">
        <f t="shared" si="19"/>
        <v>13676.115111451049</v>
      </c>
      <c r="GY14" s="26">
        <f t="shared" si="20"/>
        <v>14206.169588924184</v>
      </c>
      <c r="GZ14" s="26">
        <f t="shared" si="21"/>
        <v>14782.042636962587</v>
      </c>
      <c r="HA14" s="26">
        <f t="shared" si="22"/>
        <v>14640.257094859895</v>
      </c>
      <c r="HB14" s="26">
        <f t="shared" si="23"/>
        <v>14497.097826521236</v>
      </c>
      <c r="HC14" s="26">
        <f t="shared" si="24"/>
        <v>14737.830681964953</v>
      </c>
      <c r="HD14" s="26">
        <f t="shared" si="25"/>
        <v>15019.058343057175</v>
      </c>
      <c r="HE14" s="26">
        <f t="shared" si="26"/>
        <v>14627.443094090679</v>
      </c>
      <c r="HF14" s="26">
        <f t="shared" si="27"/>
        <v>14233.917616434503</v>
      </c>
      <c r="HG14" s="26">
        <f t="shared" si="28"/>
        <v>13286.854811233889</v>
      </c>
      <c r="HH14" s="26">
        <f t="shared" si="29"/>
        <v>12373.959740494598</v>
      </c>
      <c r="HI14" s="26">
        <f t="shared" si="30"/>
        <v>12184.999102457883</v>
      </c>
      <c r="HJ14" s="26">
        <f t="shared" ref="HJ14:HJ27" si="31">CI14/DO14</f>
        <v>11989.076337130266</v>
      </c>
      <c r="HL14" s="28">
        <f>'(Bloom Raw Data)'!HQ14</f>
        <v>5.7671000000000001</v>
      </c>
      <c r="HM14" s="175">
        <f>AVERAGE(HL14,HN14)</f>
        <v>6.2724000000000002</v>
      </c>
      <c r="HN14" s="28">
        <f>'(Bloom Raw Data)'!HS14</f>
        <v>6.7777000000000003</v>
      </c>
      <c r="HO14" s="175">
        <f>AVERAGE(HN14,HP14)</f>
        <v>6.5382999999999996</v>
      </c>
      <c r="HP14" s="28">
        <f>'(Bloom Raw Data)'!HU14</f>
        <v>6.2988999999999997</v>
      </c>
      <c r="HQ14" s="175">
        <f>AVERAGE(HP14,HR14)</f>
        <v>6.5455500000000004</v>
      </c>
      <c r="HR14" s="28">
        <f>'(Bloom Raw Data)'!HW14</f>
        <v>6.7922000000000002</v>
      </c>
      <c r="HS14" s="175">
        <f>AVERAGE(HR14,HT14)</f>
        <v>6.2340499999999999</v>
      </c>
      <c r="HT14" s="28">
        <f>'(Bloom Raw Data)'!HY14</f>
        <v>5.6759000000000004</v>
      </c>
      <c r="HU14" s="175">
        <f>AVERAGE(HT14,HV14)</f>
        <v>5.6132500000000007</v>
      </c>
      <c r="HV14" s="28">
        <f>'(Bloom Raw Data)'!IA14</f>
        <v>5.5506000000000002</v>
      </c>
      <c r="HW14" s="175">
        <f>AVERAGE(HV14,HX14)</f>
        <v>4.7308000000000003</v>
      </c>
      <c r="HX14" s="28">
        <f>'(Bloom Raw Data)'!IC14</f>
        <v>3.911</v>
      </c>
      <c r="HY14" s="175">
        <f>AVERAGE(HX14,HZ14)</f>
        <v>4.1823499999999996</v>
      </c>
      <c r="HZ14" s="28">
        <f>'(Bloom Raw Data)'!IE14</f>
        <v>4.4536999999999995</v>
      </c>
      <c r="IB14" s="469"/>
    </row>
    <row r="15" spans="1:236">
      <c r="A15" s="11" t="s">
        <v>378</v>
      </c>
      <c r="B15" s="11" t="s">
        <v>5</v>
      </c>
      <c r="D15" s="167">
        <f>'(Bloom Raw Data)'!D15</f>
        <v>5043.6475</v>
      </c>
      <c r="E15" s="167">
        <f>'(Bloom Raw Data)'!E15</f>
        <v>4504.4821000000002</v>
      </c>
      <c r="F15" s="167">
        <f>'(Bloom Raw Data)'!F15</f>
        <v>3038.9324000000001</v>
      </c>
      <c r="G15" s="167">
        <f>'(Bloom Raw Data)'!G15</f>
        <v>2587.9940999999999</v>
      </c>
      <c r="H15" s="167">
        <f>'(Bloom Raw Data)'!H15</f>
        <v>3004.6219000000001</v>
      </c>
      <c r="I15" s="167">
        <f>'(Bloom Raw Data)'!I15</f>
        <v>3862.3851</v>
      </c>
      <c r="J15" s="167">
        <f>'(Bloom Raw Data)'!J15</f>
        <v>3151.6669999999999</v>
      </c>
      <c r="K15" s="167">
        <f>'(Bloom Raw Data)'!K15</f>
        <v>1568.4811999999999</v>
      </c>
      <c r="L15" s="167">
        <f>'(Bloom Raw Data)'!L15</f>
        <v>1411.6331</v>
      </c>
      <c r="M15" s="167">
        <f>'(Bloom Raw Data)'!M15</f>
        <v>1563.5797</v>
      </c>
      <c r="N15" s="167">
        <f>'(Bloom Raw Data)'!N15</f>
        <v>980.30079999999998</v>
      </c>
      <c r="O15" s="167">
        <f>'(Bloom Raw Data)'!O15</f>
        <v>1426.3376000000001</v>
      </c>
      <c r="P15" s="167">
        <f>'(Bloom Raw Data)'!P15</f>
        <v>2499.7669999999998</v>
      </c>
      <c r="Q15" s="167">
        <f>'(Bloom Raw Data)'!Q15</f>
        <v>2313.5097999999998</v>
      </c>
      <c r="R15" s="167">
        <f>'(Bloom Raw Data)'!R15</f>
        <v>2940.9023000000002</v>
      </c>
      <c r="T15" s="167">
        <f>'(Bloom Raw Data)'!U15</f>
        <v>4517.7</v>
      </c>
      <c r="U15" s="167">
        <f>'(Bloom Raw Data)'!V15</f>
        <v>4506.4998999999998</v>
      </c>
      <c r="V15" s="167">
        <f>'(Bloom Raw Data)'!W15</f>
        <v>4571.1000999999997</v>
      </c>
      <c r="W15" s="167">
        <f>'(Bloom Raw Data)'!X15</f>
        <v>4526.5</v>
      </c>
      <c r="X15" s="167">
        <f>'(Bloom Raw Data)'!Y15</f>
        <v>4283</v>
      </c>
      <c r="Y15" s="167">
        <f>'(Bloom Raw Data)'!Z15</f>
        <v>4303.3</v>
      </c>
      <c r="Z15" s="167">
        <f>'(Bloom Raw Data)'!AA15</f>
        <v>4120.8</v>
      </c>
      <c r="AA15" s="167">
        <f>'(Bloom Raw Data)'!AB15</f>
        <v>4016.7</v>
      </c>
      <c r="AB15" s="167">
        <f>'(Bloom Raw Data)'!AC15</f>
        <v>3485.1</v>
      </c>
      <c r="AC15" s="167">
        <f>'(Bloom Raw Data)'!AD15</f>
        <v>3350.6</v>
      </c>
      <c r="AD15" s="167">
        <f>'(Bloom Raw Data)'!AE15</f>
        <v>3199.8</v>
      </c>
      <c r="AE15" s="167">
        <f>'(Bloom Raw Data)'!AF15</f>
        <v>2951.1</v>
      </c>
      <c r="AF15" s="167">
        <f>'(Bloom Raw Data)'!AG15</f>
        <v>2817.4</v>
      </c>
      <c r="AG15" s="167">
        <f>'(Bloom Raw Data)'!AH15</f>
        <v>2697.2</v>
      </c>
      <c r="AH15" s="167">
        <f>'(Bloom Raw Data)'!AI15</f>
        <v>1776.6</v>
      </c>
      <c r="AJ15" s="167">
        <f>'(Bloom Raw Data)'!AL15</f>
        <v>0</v>
      </c>
      <c r="AK15" s="167">
        <f>'(Bloom Raw Data)'!AP15</f>
        <v>0</v>
      </c>
      <c r="AL15" s="167">
        <f>'(Bloom Raw Data)'!AT15</f>
        <v>826.7</v>
      </c>
      <c r="AM15" s="167">
        <f>'(Bloom Raw Data)'!AX15</f>
        <v>953.7</v>
      </c>
      <c r="AO15" s="168">
        <f>'(Bloom Raw Data)'!BC15</f>
        <v>4.2929000000000004</v>
      </c>
      <c r="AP15" s="168">
        <f>'(Bloom Raw Data)'!BD15</f>
        <v>2.7644000000000002</v>
      </c>
      <c r="AQ15" s="168">
        <f>'(Bloom Raw Data)'!BE15</f>
        <v>1.8372999999999999</v>
      </c>
      <c r="AR15" s="168">
        <f>'(Bloom Raw Data)'!BF15</f>
        <v>3.5535000000000001</v>
      </c>
      <c r="AS15" s="168">
        <f>'(Bloom Raw Data)'!BG15</f>
        <v>-2.6909000000000001</v>
      </c>
      <c r="AT15" s="168">
        <f>'(Bloom Raw Data)'!BH15</f>
        <v>2.0889000000000002</v>
      </c>
      <c r="AU15" s="168">
        <f>'(Bloom Raw Data)'!BI15</f>
        <v>2.0714999999999999</v>
      </c>
      <c r="AV15" s="168">
        <f>'(Bloom Raw Data)'!BJ15</f>
        <v>2.9079000000000002</v>
      </c>
      <c r="AW15" s="168">
        <f>'(Bloom Raw Data)'!BK15</f>
        <v>-1.2839</v>
      </c>
      <c r="AX15" s="168">
        <f>'(Bloom Raw Data)'!BL15</f>
        <v>2.8128000000000002</v>
      </c>
      <c r="AY15" s="168">
        <f>'(Bloom Raw Data)'!BM15</f>
        <v>3.5548999999999999</v>
      </c>
      <c r="AZ15" s="168">
        <f>'(Bloom Raw Data)'!BN15</f>
        <v>3.2147999999999999</v>
      </c>
      <c r="BA15" s="168">
        <f>'(Bloom Raw Data)'!BO15</f>
        <v>0.38800000000000001</v>
      </c>
      <c r="BB15" s="168">
        <f>'(Bloom Raw Data)'!BP15</f>
        <v>2.2157999999999998</v>
      </c>
      <c r="BC15" s="168">
        <f>'(Bloom Raw Data)'!BQ15</f>
        <v>2.2277</v>
      </c>
      <c r="BE15" s="168">
        <f>'(Bloom Raw Data)'!BT15</f>
        <v>1.9875</v>
      </c>
      <c r="BF15" s="168">
        <f>'(Bloom Raw Data)'!BU15</f>
        <v>2.0310999999999999</v>
      </c>
      <c r="BG15" s="168">
        <f>'(Bloom Raw Data)'!BV15</f>
        <v>1.9903</v>
      </c>
      <c r="BH15" s="168">
        <f>'(Bloom Raw Data)'!BW15</f>
        <v>2.0438999999999998</v>
      </c>
      <c r="BI15" s="168">
        <f>'(Bloom Raw Data)'!BX15</f>
        <v>2.3746</v>
      </c>
      <c r="BJ15" s="168">
        <f>'(Bloom Raw Data)'!BY15</f>
        <v>2.4922</v>
      </c>
      <c r="BK15" s="168">
        <f>'(Bloom Raw Data)'!BZ15</f>
        <v>2.4661</v>
      </c>
      <c r="BL15" s="168">
        <f>'(Bloom Raw Data)'!CA15</f>
        <v>2.4581</v>
      </c>
      <c r="BM15" s="168">
        <f>'(Bloom Raw Data)'!CB15</f>
        <v>2.0434000000000001</v>
      </c>
      <c r="BN15" s="168">
        <f>'(Bloom Raw Data)'!CC15</f>
        <v>1.9392</v>
      </c>
      <c r="BO15" s="168">
        <f>'(Bloom Raw Data)'!CD15</f>
        <v>1.9060999999999999</v>
      </c>
      <c r="BP15" s="168">
        <f>'(Bloom Raw Data)'!CE15</f>
        <v>1.7988</v>
      </c>
      <c r="BQ15" s="168">
        <f>'(Bloom Raw Data)'!CF15</f>
        <v>1.8974</v>
      </c>
      <c r="BR15" s="168">
        <f>'(Bloom Raw Data)'!CG15</f>
        <v>1.8827</v>
      </c>
      <c r="BS15" s="168">
        <f>'(Bloom Raw Data)'!CH15</f>
        <v>1.2671000000000001</v>
      </c>
      <c r="BU15" s="167">
        <f>'(Bloom Raw Data)'!CK15</f>
        <v>10319.047500000001</v>
      </c>
      <c r="BV15" s="167">
        <f>'(Bloom Raw Data)'!CL15</f>
        <v>9792.482</v>
      </c>
      <c r="BW15" s="167">
        <f>'(Bloom Raw Data)'!CM15</f>
        <v>8313.5324999999993</v>
      </c>
      <c r="BX15" s="167">
        <f>'(Bloom Raw Data)'!CN15</f>
        <v>7832.9940999999999</v>
      </c>
      <c r="BY15" s="167">
        <f>'(Bloom Raw Data)'!CO15</f>
        <v>7840.6219000000001</v>
      </c>
      <c r="BZ15" s="167">
        <f>'(Bloom Raw Data)'!CP15</f>
        <v>8689.7850999999991</v>
      </c>
      <c r="CA15" s="167">
        <f>'(Bloom Raw Data)'!CQ15</f>
        <v>7775.8670000000002</v>
      </c>
      <c r="CB15" s="167">
        <f>'(Bloom Raw Data)'!CR15</f>
        <v>6075.2812000000004</v>
      </c>
      <c r="CC15" s="167">
        <f>'(Bloom Raw Data)'!CS15</f>
        <v>5270.5330999999996</v>
      </c>
      <c r="CD15" s="167">
        <f>'(Bloom Raw Data)'!CT15</f>
        <v>5289.9796999999999</v>
      </c>
      <c r="CE15" s="167">
        <f>'(Bloom Raw Data)'!CU15</f>
        <v>4556.3008</v>
      </c>
      <c r="CF15" s="167">
        <f>'(Bloom Raw Data)'!CV15</f>
        <v>4756.2376000000004</v>
      </c>
      <c r="CG15" s="167">
        <f>'(Bloom Raw Data)'!CW15</f>
        <v>5707.1670000000004</v>
      </c>
      <c r="CH15" s="167">
        <f>'(Bloom Raw Data)'!CX15</f>
        <v>5405.4098000000004</v>
      </c>
      <c r="CI15" s="167">
        <f>'(Bloom Raw Data)'!CY15</f>
        <v>5111.6022999999996</v>
      </c>
      <c r="CK15" s="167">
        <f t="shared" si="2"/>
        <v>757.70000000000073</v>
      </c>
      <c r="CL15" s="167">
        <f t="shared" si="3"/>
        <v>781.5</v>
      </c>
      <c r="CM15" s="167">
        <f t="shared" si="4"/>
        <v>703.5</v>
      </c>
      <c r="CN15" s="167">
        <f t="shared" si="5"/>
        <v>718.5</v>
      </c>
      <c r="CO15" s="167">
        <f t="shared" si="6"/>
        <v>553</v>
      </c>
      <c r="CP15" s="167">
        <f t="shared" si="7"/>
        <v>524.09999999999945</v>
      </c>
      <c r="CQ15" s="167">
        <f t="shared" si="8"/>
        <v>503.40000000000055</v>
      </c>
      <c r="CR15" s="167">
        <f t="shared" si="9"/>
        <v>490.10000000000036</v>
      </c>
      <c r="CS15" s="167">
        <f t="shared" si="10"/>
        <v>373.79999999999973</v>
      </c>
      <c r="CT15" s="167">
        <f t="shared" si="11"/>
        <v>375.79999999999973</v>
      </c>
      <c r="CU15" s="167">
        <f t="shared" si="12"/>
        <v>376.19999999999982</v>
      </c>
      <c r="CV15" s="167">
        <f t="shared" si="13"/>
        <v>378.80000000000064</v>
      </c>
      <c r="CW15" s="167">
        <f t="shared" si="14"/>
        <v>390.00000000000045</v>
      </c>
      <c r="CX15" s="167">
        <f t="shared" si="15"/>
        <v>394.70000000000073</v>
      </c>
      <c r="CY15" s="167">
        <f t="shared" si="16"/>
        <v>394.09999999999945</v>
      </c>
      <c r="DA15" s="168">
        <f>'(Bloom Raw Data)'!DB15</f>
        <v>4.5397999999999996</v>
      </c>
      <c r="DB15" s="168">
        <f>'(Bloom Raw Data)'!DC15</f>
        <v>4.4135999999999997</v>
      </c>
      <c r="DC15" s="168">
        <f>'(Bloom Raw Data)'!DD15</f>
        <v>3.6198000000000001</v>
      </c>
      <c r="DD15" s="168">
        <f>'(Bloom Raw Data)'!DE15</f>
        <v>3.5369999999999999</v>
      </c>
      <c r="DE15" s="168">
        <f>'(Bloom Raw Data)'!DF15</f>
        <v>4.3469999999999995</v>
      </c>
      <c r="DF15" s="168">
        <f>'(Bloom Raw Data)'!DG15</f>
        <v>5.0326000000000004</v>
      </c>
      <c r="DG15" s="168">
        <f>'(Bloom Raw Data)'!DH15</f>
        <v>4.6533999999999995</v>
      </c>
      <c r="DH15" s="168">
        <f>'(Bloom Raw Data)'!DI15</f>
        <v>3.7178</v>
      </c>
      <c r="DI15" s="168">
        <f>'(Bloom Raw Data)'!DJ15</f>
        <v>3.0903</v>
      </c>
      <c r="DJ15" s="168">
        <f>'(Bloom Raw Data)'!DK15</f>
        <v>3.0617000000000001</v>
      </c>
      <c r="DK15" s="168">
        <f>'(Bloom Raw Data)'!DL15</f>
        <v>2.7141999999999999</v>
      </c>
      <c r="DL15" s="168">
        <f>'(Bloom Raw Data)'!DM15</f>
        <v>2.8990999999999998</v>
      </c>
      <c r="DM15" s="168">
        <f>'(Bloom Raw Data)'!DN15</f>
        <v>3.8435000000000001</v>
      </c>
      <c r="DN15" s="168">
        <f>'(Bloom Raw Data)'!DO15</f>
        <v>3.7730999999999999</v>
      </c>
      <c r="DO15" s="168">
        <f>'(Bloom Raw Data)'!DP15</f>
        <v>3.6457000000000002</v>
      </c>
      <c r="DR15" s="168">
        <f>'(Bloom Raw Data)'!DS15</f>
        <v>1.7317</v>
      </c>
      <c r="DS15" s="168">
        <f>'(Bloom Raw Data)'!DT15</f>
        <v>1.7845</v>
      </c>
      <c r="DT15" s="168">
        <f>'(Bloom Raw Data)'!DU15</f>
        <v>1.5479000000000001</v>
      </c>
      <c r="DU15" s="168">
        <f>'(Bloom Raw Data)'!DV15</f>
        <v>1.4929999999999999</v>
      </c>
      <c r="DV15" s="168">
        <f>'(Bloom Raw Data)'!DW15</f>
        <v>1.43</v>
      </c>
      <c r="DW15" s="168">
        <f>'(Bloom Raw Data)'!DX15</f>
        <v>1.518</v>
      </c>
      <c r="DX15" s="168">
        <f>'(Bloom Raw Data)'!DY15</f>
        <v>1.2915000000000001</v>
      </c>
      <c r="DY15" s="168">
        <f>'(Bloom Raw Data)'!DZ15</f>
        <v>1.0226999999999999</v>
      </c>
      <c r="DZ15" s="168">
        <f>'(Bloom Raw Data)'!EA15</f>
        <v>0.96930000000000005</v>
      </c>
      <c r="EA15" s="168">
        <f>'(Bloom Raw Data)'!EB15</f>
        <v>0.98089999999999999</v>
      </c>
      <c r="EB15" s="168">
        <f>'(Bloom Raw Data)'!EC15</f>
        <v>0.87039999999999995</v>
      </c>
      <c r="EC15" s="168">
        <f>'(Bloom Raw Data)'!ED15</f>
        <v>0.93240000000000001</v>
      </c>
      <c r="ED15" s="168">
        <f>'(Bloom Raw Data)'!EE15</f>
        <v>1.2439</v>
      </c>
      <c r="EE15" s="168">
        <f>'(Bloom Raw Data)'!EF15</f>
        <v>1.2138</v>
      </c>
      <c r="EF15" s="168">
        <f>'(Bloom Raw Data)'!EG15</f>
        <v>1.1727000000000001</v>
      </c>
      <c r="EH15" s="167">
        <f>'(Bloom Raw Data)'!EJ15</f>
        <v>12.274000000000001</v>
      </c>
      <c r="EI15" s="167">
        <f>'(Bloom Raw Data)'!EK15</f>
        <v>21.447700000000001</v>
      </c>
      <c r="EJ15" s="167">
        <f>'(Bloom Raw Data)'!EL15</f>
        <v>21.0275</v>
      </c>
      <c r="EK15" s="167">
        <f>'(Bloom Raw Data)'!EM15</f>
        <v>24.029699999999998</v>
      </c>
      <c r="EL15" s="167">
        <f>'(Bloom Raw Data)'!EN15</f>
        <v>75.873900000000006</v>
      </c>
      <c r="EM15" s="167">
        <f>'(Bloom Raw Data)'!EO15</f>
        <v>967.22730000000001</v>
      </c>
      <c r="EN15" s="167">
        <f>'(Bloom Raw Data)'!EP15</f>
        <v>24.817499999999999</v>
      </c>
      <c r="EO15" s="167">
        <f>'(Bloom Raw Data)'!EQ15</f>
        <v>14.924300000000001</v>
      </c>
      <c r="EP15" s="167" t="str">
        <f>'(Bloom Raw Data)'!ER15</f>
        <v>#N/A N/A</v>
      </c>
      <c r="EQ15" s="167" t="str">
        <f>'(Bloom Raw Data)'!ES15</f>
        <v>#N/A N/A</v>
      </c>
      <c r="ER15" s="167" t="str">
        <f>'(Bloom Raw Data)'!ET15</f>
        <v>#N/A N/A</v>
      </c>
      <c r="ES15" s="167" t="str">
        <f>'(Bloom Raw Data)'!EU15</f>
        <v>#N/A N/A</v>
      </c>
      <c r="ET15" s="167">
        <f>'(Bloom Raw Data)'!EV15</f>
        <v>5.3414000000000001</v>
      </c>
      <c r="EU15" s="167" t="str">
        <f>'(Bloom Raw Data)'!EW15</f>
        <v>#N/A N/A</v>
      </c>
      <c r="EV15" s="167" t="str">
        <f>'(Bloom Raw Data)'!EX15</f>
        <v>#N/A N/A</v>
      </c>
      <c r="EY15" s="167">
        <f>'(Bloom Raw Data)'!FR15</f>
        <v>868.8</v>
      </c>
      <c r="EZ15" s="167">
        <f>'(Bloom Raw Data)'!FS15</f>
        <v>878.5</v>
      </c>
      <c r="FA15" s="167">
        <f>'(Bloom Raw Data)'!FT15</f>
        <v>761.1</v>
      </c>
      <c r="FB15" s="167">
        <f>'(Bloom Raw Data)'!FU15</f>
        <v>794.9</v>
      </c>
      <c r="FC15" s="167">
        <f>'(Bloom Raw Data)'!FV15</f>
        <v>1004.3</v>
      </c>
      <c r="FD15" s="167">
        <f>'(Bloom Raw Data)'!FW15</f>
        <v>469.1</v>
      </c>
      <c r="FE15" s="167">
        <f>'(Bloom Raw Data)'!FX15</f>
        <v>867.4</v>
      </c>
      <c r="FF15" s="167">
        <f>'(Bloom Raw Data)'!FY15</f>
        <v>1072</v>
      </c>
      <c r="FG15" s="167">
        <f>'(Bloom Raw Data)'!FZ15</f>
        <v>683.4</v>
      </c>
      <c r="FH15" s="167">
        <f>'(Bloom Raw Data)'!GA15</f>
        <v>849</v>
      </c>
      <c r="FI15" s="167">
        <f>'(Bloom Raw Data)'!GB15</f>
        <v>1310.2</v>
      </c>
      <c r="FJ15" s="167">
        <f>'(Bloom Raw Data)'!GC15</f>
        <v>1040.8</v>
      </c>
      <c r="FK15" s="167">
        <f>'(Bloom Raw Data)'!GD15</f>
        <v>1226.7</v>
      </c>
      <c r="FL15" s="167">
        <f>'(Bloom Raw Data)'!GE15</f>
        <v>1430.9</v>
      </c>
      <c r="FM15" s="167">
        <f>'(Bloom Raw Data)'!GF15</f>
        <v>1235</v>
      </c>
      <c r="FO15" s="168">
        <f>'(Bloom Raw Data)'!FA15</f>
        <v>4.4777000000000005</v>
      </c>
      <c r="FP15" s="168">
        <f>'(Bloom Raw Data)'!FB15</f>
        <v>3.6223999999999998</v>
      </c>
      <c r="FQ15" s="168">
        <f>'(Bloom Raw Data)'!FC15</f>
        <v>3.0564</v>
      </c>
      <c r="FR15" s="168">
        <f>'(Bloom Raw Data)'!FD15</f>
        <v>2.2770000000000001</v>
      </c>
      <c r="FS15" s="168">
        <f>'(Bloom Raw Data)'!FE15</f>
        <v>2.7324999999999999</v>
      </c>
      <c r="FT15" s="168">
        <f>'(Bloom Raw Data)'!FF15</f>
        <v>3.2467999999999999</v>
      </c>
      <c r="FU15" s="168">
        <f>'(Bloom Raw Data)'!FG15</f>
        <v>2.7231000000000001</v>
      </c>
      <c r="FV15" s="168">
        <f>'(Bloom Raw Data)'!FH15</f>
        <v>1.1045</v>
      </c>
      <c r="FW15" s="168" t="str">
        <f>'(Bloom Raw Data)'!FI15</f>
        <v>#N/A N/A</v>
      </c>
      <c r="FX15" s="168" t="str">
        <f>'(Bloom Raw Data)'!FJ15</f>
        <v>#N/A N/A</v>
      </c>
      <c r="FY15" s="168" t="str">
        <f>'(Bloom Raw Data)'!FK15</f>
        <v>#N/A N/A</v>
      </c>
      <c r="FZ15" s="168" t="str">
        <f>'(Bloom Raw Data)'!FL15</f>
        <v>#N/A N/A</v>
      </c>
      <c r="GA15" s="168">
        <f>'(Bloom Raw Data)'!FM15</f>
        <v>1.5394999999999999</v>
      </c>
      <c r="GB15" s="168" t="str">
        <f>'(Bloom Raw Data)'!FN15</f>
        <v>#N/A N/A</v>
      </c>
      <c r="GC15" s="168" t="str">
        <f>'(Bloom Raw Data)'!FO15</f>
        <v>#N/A N/A</v>
      </c>
      <c r="GD15" s="176"/>
      <c r="GE15" s="176"/>
      <c r="GF15" s="167">
        <f>'(Bloom Raw Data)'!GI15</f>
        <v>1884.1</v>
      </c>
      <c r="GG15" s="167">
        <f>'(Bloom Raw Data)'!GJ15</f>
        <v>2025</v>
      </c>
      <c r="GH15" s="167">
        <f>'(Bloom Raw Data)'!GK15</f>
        <v>1697.8</v>
      </c>
      <c r="GI15" s="167">
        <f>'(Bloom Raw Data)'!GL15</f>
        <v>1855.1</v>
      </c>
      <c r="GJ15" s="167">
        <f>'(Bloom Raw Data)'!GM15</f>
        <v>1652.6</v>
      </c>
      <c r="GK15" s="167">
        <f>'(Bloom Raw Data)'!GN15</f>
        <v>1713.7</v>
      </c>
      <c r="GL15" s="167">
        <f>'(Bloom Raw Data)'!GO15</f>
        <v>1660.8</v>
      </c>
      <c r="GM15" s="167">
        <f>'(Bloom Raw Data)'!GP15</f>
        <v>1910.2</v>
      </c>
      <c r="GN15" s="167">
        <f>'(Bloom Raw Data)'!GQ15</f>
        <v>1757.3</v>
      </c>
      <c r="GO15" s="167">
        <f>'(Bloom Raw Data)'!GR15</f>
        <v>1823.1</v>
      </c>
      <c r="GP15" s="167">
        <f>'(Bloom Raw Data)'!GS15</f>
        <v>1897.2</v>
      </c>
      <c r="GQ15" s="167">
        <f>'(Bloom Raw Data)'!GT15</f>
        <v>1968.9</v>
      </c>
      <c r="GR15" s="167">
        <f>'(Bloom Raw Data)'!GU15</f>
        <v>2013.8</v>
      </c>
      <c r="GS15" s="167">
        <f>'(Bloom Raw Data)'!GV15</f>
        <v>2172.1999999999998</v>
      </c>
      <c r="GT15" s="167">
        <f>'(Bloom Raw Data)'!GW15</f>
        <v>2241</v>
      </c>
      <c r="GV15" s="167">
        <f t="shared" si="17"/>
        <v>2273.0180844971146</v>
      </c>
      <c r="GW15" s="167">
        <f t="shared" si="18"/>
        <v>2218.7062715243792</v>
      </c>
      <c r="GX15" s="167">
        <f t="shared" si="19"/>
        <v>2296.6828277805403</v>
      </c>
      <c r="GY15" s="167">
        <f t="shared" si="20"/>
        <v>2214.5869663556687</v>
      </c>
      <c r="GZ15" s="167">
        <f t="shared" si="21"/>
        <v>1803.6857372900854</v>
      </c>
      <c r="HA15" s="167">
        <f t="shared" si="22"/>
        <v>1726.6989428923416</v>
      </c>
      <c r="HB15" s="167">
        <f t="shared" si="23"/>
        <v>1671.0076503201963</v>
      </c>
      <c r="HC15" s="167">
        <f t="shared" si="24"/>
        <v>1634.1065146054118</v>
      </c>
      <c r="HD15" s="167">
        <f t="shared" si="25"/>
        <v>1705.5085590395754</v>
      </c>
      <c r="HE15" s="167">
        <f t="shared" si="26"/>
        <v>1727.7916516967696</v>
      </c>
      <c r="HF15" s="167">
        <f t="shared" si="27"/>
        <v>1678.6901481099403</v>
      </c>
      <c r="HG15" s="167">
        <f t="shared" si="28"/>
        <v>1640.591079990342</v>
      </c>
      <c r="HH15" s="167">
        <f t="shared" si="29"/>
        <v>1484.8879927149733</v>
      </c>
      <c r="HI15" s="167">
        <f t="shared" si="30"/>
        <v>1432.6176883729561</v>
      </c>
      <c r="HJ15" s="167">
        <f t="shared" si="31"/>
        <v>1402.090764462243</v>
      </c>
      <c r="HL15" s="168">
        <f>'(Bloom Raw Data)'!HQ15</f>
        <v>5.6951000000000001</v>
      </c>
      <c r="HM15" s="168">
        <f>'(Bloom Raw Data)'!HR15</f>
        <v>5.4276999999999997</v>
      </c>
      <c r="HN15" s="168">
        <f>'(Bloom Raw Data)'!HS15</f>
        <v>5.7199</v>
      </c>
      <c r="HO15" s="168">
        <f>'(Bloom Raw Data)'!HT15</f>
        <v>4.8768000000000002</v>
      </c>
      <c r="HP15" s="168">
        <f>'(Bloom Raw Data)'!HU15</f>
        <v>4.8898999999999999</v>
      </c>
      <c r="HQ15" s="168">
        <f>'(Bloom Raw Data)'!HV15</f>
        <v>6.6874000000000002</v>
      </c>
      <c r="HR15" s="168">
        <f>'(Bloom Raw Data)'!HW15</f>
        <v>6</v>
      </c>
      <c r="HS15" s="168">
        <f>'(Bloom Raw Data)'!HX15</f>
        <v>5.2976999999999999</v>
      </c>
      <c r="HT15" s="168">
        <f>'(Bloom Raw Data)'!HY15</f>
        <v>3.6024000000000003</v>
      </c>
      <c r="HU15" s="168">
        <f>'(Bloom Raw Data)'!HZ15</f>
        <v>4.4120999999999997</v>
      </c>
      <c r="HV15" s="168">
        <f>'(Bloom Raw Data)'!IA15</f>
        <v>3.7010000000000001</v>
      </c>
      <c r="HW15" s="168">
        <f>'(Bloom Raw Data)'!IB15</f>
        <v>4.4615999999999998</v>
      </c>
      <c r="HX15" s="168">
        <f>'(Bloom Raw Data)'!IC15</f>
        <v>6.1590999999999996</v>
      </c>
      <c r="HY15" s="168">
        <f>'(Bloom Raw Data)'!ID15</f>
        <v>6.2649999999999997</v>
      </c>
      <c r="HZ15" s="168">
        <f>'(Bloom Raw Data)'!IE15</f>
        <v>7.5407999999999999</v>
      </c>
    </row>
    <row r="16" spans="1:236">
      <c r="A16" s="11" t="s">
        <v>503</v>
      </c>
      <c r="B16" s="11" t="s">
        <v>6</v>
      </c>
      <c r="D16" s="167">
        <f>'(Bloom Raw Data)'!D16</f>
        <v>20938.354599999999</v>
      </c>
      <c r="E16" s="167">
        <f>'(Bloom Raw Data)'!E16</f>
        <v>20514.968799999999</v>
      </c>
      <c r="F16" s="167">
        <f>'(Bloom Raw Data)'!F16</f>
        <v>17512.778200000001</v>
      </c>
      <c r="G16" s="167">
        <f>'(Bloom Raw Data)'!G16</f>
        <v>19753.664000000001</v>
      </c>
      <c r="H16" s="167">
        <f>'(Bloom Raw Data)'!H16</f>
        <v>18635.895700000001</v>
      </c>
      <c r="I16" s="167">
        <f>'(Bloom Raw Data)'!I16</f>
        <v>20909.9761</v>
      </c>
      <c r="J16" s="167">
        <f>'(Bloom Raw Data)'!J16</f>
        <v>18491.3567</v>
      </c>
      <c r="K16" s="167">
        <f>'(Bloom Raw Data)'!K16</f>
        <v>15800.5694</v>
      </c>
      <c r="L16" s="167">
        <f>'(Bloom Raw Data)'!L16</f>
        <v>16022.298000000001</v>
      </c>
      <c r="M16" s="167">
        <f>'(Bloom Raw Data)'!M16</f>
        <v>17188.782999999999</v>
      </c>
      <c r="N16" s="167">
        <f>'(Bloom Raw Data)'!N16</f>
        <v>15048.6204</v>
      </c>
      <c r="O16" s="167">
        <f>'(Bloom Raw Data)'!O16</f>
        <v>15038.98</v>
      </c>
      <c r="P16" s="167">
        <f>'(Bloom Raw Data)'!P16</f>
        <v>13168.7479</v>
      </c>
      <c r="Q16" s="167">
        <f>'(Bloom Raw Data)'!Q16</f>
        <v>10623.6898</v>
      </c>
      <c r="R16" s="167">
        <f>'(Bloom Raw Data)'!R16</f>
        <v>10295.917100000001</v>
      </c>
      <c r="T16" s="167">
        <f>'(Bloom Raw Data)'!U16</f>
        <v>36391</v>
      </c>
      <c r="U16" s="167">
        <f>'(Bloom Raw Data)'!V16</f>
        <v>36002</v>
      </c>
      <c r="V16" s="167">
        <f>'(Bloom Raw Data)'!W16</f>
        <v>37251</v>
      </c>
      <c r="W16" s="167">
        <f>'(Bloom Raw Data)'!X16</f>
        <v>36679</v>
      </c>
      <c r="X16" s="167">
        <f>'(Bloom Raw Data)'!Y16</f>
        <v>34388</v>
      </c>
      <c r="Y16" s="167">
        <f>'(Bloom Raw Data)'!Z16</f>
        <v>32791</v>
      </c>
      <c r="Z16" s="167">
        <f>'(Bloom Raw Data)'!AA16</f>
        <v>33433</v>
      </c>
      <c r="AA16" s="167">
        <f>'(Bloom Raw Data)'!AB16</f>
        <v>33558</v>
      </c>
      <c r="AB16" s="167">
        <f>'(Bloom Raw Data)'!AC16</f>
        <v>33768</v>
      </c>
      <c r="AC16" s="167">
        <f>'(Bloom Raw Data)'!AD16</f>
        <v>33395</v>
      </c>
      <c r="AD16" s="167">
        <f>'(Bloom Raw Data)'!AE16</f>
        <v>34003</v>
      </c>
      <c r="AE16" s="167">
        <f>'(Bloom Raw Data)'!AF16</f>
        <v>32976</v>
      </c>
      <c r="AF16" s="167">
        <f>'(Bloom Raw Data)'!AG16</f>
        <v>31549</v>
      </c>
      <c r="AG16" s="167">
        <f>'(Bloom Raw Data)'!AH16</f>
        <v>31870</v>
      </c>
      <c r="AH16" s="167">
        <f>'(Bloom Raw Data)'!AI16</f>
        <v>31339</v>
      </c>
      <c r="AJ16" s="167">
        <f>'(Bloom Raw Data)'!AL16</f>
        <v>1082</v>
      </c>
      <c r="AK16" s="167">
        <f>'(Bloom Raw Data)'!AP16</f>
        <v>872</v>
      </c>
      <c r="AL16" s="167">
        <f>'(Bloom Raw Data)'!AT16</f>
        <v>975</v>
      </c>
      <c r="AM16" s="167">
        <f>'(Bloom Raw Data)'!AX16</f>
        <v>865</v>
      </c>
      <c r="AO16" s="168" t="str">
        <f>'(Bloom Raw Data)'!BC16</f>
        <v>#N/A N/A</v>
      </c>
      <c r="AP16" s="168" t="str">
        <f>'(Bloom Raw Data)'!BD16</f>
        <v>#N/A N/A</v>
      </c>
      <c r="AQ16" s="168" t="str">
        <f>'(Bloom Raw Data)'!BE16</f>
        <v>#N/A N/A</v>
      </c>
      <c r="AR16" s="168" t="str">
        <f>'(Bloom Raw Data)'!BF16</f>
        <v>#N/A N/A</v>
      </c>
      <c r="AS16" s="168" t="str">
        <f>'(Bloom Raw Data)'!BG16</f>
        <v>#N/A N/A</v>
      </c>
      <c r="AT16" s="168" t="str">
        <f>'(Bloom Raw Data)'!BH16</f>
        <v>#N/A N/A</v>
      </c>
      <c r="AU16" s="168" t="str">
        <f>'(Bloom Raw Data)'!BI16</f>
        <v>#N/A N/A</v>
      </c>
      <c r="AV16" s="168" t="str">
        <f>'(Bloom Raw Data)'!BJ16</f>
        <v>#N/A N/A</v>
      </c>
      <c r="AW16" s="168">
        <f>'(Bloom Raw Data)'!BK16</f>
        <v>1.6449</v>
      </c>
      <c r="AX16" s="168" t="str">
        <f>'(Bloom Raw Data)'!BL16</f>
        <v>#N/A N/A</v>
      </c>
      <c r="AY16" s="168" t="str">
        <f>'(Bloom Raw Data)'!BM16</f>
        <v>#N/A N/A</v>
      </c>
      <c r="AZ16" s="168" t="str">
        <f>'(Bloom Raw Data)'!BN16</f>
        <v>#N/A N/A</v>
      </c>
      <c r="BA16" s="168">
        <f>'(Bloom Raw Data)'!BO16</f>
        <v>1.3711</v>
      </c>
      <c r="BB16" s="168" t="str">
        <f>'(Bloom Raw Data)'!BP16</f>
        <v>#N/A N/A</v>
      </c>
      <c r="BC16" s="168" t="str">
        <f>'(Bloom Raw Data)'!BQ16</f>
        <v>#N/A N/A</v>
      </c>
      <c r="BE16" s="168">
        <f>'(Bloom Raw Data)'!BT16</f>
        <v>3.2726000000000002</v>
      </c>
      <c r="BF16" s="168">
        <f>'(Bloom Raw Data)'!BU16</f>
        <v>3.2124999999999999</v>
      </c>
      <c r="BG16" s="168">
        <f>'(Bloom Raw Data)'!BV16</f>
        <v>3.2948</v>
      </c>
      <c r="BH16" s="168">
        <f>'(Bloom Raw Data)'!BW16</f>
        <v>3.3136999999999999</v>
      </c>
      <c r="BI16" s="168">
        <f>'(Bloom Raw Data)'!BX16</f>
        <v>3.0133000000000001</v>
      </c>
      <c r="BJ16" s="168">
        <f>'(Bloom Raw Data)'!BY16</f>
        <v>2.8477000000000001</v>
      </c>
      <c r="BK16" s="168">
        <f>'(Bloom Raw Data)'!BZ16</f>
        <v>2.8734999999999999</v>
      </c>
      <c r="BL16" s="168">
        <f>'(Bloom Raw Data)'!CA16</f>
        <v>2.7778</v>
      </c>
      <c r="BM16" s="168">
        <f>'(Bloom Raw Data)'!CB16</f>
        <v>2.7744999999999997</v>
      </c>
      <c r="BN16" s="168">
        <f>'(Bloom Raw Data)'!CC16</f>
        <v>2.7362000000000002</v>
      </c>
      <c r="BO16" s="168">
        <f>'(Bloom Raw Data)'!CD16</f>
        <v>2.8162000000000003</v>
      </c>
      <c r="BP16" s="168">
        <f>'(Bloom Raw Data)'!CE16</f>
        <v>2.7747999999999999</v>
      </c>
      <c r="BQ16" s="168">
        <f>'(Bloom Raw Data)'!CF16</f>
        <v>2.673</v>
      </c>
      <c r="BR16" s="168">
        <f>'(Bloom Raw Data)'!CG16</f>
        <v>2.7683999999999997</v>
      </c>
      <c r="BS16" s="168">
        <f>'(Bloom Raw Data)'!CH16</f>
        <v>2.8031000000000001</v>
      </c>
      <c r="BU16" s="167">
        <f>'(Bloom Raw Data)'!CK16</f>
        <v>58497.354599999999</v>
      </c>
      <c r="BV16" s="167">
        <f>'(Bloom Raw Data)'!CL16</f>
        <v>57738.968800000002</v>
      </c>
      <c r="BW16" s="167">
        <f>'(Bloom Raw Data)'!CM16</f>
        <v>56127.778200000001</v>
      </c>
      <c r="BX16" s="167">
        <f>'(Bloom Raw Data)'!CN16</f>
        <v>57779.663999999997</v>
      </c>
      <c r="BY16" s="167">
        <f>'(Bloom Raw Data)'!CO16</f>
        <v>56814.895700000001</v>
      </c>
      <c r="BZ16" s="167">
        <f>'(Bloom Raw Data)'!CP16</f>
        <v>57262.9761</v>
      </c>
      <c r="CA16" s="167">
        <f>'(Bloom Raw Data)'!CQ16</f>
        <v>55517.356699999997</v>
      </c>
      <c r="CB16" s="167">
        <f>'(Bloom Raw Data)'!CR16</f>
        <v>52908.5694</v>
      </c>
      <c r="CC16" s="167">
        <f>'(Bloom Raw Data)'!CS16</f>
        <v>53694.298000000003</v>
      </c>
      <c r="CD16" s="167">
        <f>'(Bloom Raw Data)'!CT16</f>
        <v>54501.783000000003</v>
      </c>
      <c r="CE16" s="167">
        <f>'(Bloom Raw Data)'!CU16</f>
        <v>52961.6204</v>
      </c>
      <c r="CF16" s="167">
        <f>'(Bloom Raw Data)'!CV16</f>
        <v>51828.98</v>
      </c>
      <c r="CG16" s="167">
        <f>'(Bloom Raw Data)'!CW16</f>
        <v>48351.747900000002</v>
      </c>
      <c r="CH16" s="167">
        <f>'(Bloom Raw Data)'!CX16</f>
        <v>46308.6898</v>
      </c>
      <c r="CI16" s="167">
        <f>'(Bloom Raw Data)'!CY16</f>
        <v>45150.917099999999</v>
      </c>
      <c r="CK16" s="167">
        <f t="shared" si="2"/>
        <v>1168</v>
      </c>
      <c r="CL16" s="167">
        <f t="shared" si="3"/>
        <v>1222</v>
      </c>
      <c r="CM16" s="167">
        <f t="shared" si="4"/>
        <v>1364</v>
      </c>
      <c r="CN16" s="167">
        <f t="shared" si="5"/>
        <v>1347</v>
      </c>
      <c r="CO16" s="167">
        <f t="shared" si="6"/>
        <v>3791</v>
      </c>
      <c r="CP16" s="167">
        <f t="shared" si="7"/>
        <v>3562</v>
      </c>
      <c r="CQ16" s="167">
        <f t="shared" si="8"/>
        <v>3593</v>
      </c>
      <c r="CR16" s="167">
        <f t="shared" si="9"/>
        <v>3550</v>
      </c>
      <c r="CS16" s="167">
        <f t="shared" si="10"/>
        <v>3904</v>
      </c>
      <c r="CT16" s="167">
        <f t="shared" si="11"/>
        <v>3918</v>
      </c>
      <c r="CU16" s="167">
        <f t="shared" si="12"/>
        <v>3910</v>
      </c>
      <c r="CV16" s="167">
        <f t="shared" si="13"/>
        <v>3814</v>
      </c>
      <c r="CW16" s="167">
        <f t="shared" si="14"/>
        <v>3634</v>
      </c>
      <c r="CX16" s="167">
        <f t="shared" si="15"/>
        <v>3815</v>
      </c>
      <c r="CY16" s="167">
        <f t="shared" si="16"/>
        <v>3516</v>
      </c>
      <c r="DA16" s="168">
        <f>'(Bloom Raw Data)'!DB16</f>
        <v>5.2606000000000002</v>
      </c>
      <c r="DB16" s="168">
        <f>'(Bloom Raw Data)'!DC16</f>
        <v>5.1520000000000001</v>
      </c>
      <c r="DC16" s="168">
        <f>'(Bloom Raw Data)'!DD16</f>
        <v>4.9644000000000004</v>
      </c>
      <c r="DD16" s="168">
        <f>'(Bloom Raw Data)'!DE16</f>
        <v>5.22</v>
      </c>
      <c r="DE16" s="168">
        <f>'(Bloom Raw Data)'!DF16</f>
        <v>4.9785000000000004</v>
      </c>
      <c r="DF16" s="168">
        <f>'(Bloom Raw Data)'!DG16</f>
        <v>4.9729000000000001</v>
      </c>
      <c r="DG16" s="168">
        <f>'(Bloom Raw Data)'!DH16</f>
        <v>4.7716000000000003</v>
      </c>
      <c r="DH16" s="168">
        <f>'(Bloom Raw Data)'!DI16</f>
        <v>4.3795000000000002</v>
      </c>
      <c r="DI16" s="168">
        <f>'(Bloom Raw Data)'!DJ16</f>
        <v>4.4116999999999997</v>
      </c>
      <c r="DJ16" s="168">
        <f>'(Bloom Raw Data)'!DK16</f>
        <v>4.4655000000000005</v>
      </c>
      <c r="DK16" s="168">
        <f>'(Bloom Raw Data)'!DL16</f>
        <v>4.3864000000000001</v>
      </c>
      <c r="DL16" s="168">
        <f>'(Bloom Raw Data)'!DM16</f>
        <v>4.3612000000000002</v>
      </c>
      <c r="DM16" s="168">
        <f>'(Bloom Raw Data)'!DN16</f>
        <v>4.0965999999999996</v>
      </c>
      <c r="DN16" s="168">
        <f>'(Bloom Raw Data)'!DO16</f>
        <v>4.0225999999999997</v>
      </c>
      <c r="DO16" s="168">
        <f>'(Bloom Raw Data)'!DP16</f>
        <v>4.0385</v>
      </c>
      <c r="DR16" s="168">
        <f>'(Bloom Raw Data)'!DS16</f>
        <v>2.2124000000000001</v>
      </c>
      <c r="DS16" s="168">
        <f>'(Bloom Raw Data)'!DT16</f>
        <v>2.1873</v>
      </c>
      <c r="DT16" s="168">
        <f>'(Bloom Raw Data)'!DU16</f>
        <v>2.1307</v>
      </c>
      <c r="DU16" s="168">
        <f>'(Bloom Raw Data)'!DV16</f>
        <v>2.1932</v>
      </c>
      <c r="DV16" s="168">
        <f>'(Bloom Raw Data)'!DW16</f>
        <v>2.0607000000000002</v>
      </c>
      <c r="DW16" s="168">
        <f>'(Bloom Raw Data)'!DX16</f>
        <v>2.0333999999999999</v>
      </c>
      <c r="DX16" s="168">
        <f>'(Bloom Raw Data)'!DY16</f>
        <v>1.9216</v>
      </c>
      <c r="DY16" s="168">
        <f>'(Bloom Raw Data)'!DZ16</f>
        <v>1.7795999999999998</v>
      </c>
      <c r="DZ16" s="168">
        <f>'(Bloom Raw Data)'!EA16</f>
        <v>1.7924</v>
      </c>
      <c r="EA16" s="168">
        <f>'(Bloom Raw Data)'!EB16</f>
        <v>1.8002</v>
      </c>
      <c r="EB16" s="168">
        <f>'(Bloom Raw Data)'!EC16</f>
        <v>1.7532999999999999</v>
      </c>
      <c r="EC16" s="168">
        <f>'(Bloom Raw Data)'!ED16</f>
        <v>1.73</v>
      </c>
      <c r="ED16" s="168">
        <f>'(Bloom Raw Data)'!EE16</f>
        <v>1.6389</v>
      </c>
      <c r="EE16" s="168">
        <f>'(Bloom Raw Data)'!EF16</f>
        <v>1.6019999999999999</v>
      </c>
      <c r="EF16" s="168">
        <f>'(Bloom Raw Data)'!EG16</f>
        <v>1.5859000000000001</v>
      </c>
      <c r="EH16" s="167" t="str">
        <f>'(Bloom Raw Data)'!EJ16</f>
        <v>#N/A N/A</v>
      </c>
      <c r="EI16" s="167">
        <f>'(Bloom Raw Data)'!EK16</f>
        <v>8.9060000000000006</v>
      </c>
      <c r="EJ16" s="167">
        <f>'(Bloom Raw Data)'!EL16</f>
        <v>7.2773000000000003</v>
      </c>
      <c r="EK16" s="167">
        <f>'(Bloom Raw Data)'!EM16</f>
        <v>8.6682000000000006</v>
      </c>
      <c r="EL16" s="167" t="str">
        <f>'(Bloom Raw Data)'!EN16</f>
        <v>#N/A N/A</v>
      </c>
      <c r="EM16" s="167">
        <f>'(Bloom Raw Data)'!EO16</f>
        <v>6.8076999999999996</v>
      </c>
      <c r="EN16" s="167" t="str">
        <f>'(Bloom Raw Data)'!EP16</f>
        <v>#N/A N/A</v>
      </c>
      <c r="EO16" s="167">
        <f>'(Bloom Raw Data)'!EQ16</f>
        <v>206.11170000000001</v>
      </c>
      <c r="EP16" s="167" t="str">
        <f>'(Bloom Raw Data)'!ER16</f>
        <v>#N/A N/A</v>
      </c>
      <c r="EQ16" s="167" t="str">
        <f>'(Bloom Raw Data)'!ES16</f>
        <v>#N/A N/A</v>
      </c>
      <c r="ER16" s="167" t="str">
        <f>'(Bloom Raw Data)'!ET16</f>
        <v>#N/A N/A</v>
      </c>
      <c r="ES16" s="167" t="str">
        <f>'(Bloom Raw Data)'!EU16</f>
        <v>#N/A N/A</v>
      </c>
      <c r="ET16" s="167" t="str">
        <f>'(Bloom Raw Data)'!EV16</f>
        <v>#N/A N/A</v>
      </c>
      <c r="EU16" s="167" t="str">
        <f>'(Bloom Raw Data)'!EW16</f>
        <v>#N/A N/A</v>
      </c>
      <c r="EV16" s="167" t="str">
        <f>'(Bloom Raw Data)'!EX16</f>
        <v>#N/A N/A</v>
      </c>
      <c r="EY16" s="167">
        <f>'(Bloom Raw Data)'!FR16</f>
        <v>5504</v>
      </c>
      <c r="EZ16" s="167">
        <f>'(Bloom Raw Data)'!FS16</f>
        <v>4560</v>
      </c>
      <c r="FA16" s="167">
        <f>'(Bloom Raw Data)'!FT16</f>
        <v>3507</v>
      </c>
      <c r="FB16" s="167">
        <f>'(Bloom Raw Data)'!FU16</f>
        <v>3818</v>
      </c>
      <c r="FC16" s="167">
        <f>'(Bloom Raw Data)'!FV16</f>
        <v>5526</v>
      </c>
      <c r="FD16" s="167">
        <f>'(Bloom Raw Data)'!FW16</f>
        <v>5487</v>
      </c>
      <c r="FE16" s="167">
        <f>'(Bloom Raw Data)'!FX16</f>
        <v>3760</v>
      </c>
      <c r="FF16" s="167">
        <f>'(Bloom Raw Data)'!FY16</f>
        <v>4142</v>
      </c>
      <c r="FG16" s="167">
        <f>'(Bloom Raw Data)'!FZ16</f>
        <v>6714</v>
      </c>
      <c r="FH16" s="167">
        <f>'(Bloom Raw Data)'!GA16</f>
        <v>5492</v>
      </c>
      <c r="FI16" s="167">
        <f>'(Bloom Raw Data)'!GB16</f>
        <v>6029</v>
      </c>
      <c r="FJ16" s="167">
        <f>'(Bloom Raw Data)'!GC16</f>
        <v>6754</v>
      </c>
      <c r="FK16" s="167">
        <f>'(Bloom Raw Data)'!GD16</f>
        <v>7436</v>
      </c>
      <c r="FL16" s="167">
        <f>'(Bloom Raw Data)'!GE16</f>
        <v>6476</v>
      </c>
      <c r="FM16" s="167">
        <f>'(Bloom Raw Data)'!GF16</f>
        <v>4793</v>
      </c>
      <c r="FO16" s="168" t="str">
        <f>'(Bloom Raw Data)'!FA16</f>
        <v>#N/A N/A</v>
      </c>
      <c r="FP16" s="168">
        <f>'(Bloom Raw Data)'!FB16</f>
        <v>0.76880000000000004</v>
      </c>
      <c r="FQ16" s="168">
        <f>'(Bloom Raw Data)'!FC16</f>
        <v>0.65180000000000005</v>
      </c>
      <c r="FR16" s="168">
        <f>'(Bloom Raw Data)'!FD16</f>
        <v>0.72699999999999998</v>
      </c>
      <c r="FS16" s="168" t="str">
        <f>'(Bloom Raw Data)'!FE16</f>
        <v>#N/A N/A</v>
      </c>
      <c r="FT16" s="168">
        <f>'(Bloom Raw Data)'!FF16</f>
        <v>0.71089999999999998</v>
      </c>
      <c r="FU16" s="168">
        <f>'(Bloom Raw Data)'!FG16</f>
        <v>0.71779999999999999</v>
      </c>
      <c r="FV16" s="168">
        <f>'(Bloom Raw Data)'!FH16</f>
        <v>0.60150000000000003</v>
      </c>
      <c r="FW16" s="168" t="str">
        <f>'(Bloom Raw Data)'!FI16</f>
        <v>#N/A N/A</v>
      </c>
      <c r="FX16" s="168" t="str">
        <f>'(Bloom Raw Data)'!FJ16</f>
        <v>#N/A N/A</v>
      </c>
      <c r="FY16" s="168" t="str">
        <f>'(Bloom Raw Data)'!FK16</f>
        <v>#N/A N/A</v>
      </c>
      <c r="FZ16" s="168" t="str">
        <f>'(Bloom Raw Data)'!FL16</f>
        <v>#N/A N/A</v>
      </c>
      <c r="GA16" s="168" t="str">
        <f>'(Bloom Raw Data)'!FM16</f>
        <v>#N/A N/A</v>
      </c>
      <c r="GB16" s="168" t="str">
        <f>'(Bloom Raw Data)'!FN16</f>
        <v>#N/A N/A</v>
      </c>
      <c r="GC16" s="168" t="str">
        <f>'(Bloom Raw Data)'!FO16</f>
        <v>#N/A N/A</v>
      </c>
      <c r="GD16" s="176"/>
      <c r="GE16" s="176"/>
      <c r="GF16" s="167">
        <f>'(Bloom Raw Data)'!GI16</f>
        <v>27120</v>
      </c>
      <c r="GG16" s="167">
        <f>'(Bloom Raw Data)'!GJ16</f>
        <v>27907</v>
      </c>
      <c r="GH16" s="167">
        <f>'(Bloom Raw Data)'!GK16</f>
        <v>28234</v>
      </c>
      <c r="GI16" s="167">
        <f>'(Bloom Raw Data)'!GL16</f>
        <v>28518</v>
      </c>
      <c r="GJ16" s="167">
        <f>'(Bloom Raw Data)'!GM16</f>
        <v>32610</v>
      </c>
      <c r="GK16" s="167">
        <f>'(Bloom Raw Data)'!GN16</f>
        <v>32975</v>
      </c>
      <c r="GL16" s="167">
        <f>'(Bloom Raw Data)'!GO16</f>
        <v>29354</v>
      </c>
      <c r="GM16" s="167">
        <f>'(Bloom Raw Data)'!GP16</f>
        <v>29818</v>
      </c>
      <c r="GN16" s="167">
        <f>'(Bloom Raw Data)'!GQ16</f>
        <v>26694</v>
      </c>
      <c r="GO16" s="167">
        <f>'(Bloom Raw Data)'!GR16</f>
        <v>27074</v>
      </c>
      <c r="GP16" s="167">
        <f>'(Bloom Raw Data)'!GS16</f>
        <v>26828</v>
      </c>
      <c r="GQ16" s="167">
        <f>'(Bloom Raw Data)'!GT16</f>
        <v>27150</v>
      </c>
      <c r="GR16" s="167">
        <f>'(Bloom Raw Data)'!GU16</f>
        <v>23012</v>
      </c>
      <c r="GS16" s="167">
        <f>'(Bloom Raw Data)'!GV16</f>
        <v>23758</v>
      </c>
      <c r="GT16" s="167">
        <f>'(Bloom Raw Data)'!GW16</f>
        <v>20478</v>
      </c>
      <c r="GV16" s="167">
        <f t="shared" si="17"/>
        <v>11119.901646200053</v>
      </c>
      <c r="GW16" s="167">
        <f t="shared" si="18"/>
        <v>11207.09798136646</v>
      </c>
      <c r="GX16" s="167">
        <f t="shared" si="19"/>
        <v>11306.054749818708</v>
      </c>
      <c r="GY16" s="167">
        <f t="shared" si="20"/>
        <v>11068.901149425288</v>
      </c>
      <c r="GZ16" s="167">
        <f t="shared" si="21"/>
        <v>11412.050959124233</v>
      </c>
      <c r="HA16" s="167">
        <f t="shared" si="22"/>
        <v>11515.006555530977</v>
      </c>
      <c r="HB16" s="167">
        <f t="shared" si="23"/>
        <v>11634.956136306479</v>
      </c>
      <c r="HC16" s="167">
        <f t="shared" si="24"/>
        <v>12080.961159949766</v>
      </c>
      <c r="HD16" s="167">
        <f t="shared" si="25"/>
        <v>12170.886052995445</v>
      </c>
      <c r="HE16" s="167">
        <f t="shared" si="26"/>
        <v>12205.079610345985</v>
      </c>
      <c r="HF16" s="167">
        <f t="shared" si="27"/>
        <v>12074.051705270836</v>
      </c>
      <c r="HG16" s="167">
        <f t="shared" si="28"/>
        <v>11884.109878015226</v>
      </c>
      <c r="HH16" s="167">
        <f t="shared" si="29"/>
        <v>11802.897012156423</v>
      </c>
      <c r="HI16" s="167">
        <f t="shared" si="30"/>
        <v>11512.128921593001</v>
      </c>
      <c r="HJ16" s="167">
        <f t="shared" si="31"/>
        <v>11180.12061408939</v>
      </c>
      <c r="HL16" s="168">
        <f>'(Bloom Raw Data)'!HQ16</f>
        <v>5.7655000000000003</v>
      </c>
      <c r="HM16" s="168">
        <f>'(Bloom Raw Data)'!HR16</f>
        <v>5.6718999999999999</v>
      </c>
      <c r="HN16" s="168">
        <f>'(Bloom Raw Data)'!HS16</f>
        <v>6.5477999999999996</v>
      </c>
      <c r="HO16" s="168">
        <f>'(Bloom Raw Data)'!HT16</f>
        <v>6.1421000000000001</v>
      </c>
      <c r="HP16" s="168">
        <f>'(Bloom Raw Data)'!HU16</f>
        <v>6.2971000000000004</v>
      </c>
      <c r="HQ16" s="168">
        <f>'(Bloom Raw Data)'!HV16</f>
        <v>6.2187999999999999</v>
      </c>
      <c r="HR16" s="168">
        <f>'(Bloom Raw Data)'!HW16</f>
        <v>5.3169000000000004</v>
      </c>
      <c r="HS16" s="168">
        <f>'(Bloom Raw Data)'!HX16</f>
        <v>5.34</v>
      </c>
      <c r="HT16" s="168">
        <f>'(Bloom Raw Data)'!HY16</f>
        <v>6.4840999999999998</v>
      </c>
      <c r="HU16" s="168">
        <f>'(Bloom Raw Data)'!HZ16</f>
        <v>5.0316999999999998</v>
      </c>
      <c r="HV16" s="168">
        <f>'(Bloom Raw Data)'!IA16</f>
        <v>4.4500999999999999</v>
      </c>
      <c r="HW16" s="168">
        <f>'(Bloom Raw Data)'!IB16</f>
        <v>4.1136999999999997</v>
      </c>
      <c r="HX16" s="168">
        <f>'(Bloom Raw Data)'!IC16</f>
        <v>4.9843000000000002</v>
      </c>
      <c r="HY16" s="168">
        <f>'(Bloom Raw Data)'!ID16</f>
        <v>3.7029999999999998</v>
      </c>
      <c r="HZ16" s="168">
        <f>'(Bloom Raw Data)'!IE16</f>
        <v>5.3293999999999997</v>
      </c>
    </row>
    <row r="17" spans="1:236">
      <c r="A17" s="11" t="s">
        <v>504</v>
      </c>
      <c r="B17" s="11" t="s">
        <v>14</v>
      </c>
      <c r="D17" s="167">
        <f>'(Bloom Raw Data)'!D17</f>
        <v>134221.14689999999</v>
      </c>
      <c r="E17" s="167">
        <f>'(Bloom Raw Data)'!E17</f>
        <v>133625.93400000001</v>
      </c>
      <c r="F17" s="167">
        <f>'(Bloom Raw Data)'!F17</f>
        <v>137024.6085</v>
      </c>
      <c r="G17" s="167">
        <f>'(Bloom Raw Data)'!G17</f>
        <v>152691.57689999999</v>
      </c>
      <c r="H17" s="167">
        <f>'(Bloom Raw Data)'!H17</f>
        <v>154691.94409999999</v>
      </c>
      <c r="I17" s="167">
        <f>'(Bloom Raw Data)'!I17</f>
        <v>150867.99</v>
      </c>
      <c r="J17" s="167">
        <f>'(Bloom Raw Data)'!J17</f>
        <v>146474.49309999999</v>
      </c>
      <c r="K17" s="167">
        <f>'(Bloom Raw Data)'!K17</f>
        <v>146828.1122</v>
      </c>
      <c r="L17" s="167">
        <f>'(Bloom Raw Data)'!L17</f>
        <v>155413.82939999999</v>
      </c>
      <c r="M17" s="167">
        <f>'(Bloom Raw Data)'!M17</f>
        <v>164730.50880000001</v>
      </c>
      <c r="N17" s="167">
        <f>'(Bloom Raw Data)'!N17</f>
        <v>159050.3866</v>
      </c>
      <c r="O17" s="167">
        <f>'(Bloom Raw Data)'!O17</f>
        <v>174246.19159999999</v>
      </c>
      <c r="P17" s="167">
        <f>'(Bloom Raw Data)'!P17</f>
        <v>173259.02970000001</v>
      </c>
      <c r="Q17" s="167">
        <f>'(Bloom Raw Data)'!Q17</f>
        <v>199205.3596</v>
      </c>
      <c r="R17" s="167">
        <f>'(Bloom Raw Data)'!R17</f>
        <v>187817.73920000001</v>
      </c>
      <c r="T17" s="167">
        <f>'(Bloom Raw Data)'!U17</f>
        <v>27863</v>
      </c>
      <c r="U17" s="167">
        <f>'(Bloom Raw Data)'!V17</f>
        <v>22692</v>
      </c>
      <c r="V17" s="167">
        <f>'(Bloom Raw Data)'!W17</f>
        <v>26981</v>
      </c>
      <c r="W17" s="167">
        <f>'(Bloom Raw Data)'!X17</f>
        <v>21442</v>
      </c>
      <c r="X17" s="167">
        <f>'(Bloom Raw Data)'!Y17</f>
        <v>20846</v>
      </c>
      <c r="Y17" s="167">
        <f>'(Bloom Raw Data)'!Z17</f>
        <v>20069</v>
      </c>
      <c r="Z17" s="167">
        <f>'(Bloom Raw Data)'!AA17</f>
        <v>25984</v>
      </c>
      <c r="AA17" s="167">
        <f>'(Bloom Raw Data)'!AB17</f>
        <v>21577</v>
      </c>
      <c r="AB17" s="167">
        <f>'(Bloom Raw Data)'!AC17</f>
        <v>21025</v>
      </c>
      <c r="AC17" s="167">
        <f>'(Bloom Raw Data)'!AD17</f>
        <v>25289</v>
      </c>
      <c r="AD17" s="167">
        <f>'(Bloom Raw Data)'!AE17</f>
        <v>33768</v>
      </c>
      <c r="AE17" s="167">
        <f>'(Bloom Raw Data)'!AF17</f>
        <v>33193</v>
      </c>
      <c r="AF17" s="167">
        <f>'(Bloom Raw Data)'!AG17</f>
        <v>41296</v>
      </c>
      <c r="AG17" s="167">
        <f>'(Bloom Raw Data)'!AH17</f>
        <v>37747</v>
      </c>
      <c r="AH17" s="167">
        <f>'(Bloom Raw Data)'!AI17</f>
        <v>39215</v>
      </c>
      <c r="AJ17" s="167">
        <f>'(Bloom Raw Data)'!AL17</f>
        <v>10953</v>
      </c>
      <c r="AK17" s="167">
        <f>'(Bloom Raw Data)'!AP17</f>
        <v>11843</v>
      </c>
      <c r="AL17" s="167">
        <f>'(Bloom Raw Data)'!AT17</f>
        <v>10054</v>
      </c>
      <c r="AM17" s="167">
        <f>'(Bloom Raw Data)'!AX17</f>
        <v>8646</v>
      </c>
      <c r="AO17" s="168" t="str">
        <f>'(Bloom Raw Data)'!BC17</f>
        <v>#N/A N/A</v>
      </c>
      <c r="AP17" s="168" t="str">
        <f>'(Bloom Raw Data)'!BD17</f>
        <v>#N/A N/A</v>
      </c>
      <c r="AQ17" s="168">
        <f>'(Bloom Raw Data)'!BE17</f>
        <v>7.7995000000000001</v>
      </c>
      <c r="AR17" s="168" t="str">
        <f>'(Bloom Raw Data)'!BF17</f>
        <v>#N/A N/A</v>
      </c>
      <c r="AS17" s="168" t="str">
        <f>'(Bloom Raw Data)'!BG17</f>
        <v>#N/A N/A</v>
      </c>
      <c r="AT17" s="168" t="str">
        <f>'(Bloom Raw Data)'!BH17</f>
        <v>#N/A N/A</v>
      </c>
      <c r="AU17" s="168">
        <f>'(Bloom Raw Data)'!BI17</f>
        <v>5.9074999999999998</v>
      </c>
      <c r="AV17" s="168">
        <f>'(Bloom Raw Data)'!BJ17</f>
        <v>7.9965000000000002</v>
      </c>
      <c r="AW17" s="168">
        <f>'(Bloom Raw Data)'!BK17</f>
        <v>5.4036999999999997</v>
      </c>
      <c r="AX17" s="168">
        <f>'(Bloom Raw Data)'!BL17</f>
        <v>5.8254000000000001</v>
      </c>
      <c r="AY17" s="168">
        <f>'(Bloom Raw Data)'!BM17</f>
        <v>5.4282000000000004</v>
      </c>
      <c r="AZ17" s="168">
        <f>'(Bloom Raw Data)'!BN17</f>
        <v>6.8220000000000001</v>
      </c>
      <c r="BA17" s="168">
        <f>'(Bloom Raw Data)'!BO17</f>
        <v>6.5747999999999998</v>
      </c>
      <c r="BB17" s="168">
        <f>'(Bloom Raw Data)'!BP17</f>
        <v>8.3156999999999996</v>
      </c>
      <c r="BC17" s="168">
        <f>'(Bloom Raw Data)'!BQ17</f>
        <v>8.8516999999999992</v>
      </c>
      <c r="BE17" s="168">
        <f>'(Bloom Raw Data)'!BT17</f>
        <v>0.84250000000000003</v>
      </c>
      <c r="BF17" s="168">
        <f>'(Bloom Raw Data)'!BU17</f>
        <v>0.7016</v>
      </c>
      <c r="BG17" s="168">
        <f>'(Bloom Raw Data)'!BV17</f>
        <v>0.91379999999999995</v>
      </c>
      <c r="BH17" s="168">
        <f>'(Bloom Raw Data)'!BW17</f>
        <v>0.73880000000000001</v>
      </c>
      <c r="BI17" s="168">
        <f>'(Bloom Raw Data)'!BX17</f>
        <v>0.70840000000000003</v>
      </c>
      <c r="BJ17" s="168">
        <f>'(Bloom Raw Data)'!BY17</f>
        <v>0.67659999999999998</v>
      </c>
      <c r="BK17" s="168">
        <f>'(Bloom Raw Data)'!BZ17</f>
        <v>0.86660000000000004</v>
      </c>
      <c r="BL17" s="168">
        <f>'(Bloom Raw Data)'!CA17</f>
        <v>0.71230000000000004</v>
      </c>
      <c r="BM17" s="168">
        <f>'(Bloom Raw Data)'!CB17</f>
        <v>0.61150000000000004</v>
      </c>
      <c r="BN17" s="168">
        <f>'(Bloom Raw Data)'!CC17</f>
        <v>0.65720000000000001</v>
      </c>
      <c r="BO17" s="168">
        <f>'(Bloom Raw Data)'!CD17</f>
        <v>0.86480000000000001</v>
      </c>
      <c r="BP17" s="168">
        <f>'(Bloom Raw Data)'!CE17</f>
        <v>0.84570000000000001</v>
      </c>
      <c r="BQ17" s="168">
        <f>'(Bloom Raw Data)'!CF17</f>
        <v>1.0387999999999999</v>
      </c>
      <c r="BR17" s="168">
        <f>'(Bloom Raw Data)'!CG17</f>
        <v>1.0367</v>
      </c>
      <c r="BS17" s="168">
        <f>'(Bloom Raw Data)'!CH17</f>
        <v>1.0510999999999999</v>
      </c>
      <c r="BU17" s="167">
        <f>'(Bloom Raw Data)'!CK17</f>
        <v>171173.14689999999</v>
      </c>
      <c r="BV17" s="167">
        <f>'(Bloom Raw Data)'!CL17</f>
        <v>166746.93400000001</v>
      </c>
      <c r="BW17" s="167">
        <f>'(Bloom Raw Data)'!CM17</f>
        <v>174427.6085</v>
      </c>
      <c r="BX17" s="167">
        <f>'(Bloom Raw Data)'!CN17</f>
        <v>182859.57689999999</v>
      </c>
      <c r="BY17" s="167">
        <f>'(Bloom Raw Data)'!CO17</f>
        <v>183888.94409999999</v>
      </c>
      <c r="BZ17" s="167">
        <f>'(Bloom Raw Data)'!CP17</f>
        <v>178639.99</v>
      </c>
      <c r="CA17" s="167">
        <f>'(Bloom Raw Data)'!CQ17</f>
        <v>178863.49309999999</v>
      </c>
      <c r="CB17" s="167">
        <f>'(Bloom Raw Data)'!CR17</f>
        <v>174551.1122</v>
      </c>
      <c r="CC17" s="167">
        <f>'(Bloom Raw Data)'!CS17</f>
        <v>179348.82939999999</v>
      </c>
      <c r="CD17" s="167">
        <f>'(Bloom Raw Data)'!CT17</f>
        <v>191187.50880000001</v>
      </c>
      <c r="CE17" s="167">
        <f>'(Bloom Raw Data)'!CU17</f>
        <v>197002.3866</v>
      </c>
      <c r="CF17" s="167">
        <f>'(Bloom Raw Data)'!CV17</f>
        <v>211076.19159999999</v>
      </c>
      <c r="CG17" s="167">
        <f>'(Bloom Raw Data)'!CW17</f>
        <v>217612.02970000001</v>
      </c>
      <c r="CH17" s="167">
        <f>'(Bloom Raw Data)'!CX17</f>
        <v>240506.3596</v>
      </c>
      <c r="CI17" s="167">
        <f>'(Bloom Raw Data)'!CY17</f>
        <v>230589.73920000001</v>
      </c>
      <c r="CK17" s="167">
        <f t="shared" si="2"/>
        <v>9089</v>
      </c>
      <c r="CL17" s="167">
        <f t="shared" si="3"/>
        <v>10429</v>
      </c>
      <c r="CM17" s="167">
        <f t="shared" si="4"/>
        <v>10422</v>
      </c>
      <c r="CN17" s="167">
        <f t="shared" si="5"/>
        <v>8726</v>
      </c>
      <c r="CO17" s="167">
        <f t="shared" si="6"/>
        <v>8351</v>
      </c>
      <c r="CP17" s="167">
        <f t="shared" si="7"/>
        <v>7703</v>
      </c>
      <c r="CQ17" s="167">
        <f t="shared" si="8"/>
        <v>6405</v>
      </c>
      <c r="CR17" s="167">
        <f t="shared" si="9"/>
        <v>6146</v>
      </c>
      <c r="CS17" s="167">
        <f t="shared" si="10"/>
        <v>2910</v>
      </c>
      <c r="CT17" s="167">
        <f t="shared" si="11"/>
        <v>1168</v>
      </c>
      <c r="CU17" s="167">
        <f t="shared" si="12"/>
        <v>4184</v>
      </c>
      <c r="CV17" s="167">
        <f t="shared" si="13"/>
        <v>3637</v>
      </c>
      <c r="CW17" s="167">
        <f t="shared" si="14"/>
        <v>3057</v>
      </c>
      <c r="CX17" s="167">
        <f t="shared" si="15"/>
        <v>3554</v>
      </c>
      <c r="CY17" s="167">
        <f t="shared" si="16"/>
        <v>3557</v>
      </c>
      <c r="DA17" s="168">
        <f>'(Bloom Raw Data)'!DB17</f>
        <v>5.1759000000000004</v>
      </c>
      <c r="DB17" s="168">
        <f>'(Bloom Raw Data)'!DC17</f>
        <v>5.1558999999999999</v>
      </c>
      <c r="DC17" s="168">
        <f>'(Bloom Raw Data)'!DD17</f>
        <v>5.9076000000000004</v>
      </c>
      <c r="DD17" s="168">
        <f>'(Bloom Raw Data)'!DE17</f>
        <v>6.3009000000000004</v>
      </c>
      <c r="DE17" s="168">
        <f>'(Bloom Raw Data)'!DF17</f>
        <v>6.2493999999999996</v>
      </c>
      <c r="DF17" s="168">
        <f>'(Bloom Raw Data)'!DG17</f>
        <v>6.0228999999999999</v>
      </c>
      <c r="DG17" s="168">
        <f>'(Bloom Raw Data)'!DH17</f>
        <v>5.9653</v>
      </c>
      <c r="DH17" s="168">
        <f>'(Bloom Raw Data)'!DI17</f>
        <v>5.7625000000000002</v>
      </c>
      <c r="DI17" s="168">
        <f>'(Bloom Raw Data)'!DJ17</f>
        <v>5.2164000000000001</v>
      </c>
      <c r="DJ17" s="168">
        <f>'(Bloom Raw Data)'!DK17</f>
        <v>4.9681999999999995</v>
      </c>
      <c r="DK17" s="168">
        <f>'(Bloom Raw Data)'!DL17</f>
        <v>5.0453000000000001</v>
      </c>
      <c r="DL17" s="168">
        <f>'(Bloom Raw Data)'!DM17</f>
        <v>5.3780999999999999</v>
      </c>
      <c r="DM17" s="168">
        <f>'(Bloom Raw Data)'!DN17</f>
        <v>5.4737999999999998</v>
      </c>
      <c r="DN17" s="168">
        <f>'(Bloom Raw Data)'!DO17</f>
        <v>6.6056999999999997</v>
      </c>
      <c r="DO17" s="168">
        <f>'(Bloom Raw Data)'!DP17</f>
        <v>6.1806999999999999</v>
      </c>
      <c r="DR17" s="168">
        <f>'(Bloom Raw Data)'!DS17</f>
        <v>1.8862000000000001</v>
      </c>
      <c r="DS17" s="168">
        <f>'(Bloom Raw Data)'!DT17</f>
        <v>1.8847</v>
      </c>
      <c r="DT17" s="168">
        <f>'(Bloom Raw Data)'!DU17</f>
        <v>1.9931000000000001</v>
      </c>
      <c r="DU17" s="168">
        <f>'(Bloom Raw Data)'!DV17</f>
        <v>2.0581999999999998</v>
      </c>
      <c r="DV17" s="168">
        <f>'(Bloom Raw Data)'!DW17</f>
        <v>2.0074999999999998</v>
      </c>
      <c r="DW17" s="168">
        <f>'(Bloom Raw Data)'!DX17</f>
        <v>1.9135</v>
      </c>
      <c r="DX17" s="168">
        <f>'(Bloom Raw Data)'!DY17</f>
        <v>1.8995</v>
      </c>
      <c r="DY17" s="168">
        <f>'(Bloom Raw Data)'!DZ17</f>
        <v>1.8431999999999999</v>
      </c>
      <c r="DZ17" s="168">
        <f>'(Bloom Raw Data)'!EA17</f>
        <v>1.8205</v>
      </c>
      <c r="EA17" s="168">
        <f>'(Bloom Raw Data)'!EB17</f>
        <v>1.9207000000000001</v>
      </c>
      <c r="EB17" s="168">
        <f>'(Bloom Raw Data)'!EC17</f>
        <v>1.9594</v>
      </c>
      <c r="EC17" s="168">
        <f>'(Bloom Raw Data)'!ED17</f>
        <v>2.0865</v>
      </c>
      <c r="ED17" s="168">
        <f>'(Bloom Raw Data)'!EE17</f>
        <v>2.1393</v>
      </c>
      <c r="EE17" s="168">
        <f>'(Bloom Raw Data)'!EF17</f>
        <v>2.3738000000000001</v>
      </c>
      <c r="EF17" s="168">
        <f>'(Bloom Raw Data)'!EG17</f>
        <v>2.2671999999999999</v>
      </c>
      <c r="EH17" s="167" t="str">
        <f>'(Bloom Raw Data)'!EJ17</f>
        <v>#N/A N/A</v>
      </c>
      <c r="EI17" s="167">
        <f>'(Bloom Raw Data)'!EK17</f>
        <v>15.087999999999999</v>
      </c>
      <c r="EJ17" s="167">
        <f>'(Bloom Raw Data)'!EL17</f>
        <v>8.0397999999999996</v>
      </c>
      <c r="EK17" s="167">
        <f>'(Bloom Raw Data)'!EM17</f>
        <v>10.1319</v>
      </c>
      <c r="EL17" s="167" t="str">
        <f>'(Bloom Raw Data)'!EN17</f>
        <v>#N/A N/A</v>
      </c>
      <c r="EM17" s="167">
        <f>'(Bloom Raw Data)'!EO17</f>
        <v>9.0411999999999999</v>
      </c>
      <c r="EN17" s="167">
        <f>'(Bloom Raw Data)'!EP17</f>
        <v>12.5586</v>
      </c>
      <c r="EO17" s="167">
        <f>'(Bloom Raw Data)'!EQ17</f>
        <v>12.2468</v>
      </c>
      <c r="EP17" s="167" t="str">
        <f>'(Bloom Raw Data)'!ER17</f>
        <v>#N/A N/A</v>
      </c>
      <c r="EQ17" s="167" t="str">
        <f>'(Bloom Raw Data)'!ES17</f>
        <v>#N/A N/A</v>
      </c>
      <c r="ER17" s="167" t="str">
        <f>'(Bloom Raw Data)'!ET17</f>
        <v>#N/A N/A</v>
      </c>
      <c r="ES17" s="167" t="str">
        <f>'(Bloom Raw Data)'!EU17</f>
        <v>#N/A N/A</v>
      </c>
      <c r="ET17" s="167" t="str">
        <f>'(Bloom Raw Data)'!EV17</f>
        <v>#N/A N/A</v>
      </c>
      <c r="EU17" s="167" t="str">
        <f>'(Bloom Raw Data)'!EW17</f>
        <v>#N/A N/A</v>
      </c>
      <c r="EV17" s="167" t="str">
        <f>'(Bloom Raw Data)'!EX17</f>
        <v>#N/A N/A</v>
      </c>
      <c r="EY17" s="167">
        <f>'(Bloom Raw Data)'!FR17</f>
        <v>11479</v>
      </c>
      <c r="EZ17" s="167">
        <f>'(Bloom Raw Data)'!FS17</f>
        <v>16439</v>
      </c>
      <c r="FA17" s="167">
        <f>'(Bloom Raw Data)'!FT17</f>
        <v>14628</v>
      </c>
      <c r="FB17" s="167">
        <f>'(Bloom Raw Data)'!FU17</f>
        <v>13361</v>
      </c>
      <c r="FC17" s="167">
        <f>'(Bloom Raw Data)'!FV17</f>
        <v>13606</v>
      </c>
      <c r="FD17" s="167">
        <f>'(Bloom Raw Data)'!FW17</f>
        <v>15207</v>
      </c>
      <c r="FE17" s="167">
        <f>'(Bloom Raw Data)'!FX17</f>
        <v>11082</v>
      </c>
      <c r="FF17" s="167">
        <f>'(Bloom Raw Data)'!FY17</f>
        <v>11728</v>
      </c>
      <c r="FG17" s="167">
        <f>'(Bloom Raw Data)'!FZ17</f>
        <v>12899</v>
      </c>
      <c r="FH17" s="167">
        <f>'(Bloom Raw Data)'!GA17</f>
        <v>12687</v>
      </c>
      <c r="FI17" s="167">
        <f>'(Bloom Raw Data)'!GB17</f>
        <v>13945</v>
      </c>
      <c r="FJ17" s="167">
        <f>'(Bloom Raw Data)'!GC17</f>
        <v>8908</v>
      </c>
      <c r="FK17" s="167">
        <f>'(Bloom Raw Data)'!GD17</f>
        <v>8805</v>
      </c>
      <c r="FL17" s="167">
        <f>'(Bloom Raw Data)'!GE17</f>
        <v>9838</v>
      </c>
      <c r="FM17" s="167">
        <f>'(Bloom Raw Data)'!GF17</f>
        <v>16944</v>
      </c>
      <c r="FO17" s="168" t="str">
        <f>'(Bloom Raw Data)'!FA17</f>
        <v>#N/A N/A</v>
      </c>
      <c r="FP17" s="168">
        <f>'(Bloom Raw Data)'!FB17</f>
        <v>1.7093</v>
      </c>
      <c r="FQ17" s="168">
        <f>'(Bloom Raw Data)'!FC17</f>
        <v>1.5470000000000002</v>
      </c>
      <c r="FR17" s="168">
        <f>'(Bloom Raw Data)'!FD17</f>
        <v>1.7583</v>
      </c>
      <c r="FS17" s="168" t="str">
        <f>'(Bloom Raw Data)'!FE17</f>
        <v>#N/A N/A</v>
      </c>
      <c r="FT17" s="168">
        <f>'(Bloom Raw Data)'!FF17</f>
        <v>1.6901000000000002</v>
      </c>
      <c r="FU17" s="168">
        <f>'(Bloom Raw Data)'!FG17</f>
        <v>1.7549999999999999</v>
      </c>
      <c r="FV17" s="168">
        <f>'(Bloom Raw Data)'!FH17</f>
        <v>1.6785999999999999</v>
      </c>
      <c r="FW17" s="168" t="str">
        <f>'(Bloom Raw Data)'!FI17</f>
        <v>#N/A N/A</v>
      </c>
      <c r="FX17" s="168" t="str">
        <f>'(Bloom Raw Data)'!FJ17</f>
        <v>#N/A N/A</v>
      </c>
      <c r="FY17" s="168" t="str">
        <f>'(Bloom Raw Data)'!FK17</f>
        <v>#N/A N/A</v>
      </c>
      <c r="FZ17" s="168" t="str">
        <f>'(Bloom Raw Data)'!FL17</f>
        <v>#N/A N/A</v>
      </c>
      <c r="GA17" s="168" t="str">
        <f>'(Bloom Raw Data)'!FM17</f>
        <v>#N/A N/A</v>
      </c>
      <c r="GB17" s="168" t="str">
        <f>'(Bloom Raw Data)'!FN17</f>
        <v>#N/A N/A</v>
      </c>
      <c r="GC17" s="168" t="str">
        <f>'(Bloom Raw Data)'!FO17</f>
        <v>#N/A N/A</v>
      </c>
      <c r="GD17" s="176"/>
      <c r="GE17" s="176"/>
      <c r="GF17" s="167">
        <f>'(Bloom Raw Data)'!GI17</f>
        <v>85065</v>
      </c>
      <c r="GG17" s="167">
        <f>'(Bloom Raw Data)'!GJ17</f>
        <v>88603</v>
      </c>
      <c r="GH17" s="167">
        <f>'(Bloom Raw Data)'!GK17</f>
        <v>98999</v>
      </c>
      <c r="GI17" s="167">
        <f>'(Bloom Raw Data)'!GL17</f>
        <v>95565</v>
      </c>
      <c r="GJ17" s="167">
        <f>'(Bloom Raw Data)'!GM17</f>
        <v>96218</v>
      </c>
      <c r="GK17" s="167">
        <f>'(Bloom Raw Data)'!GN17</f>
        <v>96969</v>
      </c>
      <c r="GL17" s="167">
        <f>'(Bloom Raw Data)'!GO17</f>
        <v>89868</v>
      </c>
      <c r="GM17" s="167">
        <f>'(Bloom Raw Data)'!GP17</f>
        <v>93616</v>
      </c>
      <c r="GN17" s="167">
        <f>'(Bloom Raw Data)'!GQ17</f>
        <v>86902</v>
      </c>
      <c r="GO17" s="167">
        <f>'(Bloom Raw Data)'!GR17</f>
        <v>82771</v>
      </c>
      <c r="GP17" s="167">
        <f>'(Bloom Raw Data)'!GS17</f>
        <v>75487</v>
      </c>
      <c r="GQ17" s="167">
        <f>'(Bloom Raw Data)'!GT17</f>
        <v>76652</v>
      </c>
      <c r="GR17" s="167">
        <f>'(Bloom Raw Data)'!GU17</f>
        <v>77237</v>
      </c>
      <c r="GS17" s="167">
        <f>'(Bloom Raw Data)'!GV17</f>
        <v>81899</v>
      </c>
      <c r="GT17" s="167">
        <f>'(Bloom Raw Data)'!GW17</f>
        <v>74853</v>
      </c>
      <c r="GV17" s="167">
        <f t="shared" si="17"/>
        <v>33071.185088583625</v>
      </c>
      <c r="GW17" s="167">
        <f t="shared" si="18"/>
        <v>32340.994588723599</v>
      </c>
      <c r="GX17" s="167">
        <f t="shared" si="19"/>
        <v>29525.967990385263</v>
      </c>
      <c r="GY17" s="167">
        <f t="shared" si="20"/>
        <v>29021.183783269054</v>
      </c>
      <c r="GZ17" s="167">
        <f t="shared" si="21"/>
        <v>29425.055861362693</v>
      </c>
      <c r="HA17" s="167">
        <f t="shared" si="22"/>
        <v>29660.128841587939</v>
      </c>
      <c r="HB17" s="167">
        <f t="shared" si="23"/>
        <v>29983.98958979431</v>
      </c>
      <c r="HC17" s="167">
        <f t="shared" si="24"/>
        <v>30290.865457700649</v>
      </c>
      <c r="HD17" s="167">
        <f t="shared" si="25"/>
        <v>34381.724829384249</v>
      </c>
      <c r="HE17" s="167">
        <f t="shared" si="26"/>
        <v>38482.248862767206</v>
      </c>
      <c r="HF17" s="167">
        <f t="shared" si="27"/>
        <v>39046.714090341506</v>
      </c>
      <c r="HG17" s="167">
        <f t="shared" si="28"/>
        <v>39247.35345196259</v>
      </c>
      <c r="HH17" s="167">
        <f t="shared" si="29"/>
        <v>39755.202912053785</v>
      </c>
      <c r="HI17" s="167">
        <f t="shared" si="30"/>
        <v>36408.913453532557</v>
      </c>
      <c r="HJ17" s="167">
        <f t="shared" si="31"/>
        <v>37308.029705373177</v>
      </c>
      <c r="HL17" s="168">
        <f>'(Bloom Raw Data)'!HQ17</f>
        <v>9.3628</v>
      </c>
      <c r="HM17" s="168">
        <f>'(Bloom Raw Data)'!HR17</f>
        <v>8.4243000000000006</v>
      </c>
      <c r="HN17" s="168">
        <f>'(Bloom Raw Data)'!HS17</f>
        <v>10.4986</v>
      </c>
      <c r="HO17" s="168">
        <f>'(Bloom Raw Data)'!HT17</f>
        <v>9.3257999999999992</v>
      </c>
      <c r="HP17" s="168">
        <f>'(Bloom Raw Data)'!HU17</f>
        <v>11.4527</v>
      </c>
      <c r="HQ17" s="168">
        <f>'(Bloom Raw Data)'!HV17</f>
        <v>12.677300000000001</v>
      </c>
      <c r="HR17" s="168">
        <f>'(Bloom Raw Data)'!HW17</f>
        <v>12.357900000000001</v>
      </c>
      <c r="HS17" s="168">
        <f>'(Bloom Raw Data)'!HX17</f>
        <v>9.7513000000000005</v>
      </c>
      <c r="HT17" s="168">
        <f>'(Bloom Raw Data)'!HY17</f>
        <v>9.9550999999999998</v>
      </c>
      <c r="HU17" s="168">
        <f>'(Bloom Raw Data)'!HZ17</f>
        <v>9.8854000000000006</v>
      </c>
      <c r="HV17" s="168">
        <f>'(Bloom Raw Data)'!IA17</f>
        <v>10.507</v>
      </c>
      <c r="HW17" s="168">
        <f>'(Bloom Raw Data)'!IB17</f>
        <v>9.8899000000000008</v>
      </c>
      <c r="HX17" s="168">
        <f>'(Bloom Raw Data)'!IC17</f>
        <v>9.41</v>
      </c>
      <c r="HY17" s="168">
        <f>'(Bloom Raw Data)'!ID17</f>
        <v>8.8734000000000002</v>
      </c>
      <c r="HZ17" s="168">
        <f>'(Bloom Raw Data)'!IE17</f>
        <v>9.6113</v>
      </c>
    </row>
    <row r="18" spans="1:236">
      <c r="A18" s="11" t="s">
        <v>505</v>
      </c>
      <c r="B18" s="11" t="s">
        <v>7</v>
      </c>
      <c r="D18" s="167">
        <f>'(Bloom Raw Data)'!D18</f>
        <v>19285.647000000001</v>
      </c>
      <c r="E18" s="167">
        <f>'(Bloom Raw Data)'!E18</f>
        <v>18980.8253</v>
      </c>
      <c r="F18" s="167">
        <f>'(Bloom Raw Data)'!F18</f>
        <v>16950.055</v>
      </c>
      <c r="G18" s="167">
        <f>'(Bloom Raw Data)'!G18</f>
        <v>17841.259099999999</v>
      </c>
      <c r="H18" s="167">
        <f>'(Bloom Raw Data)'!H18</f>
        <v>17172.8999</v>
      </c>
      <c r="I18" s="167">
        <f>'(Bloom Raw Data)'!I18</f>
        <v>18369.581900000001</v>
      </c>
      <c r="J18" s="167">
        <f>'(Bloom Raw Data)'!J18</f>
        <v>15328.3616</v>
      </c>
      <c r="K18" s="167">
        <f>'(Bloom Raw Data)'!K18</f>
        <v>14628.9877</v>
      </c>
      <c r="L18" s="167">
        <f>'(Bloom Raw Data)'!L18</f>
        <v>13234.425300000001</v>
      </c>
      <c r="M18" s="167">
        <f>'(Bloom Raw Data)'!M18</f>
        <v>11807.197399999999</v>
      </c>
      <c r="N18" s="167">
        <f>'(Bloom Raw Data)'!N18</f>
        <v>10816.5839</v>
      </c>
      <c r="O18" s="167">
        <f>'(Bloom Raw Data)'!O18</f>
        <v>8511.8327000000008</v>
      </c>
      <c r="P18" s="167">
        <f>'(Bloom Raw Data)'!P18</f>
        <v>5319.5375000000004</v>
      </c>
      <c r="Q18" s="167">
        <f>'(Bloom Raw Data)'!Q18</f>
        <v>3756.3150000000001</v>
      </c>
      <c r="R18" s="167">
        <f>'(Bloom Raw Data)'!R18</f>
        <v>6819.5967000000001</v>
      </c>
      <c r="T18" s="167">
        <f>'(Bloom Raw Data)'!U18</f>
        <v>10679</v>
      </c>
      <c r="U18" s="167">
        <f>'(Bloom Raw Data)'!V18</f>
        <v>11148</v>
      </c>
      <c r="V18" s="167">
        <f>'(Bloom Raw Data)'!W18</f>
        <v>12336</v>
      </c>
      <c r="W18" s="167">
        <f>'(Bloom Raw Data)'!X18</f>
        <v>12182</v>
      </c>
      <c r="X18" s="167">
        <f>'(Bloom Raw Data)'!Y18</f>
        <v>11714</v>
      </c>
      <c r="Y18" s="167">
        <f>'(Bloom Raw Data)'!Z18</f>
        <v>11651</v>
      </c>
      <c r="Z18" s="127">
        <f>AVERAGE(Y18,AA18)</f>
        <v>12273</v>
      </c>
      <c r="AA18" s="167">
        <f>'(Bloom Raw Data)'!AB18</f>
        <v>12895</v>
      </c>
      <c r="AB18" s="167">
        <f>'(Bloom Raw Data)'!AC18</f>
        <v>12109</v>
      </c>
      <c r="AC18" s="167">
        <f>'(Bloom Raw Data)'!AD18</f>
        <v>12222</v>
      </c>
      <c r="AD18" s="167">
        <f>'(Bloom Raw Data)'!AE18</f>
        <v>12961</v>
      </c>
      <c r="AE18" s="167">
        <f>'(Bloom Raw Data)'!AF18</f>
        <v>13016</v>
      </c>
      <c r="AF18" s="167">
        <f>'(Bloom Raw Data)'!AG18</f>
        <v>12610</v>
      </c>
      <c r="AG18" s="167">
        <f>'(Bloom Raw Data)'!AH18</f>
        <v>12899</v>
      </c>
      <c r="AH18" s="167">
        <f>'(Bloom Raw Data)'!AI18</f>
        <v>9803</v>
      </c>
      <c r="AJ18" s="167">
        <f>'(Bloom Raw Data)'!AL18</f>
        <v>2078</v>
      </c>
      <c r="AK18" s="167">
        <f>'(Bloom Raw Data)'!AP18</f>
        <v>1820</v>
      </c>
      <c r="AL18" s="167">
        <f>'(Bloom Raw Data)'!AT18</f>
        <v>2222</v>
      </c>
      <c r="AM18" s="167">
        <f>'(Bloom Raw Data)'!AX18</f>
        <v>2484</v>
      </c>
      <c r="AO18" s="168">
        <f>'(Bloom Raw Data)'!BC18</f>
        <v>2.8845000000000001</v>
      </c>
      <c r="AP18" s="168">
        <f>'(Bloom Raw Data)'!BD18</f>
        <v>4.0667</v>
      </c>
      <c r="AQ18" s="168">
        <f>'(Bloom Raw Data)'!BE18</f>
        <v>4.1741000000000001</v>
      </c>
      <c r="AR18" s="168">
        <f>'(Bloom Raw Data)'!BF18</f>
        <v>2.8614999999999999</v>
      </c>
      <c r="AS18" s="168">
        <f>'(Bloom Raw Data)'!BG18</f>
        <v>5.2808000000000002</v>
      </c>
      <c r="AT18" s="168">
        <f>'(Bloom Raw Data)'!BH18</f>
        <v>4.2130000000000001</v>
      </c>
      <c r="AU18" s="168">
        <f>'(Bloom Raw Data)'!BI18</f>
        <v>3.7959000000000001</v>
      </c>
      <c r="AV18" s="168">
        <f>'(Bloom Raw Data)'!BJ18</f>
        <v>3.8197999999999999</v>
      </c>
      <c r="AW18" s="168">
        <f>'(Bloom Raw Data)'!BK18</f>
        <v>1.7509999999999999</v>
      </c>
      <c r="AX18" s="168">
        <f>'(Bloom Raw Data)'!BL18</f>
        <v>3.1827999999999999</v>
      </c>
      <c r="AY18" s="168">
        <f>'(Bloom Raw Data)'!BM18</f>
        <v>3.2355999999999998</v>
      </c>
      <c r="AZ18" s="168">
        <f>'(Bloom Raw Data)'!BN18</f>
        <v>2.8210999999999999</v>
      </c>
      <c r="BA18" s="168">
        <f>'(Bloom Raw Data)'!BO18</f>
        <v>0.70489999999999997</v>
      </c>
      <c r="BB18" s="168">
        <f>'(Bloom Raw Data)'!BP18</f>
        <v>1.9211</v>
      </c>
      <c r="BC18" s="168">
        <f>'(Bloom Raw Data)'!BQ18</f>
        <v>1.2907999999999999</v>
      </c>
      <c r="BE18" s="168">
        <f>'(Bloom Raw Data)'!BT18</f>
        <v>2.0568</v>
      </c>
      <c r="BF18" s="168">
        <f>'(Bloom Raw Data)'!BU18</f>
        <v>2.1110000000000002</v>
      </c>
      <c r="BG18" s="168">
        <f>'(Bloom Raw Data)'!BV18</f>
        <v>2.3079999999999998</v>
      </c>
      <c r="BH18" s="168">
        <f>'(Bloom Raw Data)'!BW18</f>
        <v>2.2458999999999998</v>
      </c>
      <c r="BI18" s="168">
        <f>'(Bloom Raw Data)'!BX18</f>
        <v>2.1391999999999998</v>
      </c>
      <c r="BJ18" s="168">
        <f>'(Bloom Raw Data)'!BY18</f>
        <v>2.1488</v>
      </c>
      <c r="BK18" s="168">
        <f>'(Bloom Raw Data)'!BZ18</f>
        <v>2.2951000000000001</v>
      </c>
      <c r="BL18" s="168">
        <f>'(Bloom Raw Data)'!CA18</f>
        <v>2.4889000000000001</v>
      </c>
      <c r="BM18" s="168">
        <f>'(Bloom Raw Data)'!CB18</f>
        <v>2.3567999999999998</v>
      </c>
      <c r="BN18" s="168">
        <f>'(Bloom Raw Data)'!CC18</f>
        <v>2.4443999999999999</v>
      </c>
      <c r="BO18" s="168">
        <f>'(Bloom Raw Data)'!CD18</f>
        <v>2.6673999999999998</v>
      </c>
      <c r="BP18" s="168">
        <f>'(Bloom Raw Data)'!CE18</f>
        <v>2.7241999999999997</v>
      </c>
      <c r="BQ18" s="168">
        <f>'(Bloom Raw Data)'!CF18</f>
        <v>2.7515000000000001</v>
      </c>
      <c r="BR18" s="168">
        <f>'(Bloom Raw Data)'!CG18</f>
        <v>2.9013</v>
      </c>
      <c r="BS18" s="168">
        <f>'(Bloom Raw Data)'!CH18</f>
        <v>2.2728999999999999</v>
      </c>
      <c r="BU18" s="167">
        <f>'(Bloom Raw Data)'!CK18</f>
        <v>29967.647000000001</v>
      </c>
      <c r="BV18" s="167">
        <f>'(Bloom Raw Data)'!CL18</f>
        <v>30132.8253</v>
      </c>
      <c r="BW18" s="167">
        <f>'(Bloom Raw Data)'!CM18</f>
        <v>29292.055</v>
      </c>
      <c r="BX18" s="167">
        <f>'(Bloom Raw Data)'!CN18</f>
        <v>30023.259099999999</v>
      </c>
      <c r="BY18" s="167">
        <f>'(Bloom Raw Data)'!CO18</f>
        <v>28886.8999</v>
      </c>
      <c r="BZ18" s="167">
        <f>'(Bloom Raw Data)'!CP18</f>
        <v>30020.581900000001</v>
      </c>
      <c r="CA18" s="167">
        <f>'(Bloom Raw Data)'!CQ18</f>
        <v>27593.3616</v>
      </c>
      <c r="CB18" s="167">
        <f>'(Bloom Raw Data)'!CR18</f>
        <v>27523.987700000001</v>
      </c>
      <c r="CC18" s="167">
        <f>'(Bloom Raw Data)'!CS18</f>
        <v>25343.425299999999</v>
      </c>
      <c r="CD18" s="167">
        <f>'(Bloom Raw Data)'!CT18</f>
        <v>24029.197400000001</v>
      </c>
      <c r="CE18" s="167">
        <f>'(Bloom Raw Data)'!CU18</f>
        <v>23777.583900000001</v>
      </c>
      <c r="CF18" s="167">
        <f>'(Bloom Raw Data)'!CV18</f>
        <v>21527.832699999999</v>
      </c>
      <c r="CG18" s="167">
        <f>'(Bloom Raw Data)'!CW18</f>
        <v>17980.537499999999</v>
      </c>
      <c r="CH18" s="167">
        <f>'(Bloom Raw Data)'!CX18</f>
        <v>16704.314999999999</v>
      </c>
      <c r="CI18" s="167">
        <f>'(Bloom Raw Data)'!CY18</f>
        <v>16672.596699999998</v>
      </c>
      <c r="CK18" s="167">
        <f t="shared" si="2"/>
        <v>3</v>
      </c>
      <c r="CL18" s="167">
        <f t="shared" si="3"/>
        <v>4</v>
      </c>
      <c r="CM18" s="167">
        <f t="shared" si="4"/>
        <v>6</v>
      </c>
      <c r="CN18" s="167">
        <f t="shared" si="5"/>
        <v>0</v>
      </c>
      <c r="CO18" s="167">
        <f t="shared" si="6"/>
        <v>0</v>
      </c>
      <c r="CP18" s="167">
        <f t="shared" si="7"/>
        <v>0</v>
      </c>
      <c r="CQ18" s="167">
        <f t="shared" si="8"/>
        <v>-8</v>
      </c>
      <c r="CR18" s="167">
        <f t="shared" si="9"/>
        <v>0</v>
      </c>
      <c r="CS18" s="167">
        <f t="shared" si="10"/>
        <v>0</v>
      </c>
      <c r="CT18" s="167">
        <f t="shared" si="11"/>
        <v>0</v>
      </c>
      <c r="CU18" s="167">
        <f t="shared" si="12"/>
        <v>0</v>
      </c>
      <c r="CV18" s="167">
        <f t="shared" si="13"/>
        <v>0</v>
      </c>
      <c r="CW18" s="167">
        <f t="shared" si="14"/>
        <v>50.999999999998181</v>
      </c>
      <c r="CX18" s="167">
        <f t="shared" si="15"/>
        <v>48.999999999998181</v>
      </c>
      <c r="CY18" s="167">
        <f t="shared" si="16"/>
        <v>49.999999999998181</v>
      </c>
      <c r="DA18" s="168">
        <f>'(Bloom Raw Data)'!DB18</f>
        <v>5.7719000000000005</v>
      </c>
      <c r="DB18" s="168">
        <f>'(Bloom Raw Data)'!DC18</f>
        <v>5.7058999999999997</v>
      </c>
      <c r="DC18" s="168">
        <f>'(Bloom Raw Data)'!DD18</f>
        <v>5.4802999999999997</v>
      </c>
      <c r="DD18" s="168">
        <f>'(Bloom Raw Data)'!DE18</f>
        <v>5.5353000000000003</v>
      </c>
      <c r="DE18" s="168">
        <f>'(Bloom Raw Data)'!DF18</f>
        <v>5.2751999999999999</v>
      </c>
      <c r="DF18" s="168">
        <f>'(Bloom Raw Data)'!DG18</f>
        <v>5.5368000000000004</v>
      </c>
      <c r="DG18" s="168">
        <f>'(Bloom Raw Data)'!DH18</f>
        <v>5.1634000000000002</v>
      </c>
      <c r="DH18" s="168">
        <f>'(Bloom Raw Data)'!DI18</f>
        <v>5.3125</v>
      </c>
      <c r="DI18" s="168">
        <f>'(Bloom Raw Data)'!DJ18</f>
        <v>4.9325000000000001</v>
      </c>
      <c r="DJ18" s="168">
        <f>'(Bloom Raw Data)'!DK18</f>
        <v>4.8057999999999996</v>
      </c>
      <c r="DK18" s="168">
        <f>'(Bloom Raw Data)'!DL18</f>
        <v>4.8934999999999995</v>
      </c>
      <c r="DL18" s="168">
        <f>'(Bloom Raw Data)'!DM18</f>
        <v>4.5056000000000003</v>
      </c>
      <c r="DM18" s="168">
        <f>'(Bloom Raw Data)'!DN18</f>
        <v>3.9233000000000002</v>
      </c>
      <c r="DN18" s="168">
        <f>'(Bloom Raw Data)'!DO18</f>
        <v>3.7572000000000001</v>
      </c>
      <c r="DO18" s="168">
        <f>'(Bloom Raw Data)'!DP18</f>
        <v>3.8656999999999999</v>
      </c>
      <c r="DR18" s="168">
        <f>'(Bloom Raw Data)'!DS18</f>
        <v>2.2279</v>
      </c>
      <c r="DS18" s="168">
        <f>'(Bloom Raw Data)'!DT18</f>
        <v>2.2597999999999998</v>
      </c>
      <c r="DT18" s="168">
        <f>'(Bloom Raw Data)'!DU18</f>
        <v>2.2067000000000001</v>
      </c>
      <c r="DU18" s="168">
        <f>'(Bloom Raw Data)'!DV18</f>
        <v>2.2570000000000001</v>
      </c>
      <c r="DV18" s="168">
        <f>'(Bloom Raw Data)'!DW18</f>
        <v>2.1680000000000001</v>
      </c>
      <c r="DW18" s="168">
        <f>'(Bloom Raw Data)'!DX18</f>
        <v>2.266</v>
      </c>
      <c r="DX18" s="168">
        <f>'(Bloom Raw Data)'!DY18</f>
        <v>2.0941999999999998</v>
      </c>
      <c r="DY18" s="168">
        <f>'(Bloom Raw Data)'!DZ18</f>
        <v>2.1015000000000001</v>
      </c>
      <c r="DZ18" s="168">
        <f>'(Bloom Raw Data)'!EA18</f>
        <v>1.9462000000000002</v>
      </c>
      <c r="EA18" s="168">
        <f>'(Bloom Raw Data)'!EB18</f>
        <v>1.8505</v>
      </c>
      <c r="EB18" s="168">
        <f>'(Bloom Raw Data)'!EC18</f>
        <v>1.8485</v>
      </c>
      <c r="EC18" s="168">
        <f>'(Bloom Raw Data)'!ED18</f>
        <v>1.7017</v>
      </c>
      <c r="ED18" s="168">
        <f>'(Bloom Raw Data)'!EE18</f>
        <v>1.4490000000000001</v>
      </c>
      <c r="EE18" s="168">
        <f>'(Bloom Raw Data)'!EF18</f>
        <v>1.3745000000000001</v>
      </c>
      <c r="EF18" s="168">
        <f>'(Bloom Raw Data)'!EG18</f>
        <v>1.3995</v>
      </c>
      <c r="EH18" s="167">
        <f>'(Bloom Raw Data)'!EJ18</f>
        <v>9.0381999999999998</v>
      </c>
      <c r="EI18" s="167">
        <f>'(Bloom Raw Data)'!EK18</f>
        <v>8.3786000000000005</v>
      </c>
      <c r="EJ18" s="167">
        <f>'(Bloom Raw Data)'!EL18</f>
        <v>7.1258999999999997</v>
      </c>
      <c r="EK18" s="167">
        <f>'(Bloom Raw Data)'!EM18</f>
        <v>7.6140999999999996</v>
      </c>
      <c r="EL18" s="167">
        <f>'(Bloom Raw Data)'!EN18</f>
        <v>9.4956999999999994</v>
      </c>
      <c r="EM18" s="167">
        <f>'(Bloom Raw Data)'!EO18</f>
        <v>9.5396999999999998</v>
      </c>
      <c r="EN18" s="167">
        <f>'(Bloom Raw Data)'!EP18</f>
        <v>8.0239999999999991</v>
      </c>
      <c r="EO18" s="167">
        <f>'(Bloom Raw Data)'!EQ18</f>
        <v>7.9847000000000001</v>
      </c>
      <c r="EP18" s="167" t="str">
        <f>'(Bloom Raw Data)'!ER18</f>
        <v>#N/A N/A</v>
      </c>
      <c r="EQ18" s="167" t="str">
        <f>'(Bloom Raw Data)'!ES18</f>
        <v>#N/A N/A</v>
      </c>
      <c r="ER18" s="167" t="str">
        <f>'(Bloom Raw Data)'!ET18</f>
        <v>#N/A N/A</v>
      </c>
      <c r="ES18" s="167" t="str">
        <f>'(Bloom Raw Data)'!EU18</f>
        <v>#N/A N/A</v>
      </c>
      <c r="ET18" s="167">
        <f>'(Bloom Raw Data)'!EV18</f>
        <v>8.8475999999999999</v>
      </c>
      <c r="EU18" s="167" t="str">
        <f>'(Bloom Raw Data)'!EW18</f>
        <v>#N/A N/A</v>
      </c>
      <c r="EV18" s="167" t="str">
        <f>'(Bloom Raw Data)'!EX18</f>
        <v>#N/A N/A</v>
      </c>
      <c r="EY18" s="167">
        <f>'(Bloom Raw Data)'!FR18</f>
        <v>2690</v>
      </c>
      <c r="EZ18" s="167">
        <f>'(Bloom Raw Data)'!FS18</f>
        <v>2365</v>
      </c>
      <c r="FA18" s="167">
        <f>'(Bloom Raw Data)'!FT18</f>
        <v>1622</v>
      </c>
      <c r="FB18" s="167">
        <f>'(Bloom Raw Data)'!FU18</f>
        <v>1335</v>
      </c>
      <c r="FC18" s="167">
        <f>'(Bloom Raw Data)'!FV18</f>
        <v>823</v>
      </c>
      <c r="FD18" s="167">
        <f>'(Bloom Raw Data)'!FW18</f>
        <v>944</v>
      </c>
      <c r="FE18" s="167">
        <f>'(Bloom Raw Data)'!FX18</f>
        <v>1124</v>
      </c>
      <c r="FF18" s="167">
        <f>'(Bloom Raw Data)'!FY18</f>
        <v>645</v>
      </c>
      <c r="FG18" s="167">
        <f>'(Bloom Raw Data)'!FZ18</f>
        <v>990</v>
      </c>
      <c r="FH18" s="167">
        <f>'(Bloom Raw Data)'!GA18</f>
        <v>1267</v>
      </c>
      <c r="FI18" s="167">
        <f>'(Bloom Raw Data)'!GB18</f>
        <v>878</v>
      </c>
      <c r="FJ18" s="167">
        <f>'(Bloom Raw Data)'!GC18</f>
        <v>1495</v>
      </c>
      <c r="FK18" s="167">
        <f>'(Bloom Raw Data)'!GD18</f>
        <v>1286</v>
      </c>
      <c r="FL18" s="167">
        <f>'(Bloom Raw Data)'!GE18</f>
        <v>1213</v>
      </c>
      <c r="FM18" s="167">
        <f>'(Bloom Raw Data)'!GF18</f>
        <v>4345</v>
      </c>
      <c r="FO18" s="168">
        <f>'(Bloom Raw Data)'!FA18</f>
        <v>5.0248999999999997</v>
      </c>
      <c r="FP18" s="168">
        <f>'(Bloom Raw Data)'!FB18</f>
        <v>4.5419999999999998</v>
      </c>
      <c r="FQ18" s="168">
        <f>'(Bloom Raw Data)'!FC18</f>
        <v>4.8776999999999999</v>
      </c>
      <c r="FR18" s="168">
        <f>'(Bloom Raw Data)'!FD18</f>
        <v>5.3723000000000001</v>
      </c>
      <c r="FS18" s="168">
        <f>'(Bloom Raw Data)'!FE18</f>
        <v>4.9065000000000003</v>
      </c>
      <c r="FT18" s="168">
        <f>'(Bloom Raw Data)'!FF18</f>
        <v>4.6873000000000005</v>
      </c>
      <c r="FU18" s="168">
        <f>'(Bloom Raw Data)'!FG18</f>
        <v>5.0109000000000004</v>
      </c>
      <c r="FV18" s="168">
        <f>'(Bloom Raw Data)'!FH18</f>
        <v>5.4667000000000003</v>
      </c>
      <c r="FW18" s="168" t="str">
        <f>'(Bloom Raw Data)'!FI18</f>
        <v>#N/A N/A</v>
      </c>
      <c r="FX18" s="168" t="str">
        <f>'(Bloom Raw Data)'!FJ18</f>
        <v>#N/A N/A</v>
      </c>
      <c r="FY18" s="168" t="str">
        <f>'(Bloom Raw Data)'!FK18</f>
        <v>#N/A N/A</v>
      </c>
      <c r="FZ18" s="168" t="str">
        <f>'(Bloom Raw Data)'!FL18</f>
        <v>#N/A N/A</v>
      </c>
      <c r="GA18" s="168">
        <f>'(Bloom Raw Data)'!FM18</f>
        <v>2.2073</v>
      </c>
      <c r="GB18" s="168" t="str">
        <f>'(Bloom Raw Data)'!FN18</f>
        <v>#N/A N/A</v>
      </c>
      <c r="GC18" s="168" t="str">
        <f>'(Bloom Raw Data)'!FO18</f>
        <v>#N/A N/A</v>
      </c>
      <c r="GD18" s="176"/>
      <c r="GE18" s="176"/>
      <c r="GF18" s="167">
        <f>'(Bloom Raw Data)'!GI18</f>
        <v>3841</v>
      </c>
      <c r="GG18" s="167">
        <f>'(Bloom Raw Data)'!GJ18</f>
        <v>4183</v>
      </c>
      <c r="GH18" s="167">
        <f>'(Bloom Raw Data)'!GK18</f>
        <v>3481</v>
      </c>
      <c r="GI18" s="167">
        <f>'(Bloom Raw Data)'!GL18</f>
        <v>3321</v>
      </c>
      <c r="GJ18" s="167">
        <f>'(Bloom Raw Data)'!GM18</f>
        <v>3500</v>
      </c>
      <c r="GK18" s="167">
        <f>'(Bloom Raw Data)'!GN18</f>
        <v>3919</v>
      </c>
      <c r="GL18" s="167">
        <f>'(Bloom Raw Data)'!GO18</f>
        <v>3059</v>
      </c>
      <c r="GM18" s="167">
        <f>'(Bloom Raw Data)'!GP18</f>
        <v>2676</v>
      </c>
      <c r="GN18" s="167">
        <f>'(Bloom Raw Data)'!GQ18</f>
        <v>2930</v>
      </c>
      <c r="GO18" s="167">
        <f>'(Bloom Raw Data)'!GR18</f>
        <v>3007</v>
      </c>
      <c r="GP18" s="167">
        <f>'(Bloom Raw Data)'!GS18</f>
        <v>2564</v>
      </c>
      <c r="GQ18" s="167">
        <f>'(Bloom Raw Data)'!GT18</f>
        <v>2656</v>
      </c>
      <c r="GR18" s="167">
        <f>'(Bloom Raw Data)'!GU18</f>
        <v>2461</v>
      </c>
      <c r="GS18" s="167">
        <f>'(Bloom Raw Data)'!GV18</f>
        <v>2463</v>
      </c>
      <c r="GT18" s="167">
        <f>'(Bloom Raw Data)'!GW18</f>
        <v>5601</v>
      </c>
      <c r="GV18" s="167">
        <f t="shared" si="17"/>
        <v>5191.9899859664929</v>
      </c>
      <c r="GW18" s="167">
        <f t="shared" si="18"/>
        <v>5280.9942866156089</v>
      </c>
      <c r="GX18" s="167">
        <f t="shared" si="19"/>
        <v>5344.9729029432701</v>
      </c>
      <c r="GY18" s="167">
        <f t="shared" si="20"/>
        <v>5423.9624049283684</v>
      </c>
      <c r="GZ18" s="167">
        <f t="shared" si="21"/>
        <v>5475.9819343342433</v>
      </c>
      <c r="HA18" s="167">
        <f t="shared" si="22"/>
        <v>5422.0094458893218</v>
      </c>
      <c r="HB18" s="167">
        <f t="shared" si="23"/>
        <v>5344.0294379672305</v>
      </c>
      <c r="HC18" s="167">
        <f t="shared" si="24"/>
        <v>5180.9859200000001</v>
      </c>
      <c r="HD18" s="167">
        <f t="shared" si="25"/>
        <v>5138.0487176887982</v>
      </c>
      <c r="HE18" s="167">
        <f t="shared" si="26"/>
        <v>5000.041075367265</v>
      </c>
      <c r="HF18" s="167">
        <f t="shared" si="27"/>
        <v>4859.0137733728425</v>
      </c>
      <c r="HG18" s="167">
        <f t="shared" si="28"/>
        <v>4778.0168457031241</v>
      </c>
      <c r="HH18" s="167">
        <f t="shared" si="29"/>
        <v>4583.0136619682407</v>
      </c>
      <c r="HI18" s="167">
        <f t="shared" si="30"/>
        <v>4445.9477802618967</v>
      </c>
      <c r="HJ18" s="167">
        <f t="shared" si="31"/>
        <v>4312.9566960705688</v>
      </c>
      <c r="HL18" s="168">
        <f>'(Bloom Raw Data)'!HQ18</f>
        <v>6.1471999999999998</v>
      </c>
      <c r="HM18" s="168">
        <f>'(Bloom Raw Data)'!HR18</f>
        <v>6.0168999999999997</v>
      </c>
      <c r="HN18" s="168">
        <f>'(Bloom Raw Data)'!HS18</f>
        <v>7.3795999999999999</v>
      </c>
      <c r="HO18" s="168">
        <f>'(Bloom Raw Data)'!HT18</f>
        <v>7.3327999999999998</v>
      </c>
      <c r="HP18" s="168">
        <f>'(Bloom Raw Data)'!HU18</f>
        <v>5.5989000000000004</v>
      </c>
      <c r="HQ18" s="168">
        <f>'(Bloom Raw Data)'!HV18</f>
        <v>6.9703999999999997</v>
      </c>
      <c r="HR18" s="168">
        <f>'(Bloom Raw Data)'!HW18</f>
        <v>6.1379000000000001</v>
      </c>
      <c r="HS18" s="168">
        <f>'(Bloom Raw Data)'!HX18</f>
        <v>5.7445000000000004</v>
      </c>
      <c r="HT18" s="168">
        <f>'(Bloom Raw Data)'!HY18</f>
        <v>5.5202999999999998</v>
      </c>
      <c r="HU18" s="168">
        <f>'(Bloom Raw Data)'!HZ18</f>
        <v>5.5236999999999998</v>
      </c>
      <c r="HV18" s="168">
        <f>'(Bloom Raw Data)'!IA18</f>
        <v>5.6215999999999999</v>
      </c>
      <c r="HW18" s="168">
        <f>'(Bloom Raw Data)'!IB18</f>
        <v>4.3598999999999997</v>
      </c>
      <c r="HX18" s="168">
        <f>'(Bloom Raw Data)'!IC18</f>
        <v>3.7601</v>
      </c>
      <c r="HY18" s="168">
        <f>'(Bloom Raw Data)'!ID18</f>
        <v>4.0572999999999997</v>
      </c>
      <c r="HZ18" s="168">
        <f>'(Bloom Raw Data)'!IE18</f>
        <v>4.806</v>
      </c>
    </row>
    <row r="19" spans="1:236">
      <c r="A19" s="11" t="s">
        <v>506</v>
      </c>
      <c r="B19" s="11" t="s">
        <v>76</v>
      </c>
      <c r="D19" s="167">
        <f>'(Bloom Raw Data)'!D19</f>
        <v>21202.32</v>
      </c>
      <c r="E19" s="167">
        <f>'(Bloom Raw Data)'!E19</f>
        <v>21650.870599999998</v>
      </c>
      <c r="F19" s="167">
        <f>'(Bloom Raw Data)'!F19</f>
        <v>19099.780999999999</v>
      </c>
      <c r="G19" s="167">
        <f>'(Bloom Raw Data)'!G19</f>
        <v>24014.969400000002</v>
      </c>
      <c r="H19" s="167">
        <f>'(Bloom Raw Data)'!H19</f>
        <v>21843.599999999999</v>
      </c>
      <c r="I19" s="167">
        <f>'(Bloom Raw Data)'!I19</f>
        <v>23507.4228</v>
      </c>
      <c r="J19" s="167">
        <f>'(Bloom Raw Data)'!J19</f>
        <v>22251.912700000001</v>
      </c>
      <c r="K19" s="167">
        <f>'(Bloom Raw Data)'!K19</f>
        <v>23240.293000000001</v>
      </c>
      <c r="L19" s="167">
        <f>'(Bloom Raw Data)'!L19</f>
        <v>22818.302599999999</v>
      </c>
      <c r="M19" s="167">
        <f>'(Bloom Raw Data)'!M19</f>
        <v>22826.2418</v>
      </c>
      <c r="N19" s="167">
        <f>'(Bloom Raw Data)'!N19</f>
        <v>20796.0553</v>
      </c>
      <c r="O19" s="167">
        <f>'(Bloom Raw Data)'!O19</f>
        <v>21971.4264</v>
      </c>
      <c r="P19" s="167">
        <f>'(Bloom Raw Data)'!P19</f>
        <v>16334.987499999999</v>
      </c>
      <c r="Q19" s="167">
        <f>'(Bloom Raw Data)'!Q19</f>
        <v>8908.7790000000005</v>
      </c>
      <c r="R19" s="167">
        <f>'(Bloom Raw Data)'!R19</f>
        <v>10039.5347</v>
      </c>
      <c r="T19" s="167">
        <f>'(Bloom Raw Data)'!U19</f>
        <v>4160</v>
      </c>
      <c r="U19" s="167">
        <f>'(Bloom Raw Data)'!V19</f>
        <v>3497</v>
      </c>
      <c r="V19" s="167">
        <f>'(Bloom Raw Data)'!W19</f>
        <v>2969</v>
      </c>
      <c r="W19" s="167">
        <f>'(Bloom Raw Data)'!X19</f>
        <v>3973</v>
      </c>
      <c r="X19" s="167">
        <f>'(Bloom Raw Data)'!Y19</f>
        <v>3510</v>
      </c>
      <c r="Y19" s="167">
        <f>'(Bloom Raw Data)'!Z19</f>
        <v>3277</v>
      </c>
      <c r="Z19" s="167">
        <f>'(Bloom Raw Data)'!AA19</f>
        <v>812</v>
      </c>
      <c r="AA19" s="167">
        <f>'(Bloom Raw Data)'!AB19</f>
        <v>2444</v>
      </c>
      <c r="AB19" s="167">
        <f>'(Bloom Raw Data)'!AC19</f>
        <v>1843</v>
      </c>
      <c r="AC19" s="167">
        <f>'(Bloom Raw Data)'!AD19</f>
        <v>4076</v>
      </c>
      <c r="AD19" s="167">
        <f>'(Bloom Raw Data)'!AE19</f>
        <v>3721</v>
      </c>
      <c r="AE19" s="167">
        <f>'(Bloom Raw Data)'!AF19</f>
        <v>5299</v>
      </c>
      <c r="AF19" s="167">
        <f>'(Bloom Raw Data)'!AG19</f>
        <v>4763</v>
      </c>
      <c r="AG19" s="167">
        <f>'(Bloom Raw Data)'!AH19</f>
        <v>4686</v>
      </c>
      <c r="AH19" s="167">
        <f>'(Bloom Raw Data)'!AI19</f>
        <v>4500</v>
      </c>
      <c r="AJ19" s="167">
        <f>'(Bloom Raw Data)'!AL19</f>
        <v>595</v>
      </c>
      <c r="AK19" s="167">
        <f>'(Bloom Raw Data)'!AP19</f>
        <v>499</v>
      </c>
      <c r="AL19" s="167">
        <f>'(Bloom Raw Data)'!AT19</f>
        <v>920</v>
      </c>
      <c r="AM19" s="167">
        <f>'(Bloom Raw Data)'!AX19</f>
        <v>870</v>
      </c>
      <c r="AO19" s="168">
        <f>'(Bloom Raw Data)'!BC19</f>
        <v>3.6212</v>
      </c>
      <c r="AP19" s="168">
        <f>'(Bloom Raw Data)'!BD19</f>
        <v>3.5338000000000003</v>
      </c>
      <c r="AQ19" s="168">
        <f>'(Bloom Raw Data)'!BE19</f>
        <v>5.3978000000000002</v>
      </c>
      <c r="AR19" s="168">
        <f>'(Bloom Raw Data)'!BF19</f>
        <v>4.0526</v>
      </c>
      <c r="AS19" s="168">
        <f>'(Bloom Raw Data)'!BG19</f>
        <v>4.5280000000000005</v>
      </c>
      <c r="AT19" s="168">
        <f>'(Bloom Raw Data)'!BH19</f>
        <v>2.5857000000000001</v>
      </c>
      <c r="AU19" s="168">
        <f>'(Bloom Raw Data)'!BI19</f>
        <v>-0.3644</v>
      </c>
      <c r="AV19" s="168">
        <f>'(Bloom Raw Data)'!BJ19</f>
        <v>6.0488</v>
      </c>
      <c r="AW19" s="168">
        <f>'(Bloom Raw Data)'!BK19</f>
        <v>7.7908999999999997</v>
      </c>
      <c r="AX19" s="168">
        <f>'(Bloom Raw Data)'!BL19</f>
        <v>3.6364000000000001</v>
      </c>
      <c r="AY19" s="168">
        <f>'(Bloom Raw Data)'!BM19</f>
        <v>4.1467999999999998</v>
      </c>
      <c r="AZ19" s="168">
        <f>'(Bloom Raw Data)'!BN19</f>
        <v>3.6808999999999998</v>
      </c>
      <c r="BA19" s="168">
        <f>'(Bloom Raw Data)'!BO19</f>
        <v>1.1529</v>
      </c>
      <c r="BB19" s="168">
        <f>'(Bloom Raw Data)'!BP19</f>
        <v>2.1284000000000001</v>
      </c>
      <c r="BC19" s="168">
        <f>'(Bloom Raw Data)'!BQ19</f>
        <v>2.6922999999999999</v>
      </c>
      <c r="BE19" s="168">
        <f>'(Bloom Raw Data)'!BT19</f>
        <v>0.66369999999999996</v>
      </c>
      <c r="BF19" s="168">
        <f>'(Bloom Raw Data)'!BU19</f>
        <v>0.57950000000000002</v>
      </c>
      <c r="BG19" s="168">
        <f>'(Bloom Raw Data)'!BV19</f>
        <v>0.49930000000000002</v>
      </c>
      <c r="BH19" s="168">
        <f>'(Bloom Raw Data)'!BW19</f>
        <v>0.68210000000000004</v>
      </c>
      <c r="BI19" s="168">
        <f>'(Bloom Raw Data)'!BX19</f>
        <v>0.59809999999999997</v>
      </c>
      <c r="BJ19" s="168">
        <f>'(Bloom Raw Data)'!BY19</f>
        <v>0.56520000000000004</v>
      </c>
      <c r="BK19" s="168">
        <f>'(Bloom Raw Data)'!BZ19</f>
        <v>0.15390000000000001</v>
      </c>
      <c r="BL19" s="168">
        <f>'(Bloom Raw Data)'!CA19</f>
        <v>0.47060000000000002</v>
      </c>
      <c r="BM19" s="168">
        <f>'(Bloom Raw Data)'!CB19</f>
        <v>0.34289999999999998</v>
      </c>
      <c r="BN19" s="168">
        <f>'(Bloom Raw Data)'!CC19</f>
        <v>0.77580000000000005</v>
      </c>
      <c r="BO19" s="168">
        <f>'(Bloom Raw Data)'!CD19</f>
        <v>0.66520000000000001</v>
      </c>
      <c r="BP19" s="168">
        <f>'(Bloom Raw Data)'!CE19</f>
        <v>0.96030000000000004</v>
      </c>
      <c r="BQ19" s="168">
        <f>'(Bloom Raw Data)'!CF19</f>
        <v>0.98899999999999999</v>
      </c>
      <c r="BR19" s="168">
        <f>'(Bloom Raw Data)'!CG19</f>
        <v>1.0143</v>
      </c>
      <c r="BS19" s="168">
        <f>'(Bloom Raw Data)'!CH19</f>
        <v>1.04</v>
      </c>
      <c r="BU19" s="167">
        <f>'(Bloom Raw Data)'!CK19</f>
        <v>25376.32</v>
      </c>
      <c r="BV19" s="167">
        <f>'(Bloom Raw Data)'!CL19</f>
        <v>25161.870599999998</v>
      </c>
      <c r="BW19" s="167">
        <f>'(Bloom Raw Data)'!CM19</f>
        <v>22082.780999999999</v>
      </c>
      <c r="BX19" s="167">
        <f>'(Bloom Raw Data)'!CN19</f>
        <v>28001.969400000002</v>
      </c>
      <c r="BY19" s="167">
        <f>'(Bloom Raw Data)'!CO19</f>
        <v>25367.599999999999</v>
      </c>
      <c r="BZ19" s="167">
        <f>'(Bloom Raw Data)'!CP19</f>
        <v>26797.4228</v>
      </c>
      <c r="CA19" s="167">
        <f>'(Bloom Raw Data)'!CQ19</f>
        <v>23077.912700000001</v>
      </c>
      <c r="CB19" s="167">
        <f>'(Bloom Raw Data)'!CR19</f>
        <v>25698.293000000001</v>
      </c>
      <c r="CC19" s="167">
        <f>'(Bloom Raw Data)'!CS19</f>
        <v>24664.302599999999</v>
      </c>
      <c r="CD19" s="167">
        <f>'(Bloom Raw Data)'!CT19</f>
        <v>26904.2418</v>
      </c>
      <c r="CE19" s="167">
        <f>'(Bloom Raw Data)'!CU19</f>
        <v>24519.0553</v>
      </c>
      <c r="CF19" s="167">
        <f>'(Bloom Raw Data)'!CV19</f>
        <v>27272.4264</v>
      </c>
      <c r="CG19" s="167">
        <f>'(Bloom Raw Data)'!CW19</f>
        <v>21099.987499999999</v>
      </c>
      <c r="CH19" s="167">
        <f>'(Bloom Raw Data)'!CX19</f>
        <v>13596.779</v>
      </c>
      <c r="CI19" s="167">
        <f>'(Bloom Raw Data)'!CY19</f>
        <v>14541.5347</v>
      </c>
      <c r="CK19" s="167">
        <f t="shared" si="2"/>
        <v>14</v>
      </c>
      <c r="CL19" s="167">
        <f t="shared" si="3"/>
        <v>14</v>
      </c>
      <c r="CM19" s="167">
        <f t="shared" si="4"/>
        <v>14</v>
      </c>
      <c r="CN19" s="167">
        <f t="shared" si="5"/>
        <v>14</v>
      </c>
      <c r="CO19" s="167">
        <f t="shared" si="6"/>
        <v>14</v>
      </c>
      <c r="CP19" s="167">
        <f t="shared" si="7"/>
        <v>13</v>
      </c>
      <c r="CQ19" s="167">
        <f t="shared" si="8"/>
        <v>14</v>
      </c>
      <c r="CR19" s="167">
        <f t="shared" si="9"/>
        <v>14</v>
      </c>
      <c r="CS19" s="167">
        <f t="shared" si="10"/>
        <v>3</v>
      </c>
      <c r="CT19" s="167">
        <f t="shared" si="11"/>
        <v>2</v>
      </c>
      <c r="CU19" s="167">
        <f t="shared" si="12"/>
        <v>2</v>
      </c>
      <c r="CV19" s="167">
        <f t="shared" si="13"/>
        <v>2</v>
      </c>
      <c r="CW19" s="167">
        <f t="shared" si="14"/>
        <v>2</v>
      </c>
      <c r="CX19" s="167">
        <f t="shared" si="15"/>
        <v>2</v>
      </c>
      <c r="CY19" s="167">
        <f t="shared" si="16"/>
        <v>2</v>
      </c>
      <c r="DA19" s="168">
        <f>'(Bloom Raw Data)'!DB19</f>
        <v>4.0486000000000004</v>
      </c>
      <c r="DB19" s="168">
        <f>'(Bloom Raw Data)'!DC19</f>
        <v>4.1692999999999998</v>
      </c>
      <c r="DC19" s="168">
        <f>'(Bloom Raw Data)'!DD19</f>
        <v>3.7138999999999998</v>
      </c>
      <c r="DD19" s="168">
        <f>'(Bloom Raw Data)'!DE19</f>
        <v>4.8071999999999999</v>
      </c>
      <c r="DE19" s="168">
        <f>'(Bloom Raw Data)'!DF19</f>
        <v>4.3223000000000003</v>
      </c>
      <c r="DF19" s="168">
        <f>'(Bloom Raw Data)'!DG19</f>
        <v>4.6218000000000004</v>
      </c>
      <c r="DG19" s="168">
        <f>'(Bloom Raw Data)'!DH19</f>
        <v>4.3733000000000004</v>
      </c>
      <c r="DH19" s="168">
        <f>'(Bloom Raw Data)'!DI19</f>
        <v>4.9485999999999999</v>
      </c>
      <c r="DI19" s="168">
        <f>'(Bloom Raw Data)'!DJ19</f>
        <v>4.5887000000000002</v>
      </c>
      <c r="DJ19" s="168">
        <f>'(Bloom Raw Data)'!DK19</f>
        <v>5.1207000000000003</v>
      </c>
      <c r="DK19" s="168">
        <f>'(Bloom Raw Data)'!DL19</f>
        <v>4.3830999999999998</v>
      </c>
      <c r="DL19" s="168">
        <f>'(Bloom Raw Data)'!DM19</f>
        <v>4.9424000000000001</v>
      </c>
      <c r="DM19" s="168">
        <f>'(Bloom Raw Data)'!DN19</f>
        <v>4.3811999999999998</v>
      </c>
      <c r="DN19" s="168">
        <f>'(Bloom Raw Data)'!DO19</f>
        <v>2.9430000000000001</v>
      </c>
      <c r="DO19" s="168">
        <f>'(Bloom Raw Data)'!DP19</f>
        <v>3.3607</v>
      </c>
      <c r="DR19" s="168">
        <f>'(Bloom Raw Data)'!DS19</f>
        <v>1.5324</v>
      </c>
      <c r="DS19" s="168">
        <f>'(Bloom Raw Data)'!DT19</f>
        <v>1.5608</v>
      </c>
      <c r="DT19" s="168">
        <f>'(Bloom Raw Data)'!DU19</f>
        <v>1.3868</v>
      </c>
      <c r="DU19" s="168">
        <f>'(Bloom Raw Data)'!DV19</f>
        <v>1.7764</v>
      </c>
      <c r="DV19" s="168">
        <f>'(Bloom Raw Data)'!DW19</f>
        <v>1.6141999999999999</v>
      </c>
      <c r="DW19" s="168">
        <f>'(Bloom Raw Data)'!DX19</f>
        <v>1.7210000000000001</v>
      </c>
      <c r="DX19" s="168">
        <f>'(Bloom Raw Data)'!DY19</f>
        <v>1.5011000000000001</v>
      </c>
      <c r="DY19" s="168">
        <f>'(Bloom Raw Data)'!DZ19</f>
        <v>1.6957</v>
      </c>
      <c r="DZ19" s="168">
        <f>'(Bloom Raw Data)'!EA19</f>
        <v>1.6529</v>
      </c>
      <c r="EA19" s="168">
        <f>'(Bloom Raw Data)'!EB19</f>
        <v>1.8286</v>
      </c>
      <c r="EB19" s="168">
        <f>'(Bloom Raw Data)'!EC19</f>
        <v>1.6804999999999999</v>
      </c>
      <c r="EC19" s="168">
        <f>'(Bloom Raw Data)'!ED19</f>
        <v>1.8959999999999999</v>
      </c>
      <c r="ED19" s="168">
        <f>'(Bloom Raw Data)'!EE19</f>
        <v>1.4918</v>
      </c>
      <c r="EE19" s="168">
        <f>'(Bloom Raw Data)'!EF19</f>
        <v>0.9788</v>
      </c>
      <c r="EF19" s="168">
        <f>'(Bloom Raw Data)'!EG19</f>
        <v>1.075</v>
      </c>
      <c r="EH19" s="167">
        <f>'(Bloom Raw Data)'!EJ19</f>
        <v>16.551400000000001</v>
      </c>
      <c r="EI19" s="167">
        <f>'(Bloom Raw Data)'!EK19</f>
        <v>17.493200000000002</v>
      </c>
      <c r="EJ19" s="167">
        <f>'(Bloom Raw Data)'!EL19</f>
        <v>16.094999999999999</v>
      </c>
      <c r="EK19" s="167">
        <f>'(Bloom Raw Data)'!EM19</f>
        <v>171.5813</v>
      </c>
      <c r="EL19" s="167">
        <f>'(Bloom Raw Data)'!EN19</f>
        <v>204.14529999999999</v>
      </c>
      <c r="EM19" s="167">
        <f>'(Bloom Raw Data)'!EO19</f>
        <v>2137.4787000000001</v>
      </c>
      <c r="EN19" s="167">
        <f>'(Bloom Raw Data)'!EP19</f>
        <v>32.683900000000001</v>
      </c>
      <c r="EO19" s="167">
        <f>'(Bloom Raw Data)'!EQ19</f>
        <v>13.081799999999999</v>
      </c>
      <c r="EP19" s="167" t="str">
        <f>'(Bloom Raw Data)'!ER19</f>
        <v>#N/A N/A</v>
      </c>
      <c r="EQ19" s="167" t="str">
        <f>'(Bloom Raw Data)'!ES19</f>
        <v>#N/A N/A</v>
      </c>
      <c r="ER19" s="167" t="str">
        <f>'(Bloom Raw Data)'!ET19</f>
        <v>#N/A N/A</v>
      </c>
      <c r="ES19" s="167" t="str">
        <f>'(Bloom Raw Data)'!EU19</f>
        <v>#N/A N/A</v>
      </c>
      <c r="ET19" s="167" t="str">
        <f>'(Bloom Raw Data)'!EV19</f>
        <v>#N/A N/A</v>
      </c>
      <c r="EU19" s="167" t="str">
        <f>'(Bloom Raw Data)'!EW19</f>
        <v>#N/A N/A</v>
      </c>
      <c r="EV19" s="167" t="str">
        <f>'(Bloom Raw Data)'!EX19</f>
        <v>#N/A N/A</v>
      </c>
      <c r="EY19" s="167">
        <f>'(Bloom Raw Data)'!FR19</f>
        <v>2218</v>
      </c>
      <c r="EZ19" s="167">
        <f>'(Bloom Raw Data)'!FS19</f>
        <v>2654</v>
      </c>
      <c r="FA19" s="167">
        <f>'(Bloom Raw Data)'!FT19</f>
        <v>3218</v>
      </c>
      <c r="FB19" s="167">
        <f>'(Bloom Raw Data)'!FU19</f>
        <v>2089</v>
      </c>
      <c r="FC19" s="167">
        <f>'(Bloom Raw Data)'!FV19</f>
        <v>2447</v>
      </c>
      <c r="FD19" s="167">
        <f>'(Bloom Raw Data)'!FW19</f>
        <v>2825</v>
      </c>
      <c r="FE19" s="167">
        <f>'(Bloom Raw Data)'!FX19</f>
        <v>4993</v>
      </c>
      <c r="FF19" s="167">
        <f>'(Bloom Raw Data)'!FY19</f>
        <v>2246</v>
      </c>
      <c r="FG19" s="167">
        <f>'(Bloom Raw Data)'!FZ19</f>
        <v>2860</v>
      </c>
      <c r="FH19" s="167">
        <f>'(Bloom Raw Data)'!GA19</f>
        <v>630</v>
      </c>
      <c r="FI19" s="167">
        <f>'(Bloom Raw Data)'!GB19</f>
        <v>869</v>
      </c>
      <c r="FJ19" s="167">
        <f>'(Bloom Raw Data)'!GC19</f>
        <v>473</v>
      </c>
      <c r="FK19" s="167">
        <f>'(Bloom Raw Data)'!GD19</f>
        <v>390</v>
      </c>
      <c r="FL19" s="167">
        <f>'(Bloom Raw Data)'!GE19</f>
        <v>261</v>
      </c>
      <c r="FM19" s="167">
        <f>'(Bloom Raw Data)'!GF19</f>
        <v>308</v>
      </c>
      <c r="FO19" s="168">
        <f>'(Bloom Raw Data)'!FA19</f>
        <v>1.282</v>
      </c>
      <c r="FP19" s="168">
        <f>'(Bloom Raw Data)'!FB19</f>
        <v>1.2852999999999999</v>
      </c>
      <c r="FQ19" s="168">
        <f>'(Bloom Raw Data)'!FC19</f>
        <v>1.2598</v>
      </c>
      <c r="FR19" s="168">
        <f>'(Bloom Raw Data)'!FD19</f>
        <v>1.6675</v>
      </c>
      <c r="FS19" s="168">
        <f>'(Bloom Raw Data)'!FE19</f>
        <v>1.4941</v>
      </c>
      <c r="FT19" s="168">
        <f>'(Bloom Raw Data)'!FF19</f>
        <v>1.5880000000000001</v>
      </c>
      <c r="FU19" s="168">
        <f>'(Bloom Raw Data)'!FG19</f>
        <v>1.6133</v>
      </c>
      <c r="FV19" s="168">
        <f>'(Bloom Raw Data)'!FH19</f>
        <v>1.6366000000000001</v>
      </c>
      <c r="FW19" s="168" t="str">
        <f>'(Bloom Raw Data)'!FI19</f>
        <v>#N/A N/A</v>
      </c>
      <c r="FX19" s="168" t="str">
        <f>'(Bloom Raw Data)'!FJ19</f>
        <v>#N/A N/A</v>
      </c>
      <c r="FY19" s="168" t="str">
        <f>'(Bloom Raw Data)'!FK19</f>
        <v>#N/A N/A</v>
      </c>
      <c r="FZ19" s="168" t="str">
        <f>'(Bloom Raw Data)'!FL19</f>
        <v>#N/A N/A</v>
      </c>
      <c r="GA19" s="168" t="str">
        <f>'(Bloom Raw Data)'!FM19</f>
        <v>#N/A N/A</v>
      </c>
      <c r="GB19" s="168" t="str">
        <f>'(Bloom Raw Data)'!FN19</f>
        <v>#N/A N/A</v>
      </c>
      <c r="GC19" s="168" t="str">
        <f>'(Bloom Raw Data)'!FO19</f>
        <v>#N/A N/A</v>
      </c>
      <c r="GD19" s="176"/>
      <c r="GE19" s="176"/>
      <c r="GF19" s="167">
        <f>'(Bloom Raw Data)'!GI19</f>
        <v>16553</v>
      </c>
      <c r="GG19" s="167">
        <f>'(Bloom Raw Data)'!GJ19</f>
        <v>16859</v>
      </c>
      <c r="GH19" s="167">
        <f>'(Bloom Raw Data)'!GK19</f>
        <v>15175</v>
      </c>
      <c r="GI19" s="167">
        <f>'(Bloom Raw Data)'!GL19</f>
        <v>14416</v>
      </c>
      <c r="GJ19" s="167">
        <f>'(Bloom Raw Data)'!GM19</f>
        <v>14634</v>
      </c>
      <c r="GK19" s="167">
        <f>'(Bloom Raw Data)'!GN19</f>
        <v>14816</v>
      </c>
      <c r="GL19" s="167">
        <f>'(Bloom Raw Data)'!GO19</f>
        <v>13807</v>
      </c>
      <c r="GM19" s="167">
        <f>'(Bloom Raw Data)'!GP19</f>
        <v>14214</v>
      </c>
      <c r="GN19" s="167">
        <f>'(Bloom Raw Data)'!GQ19</f>
        <v>14334</v>
      </c>
      <c r="GO19" s="167">
        <f>'(Bloom Raw Data)'!GR19</f>
        <v>14494</v>
      </c>
      <c r="GP19" s="167">
        <f>'(Bloom Raw Data)'!GS19</f>
        <v>12672</v>
      </c>
      <c r="GQ19" s="167">
        <f>'(Bloom Raw Data)'!GT19</f>
        <v>12947</v>
      </c>
      <c r="GR19" s="167">
        <f>'(Bloom Raw Data)'!GU19</f>
        <v>12958</v>
      </c>
      <c r="GS19" s="167">
        <f>'(Bloom Raw Data)'!GV19</f>
        <v>13045</v>
      </c>
      <c r="GT19" s="167">
        <f>'(Bloom Raw Data)'!GW19</f>
        <v>12461</v>
      </c>
      <c r="GV19" s="167">
        <f t="shared" si="17"/>
        <v>6267.9247147161977</v>
      </c>
      <c r="GW19" s="167">
        <f t="shared" si="18"/>
        <v>6035.0348020051324</v>
      </c>
      <c r="GX19" s="167">
        <f t="shared" si="19"/>
        <v>5945.9815827028197</v>
      </c>
      <c r="GY19" s="167">
        <f t="shared" si="20"/>
        <v>5825.0061158262615</v>
      </c>
      <c r="GZ19" s="167">
        <f t="shared" si="21"/>
        <v>5869.0049279318873</v>
      </c>
      <c r="HA19" s="167">
        <f t="shared" si="22"/>
        <v>5798.0489852438441</v>
      </c>
      <c r="HB19" s="167">
        <f t="shared" si="23"/>
        <v>5277.0019664784031</v>
      </c>
      <c r="HC19" s="167">
        <f t="shared" si="24"/>
        <v>5193.0430828921317</v>
      </c>
      <c r="HD19" s="167">
        <f t="shared" si="25"/>
        <v>5375.0087388584998</v>
      </c>
      <c r="HE19" s="167">
        <f t="shared" si="26"/>
        <v>5254.0164040072641</v>
      </c>
      <c r="HF19" s="167">
        <f t="shared" si="27"/>
        <v>5593.9986082909363</v>
      </c>
      <c r="HG19" s="167">
        <f t="shared" si="28"/>
        <v>5518.0532534800905</v>
      </c>
      <c r="HH19" s="167">
        <f t="shared" si="29"/>
        <v>4816.0292842143708</v>
      </c>
      <c r="HI19" s="167">
        <f t="shared" si="30"/>
        <v>4620.0404349303435</v>
      </c>
      <c r="HJ19" s="167">
        <f t="shared" si="31"/>
        <v>4326.9362632784832</v>
      </c>
      <c r="HL19" s="168">
        <f>'(Bloom Raw Data)'!HQ19</f>
        <v>10.122400000000001</v>
      </c>
      <c r="HM19" s="168">
        <f>'(Bloom Raw Data)'!HR19</f>
        <v>8.0076999999999998</v>
      </c>
      <c r="HN19" s="168">
        <f>'(Bloom Raw Data)'!HS19</f>
        <v>8.6042000000000005</v>
      </c>
      <c r="HO19" s="168">
        <f>'(Bloom Raw Data)'!HT19</f>
        <v>7.1349999999999998</v>
      </c>
      <c r="HP19" s="168">
        <f>'(Bloom Raw Data)'!HU19</f>
        <v>8.3999000000000006</v>
      </c>
      <c r="HQ19" s="168">
        <f>'(Bloom Raw Data)'!HV19</f>
        <v>9.0390999999999995</v>
      </c>
      <c r="HR19" s="168">
        <f>'(Bloom Raw Data)'!HW19</f>
        <v>8.1005000000000003</v>
      </c>
      <c r="HS19" s="168">
        <f>'(Bloom Raw Data)'!HX19</f>
        <v>10.4245</v>
      </c>
      <c r="HT19" s="168">
        <f>'(Bloom Raw Data)'!HY19</f>
        <v>10.604800000000001</v>
      </c>
      <c r="HU19" s="168">
        <f>'(Bloom Raw Data)'!HZ19</f>
        <v>9.3407</v>
      </c>
      <c r="HV19" s="168">
        <f>'(Bloom Raw Data)'!IA19</f>
        <v>10.1852</v>
      </c>
      <c r="HW19" s="168">
        <f>'(Bloom Raw Data)'!IB19</f>
        <v>10.2643</v>
      </c>
      <c r="HX19" s="168">
        <f>'(Bloom Raw Data)'!IC19</f>
        <v>6.3807</v>
      </c>
      <c r="HY19" s="168">
        <f>'(Bloom Raw Data)'!ID19</f>
        <v>6.5594000000000001</v>
      </c>
      <c r="HZ19" s="168">
        <f>'(Bloom Raw Data)'!IE19</f>
        <v>5.6787999999999998</v>
      </c>
    </row>
    <row r="20" spans="1:236">
      <c r="A20" s="11" t="s">
        <v>27</v>
      </c>
      <c r="B20" s="11" t="s">
        <v>8</v>
      </c>
      <c r="D20" s="167">
        <f>'(Bloom Raw Data)'!D20</f>
        <v>7462.4336999999996</v>
      </c>
      <c r="E20" s="167">
        <f>'(Bloom Raw Data)'!E20</f>
        <v>7421.3262999999997</v>
      </c>
      <c r="F20" s="167">
        <f>'(Bloom Raw Data)'!F20</f>
        <v>7333.4517999999998</v>
      </c>
      <c r="G20" s="167">
        <f>'(Bloom Raw Data)'!G20</f>
        <v>8776.8525000000009</v>
      </c>
      <c r="H20" s="167">
        <f>'(Bloom Raw Data)'!H20</f>
        <v>7339.8116</v>
      </c>
      <c r="I20" s="167">
        <f>'(Bloom Raw Data)'!I20</f>
        <v>7301.1936999999998</v>
      </c>
      <c r="J20" s="167">
        <f>'(Bloom Raw Data)'!J20</f>
        <v>6129.4525000000003</v>
      </c>
      <c r="K20" s="167">
        <f>'(Bloom Raw Data)'!K20</f>
        <v>4930.8159999999998</v>
      </c>
      <c r="L20" s="167">
        <f>'(Bloom Raw Data)'!L20</f>
        <v>3610.3515000000002</v>
      </c>
      <c r="M20" s="167">
        <f>'(Bloom Raw Data)'!M20</f>
        <v>3658.8629999999998</v>
      </c>
      <c r="N20" s="167">
        <f>'(Bloom Raw Data)'!N20</f>
        <v>3097.4506999999999</v>
      </c>
      <c r="O20" s="167">
        <f>'(Bloom Raw Data)'!O20</f>
        <v>3448.8816999999999</v>
      </c>
      <c r="P20" s="167">
        <f>'(Bloom Raw Data)'!P20</f>
        <v>3024.9229999999998</v>
      </c>
      <c r="Q20" s="167">
        <f>'(Bloom Raw Data)'!Q20</f>
        <v>3438.96</v>
      </c>
      <c r="R20" s="167">
        <f>'(Bloom Raw Data)'!R20</f>
        <v>2680.5724</v>
      </c>
      <c r="T20" s="167">
        <f>'(Bloom Raw Data)'!U20</f>
        <v>5569.6642000000002</v>
      </c>
      <c r="U20" s="167">
        <f>'(Bloom Raw Data)'!V20</f>
        <v>5659.8</v>
      </c>
      <c r="V20" s="167">
        <f>'(Bloom Raw Data)'!W20</f>
        <v>6092.8</v>
      </c>
      <c r="W20" s="167">
        <f>'(Bloom Raw Data)'!X20</f>
        <v>781.5</v>
      </c>
      <c r="X20" s="167">
        <f>'(Bloom Raw Data)'!Y20</f>
        <v>2099.7964000000002</v>
      </c>
      <c r="Y20" s="167">
        <f>'(Bloom Raw Data)'!Z20</f>
        <v>7428.5</v>
      </c>
      <c r="Z20" s="167">
        <f>'(Bloom Raw Data)'!AA20</f>
        <v>8874.7999999999993</v>
      </c>
      <c r="AA20" s="167">
        <f>'(Bloom Raw Data)'!AB20</f>
        <v>8540.6131999999998</v>
      </c>
      <c r="AB20" s="167">
        <f>'(Bloom Raw Data)'!AC20</f>
        <v>6612.8339999999998</v>
      </c>
      <c r="AC20" s="167">
        <f>'(Bloom Raw Data)'!AD20</f>
        <v>7073</v>
      </c>
      <c r="AD20" s="167">
        <f>'(Bloom Raw Data)'!AE20</f>
        <v>7937.5</v>
      </c>
      <c r="AE20" s="167">
        <f>'(Bloom Raw Data)'!AF20</f>
        <v>7764.6</v>
      </c>
      <c r="AF20" s="167">
        <f>'(Bloom Raw Data)'!AG20</f>
        <v>7711.2119000000002</v>
      </c>
      <c r="AG20" s="167">
        <f>'(Bloom Raw Data)'!AH20</f>
        <v>8100.6</v>
      </c>
      <c r="AH20" s="167">
        <f>'(Bloom Raw Data)'!AI20</f>
        <v>7937.5</v>
      </c>
      <c r="AJ20" s="167">
        <f>'(Bloom Raw Data)'!AL20</f>
        <v>951.67439999999999</v>
      </c>
      <c r="AK20" s="167">
        <f>'(Bloom Raw Data)'!AP20</f>
        <v>210.5</v>
      </c>
      <c r="AL20" s="167">
        <f>'(Bloom Raw Data)'!AT20</f>
        <v>168.44800000000001</v>
      </c>
      <c r="AM20" s="167">
        <f>'(Bloom Raw Data)'!AX20</f>
        <v>167.4632</v>
      </c>
      <c r="AO20" s="168">
        <f>'(Bloom Raw Data)'!BC20</f>
        <v>-4.1829999999999998</v>
      </c>
      <c r="AP20" s="168">
        <f>'(Bloom Raw Data)'!BD20</f>
        <v>3.1640999999999999</v>
      </c>
      <c r="AQ20" s="168">
        <f>'(Bloom Raw Data)'!BE20</f>
        <v>3.2294</v>
      </c>
      <c r="AR20" s="168">
        <f>'(Bloom Raw Data)'!BF20</f>
        <v>2.8893</v>
      </c>
      <c r="AS20" s="168">
        <f>'(Bloom Raw Data)'!BG20</f>
        <v>0.2127</v>
      </c>
      <c r="AT20" s="168" t="str">
        <f>'(Bloom Raw Data)'!BH20</f>
        <v>#N/A N/A</v>
      </c>
      <c r="AU20" s="168">
        <f>'(Bloom Raw Data)'!BI20</f>
        <v>2.4858000000000002</v>
      </c>
      <c r="AV20" s="168">
        <f>'(Bloom Raw Data)'!BJ20</f>
        <v>2.3290999999999999</v>
      </c>
      <c r="AW20" s="168">
        <f>'(Bloom Raw Data)'!BK20</f>
        <v>1.3796999999999999</v>
      </c>
      <c r="AX20" s="168">
        <f>'(Bloom Raw Data)'!BL20</f>
        <v>1.9352</v>
      </c>
      <c r="AY20" s="168">
        <f>'(Bloom Raw Data)'!BM20</f>
        <v>1.6928999999999998</v>
      </c>
      <c r="AZ20" s="168">
        <f>'(Bloom Raw Data)'!BN20</f>
        <v>1.6564000000000001</v>
      </c>
      <c r="BA20" s="168">
        <f>'(Bloom Raw Data)'!BO20</f>
        <v>1.3139000000000001</v>
      </c>
      <c r="BB20" s="168">
        <f>'(Bloom Raw Data)'!BP20</f>
        <v>1.1894</v>
      </c>
      <c r="BC20" s="168">
        <f>'(Bloom Raw Data)'!BQ20</f>
        <v>0.90610000000000002</v>
      </c>
      <c r="BE20" s="129">
        <f>T20/DA31</f>
        <v>2.2259958434914671</v>
      </c>
      <c r="BF20" s="129">
        <f>U20/DB31</f>
        <v>2.4860757269612583</v>
      </c>
      <c r="BG20" s="129">
        <f>V20/DC31</f>
        <v>2.9693454846727425</v>
      </c>
      <c r="BH20" s="129">
        <f>W20/DD31</f>
        <v>0.43978615644344399</v>
      </c>
      <c r="BI20" s="129">
        <f>X20/DE31</f>
        <v>1.4079364355638997</v>
      </c>
      <c r="BJ20" s="168">
        <f>'(Bloom Raw Data)'!BY20</f>
        <v>4.6794000000000002</v>
      </c>
      <c r="BK20" s="168">
        <f>'(Bloom Raw Data)'!BZ20</f>
        <v>5.6532</v>
      </c>
      <c r="BL20" s="168">
        <f>'(Bloom Raw Data)'!CA20</f>
        <v>4.6271000000000004</v>
      </c>
      <c r="BM20" s="168">
        <f>'(Bloom Raw Data)'!CB20</f>
        <v>3.1051000000000002</v>
      </c>
      <c r="BN20" s="168">
        <f>'(Bloom Raw Data)'!CC20</f>
        <v>3.0222000000000002</v>
      </c>
      <c r="BO20" s="168">
        <f>'(Bloom Raw Data)'!CD20</f>
        <v>3.5028000000000001</v>
      </c>
      <c r="BP20" s="168">
        <f>'(Bloom Raw Data)'!CE20</f>
        <v>3.5291000000000001</v>
      </c>
      <c r="BQ20" s="168">
        <f>'(Bloom Raw Data)'!CF20</f>
        <v>3.4925000000000002</v>
      </c>
      <c r="BR20" s="168">
        <f>'(Bloom Raw Data)'!CG20</f>
        <v>3.7404999999999999</v>
      </c>
      <c r="BS20" s="168">
        <f>'(Bloom Raw Data)'!CH20</f>
        <v>3.7978000000000001</v>
      </c>
      <c r="BU20" s="167">
        <f>'(Bloom Raw Data)'!CK20</f>
        <v>14101.233099999999</v>
      </c>
      <c r="BV20" s="167">
        <f>'(Bloom Raw Data)'!CL20</f>
        <v>14228.6263</v>
      </c>
      <c r="BW20" s="167">
        <f>'(Bloom Raw Data)'!CM20</f>
        <v>14702.051799999999</v>
      </c>
      <c r="BX20" s="167">
        <f>'(Bloom Raw Data)'!CN20</f>
        <v>9762.9524999999994</v>
      </c>
      <c r="BY20" s="167">
        <f>'(Bloom Raw Data)'!CO20</f>
        <v>9656.3045000000002</v>
      </c>
      <c r="BZ20" s="167">
        <f>'(Bloom Raw Data)'!CP20</f>
        <v>15658.493700000001</v>
      </c>
      <c r="CA20" s="167">
        <f>'(Bloom Raw Data)'!CQ20</f>
        <v>15824.1525</v>
      </c>
      <c r="CB20" s="167">
        <f>'(Bloom Raw Data)'!CR20</f>
        <v>14259.033100000001</v>
      </c>
      <c r="CC20" s="167">
        <f>'(Bloom Raw Data)'!CS20</f>
        <v>11137.288500000001</v>
      </c>
      <c r="CD20" s="167">
        <f>'(Bloom Raw Data)'!CT20</f>
        <v>11356.862999999999</v>
      </c>
      <c r="CE20" s="167">
        <f>'(Bloom Raw Data)'!CU20</f>
        <v>11550.1507</v>
      </c>
      <c r="CF20" s="167">
        <f>'(Bloom Raw Data)'!CV20</f>
        <v>11793.2817</v>
      </c>
      <c r="CG20" s="167">
        <f>'(Bloom Raw Data)'!CW20</f>
        <v>11296.8127</v>
      </c>
      <c r="CH20" s="167">
        <f>'(Bloom Raw Data)'!CX20</f>
        <v>12121.16</v>
      </c>
      <c r="CI20" s="167">
        <f>'(Bloom Raw Data)'!CY20</f>
        <v>11133.2724</v>
      </c>
      <c r="CK20" s="167">
        <f t="shared" si="2"/>
        <v>1069.1351999999997</v>
      </c>
      <c r="CL20" s="167">
        <f t="shared" si="3"/>
        <v>1147.5</v>
      </c>
      <c r="CM20" s="167">
        <f t="shared" si="4"/>
        <v>1275.7999999999993</v>
      </c>
      <c r="CN20" s="167">
        <f t="shared" si="5"/>
        <v>204.59999999999854</v>
      </c>
      <c r="CO20" s="167">
        <f t="shared" si="6"/>
        <v>216.69650000000001</v>
      </c>
      <c r="CP20" s="167">
        <f t="shared" si="7"/>
        <v>928.80000000000109</v>
      </c>
      <c r="CQ20" s="167">
        <f t="shared" si="8"/>
        <v>819.90000000000146</v>
      </c>
      <c r="CR20" s="167">
        <f t="shared" si="9"/>
        <v>787.60390000000189</v>
      </c>
      <c r="CS20" s="167">
        <f t="shared" si="10"/>
        <v>914.10300000000007</v>
      </c>
      <c r="CT20" s="167">
        <f t="shared" si="11"/>
        <v>625</v>
      </c>
      <c r="CU20" s="167">
        <f t="shared" si="12"/>
        <v>515.20000000000073</v>
      </c>
      <c r="CV20" s="167">
        <f t="shared" si="13"/>
        <v>579.79999999999927</v>
      </c>
      <c r="CW20" s="167">
        <f t="shared" si="14"/>
        <v>560.67779999999948</v>
      </c>
      <c r="CX20" s="167">
        <f t="shared" si="15"/>
        <v>581.60000000000036</v>
      </c>
      <c r="CY20" s="167">
        <f t="shared" si="16"/>
        <v>515.20000000000073</v>
      </c>
      <c r="DA20" s="129">
        <f>BU20/DA31</f>
        <v>5.6357592022700924</v>
      </c>
      <c r="DB20" s="129">
        <f>BV20/DB31</f>
        <v>6.2499456645875426</v>
      </c>
      <c r="DC20" s="129">
        <f>BW20/DC31</f>
        <v>7.1650917686047073</v>
      </c>
      <c r="DD20" s="129">
        <f>BX20/DD31</f>
        <v>5.4940644344400669</v>
      </c>
      <c r="DE20" s="129">
        <f>BY20/DE31</f>
        <v>6.4746577041705775</v>
      </c>
      <c r="DF20" s="168">
        <f>'(Bloom Raw Data)'!DG20</f>
        <v>9.8637999999999995</v>
      </c>
      <c r="DG20" s="168">
        <f>'(Bloom Raw Data)'!DH20</f>
        <v>10.0799</v>
      </c>
      <c r="DH20" s="168">
        <f>'(Bloom Raw Data)'!DI20</f>
        <v>7.7252000000000001</v>
      </c>
      <c r="DI20" s="168">
        <f>'(Bloom Raw Data)'!DJ20</f>
        <v>5.2295999999999996</v>
      </c>
      <c r="DJ20" s="168">
        <f>'(Bloom Raw Data)'!DK20</f>
        <v>4.8525999999999998</v>
      </c>
      <c r="DK20" s="168">
        <f>'(Bloom Raw Data)'!DL20</f>
        <v>5.0970000000000004</v>
      </c>
      <c r="DL20" s="168">
        <f>'(Bloom Raw Data)'!DM20</f>
        <v>5.3601999999999999</v>
      </c>
      <c r="DM20" s="168">
        <f>'(Bloom Raw Data)'!DN20</f>
        <v>5.1165000000000003</v>
      </c>
      <c r="DN20" s="168">
        <f>'(Bloom Raw Data)'!DO20</f>
        <v>5.5971000000000002</v>
      </c>
      <c r="DO20" s="168">
        <f>'(Bloom Raw Data)'!DP20</f>
        <v>5.3268000000000004</v>
      </c>
      <c r="DR20" s="168">
        <f>'(Bloom Raw Data)'!DS20</f>
        <v>2.4291</v>
      </c>
      <c r="DS20" s="168">
        <f>'(Bloom Raw Data)'!DT20</f>
        <v>2.8045999999999998</v>
      </c>
      <c r="DT20" s="168">
        <f>'(Bloom Raw Data)'!DU20</f>
        <v>2.7625000000000002</v>
      </c>
      <c r="DU20" s="168">
        <f>'(Bloom Raw Data)'!DV20</f>
        <v>2.1886999999999999</v>
      </c>
      <c r="DV20" s="168">
        <f>'(Bloom Raw Data)'!DW20</f>
        <v>2.0619999999999998</v>
      </c>
      <c r="DW20" s="168">
        <f>'(Bloom Raw Data)'!DX20</f>
        <v>3.3980000000000001</v>
      </c>
      <c r="DX20" s="168">
        <f>'(Bloom Raw Data)'!DY20</f>
        <v>3.6478000000000002</v>
      </c>
      <c r="DY20" s="168">
        <f>'(Bloom Raw Data)'!DZ20</f>
        <v>2.8332000000000002</v>
      </c>
      <c r="DZ20" s="168">
        <f>'(Bloom Raw Data)'!EA20</f>
        <v>1.8431</v>
      </c>
      <c r="EA20" s="168">
        <f>'(Bloom Raw Data)'!EB20</f>
        <v>1.6821000000000002</v>
      </c>
      <c r="EB20" s="168">
        <f>'(Bloom Raw Data)'!EC20</f>
        <v>1.7433000000000001</v>
      </c>
      <c r="EC20" s="168">
        <f>'(Bloom Raw Data)'!ED20</f>
        <v>1.8065</v>
      </c>
      <c r="ED20" s="168">
        <f>'(Bloom Raw Data)'!EE20</f>
        <v>1.7673999999999999</v>
      </c>
      <c r="EE20" s="168">
        <f>'(Bloom Raw Data)'!EF20</f>
        <v>1.9295</v>
      </c>
      <c r="EF20" s="168">
        <f>'(Bloom Raw Data)'!EG20</f>
        <v>1.7985</v>
      </c>
      <c r="EH20" s="167">
        <f>'(Bloom Raw Data)'!EJ20</f>
        <v>10.4527</v>
      </c>
      <c r="EI20" s="167">
        <f>'(Bloom Raw Data)'!EK20</f>
        <v>11.8301</v>
      </c>
      <c r="EJ20" s="167">
        <f>'(Bloom Raw Data)'!EL20</f>
        <v>10.243399999999999</v>
      </c>
      <c r="EK20" s="167">
        <f>'(Bloom Raw Data)'!EM20</f>
        <v>20.2746</v>
      </c>
      <c r="EL20" s="167">
        <f>'(Bloom Raw Data)'!EN20</f>
        <v>40.817900000000002</v>
      </c>
      <c r="EM20" s="167">
        <f>'(Bloom Raw Data)'!EO20</f>
        <v>30.596299999999999</v>
      </c>
      <c r="EN20" s="167">
        <f>'(Bloom Raw Data)'!EP20</f>
        <v>43.723199999999999</v>
      </c>
      <c r="EO20" s="167">
        <f>'(Bloom Raw Data)'!EQ20</f>
        <v>14.0304</v>
      </c>
      <c r="EP20" s="167" t="str">
        <f>'(Bloom Raw Data)'!ER20</f>
        <v>#N/A N/A</v>
      </c>
      <c r="EQ20" s="167" t="str">
        <f>'(Bloom Raw Data)'!ES20</f>
        <v>#N/A N/A</v>
      </c>
      <c r="ER20" s="167" t="str">
        <f>'(Bloom Raw Data)'!ET20</f>
        <v>#N/A N/A</v>
      </c>
      <c r="ES20" s="167" t="str">
        <f>'(Bloom Raw Data)'!EU20</f>
        <v>#N/A N/A</v>
      </c>
      <c r="ET20" s="167">
        <f>'(Bloom Raw Data)'!EV20</f>
        <v>12.9276</v>
      </c>
      <c r="EU20" s="167" t="str">
        <f>'(Bloom Raw Data)'!EW20</f>
        <v>#N/A N/A</v>
      </c>
      <c r="EV20" s="167" t="str">
        <f>'(Bloom Raw Data)'!EX20</f>
        <v>#N/A N/A</v>
      </c>
      <c r="EY20" s="167">
        <f>'(Bloom Raw Data)'!FR20</f>
        <v>1449.5165</v>
      </c>
      <c r="EZ20" s="167">
        <f>'(Bloom Raw Data)'!FS20</f>
        <v>2137</v>
      </c>
      <c r="FA20" s="167">
        <f>'(Bloom Raw Data)'!FT20</f>
        <v>2001.6</v>
      </c>
      <c r="FB20" s="167">
        <f>'(Bloom Raw Data)'!FU20</f>
        <v>6247.3</v>
      </c>
      <c r="FC20" s="167">
        <f>'(Bloom Raw Data)'!FV20</f>
        <v>4764.7326999999996</v>
      </c>
      <c r="FD20" s="167">
        <f>'(Bloom Raw Data)'!FW20</f>
        <v>4493.7</v>
      </c>
      <c r="FE20" s="167">
        <f>'(Bloom Raw Data)'!FX20</f>
        <v>3505.1</v>
      </c>
      <c r="FF20" s="167">
        <f>'(Bloom Raw Data)'!FY20</f>
        <v>3203.5178999999998</v>
      </c>
      <c r="FG20" s="167">
        <f>'(Bloom Raw Data)'!FZ20</f>
        <v>4930.0123999999996</v>
      </c>
      <c r="FH20" s="167">
        <f>'(Bloom Raw Data)'!GA20</f>
        <v>4060</v>
      </c>
      <c r="FI20" s="167">
        <f>'(Bloom Raw Data)'!GB20</f>
        <v>2979.7</v>
      </c>
      <c r="FJ20" s="167">
        <f>'(Bloom Raw Data)'!GC20</f>
        <v>3487.4</v>
      </c>
      <c r="FK20" s="167">
        <f>'(Bloom Raw Data)'!GD20</f>
        <v>2507.0992000000001</v>
      </c>
      <c r="FL20" s="167">
        <f>'(Bloom Raw Data)'!GE20</f>
        <v>2936</v>
      </c>
      <c r="FM20" s="167">
        <f>'(Bloom Raw Data)'!GF20</f>
        <v>2979.7</v>
      </c>
      <c r="FO20" s="168">
        <f>'(Bloom Raw Data)'!FA20</f>
        <v>4.7629999999999999</v>
      </c>
      <c r="FP20" s="168">
        <f>'(Bloom Raw Data)'!FB20</f>
        <v>4.0254000000000003</v>
      </c>
      <c r="FQ20" s="168">
        <f>'(Bloom Raw Data)'!FC20</f>
        <v>4.4351000000000003</v>
      </c>
      <c r="FR20" s="168">
        <f>'(Bloom Raw Data)'!FD20</f>
        <v>1.3452999999999999</v>
      </c>
      <c r="FS20" s="168">
        <f>'(Bloom Raw Data)'!FE20</f>
        <v>1.5665</v>
      </c>
      <c r="FT20" s="168">
        <f>'(Bloom Raw Data)'!FF20</f>
        <v>1.5859999999999999</v>
      </c>
      <c r="FU20" s="168">
        <f>'(Bloom Raw Data)'!FG20</f>
        <v>1.8681999999999999</v>
      </c>
      <c r="FV20" s="168">
        <f>'(Bloom Raw Data)'!FH20</f>
        <v>1.6476999999999999</v>
      </c>
      <c r="FW20" s="168" t="str">
        <f>'(Bloom Raw Data)'!FI20</f>
        <v>#N/A N/A</v>
      </c>
      <c r="FX20" s="168" t="str">
        <f>'(Bloom Raw Data)'!FJ20</f>
        <v>#N/A N/A</v>
      </c>
      <c r="FY20" s="168" t="str">
        <f>'(Bloom Raw Data)'!FK20</f>
        <v>#N/A N/A</v>
      </c>
      <c r="FZ20" s="168" t="str">
        <f>'(Bloom Raw Data)'!FL20</f>
        <v>#N/A N/A</v>
      </c>
      <c r="GA20" s="168">
        <f>'(Bloom Raw Data)'!FM20</f>
        <v>1.319</v>
      </c>
      <c r="GB20" s="168" t="str">
        <f>'(Bloom Raw Data)'!FN20</f>
        <v>#N/A N/A</v>
      </c>
      <c r="GC20" s="168" t="str">
        <f>'(Bloom Raw Data)'!FO20</f>
        <v>#N/A N/A</v>
      </c>
      <c r="GD20" s="176"/>
      <c r="GE20" s="176"/>
      <c r="GF20" s="167">
        <f>'(Bloom Raw Data)'!GI20</f>
        <v>2387.4465</v>
      </c>
      <c r="GG20" s="167">
        <f>'(Bloom Raw Data)'!GJ20</f>
        <v>2698.8</v>
      </c>
      <c r="GH20" s="167">
        <f>'(Bloom Raw Data)'!GK20</f>
        <v>2667.1</v>
      </c>
      <c r="GI20" s="167">
        <f>'(Bloom Raw Data)'!GL20</f>
        <v>5694.3</v>
      </c>
      <c r="GJ20" s="167">
        <f>'(Bloom Raw Data)'!GM20</f>
        <v>4609.1450999999997</v>
      </c>
      <c r="GK20" s="167">
        <f>'(Bloom Raw Data)'!GN20</f>
        <v>5244.3</v>
      </c>
      <c r="GL20" s="167">
        <f>'(Bloom Raw Data)'!GO20</f>
        <v>4100.8</v>
      </c>
      <c r="GM20" s="167">
        <f>'(Bloom Raw Data)'!GP20</f>
        <v>3780.0949999999998</v>
      </c>
      <c r="GN20" s="167">
        <f>'(Bloom Raw Data)'!GQ20</f>
        <v>3742.1727999999998</v>
      </c>
      <c r="GO20" s="167">
        <f>'(Bloom Raw Data)'!GR20</f>
        <v>3530</v>
      </c>
      <c r="GP20" s="167">
        <f>'(Bloom Raw Data)'!GS20</f>
        <v>2594.3000000000002</v>
      </c>
      <c r="GQ20" s="167">
        <f>'(Bloom Raw Data)'!GT20</f>
        <v>2990.5</v>
      </c>
      <c r="GR20" s="167">
        <f>'(Bloom Raw Data)'!GU20</f>
        <v>2854.0443</v>
      </c>
      <c r="GS20" s="167">
        <f>'(Bloom Raw Data)'!GV20</f>
        <v>3058.2</v>
      </c>
      <c r="GT20" s="167">
        <f>'(Bloom Raw Data)'!GW20</f>
        <v>2594.3000000000002</v>
      </c>
      <c r="GV20" s="167">
        <f t="shared" si="17"/>
        <v>2502.1000000000004</v>
      </c>
      <c r="GW20" s="167">
        <f t="shared" si="18"/>
        <v>2276.6</v>
      </c>
      <c r="GX20" s="167">
        <f t="shared" si="19"/>
        <v>2051.9</v>
      </c>
      <c r="GY20" s="167">
        <f t="shared" si="20"/>
        <v>1777</v>
      </c>
      <c r="GZ20" s="167">
        <f t="shared" si="21"/>
        <v>1491.4</v>
      </c>
      <c r="HA20" s="167">
        <f t="shared" si="22"/>
        <v>1587.4707212230583</v>
      </c>
      <c r="HB20" s="167">
        <f t="shared" si="23"/>
        <v>1569.8719729362394</v>
      </c>
      <c r="HC20" s="167">
        <f t="shared" si="24"/>
        <v>1845.7817402785688</v>
      </c>
      <c r="HD20" s="167">
        <f t="shared" si="25"/>
        <v>2129.6635497934835</v>
      </c>
      <c r="HE20" s="167">
        <f t="shared" si="26"/>
        <v>2340.3666075918063</v>
      </c>
      <c r="HF20" s="167">
        <f t="shared" si="27"/>
        <v>2266.068412791838</v>
      </c>
      <c r="HG20" s="167">
        <f t="shared" si="28"/>
        <v>2200.1570277228461</v>
      </c>
      <c r="HH20" s="167">
        <f t="shared" si="29"/>
        <v>2207.9180494478646</v>
      </c>
      <c r="HI20" s="167">
        <f t="shared" si="30"/>
        <v>2165.6143359954262</v>
      </c>
      <c r="HJ20" s="167">
        <f t="shared" si="31"/>
        <v>2090.0488848839827</v>
      </c>
      <c r="HL20" s="168">
        <f>'(Bloom Raw Data)'!HQ20</f>
        <v>7.4585999999999997</v>
      </c>
      <c r="HM20" s="168">
        <f>'(Bloom Raw Data)'!HR20</f>
        <v>7.2892999999999999</v>
      </c>
      <c r="HN20" s="168">
        <f>'(Bloom Raw Data)'!HS20</f>
        <v>8.7288999999999994</v>
      </c>
      <c r="HO20" s="168">
        <f>'(Bloom Raw Data)'!HT20</f>
        <v>8.5761000000000003</v>
      </c>
      <c r="HP20" s="168">
        <f>'(Bloom Raw Data)'!HU20</f>
        <v>7.1652000000000005</v>
      </c>
      <c r="HQ20" s="168">
        <f>'(Bloom Raw Data)'!HV20</f>
        <v>6.6730999999999998</v>
      </c>
      <c r="HR20" s="168">
        <f>'(Bloom Raw Data)'!HW20</f>
        <v>6.5318000000000005</v>
      </c>
      <c r="HS20" s="168">
        <f>'(Bloom Raw Data)'!HX20</f>
        <v>5.6299000000000001</v>
      </c>
      <c r="HT20" s="168">
        <f>'(Bloom Raw Data)'!HY20</f>
        <v>6.4733000000000001</v>
      </c>
      <c r="HU20" s="168">
        <f>'(Bloom Raw Data)'!HZ20</f>
        <v>6.7033000000000005</v>
      </c>
      <c r="HV20" s="168">
        <f>'(Bloom Raw Data)'!IA20</f>
        <v>6.7747999999999999</v>
      </c>
      <c r="HW20" s="168">
        <f>'(Bloom Raw Data)'!IB20</f>
        <v>6.3288000000000002</v>
      </c>
      <c r="HX20" s="168">
        <f>'(Bloom Raw Data)'!IC20</f>
        <v>6.0407000000000002</v>
      </c>
      <c r="HY20" s="168">
        <f>'(Bloom Raw Data)'!ID20</f>
        <v>6.0693000000000001</v>
      </c>
      <c r="HZ20" s="168">
        <f>'(Bloom Raw Data)'!IE20</f>
        <v>7.3448000000000002</v>
      </c>
    </row>
    <row r="21" spans="1:236">
      <c r="A21" s="11" t="s">
        <v>32</v>
      </c>
      <c r="B21" s="11" t="s">
        <v>11</v>
      </c>
      <c r="D21" s="167">
        <f>'(Bloom Raw Data)'!D21</f>
        <v>10465.753500000001</v>
      </c>
      <c r="E21" s="167">
        <f>'(Bloom Raw Data)'!E21</f>
        <v>10099.3703</v>
      </c>
      <c r="F21" s="167">
        <f>'(Bloom Raw Data)'!F21</f>
        <v>10604.7464</v>
      </c>
      <c r="G21" s="167">
        <f>'(Bloom Raw Data)'!G21</f>
        <v>10863.397999999999</v>
      </c>
      <c r="H21" s="167">
        <f>'(Bloom Raw Data)'!H21</f>
        <v>14030.8213</v>
      </c>
      <c r="I21" s="167">
        <f>'(Bloom Raw Data)'!I21</f>
        <v>15128.6774</v>
      </c>
      <c r="J21" s="167">
        <f>'(Bloom Raw Data)'!J21</f>
        <v>16424.7225</v>
      </c>
      <c r="K21" s="167">
        <f>'(Bloom Raw Data)'!K21</f>
        <v>13502.830099999999</v>
      </c>
      <c r="L21" s="167">
        <f>'(Bloom Raw Data)'!L21</f>
        <v>14841.9691</v>
      </c>
      <c r="M21" s="167">
        <f>'(Bloom Raw Data)'!M21</f>
        <v>17623.490000000002</v>
      </c>
      <c r="N21" s="167">
        <f>'(Bloom Raw Data)'!N21</f>
        <v>16467.780999999999</v>
      </c>
      <c r="O21" s="167">
        <f>'(Bloom Raw Data)'!O21</f>
        <v>18168.755399999998</v>
      </c>
      <c r="P21" s="167">
        <f>'(Bloom Raw Data)'!P21</f>
        <v>18194.743299999998</v>
      </c>
      <c r="Q21" s="167">
        <f>'(Bloom Raw Data)'!Q21</f>
        <v>21907.0311</v>
      </c>
      <c r="R21" s="167">
        <f>'(Bloom Raw Data)'!R21</f>
        <v>24369.8577</v>
      </c>
      <c r="T21" s="167">
        <f>'(Bloom Raw Data)'!U21</f>
        <v>11412</v>
      </c>
      <c r="U21" s="167">
        <f>'(Bloom Raw Data)'!V21</f>
        <v>10933</v>
      </c>
      <c r="V21" s="167">
        <f>'(Bloom Raw Data)'!W21</f>
        <v>10229</v>
      </c>
      <c r="W21" s="167">
        <f>'(Bloom Raw Data)'!X21</f>
        <v>10110</v>
      </c>
      <c r="X21" s="167">
        <f>'(Bloom Raw Data)'!Y21</f>
        <v>9542</v>
      </c>
      <c r="Y21" s="167">
        <f>'(Bloom Raw Data)'!Z21</f>
        <v>9486</v>
      </c>
      <c r="Z21" s="127">
        <f>AVERAGE(Y21,AA21)</f>
        <v>9257</v>
      </c>
      <c r="AA21" s="167">
        <f>'(Bloom Raw Data)'!AB21</f>
        <v>9028</v>
      </c>
      <c r="AB21" s="167">
        <f>'(Bloom Raw Data)'!AC21</f>
        <v>8362</v>
      </c>
      <c r="AC21" s="167">
        <f>'(Bloom Raw Data)'!AD21</f>
        <v>9642</v>
      </c>
      <c r="AD21" s="167">
        <f>'(Bloom Raw Data)'!AE21</f>
        <v>9666</v>
      </c>
      <c r="AE21" s="167">
        <f>'(Bloom Raw Data)'!AF21</f>
        <v>9415</v>
      </c>
      <c r="AF21" s="167">
        <f>'(Bloom Raw Data)'!AG21</f>
        <v>8515</v>
      </c>
      <c r="AG21" s="167">
        <f>'(Bloom Raw Data)'!AH21</f>
        <v>8558</v>
      </c>
      <c r="AH21" s="167">
        <f>'(Bloom Raw Data)'!AI21</f>
        <v>8743</v>
      </c>
      <c r="AJ21" s="27">
        <f>'(Bloom Raw Data)'!AM21</f>
        <v>7687</v>
      </c>
      <c r="AK21" s="27">
        <f>'(Bloom Raw Data)'!AQ21</f>
        <v>7192</v>
      </c>
      <c r="AL21" s="27">
        <f>'(Bloom Raw Data)'!AU21</f>
        <v>7593</v>
      </c>
      <c r="AM21" s="27">
        <f>'(Bloom Raw Data)'!AY21</f>
        <v>7182</v>
      </c>
      <c r="AO21" s="168">
        <f>'(Bloom Raw Data)'!BC21</f>
        <v>0.80820000000000003</v>
      </c>
      <c r="AP21" s="168">
        <f>'(Bloom Raw Data)'!BD21</f>
        <v>0.98980000000000001</v>
      </c>
      <c r="AQ21" s="168">
        <f>'(Bloom Raw Data)'!BE21</f>
        <v>2.9003999999999999</v>
      </c>
      <c r="AR21" s="168">
        <f>'(Bloom Raw Data)'!BF21</f>
        <v>3.1497999999999999</v>
      </c>
      <c r="AS21" s="168">
        <f>'(Bloom Raw Data)'!BG21</f>
        <v>3.1324999999999998</v>
      </c>
      <c r="AT21" s="168">
        <f>'(Bloom Raw Data)'!BH21</f>
        <v>4.1967999999999996</v>
      </c>
      <c r="AU21" s="168">
        <f>'(Bloom Raw Data)'!BI21</f>
        <v>4.0759999999999996</v>
      </c>
      <c r="AV21" s="168">
        <f>'(Bloom Raw Data)'!BJ21</f>
        <v>4.24</v>
      </c>
      <c r="AW21" s="168">
        <f>'(Bloom Raw Data)'!BK21</f>
        <v>4.6745999999999999</v>
      </c>
      <c r="AX21" s="168">
        <f>'(Bloom Raw Data)'!BL21</f>
        <v>2.4355000000000002</v>
      </c>
      <c r="AY21" s="168">
        <f>'(Bloom Raw Data)'!BM21</f>
        <v>4.2384000000000004</v>
      </c>
      <c r="AZ21" s="168">
        <f>'(Bloom Raw Data)'!BN21</f>
        <v>3.9655</v>
      </c>
      <c r="BA21" s="168">
        <f>'(Bloom Raw Data)'!BO21</f>
        <v>4.0888</v>
      </c>
      <c r="BB21" s="168">
        <f>'(Bloom Raw Data)'!BP21</f>
        <v>6.4966999999999997</v>
      </c>
      <c r="BC21" s="168">
        <f>'(Bloom Raw Data)'!BQ21</f>
        <v>4.9866000000000001</v>
      </c>
      <c r="BE21" s="168">
        <f>'(Bloom Raw Data)'!BT21</f>
        <v>2.8452000000000002</v>
      </c>
      <c r="BF21" s="168">
        <f>'(Bloom Raw Data)'!BU21</f>
        <v>1.9569000000000001</v>
      </c>
      <c r="BG21" s="168">
        <f>'(Bloom Raw Data)'!BV21</f>
        <v>1.8071999999999999</v>
      </c>
      <c r="BH21" s="168">
        <f>'(Bloom Raw Data)'!BW21</f>
        <v>1.7422</v>
      </c>
      <c r="BI21" s="168">
        <f>'(Bloom Raw Data)'!BX21</f>
        <v>1.617</v>
      </c>
      <c r="BJ21" s="168">
        <f>'(Bloom Raw Data)'!BY21</f>
        <v>1.6116000000000001</v>
      </c>
      <c r="BK21" s="168">
        <f>'(Bloom Raw Data)'!BZ21</f>
        <v>1.5663</v>
      </c>
      <c r="BL21" s="168">
        <f>'(Bloom Raw Data)'!CA21</f>
        <v>1.5131999999999999</v>
      </c>
      <c r="BM21" s="168">
        <f>'(Bloom Raw Data)'!CB21</f>
        <v>1.3923000000000001</v>
      </c>
      <c r="BN21" s="168">
        <f>'(Bloom Raw Data)'!CC21</f>
        <v>1.7053</v>
      </c>
      <c r="BO21" s="168">
        <f>'(Bloom Raw Data)'!CD21</f>
        <v>1.7048000000000001</v>
      </c>
      <c r="BP21" s="168">
        <f>'(Bloom Raw Data)'!CE21</f>
        <v>1.6852</v>
      </c>
      <c r="BQ21" s="168">
        <f>'(Bloom Raw Data)'!CF21</f>
        <v>1.5594999999999999</v>
      </c>
      <c r="BR21" s="168">
        <f>'(Bloom Raw Data)'!CG21</f>
        <v>1.4421999999999999</v>
      </c>
      <c r="BS21" s="168">
        <f>'(Bloom Raw Data)'!CH21</f>
        <v>1.4763999999999999</v>
      </c>
      <c r="BU21" s="167">
        <f>'(Bloom Raw Data)'!CK21</f>
        <v>21900.753499999999</v>
      </c>
      <c r="BV21" s="167">
        <f>'(Bloom Raw Data)'!CL21</f>
        <v>21056.370299999999</v>
      </c>
      <c r="BW21" s="167">
        <f>'(Bloom Raw Data)'!CM21</f>
        <v>20852.7464</v>
      </c>
      <c r="BX21" s="167">
        <f>'(Bloom Raw Data)'!CN21</f>
        <v>20997.398000000001</v>
      </c>
      <c r="BY21" s="167">
        <f>'(Bloom Raw Data)'!CO21</f>
        <v>23596.8213</v>
      </c>
      <c r="BZ21" s="167">
        <f>'(Bloom Raw Data)'!CP21</f>
        <v>24640.6774</v>
      </c>
      <c r="CA21" s="167">
        <f>'(Bloom Raw Data)'!CQ21</f>
        <v>25728.7225</v>
      </c>
      <c r="CB21" s="167">
        <f>'(Bloom Raw Data)'!CR21</f>
        <v>22542.830099999999</v>
      </c>
      <c r="CC21" s="167">
        <f>'(Bloom Raw Data)'!CS21</f>
        <v>23213.969099999998</v>
      </c>
      <c r="CD21" s="167">
        <f>'(Bloom Raw Data)'!CT21</f>
        <v>27265.49</v>
      </c>
      <c r="CE21" s="167">
        <f>'(Bloom Raw Data)'!CU21</f>
        <v>26133.780999999999</v>
      </c>
      <c r="CF21" s="167">
        <f>'(Bloom Raw Data)'!CV21</f>
        <v>27593.755399999998</v>
      </c>
      <c r="CG21" s="167">
        <f>'(Bloom Raw Data)'!CW21</f>
        <v>26719.743299999998</v>
      </c>
      <c r="CH21" s="167">
        <f>'(Bloom Raw Data)'!CX21</f>
        <v>30465.0311</v>
      </c>
      <c r="CI21" s="167">
        <f>'(Bloom Raw Data)'!CY21</f>
        <v>33112.8577</v>
      </c>
      <c r="CK21" s="167">
        <f t="shared" si="2"/>
        <v>22.999999999998181</v>
      </c>
      <c r="CL21" s="167">
        <f t="shared" si="3"/>
        <v>23.999999999998181</v>
      </c>
      <c r="CM21" s="167">
        <f t="shared" si="4"/>
        <v>19</v>
      </c>
      <c r="CN21" s="167">
        <f t="shared" si="5"/>
        <v>24.000000000001819</v>
      </c>
      <c r="CO21" s="167">
        <f t="shared" si="6"/>
        <v>24</v>
      </c>
      <c r="CP21" s="167">
        <f t="shared" si="7"/>
        <v>26</v>
      </c>
      <c r="CQ21" s="167">
        <f t="shared" si="8"/>
        <v>47</v>
      </c>
      <c r="CR21" s="167">
        <f t="shared" si="9"/>
        <v>12</v>
      </c>
      <c r="CS21" s="167">
        <f t="shared" si="10"/>
        <v>9.999999999998181</v>
      </c>
      <c r="CT21" s="167">
        <f t="shared" si="11"/>
        <v>0</v>
      </c>
      <c r="CU21" s="167">
        <f t="shared" si="12"/>
        <v>0</v>
      </c>
      <c r="CV21" s="167">
        <f t="shared" si="13"/>
        <v>10</v>
      </c>
      <c r="CW21" s="167">
        <f t="shared" si="14"/>
        <v>10</v>
      </c>
      <c r="CX21" s="167">
        <f t="shared" si="15"/>
        <v>0</v>
      </c>
      <c r="CY21" s="167">
        <f t="shared" si="16"/>
        <v>0</v>
      </c>
      <c r="DA21" s="168">
        <f>'(Bloom Raw Data)'!DB21</f>
        <v>5.4602000000000004</v>
      </c>
      <c r="DB21" s="168">
        <f>'(Bloom Raw Data)'!DC21</f>
        <v>3.7688000000000001</v>
      </c>
      <c r="DC21" s="168">
        <f>'(Bloom Raw Data)'!DD21</f>
        <v>3.6842000000000001</v>
      </c>
      <c r="DD21" s="168">
        <f>'(Bloom Raw Data)'!DE21</f>
        <v>3.6183999999999998</v>
      </c>
      <c r="DE21" s="168">
        <f>'(Bloom Raw Data)'!DF21</f>
        <v>3.9988000000000001</v>
      </c>
      <c r="DF21" s="168">
        <f>'(Bloom Raw Data)'!DG21</f>
        <v>4.1863000000000001</v>
      </c>
      <c r="DG21" s="168">
        <f>'(Bloom Raw Data)'!DH21</f>
        <v>4.3438999999999997</v>
      </c>
      <c r="DH21" s="168">
        <f>'(Bloom Raw Data)'!DI21</f>
        <v>3.7786</v>
      </c>
      <c r="DI21" s="168">
        <f>'(Bloom Raw Data)'!DJ21</f>
        <v>3.8651</v>
      </c>
      <c r="DJ21" s="168">
        <f>'(Bloom Raw Data)'!DK21</f>
        <v>4.8223000000000003</v>
      </c>
      <c r="DK21" s="168">
        <f>'(Bloom Raw Data)'!DL21</f>
        <v>4.6090999999999998</v>
      </c>
      <c r="DL21" s="168">
        <f>'(Bloom Raw Data)'!DM21</f>
        <v>4.9389000000000003</v>
      </c>
      <c r="DM21" s="168">
        <f>'(Bloom Raw Data)'!DN21</f>
        <v>4.8936999999999999</v>
      </c>
      <c r="DN21" s="168">
        <f>'(Bloom Raw Data)'!DO21</f>
        <v>5.1340000000000003</v>
      </c>
      <c r="DO21" s="168">
        <f>'(Bloom Raw Data)'!DP21</f>
        <v>5.5914999999999999</v>
      </c>
      <c r="DR21" s="168">
        <f>'(Bloom Raw Data)'!DS21</f>
        <v>1.0441</v>
      </c>
      <c r="DS21" s="168">
        <f>'(Bloom Raw Data)'!DT21</f>
        <v>1.0069999999999999</v>
      </c>
      <c r="DT21" s="168">
        <f>'(Bloom Raw Data)'!DU21</f>
        <v>1.0083</v>
      </c>
      <c r="DU21" s="168">
        <f>'(Bloom Raw Data)'!DV21</f>
        <v>1.0198</v>
      </c>
      <c r="DV21" s="168">
        <f>'(Bloom Raw Data)'!DW21</f>
        <v>1.1551</v>
      </c>
      <c r="DW21" s="168">
        <f>'(Bloom Raw Data)'!DX21</f>
        <v>1.2274</v>
      </c>
      <c r="DX21" s="168">
        <f>'(Bloom Raw Data)'!DY21</f>
        <v>1.2972000000000001</v>
      </c>
      <c r="DY21" s="168">
        <f>'(Bloom Raw Data)'!DZ21</f>
        <v>1.1414</v>
      </c>
      <c r="DZ21" s="168">
        <f>'(Bloom Raw Data)'!EA21</f>
        <v>1.1913</v>
      </c>
      <c r="EA21" s="168">
        <f>'(Bloom Raw Data)'!EB21</f>
        <v>1.4121999999999999</v>
      </c>
      <c r="EB21" s="168">
        <f>'(Bloom Raw Data)'!EC21</f>
        <v>1.3721000000000001</v>
      </c>
      <c r="EC21" s="168">
        <f>'(Bloom Raw Data)'!ED21</f>
        <v>1.4882</v>
      </c>
      <c r="ED21" s="168">
        <f>'(Bloom Raw Data)'!EE21</f>
        <v>1.474</v>
      </c>
      <c r="EE21" s="168">
        <f>'(Bloom Raw Data)'!EF21</f>
        <v>1.6890000000000001</v>
      </c>
      <c r="EF21" s="168">
        <f>'(Bloom Raw Data)'!EG21</f>
        <v>1.8414000000000001</v>
      </c>
      <c r="EH21" s="167" t="str">
        <f>'(Bloom Raw Data)'!EJ21</f>
        <v>#N/A N/A</v>
      </c>
      <c r="EI21" s="167">
        <f>'(Bloom Raw Data)'!EK21</f>
        <v>9.3285999999999998</v>
      </c>
      <c r="EJ21" s="167">
        <f>'(Bloom Raw Data)'!EL21</f>
        <v>9.1522000000000006</v>
      </c>
      <c r="EK21" s="167">
        <f>'(Bloom Raw Data)'!EM21</f>
        <v>10.1562</v>
      </c>
      <c r="EL21" s="167">
        <f>'(Bloom Raw Data)'!EN21</f>
        <v>11.3108</v>
      </c>
      <c r="EM21" s="167">
        <f>'(Bloom Raw Data)'!EO21</f>
        <v>9.5765999999999991</v>
      </c>
      <c r="EN21" s="167">
        <f>'(Bloom Raw Data)'!EP21</f>
        <v>9.7433999999999994</v>
      </c>
      <c r="EO21" s="167">
        <f>'(Bloom Raw Data)'!EQ21</f>
        <v>7.9024000000000001</v>
      </c>
      <c r="EP21" s="167" t="str">
        <f>'(Bloom Raw Data)'!ER21</f>
        <v>#N/A N/A</v>
      </c>
      <c r="EQ21" s="167" t="str">
        <f>'(Bloom Raw Data)'!ES21</f>
        <v>#N/A N/A</v>
      </c>
      <c r="ER21" s="167" t="str">
        <f>'(Bloom Raw Data)'!ET21</f>
        <v>#N/A N/A</v>
      </c>
      <c r="ES21" s="167" t="str">
        <f>'(Bloom Raw Data)'!EU21</f>
        <v>#N/A N/A</v>
      </c>
      <c r="ET21" s="167">
        <f>'(Bloom Raw Data)'!EV21</f>
        <v>8.6373999999999995</v>
      </c>
      <c r="EU21" s="167" t="str">
        <f>'(Bloom Raw Data)'!EW21</f>
        <v>#N/A N/A</v>
      </c>
      <c r="EV21" s="167" t="str">
        <f>'(Bloom Raw Data)'!EX21</f>
        <v>#N/A N/A</v>
      </c>
      <c r="EY21" s="167">
        <f>'(Bloom Raw Data)'!FR21</f>
        <v>305</v>
      </c>
      <c r="EZ21" s="167">
        <f>'(Bloom Raw Data)'!FS21</f>
        <v>1452</v>
      </c>
      <c r="FA21" s="167">
        <f>'(Bloom Raw Data)'!FT21</f>
        <v>242</v>
      </c>
      <c r="FB21" s="167">
        <f>'(Bloom Raw Data)'!FU21</f>
        <v>274</v>
      </c>
      <c r="FC21" s="167">
        <f>'(Bloom Raw Data)'!FV21</f>
        <v>266</v>
      </c>
      <c r="FD21" s="167">
        <f>'(Bloom Raw Data)'!FW21</f>
        <v>351</v>
      </c>
      <c r="FE21" s="167">
        <f>'(Bloom Raw Data)'!FX21</f>
        <v>231</v>
      </c>
      <c r="FF21" s="167">
        <f>'(Bloom Raw Data)'!FY21</f>
        <v>350</v>
      </c>
      <c r="FG21" s="167">
        <f>'(Bloom Raw Data)'!FZ21</f>
        <v>283</v>
      </c>
      <c r="FH21" s="167">
        <f>'(Bloom Raw Data)'!GA21</f>
        <v>331</v>
      </c>
      <c r="FI21" s="167">
        <f>'(Bloom Raw Data)'!GB21</f>
        <v>334</v>
      </c>
      <c r="FJ21" s="167">
        <f>'(Bloom Raw Data)'!GC21</f>
        <v>311</v>
      </c>
      <c r="FK21" s="167">
        <f>'(Bloom Raw Data)'!GD21</f>
        <v>540</v>
      </c>
      <c r="FL21" s="167">
        <f>'(Bloom Raw Data)'!GE21</f>
        <v>924</v>
      </c>
      <c r="FM21" s="167">
        <f>'(Bloom Raw Data)'!GF21</f>
        <v>353</v>
      </c>
      <c r="FO21" s="168" t="str">
        <f>'(Bloom Raw Data)'!FA21</f>
        <v>#N/A N/A</v>
      </c>
      <c r="FP21" s="168" t="str">
        <f>'(Bloom Raw Data)'!FB21</f>
        <v>#N/A N/A</v>
      </c>
      <c r="FQ21" s="168" t="str">
        <f>'(Bloom Raw Data)'!FC21</f>
        <v>#N/A N/A</v>
      </c>
      <c r="FR21" s="168" t="str">
        <f>'(Bloom Raw Data)'!FD21</f>
        <v>#N/A N/A</v>
      </c>
      <c r="FS21" s="168">
        <f>'(Bloom Raw Data)'!FE21</f>
        <v>26.523299999999999</v>
      </c>
      <c r="FT21" s="168">
        <f>'(Bloom Raw Data)'!FF21</f>
        <v>7.8590999999999998</v>
      </c>
      <c r="FU21" s="168">
        <f>'(Bloom Raw Data)'!FG21</f>
        <v>8.3459000000000003</v>
      </c>
      <c r="FV21" s="168">
        <f>'(Bloom Raw Data)'!FH21</f>
        <v>9.1793999999999993</v>
      </c>
      <c r="FW21" s="168" t="str">
        <f>'(Bloom Raw Data)'!FI21</f>
        <v>#N/A N/A</v>
      </c>
      <c r="FX21" s="168" t="str">
        <f>'(Bloom Raw Data)'!FJ21</f>
        <v>#N/A N/A</v>
      </c>
      <c r="FY21" s="168" t="str">
        <f>'(Bloom Raw Data)'!FK21</f>
        <v>#N/A N/A</v>
      </c>
      <c r="FZ21" s="168" t="str">
        <f>'(Bloom Raw Data)'!FL21</f>
        <v>#N/A N/A</v>
      </c>
      <c r="GA21" s="168" t="str">
        <f>'(Bloom Raw Data)'!FM21</f>
        <v>#N/A N/A</v>
      </c>
      <c r="GB21" s="168" t="str">
        <f>'(Bloom Raw Data)'!FN21</f>
        <v>#N/A N/A</v>
      </c>
      <c r="GC21" s="168" t="str">
        <f>'(Bloom Raw Data)'!FO21</f>
        <v>#N/A N/A</v>
      </c>
      <c r="GD21" s="176"/>
      <c r="GE21" s="176"/>
      <c r="GF21" s="167">
        <f>'(Bloom Raw Data)'!GI21</f>
        <v>-3594</v>
      </c>
      <c r="GG21" s="167">
        <f>'(Bloom Raw Data)'!GJ21</f>
        <v>-2626</v>
      </c>
      <c r="GH21" s="167">
        <f>'(Bloom Raw Data)'!GK21</f>
        <v>-2258</v>
      </c>
      <c r="GI21" s="167">
        <f>'(Bloom Raw Data)'!GL21</f>
        <v>-318</v>
      </c>
      <c r="GJ21" s="167">
        <f>'(Bloom Raw Data)'!GM21</f>
        <v>553</v>
      </c>
      <c r="GK21" s="167">
        <f>'(Bloom Raw Data)'!GN21</f>
        <v>1951</v>
      </c>
      <c r="GL21" s="167">
        <f>'(Bloom Raw Data)'!GO21</f>
        <v>1995</v>
      </c>
      <c r="GM21" s="167">
        <f>'(Bloom Raw Data)'!GP21</f>
        <v>1483</v>
      </c>
      <c r="GN21" s="167">
        <f>'(Bloom Raw Data)'!GQ21</f>
        <v>323</v>
      </c>
      <c r="GO21" s="167">
        <f>'(Bloom Raw Data)'!GR21</f>
        <v>1308</v>
      </c>
      <c r="GP21" s="167">
        <f>'(Bloom Raw Data)'!GS21</f>
        <v>1718</v>
      </c>
      <c r="GQ21" s="167">
        <f>'(Bloom Raw Data)'!GT21</f>
        <v>577</v>
      </c>
      <c r="GR21" s="167">
        <f>'(Bloom Raw Data)'!GU21</f>
        <v>-228</v>
      </c>
      <c r="GS21" s="167">
        <f>'(Bloom Raw Data)'!GV21</f>
        <v>-262</v>
      </c>
      <c r="GT21" s="167">
        <f>'(Bloom Raw Data)'!GW21</f>
        <v>615</v>
      </c>
      <c r="GV21" s="167">
        <f t="shared" si="17"/>
        <v>4010.9800923043108</v>
      </c>
      <c r="GW21" s="167">
        <f t="shared" si="18"/>
        <v>5587.0224739970281</v>
      </c>
      <c r="GX21" s="167">
        <f t="shared" si="19"/>
        <v>5660.0473372781062</v>
      </c>
      <c r="GY21" s="167">
        <f t="shared" si="20"/>
        <v>5802.951028078709</v>
      </c>
      <c r="GZ21" s="167">
        <f t="shared" si="21"/>
        <v>5900.9756176853052</v>
      </c>
      <c r="HA21" s="167">
        <f t="shared" si="22"/>
        <v>5886.0276138833815</v>
      </c>
      <c r="HB21" s="167">
        <f t="shared" si="23"/>
        <v>5922.9546030065158</v>
      </c>
      <c r="HC21" s="167">
        <f t="shared" si="24"/>
        <v>5965.9212671359764</v>
      </c>
      <c r="HD21" s="167">
        <f t="shared" si="25"/>
        <v>6006.0461825049797</v>
      </c>
      <c r="HE21" s="167">
        <f t="shared" si="26"/>
        <v>5654.0426767310209</v>
      </c>
      <c r="HF21" s="167">
        <f t="shared" si="27"/>
        <v>5670.0399210257965</v>
      </c>
      <c r="HG21" s="167">
        <f t="shared" si="28"/>
        <v>5587.0245196298765</v>
      </c>
      <c r="HH21" s="167">
        <f t="shared" si="29"/>
        <v>5460.0288738582258</v>
      </c>
      <c r="HI21" s="167">
        <f t="shared" si="30"/>
        <v>5933.97567199065</v>
      </c>
      <c r="HJ21" s="167">
        <f t="shared" si="31"/>
        <v>5921.9990521327018</v>
      </c>
      <c r="HL21" s="168">
        <f>'(Bloom Raw Data)'!HQ21</f>
        <v>6.2939999999999996</v>
      </c>
      <c r="HM21" s="168">
        <f>'(Bloom Raw Data)'!HR21</f>
        <v>7.6182999999999996</v>
      </c>
      <c r="HN21" s="168">
        <f>'(Bloom Raw Data)'!HS21</f>
        <v>9.3204999999999991</v>
      </c>
      <c r="HO21" s="168">
        <f>'(Bloom Raw Data)'!HT21</f>
        <v>8.7264999999999997</v>
      </c>
      <c r="HP21" s="168">
        <f>'(Bloom Raw Data)'!HU21</f>
        <v>12.158099999999999</v>
      </c>
      <c r="HQ21" s="168">
        <f>'(Bloom Raw Data)'!HV21</f>
        <v>11.8354</v>
      </c>
      <c r="HR21" s="168">
        <f>'(Bloom Raw Data)'!HW21</f>
        <v>10.957000000000001</v>
      </c>
      <c r="HS21" s="168">
        <f>'(Bloom Raw Data)'!HX21</f>
        <v>9.4048999999999996</v>
      </c>
      <c r="HT21" s="168">
        <f>'(Bloom Raw Data)'!HY21</f>
        <v>7.9688999999999997</v>
      </c>
      <c r="HU21" s="168">
        <f>'(Bloom Raw Data)'!HZ21</f>
        <v>8.4113000000000007</v>
      </c>
      <c r="HV21" s="168">
        <f>'(Bloom Raw Data)'!IA21</f>
        <v>7.0164</v>
      </c>
      <c r="HW21" s="168">
        <f>'(Bloom Raw Data)'!IB21</f>
        <v>7.1776</v>
      </c>
      <c r="HX21" s="168">
        <f>'(Bloom Raw Data)'!IC21</f>
        <v>7.0678999999999998</v>
      </c>
      <c r="HY21" s="168">
        <f>'(Bloom Raw Data)'!ID21</f>
        <v>7.6516000000000002</v>
      </c>
      <c r="HZ21" s="168">
        <f>'(Bloom Raw Data)'!IE21</f>
        <v>8.2772000000000006</v>
      </c>
    </row>
    <row r="22" spans="1:236" s="25" customFormat="1">
      <c r="A22" s="25" t="s">
        <v>32</v>
      </c>
      <c r="B22" s="25" t="s">
        <v>17</v>
      </c>
      <c r="D22" s="27">
        <f>E22</f>
        <v>80047.964600000007</v>
      </c>
      <c r="E22" s="26">
        <f>'(Bloom Raw Data)'!E22</f>
        <v>80047.964600000007</v>
      </c>
      <c r="F22" s="27">
        <f>AVERAGE(E22,G22)</f>
        <v>81250.0622</v>
      </c>
      <c r="G22" s="26">
        <f>'(Bloom Raw Data)'!G22</f>
        <v>82452.159799999994</v>
      </c>
      <c r="H22" s="27">
        <f>AVERAGE(G22,I22)</f>
        <v>86743.246450000006</v>
      </c>
      <c r="I22" s="26">
        <f>'(Bloom Raw Data)'!I22</f>
        <v>91034.333100000003</v>
      </c>
      <c r="J22" s="27">
        <f>AVERAGE(I22,K22)</f>
        <v>87441.692550000007</v>
      </c>
      <c r="K22" s="26">
        <f>'(Bloom Raw Data)'!K22</f>
        <v>83849.051999999996</v>
      </c>
      <c r="L22" s="27">
        <f>AVERAGE(K22,M22)</f>
        <v>84669.680499999988</v>
      </c>
      <c r="M22" s="26">
        <f>'(Bloom Raw Data)'!M22</f>
        <v>85490.308999999994</v>
      </c>
      <c r="N22" s="27">
        <f>AVERAGE(M22,O22)</f>
        <v>85961.076849999998</v>
      </c>
      <c r="O22" s="26">
        <f>'(Bloom Raw Data)'!O22</f>
        <v>86431.844700000001</v>
      </c>
      <c r="P22" s="27">
        <f>AVERAGE(O22,Q22)</f>
        <v>88856.993400000007</v>
      </c>
      <c r="Q22" s="26">
        <f>'(Bloom Raw Data)'!Q22</f>
        <v>91282.142099999997</v>
      </c>
      <c r="R22" s="27">
        <f>Q22</f>
        <v>91282.142099999997</v>
      </c>
      <c r="T22" s="27">
        <f>U22</f>
        <v>32421</v>
      </c>
      <c r="U22" s="26">
        <f>'(Bloom Raw Data)'!V22</f>
        <v>32421</v>
      </c>
      <c r="V22" s="27">
        <f>AVERAGE(U22,W22)</f>
        <v>32447</v>
      </c>
      <c r="W22" s="26">
        <f>'(Bloom Raw Data)'!X22</f>
        <v>32473</v>
      </c>
      <c r="X22" s="27">
        <f>AVERAGE(W22,Y22)</f>
        <v>31946.5</v>
      </c>
      <c r="Y22" s="26">
        <f>'(Bloom Raw Data)'!Z22</f>
        <v>31420</v>
      </c>
      <c r="Z22" s="27">
        <f>AVERAGE(Y22,AA22)</f>
        <v>29905</v>
      </c>
      <c r="AA22" s="26">
        <f>'(Bloom Raw Data)'!AB22</f>
        <v>28390</v>
      </c>
      <c r="AB22" s="27">
        <f>AVERAGE(AA22,AC22)</f>
        <v>27317.5</v>
      </c>
      <c r="AC22" s="26">
        <f>'(Bloom Raw Data)'!AD22</f>
        <v>26245</v>
      </c>
      <c r="AD22" s="27">
        <f>AVERAGE(AC22,AE22)</f>
        <v>23631</v>
      </c>
      <c r="AE22" s="26">
        <f>'(Bloom Raw Data)'!AF22</f>
        <v>21017</v>
      </c>
      <c r="AF22" s="27">
        <f>AVERAGE(AE22,AG22)</f>
        <v>24786.5</v>
      </c>
      <c r="AG22" s="26">
        <f>'(Bloom Raw Data)'!AH22</f>
        <v>28556</v>
      </c>
      <c r="AH22" s="27">
        <f>AG22</f>
        <v>28556</v>
      </c>
      <c r="AJ22" s="27">
        <f>'(Bloom Raw Data)'!AM22</f>
        <v>6243</v>
      </c>
      <c r="AK22" s="27">
        <f>'(Bloom Raw Data)'!AQ22</f>
        <v>6513</v>
      </c>
      <c r="AL22" s="27">
        <f>'(Bloom Raw Data)'!AU22</f>
        <v>6141</v>
      </c>
      <c r="AM22" s="27">
        <f>'(Bloom Raw Data)'!AY22</f>
        <v>6640</v>
      </c>
      <c r="AO22" s="28" t="str">
        <f>'(Bloom Raw Data)'!BC22</f>
        <v>#N/A N/A</v>
      </c>
      <c r="AP22" s="28">
        <f>'(Bloom Raw Data)'!BD22</f>
        <v>5.6098999999999997</v>
      </c>
      <c r="AQ22" s="29">
        <f>AVERAGE(AP22,AR22)</f>
        <v>5.0398999999999994</v>
      </c>
      <c r="AR22" s="28">
        <f>'(Bloom Raw Data)'!BF22</f>
        <v>4.4699</v>
      </c>
      <c r="AS22" s="28" t="str">
        <f>'(Bloom Raw Data)'!BG22</f>
        <v>#N/A N/A</v>
      </c>
      <c r="AT22" s="28" t="str">
        <f>'(Bloom Raw Data)'!BH22</f>
        <v>#N/A N/A</v>
      </c>
      <c r="AU22" s="28" t="str">
        <f>'(Bloom Raw Data)'!BI22</f>
        <v>#N/A N/A</v>
      </c>
      <c r="AV22" s="28">
        <f>'(Bloom Raw Data)'!BJ22</f>
        <v>6.5792999999999999</v>
      </c>
      <c r="AW22" s="29">
        <f>AVERAGE(AV22,AX22)</f>
        <v>5.2389999999999999</v>
      </c>
      <c r="AX22" s="28">
        <f>'(Bloom Raw Data)'!BL22</f>
        <v>3.8986999999999998</v>
      </c>
      <c r="AY22" s="29">
        <f>AVERAGE(AX22,AZ22)</f>
        <v>3.4970499999999998</v>
      </c>
      <c r="AZ22" s="28">
        <f>'(Bloom Raw Data)'!BN22</f>
        <v>3.0954000000000002</v>
      </c>
      <c r="BA22" s="29">
        <f>AVERAGE(AZ22,BB22)</f>
        <v>3.4134000000000002</v>
      </c>
      <c r="BB22" s="28">
        <f>'(Bloom Raw Data)'!BP22</f>
        <v>3.7313999999999998</v>
      </c>
      <c r="BC22" s="28" t="str">
        <f>'(Bloom Raw Data)'!BQ22</f>
        <v>#N/A N/A</v>
      </c>
      <c r="BE22" s="29">
        <f>BF22</f>
        <v>2.1877</v>
      </c>
      <c r="BF22" s="28">
        <f>'(Bloom Raw Data)'!BU22</f>
        <v>2.1877</v>
      </c>
      <c r="BG22" s="29">
        <f>AVERAGE(BF22,BH22)</f>
        <v>2.2064500000000002</v>
      </c>
      <c r="BH22" s="28">
        <f>'(Bloom Raw Data)'!BW22</f>
        <v>2.2252000000000001</v>
      </c>
      <c r="BI22" s="29">
        <f>AVERAGE(BH22,BJ22)</f>
        <v>2.1836500000000001</v>
      </c>
      <c r="BJ22" s="28">
        <f>'(Bloom Raw Data)'!BY22</f>
        <v>2.1421000000000001</v>
      </c>
      <c r="BK22" s="29">
        <f>AVERAGE(BJ22,BL22)</f>
        <v>1.8488</v>
      </c>
      <c r="BL22" s="28">
        <f>'(Bloom Raw Data)'!CA22</f>
        <v>1.5554999999999999</v>
      </c>
      <c r="BM22" s="29">
        <f>AVERAGE(BL22,BN22)</f>
        <v>1.4982</v>
      </c>
      <c r="BN22" s="28">
        <f>'(Bloom Raw Data)'!CC22</f>
        <v>1.4409000000000001</v>
      </c>
      <c r="BO22" s="29">
        <f>AVERAGE(BN22,BP22)</f>
        <v>1.4761</v>
      </c>
      <c r="BP22" s="28">
        <f>'(Bloom Raw Data)'!CE22</f>
        <v>1.5112999999999999</v>
      </c>
      <c r="BQ22" s="29">
        <f>AVERAGE(BP22,BR22)</f>
        <v>1.7928999999999999</v>
      </c>
      <c r="BR22" s="28">
        <f>'(Bloom Raw Data)'!CG22</f>
        <v>2.0745</v>
      </c>
      <c r="BS22" s="29">
        <f>BR22</f>
        <v>2.0745</v>
      </c>
      <c r="BU22" s="27">
        <f>BV22</f>
        <v>112897.96460000001</v>
      </c>
      <c r="BV22" s="26">
        <f>'(Bloom Raw Data)'!CL22</f>
        <v>112897.96460000001</v>
      </c>
      <c r="BW22" s="27">
        <f>AVERAGE(BV22,BX22)</f>
        <v>113999.5622</v>
      </c>
      <c r="BX22" s="26">
        <f>'(Bloom Raw Data)'!CN22</f>
        <v>115101.15979999999</v>
      </c>
      <c r="BY22" s="27">
        <f>AVERAGE(BX22,BZ22)</f>
        <v>118780.74645000001</v>
      </c>
      <c r="BZ22" s="26">
        <f>'(Bloom Raw Data)'!CP22</f>
        <v>122460.3331</v>
      </c>
      <c r="CA22" s="27">
        <f>AVERAGE(BZ22,CB22)</f>
        <v>118031.69255000001</v>
      </c>
      <c r="CB22" s="26">
        <f>'(Bloom Raw Data)'!CR22</f>
        <v>113603.052</v>
      </c>
      <c r="CC22" s="27">
        <f>AVERAGE(CB22,CD22)</f>
        <v>113302.68049999999</v>
      </c>
      <c r="CD22" s="26">
        <f>'(Bloom Raw Data)'!CT22</f>
        <v>113002.30899999999</v>
      </c>
      <c r="CE22" s="27">
        <f>AVERAGE(CD22,CF22)</f>
        <v>110744.07685</v>
      </c>
      <c r="CF22" s="26">
        <f>'(Bloom Raw Data)'!CV22</f>
        <v>108485.8447</v>
      </c>
      <c r="CG22" s="27">
        <f>AVERAGE(CF22,CH22)</f>
        <v>114667.49340000001</v>
      </c>
      <c r="CH22" s="26">
        <f>'(Bloom Raw Data)'!CX22</f>
        <v>120849.1421</v>
      </c>
      <c r="CI22" s="27">
        <f>CH22</f>
        <v>120849.1421</v>
      </c>
      <c r="CK22" s="26">
        <f t="shared" si="2"/>
        <v>429</v>
      </c>
      <c r="CL22" s="26">
        <f t="shared" si="3"/>
        <v>429</v>
      </c>
      <c r="CM22" s="26">
        <f t="shared" si="4"/>
        <v>302.5</v>
      </c>
      <c r="CN22" s="26">
        <f t="shared" si="5"/>
        <v>176</v>
      </c>
      <c r="CO22" s="26">
        <f t="shared" si="6"/>
        <v>91</v>
      </c>
      <c r="CP22" s="26">
        <f t="shared" si="7"/>
        <v>6</v>
      </c>
      <c r="CQ22" s="26">
        <f t="shared" si="8"/>
        <v>685</v>
      </c>
      <c r="CR22" s="26">
        <f t="shared" si="9"/>
        <v>1364</v>
      </c>
      <c r="CS22" s="26">
        <f t="shared" si="10"/>
        <v>1315.5</v>
      </c>
      <c r="CT22" s="26">
        <f t="shared" si="11"/>
        <v>1267</v>
      </c>
      <c r="CU22" s="26">
        <f t="shared" si="12"/>
        <v>1152</v>
      </c>
      <c r="CV22" s="26">
        <f t="shared" si="13"/>
        <v>1037</v>
      </c>
      <c r="CW22" s="26">
        <f t="shared" si="14"/>
        <v>1024</v>
      </c>
      <c r="CX22" s="26">
        <f t="shared" si="15"/>
        <v>1011</v>
      </c>
      <c r="CY22" s="26">
        <f t="shared" si="16"/>
        <v>1011</v>
      </c>
      <c r="DA22" s="29">
        <f>DB22</f>
        <v>7.6178999999999997</v>
      </c>
      <c r="DB22" s="28">
        <f>'(Bloom Raw Data)'!DC22</f>
        <v>7.6178999999999997</v>
      </c>
      <c r="DC22" s="29">
        <f>AVERAGE(DB22,DD22)</f>
        <v>7.7526499999999992</v>
      </c>
      <c r="DD22" s="28">
        <f>'(Bloom Raw Data)'!DE22</f>
        <v>7.8873999999999995</v>
      </c>
      <c r="DE22" s="29">
        <f>AVERAGE(DD22,DF22)</f>
        <v>8.1181000000000001</v>
      </c>
      <c r="DF22" s="28">
        <f>'(Bloom Raw Data)'!DG22</f>
        <v>8.3488000000000007</v>
      </c>
      <c r="DG22" s="29">
        <f>AVERAGE(DF22,DH22)</f>
        <v>7.2866499999999998</v>
      </c>
      <c r="DH22" s="28">
        <f>'(Bloom Raw Data)'!DI22</f>
        <v>6.2244999999999999</v>
      </c>
      <c r="DI22" s="29">
        <f>AVERAGE(DH22,DJ22)</f>
        <v>6.2142999999999997</v>
      </c>
      <c r="DJ22" s="28">
        <f>'(Bloom Raw Data)'!DK22</f>
        <v>6.2041000000000004</v>
      </c>
      <c r="DK22" s="29">
        <f>AVERAGE(DJ22,DL22)</f>
        <v>7.0024499999999996</v>
      </c>
      <c r="DL22" s="28">
        <f>'(Bloom Raw Data)'!DM22</f>
        <v>7.8007999999999997</v>
      </c>
      <c r="DM22" s="29">
        <f>AVERAGE(DL22,DN22)</f>
        <v>8.2901500000000006</v>
      </c>
      <c r="DN22" s="28">
        <f>'(Bloom Raw Data)'!DO22</f>
        <v>8.7795000000000005</v>
      </c>
      <c r="DO22" s="29">
        <f>DN22</f>
        <v>8.7795000000000005</v>
      </c>
      <c r="DR22" s="29">
        <f>DS22</f>
        <v>2.5385999999999997</v>
      </c>
      <c r="DS22" s="28">
        <f>'(Bloom Raw Data)'!DT22</f>
        <v>2.5385999999999997</v>
      </c>
      <c r="DT22" s="29">
        <f>AVERAGE(DS22,DU22)</f>
        <v>2.5393499999999998</v>
      </c>
      <c r="DU22" s="28">
        <f>'(Bloom Raw Data)'!DV22</f>
        <v>2.5400999999999998</v>
      </c>
      <c r="DV22" s="29">
        <f>AVERAGE(DU22,DW22)</f>
        <v>2.6044999999999998</v>
      </c>
      <c r="DW22" s="28">
        <f>'(Bloom Raw Data)'!DX22</f>
        <v>2.6688999999999998</v>
      </c>
      <c r="DX22" s="29">
        <f>AVERAGE(DW22,DY22)</f>
        <v>2.5481499999999997</v>
      </c>
      <c r="DY22" s="28">
        <f>'(Bloom Raw Data)'!DZ22</f>
        <v>2.4274</v>
      </c>
      <c r="DZ22" s="29">
        <f>AVERAGE(DY22,EA22)</f>
        <v>2.4309500000000002</v>
      </c>
      <c r="EA22" s="28">
        <f>'(Bloom Raw Data)'!EB22</f>
        <v>2.4344999999999999</v>
      </c>
      <c r="EB22" s="29">
        <f>AVERAGE(EA22,EC22)</f>
        <v>2.4313500000000001</v>
      </c>
      <c r="EC22" s="28">
        <f>'(Bloom Raw Data)'!ED22</f>
        <v>2.4281999999999999</v>
      </c>
      <c r="ED22" s="29">
        <f>AVERAGE(EC22,EE22)</f>
        <v>2.5736499999999998</v>
      </c>
      <c r="EE22" s="28">
        <f>'(Bloom Raw Data)'!EF22</f>
        <v>2.7191000000000001</v>
      </c>
      <c r="EF22" s="29">
        <f>EE22</f>
        <v>2.7191000000000001</v>
      </c>
      <c r="EH22" s="26">
        <f>'(Bloom Raw Data)'!EJ22</f>
        <v>12.8028</v>
      </c>
      <c r="EI22" s="26">
        <f>'(Bloom Raw Data)'!EK22</f>
        <v>9.0373999999999999</v>
      </c>
      <c r="EJ22" s="26">
        <f>'(Bloom Raw Data)'!EL22</f>
        <v>8.2734000000000005</v>
      </c>
      <c r="EK22" s="26">
        <f>'(Bloom Raw Data)'!EM22</f>
        <v>7.1159999999999997</v>
      </c>
      <c r="EL22" s="26">
        <f>'(Bloom Raw Data)'!EN22</f>
        <v>7.5100999999999996</v>
      </c>
      <c r="EM22" s="26">
        <f>'(Bloom Raw Data)'!EO22</f>
        <v>11.3474</v>
      </c>
      <c r="EN22" s="26">
        <f>'(Bloom Raw Data)'!EP22</f>
        <v>10.6273</v>
      </c>
      <c r="EO22" s="26">
        <f>'(Bloom Raw Data)'!EQ22</f>
        <v>11.6447</v>
      </c>
      <c r="EP22" s="26" t="str">
        <f>'(Bloom Raw Data)'!ER22</f>
        <v>#N/A N/A</v>
      </c>
      <c r="EQ22" s="26" t="str">
        <f>'(Bloom Raw Data)'!ES22</f>
        <v>#N/A N/A</v>
      </c>
      <c r="ER22" s="26" t="str">
        <f>'(Bloom Raw Data)'!ET22</f>
        <v>#N/A N/A</v>
      </c>
      <c r="ES22" s="26" t="str">
        <f>'(Bloom Raw Data)'!EU22</f>
        <v>#N/A N/A</v>
      </c>
      <c r="ET22" s="26" t="str">
        <f>'(Bloom Raw Data)'!EV22</f>
        <v>#N/A N/A</v>
      </c>
      <c r="EU22" s="26" t="str">
        <f>'(Bloom Raw Data)'!EW22</f>
        <v>#N/A N/A</v>
      </c>
      <c r="EV22" s="26" t="str">
        <f>'(Bloom Raw Data)'!EX22</f>
        <v>#N/A N/A</v>
      </c>
      <c r="EY22" s="27">
        <f>EZ22</f>
        <v>4423</v>
      </c>
      <c r="EZ22" s="26">
        <f>'(Bloom Raw Data)'!FS22</f>
        <v>4423</v>
      </c>
      <c r="FA22" s="177">
        <f>AVERAGE(EZ22,FB22)</f>
        <v>6768</v>
      </c>
      <c r="FB22" s="26">
        <f>'(Bloom Raw Data)'!FU22</f>
        <v>9113</v>
      </c>
      <c r="FC22" s="177">
        <f>AVERAGE(FB22,FD22)</f>
        <v>7682.5</v>
      </c>
      <c r="FD22" s="26">
        <f>'(Bloom Raw Data)'!FW22</f>
        <v>6252</v>
      </c>
      <c r="FE22" s="177">
        <f>AVERAGE(FD22,FF22)</f>
        <v>6613.5</v>
      </c>
      <c r="FF22" s="26">
        <f>'(Bloom Raw Data)'!FY22</f>
        <v>6975</v>
      </c>
      <c r="FG22" s="177">
        <f>AVERAGE(FF22,FH22)</f>
        <v>7056.5</v>
      </c>
      <c r="FH22" s="26">
        <f>'(Bloom Raw Data)'!GA22</f>
        <v>7138</v>
      </c>
      <c r="FI22" s="177">
        <f>AVERAGE(FH22,FJ22)</f>
        <v>5715.5</v>
      </c>
      <c r="FJ22" s="26">
        <f>'(Bloom Raw Data)'!GC22</f>
        <v>4293</v>
      </c>
      <c r="FK22" s="177">
        <f>AVERAGE(FJ22,FL22)</f>
        <v>5958</v>
      </c>
      <c r="FL22" s="26">
        <f>'(Bloom Raw Data)'!GE22</f>
        <v>7623</v>
      </c>
      <c r="FM22" s="27">
        <f>FL22</f>
        <v>7623</v>
      </c>
      <c r="FO22" s="28">
        <f>'(Bloom Raw Data)'!FA22</f>
        <v>0.84160000000000001</v>
      </c>
      <c r="FP22" s="28">
        <f>'(Bloom Raw Data)'!FB22</f>
        <v>0.86570000000000003</v>
      </c>
      <c r="FQ22" s="28">
        <f>'(Bloom Raw Data)'!FC22</f>
        <v>0.79249999999999998</v>
      </c>
      <c r="FR22" s="28">
        <f>'(Bloom Raw Data)'!FD22</f>
        <v>0.89190000000000003</v>
      </c>
      <c r="FS22" s="28">
        <f>'(Bloom Raw Data)'!FE22</f>
        <v>0.94120000000000004</v>
      </c>
      <c r="FT22" s="28">
        <f>'(Bloom Raw Data)'!FF22</f>
        <v>1.0163</v>
      </c>
      <c r="FU22" s="28">
        <f>'(Bloom Raw Data)'!FG22</f>
        <v>0.95179999999999998</v>
      </c>
      <c r="FV22" s="28">
        <f>'(Bloom Raw Data)'!FH22</f>
        <v>0.9768</v>
      </c>
      <c r="FW22" s="28" t="str">
        <f>'(Bloom Raw Data)'!FI22</f>
        <v>#N/A N/A</v>
      </c>
      <c r="FX22" s="28" t="str">
        <f>'(Bloom Raw Data)'!FJ22</f>
        <v>#N/A N/A</v>
      </c>
      <c r="FY22" s="28" t="str">
        <f>'(Bloom Raw Data)'!FK22</f>
        <v>#N/A N/A</v>
      </c>
      <c r="FZ22" s="28" t="str">
        <f>'(Bloom Raw Data)'!FL22</f>
        <v>#N/A N/A</v>
      </c>
      <c r="GA22" s="28">
        <f>'(Bloom Raw Data)'!FM22</f>
        <v>1.0939000000000001</v>
      </c>
      <c r="GB22" s="28" t="str">
        <f>'(Bloom Raw Data)'!FN22</f>
        <v>#N/A N/A</v>
      </c>
      <c r="GC22" s="28" t="str">
        <f>'(Bloom Raw Data)'!FO22</f>
        <v>#N/A N/A</v>
      </c>
      <c r="GD22" s="178"/>
      <c r="GE22" s="178"/>
      <c r="GF22" s="27">
        <f>GG22</f>
        <v>90810</v>
      </c>
      <c r="GG22" s="26">
        <f>'(Bloom Raw Data)'!GJ22</f>
        <v>90810</v>
      </c>
      <c r="GH22" s="177">
        <f>AVERAGE(GG22,GI22)</f>
        <v>90676.5</v>
      </c>
      <c r="GI22" s="26">
        <f>'(Bloom Raw Data)'!GL22</f>
        <v>90543</v>
      </c>
      <c r="GJ22" s="177">
        <f>AVERAGE(GI22,GK22)</f>
        <v>89052</v>
      </c>
      <c r="GK22" s="26">
        <f>'(Bloom Raw Data)'!GN22</f>
        <v>87561</v>
      </c>
      <c r="GL22" s="177">
        <f>AVERAGE(GK22,GM22)</f>
        <v>86416.5</v>
      </c>
      <c r="GM22" s="26">
        <f>'(Bloom Raw Data)'!GP22</f>
        <v>85272</v>
      </c>
      <c r="GN22" s="177">
        <f>AVERAGE(GM22,GO22)</f>
        <v>81737</v>
      </c>
      <c r="GO22" s="26">
        <f>'(Bloom Raw Data)'!GR22</f>
        <v>78202</v>
      </c>
      <c r="GP22" s="177">
        <f>AVERAGE(GO22,GQ22)</f>
        <v>74337</v>
      </c>
      <c r="GQ22" s="26">
        <f>'(Bloom Raw Data)'!GT22</f>
        <v>70472</v>
      </c>
      <c r="GR22" s="177">
        <f>AVERAGE(GQ22,GS22)</f>
        <v>71480</v>
      </c>
      <c r="GS22" s="26">
        <f>'(Bloom Raw Data)'!GV22</f>
        <v>72488</v>
      </c>
      <c r="GT22" s="27">
        <f>GS22</f>
        <v>72488</v>
      </c>
      <c r="GV22" s="26">
        <f t="shared" si="17"/>
        <v>14820.090129825807</v>
      </c>
      <c r="GW22" s="26">
        <f t="shared" si="18"/>
        <v>14820.090129825807</v>
      </c>
      <c r="GX22" s="26">
        <f t="shared" si="19"/>
        <v>14704.5929069415</v>
      </c>
      <c r="GY22" s="26">
        <f t="shared" si="20"/>
        <v>14593.042041737455</v>
      </c>
      <c r="GZ22" s="26">
        <f t="shared" si="21"/>
        <v>14631.594394008451</v>
      </c>
      <c r="HA22" s="26">
        <f t="shared" si="22"/>
        <v>14668.016134055193</v>
      </c>
      <c r="HB22" s="26">
        <f t="shared" si="23"/>
        <v>16198.348013147332</v>
      </c>
      <c r="HC22" s="26">
        <f t="shared" si="24"/>
        <v>18250.952204996385</v>
      </c>
      <c r="HD22" s="26">
        <f t="shared" si="25"/>
        <v>18232.573338911865</v>
      </c>
      <c r="HE22" s="26">
        <f t="shared" si="26"/>
        <v>18214.134040392641</v>
      </c>
      <c r="HF22" s="26">
        <f t="shared" si="27"/>
        <v>15815.047140643632</v>
      </c>
      <c r="HG22" s="26">
        <f t="shared" si="28"/>
        <v>13907.015267664856</v>
      </c>
      <c r="HH22" s="26">
        <f t="shared" si="29"/>
        <v>13831.775468477652</v>
      </c>
      <c r="HI22" s="26">
        <f t="shared" si="30"/>
        <v>13764.923070789908</v>
      </c>
      <c r="HJ22" s="26">
        <f t="shared" si="31"/>
        <v>13764.923070789908</v>
      </c>
      <c r="HL22" s="175">
        <f>HM22</f>
        <v>9.7568999999999999</v>
      </c>
      <c r="HM22" s="28">
        <f>'(Bloom Raw Data)'!HR22</f>
        <v>9.7568999999999999</v>
      </c>
      <c r="HN22" s="175">
        <f>AVERAGE(HM22,HO22)</f>
        <v>10.1822</v>
      </c>
      <c r="HO22" s="28">
        <f>'(Bloom Raw Data)'!HT22</f>
        <v>10.6075</v>
      </c>
      <c r="HP22" s="175">
        <f>AVERAGE(HO22,HQ22)</f>
        <v>10.01585</v>
      </c>
      <c r="HQ22" s="28">
        <f>'(Bloom Raw Data)'!HV22</f>
        <v>9.4242000000000008</v>
      </c>
      <c r="HR22" s="175">
        <f>AVERAGE(HQ22,HS22)</f>
        <v>8.7265000000000015</v>
      </c>
      <c r="HS22" s="28">
        <f>'(Bloom Raw Data)'!HX22</f>
        <v>8.0288000000000004</v>
      </c>
      <c r="HT22" s="175">
        <f>AVERAGE(HS22,HU22)</f>
        <v>7.6562000000000001</v>
      </c>
      <c r="HU22" s="28">
        <f>'(Bloom Raw Data)'!HZ22</f>
        <v>7.2835999999999999</v>
      </c>
      <c r="HV22" s="175">
        <f>AVERAGE(HU22,HW22)</f>
        <v>6.9275500000000001</v>
      </c>
      <c r="HW22" s="28">
        <f>'(Bloom Raw Data)'!IB22</f>
        <v>6.5715000000000003</v>
      </c>
      <c r="HX22" s="175">
        <f>AVERAGE(HW22,HY22)</f>
        <v>6.3370499999999996</v>
      </c>
      <c r="HY22" s="28">
        <f>'(Bloom Raw Data)'!ID22</f>
        <v>6.1025999999999998</v>
      </c>
      <c r="HZ22" s="175">
        <f>HY22</f>
        <v>6.1025999999999998</v>
      </c>
      <c r="IB22" s="469"/>
    </row>
    <row r="23" spans="1:236">
      <c r="A23" s="11" t="s">
        <v>507</v>
      </c>
      <c r="B23" s="11" t="s">
        <v>10</v>
      </c>
      <c r="D23" s="167">
        <f>'(Bloom Raw Data)'!D23</f>
        <v>232830.2065</v>
      </c>
      <c r="E23" s="167">
        <f>'(Bloom Raw Data)'!E23</f>
        <v>230135.92129999999</v>
      </c>
      <c r="F23" s="167">
        <f>'(Bloom Raw Data)'!F23</f>
        <v>226094.51</v>
      </c>
      <c r="G23" s="167">
        <f>'(Bloom Raw Data)'!G23</f>
        <v>245178.9522</v>
      </c>
      <c r="H23" s="167">
        <f>'(Bloom Raw Data)'!H23</f>
        <v>239341.3695</v>
      </c>
      <c r="I23" s="167">
        <f>'(Bloom Raw Data)'!I23</f>
        <v>236206.1367</v>
      </c>
      <c r="J23" s="167">
        <f>'(Bloom Raw Data)'!J23</f>
        <v>200915.94399999999</v>
      </c>
      <c r="K23" s="167">
        <f>'(Bloom Raw Data)'!K23</f>
        <v>197625.07939999999</v>
      </c>
      <c r="L23" s="167">
        <f>'(Bloom Raw Data)'!L23</f>
        <v>202518.06520000001</v>
      </c>
      <c r="M23" s="167">
        <f>'(Bloom Raw Data)'!M23</f>
        <v>199790.1219</v>
      </c>
      <c r="N23" s="167">
        <f>'(Bloom Raw Data)'!N23</f>
        <v>191043.35019999999</v>
      </c>
      <c r="O23" s="167">
        <f>'(Bloom Raw Data)'!O23</f>
        <v>204726.41880000001</v>
      </c>
      <c r="P23" s="167">
        <f>'(Bloom Raw Data)'!P23</f>
        <v>190783.5355</v>
      </c>
      <c r="Q23" s="167">
        <f>'(Bloom Raw Data)'!Q23</f>
        <v>201478.85509999999</v>
      </c>
      <c r="R23" s="167">
        <f>'(Bloom Raw Data)'!R23</f>
        <v>189354.6171</v>
      </c>
      <c r="T23" s="167">
        <f>'(Bloom Raw Data)'!U23</f>
        <v>49345</v>
      </c>
      <c r="U23" s="167">
        <f>'(Bloom Raw Data)'!V23</f>
        <v>47789</v>
      </c>
      <c r="V23" s="167">
        <f>'(Bloom Raw Data)'!W23</f>
        <v>54688</v>
      </c>
      <c r="W23" s="167">
        <f>'(Bloom Raw Data)'!X23</f>
        <v>49670</v>
      </c>
      <c r="X23" s="167">
        <f>'(Bloom Raw Data)'!Y23</f>
        <v>50092</v>
      </c>
      <c r="Y23" s="167">
        <f>'(Bloom Raw Data)'!Z23</f>
        <v>46397</v>
      </c>
      <c r="Z23" s="167">
        <f>'(Bloom Raw Data)'!AA23</f>
        <v>69633</v>
      </c>
      <c r="AA23" s="167">
        <f>'(Bloom Raw Data)'!AB23</f>
        <v>67997</v>
      </c>
      <c r="AB23" s="167">
        <f>'(Bloom Raw Data)'!AC23</f>
        <v>67211</v>
      </c>
      <c r="AC23" s="167">
        <f>'(Bloom Raw Data)'!AD23</f>
        <v>76173</v>
      </c>
      <c r="AD23" s="167">
        <f>'(Bloom Raw Data)'!AE23</f>
        <v>75552</v>
      </c>
      <c r="AE23" s="167">
        <f>'(Bloom Raw Data)'!AF23</f>
        <v>73064</v>
      </c>
      <c r="AF23" s="167">
        <f>'(Bloom Raw Data)'!AG23</f>
        <v>61782</v>
      </c>
      <c r="AG23" s="167">
        <f>'(Bloom Raw Data)'!AH23</f>
        <v>57715</v>
      </c>
      <c r="AH23" s="167">
        <f>'(Bloom Raw Data)'!AI23</f>
        <v>68359</v>
      </c>
      <c r="AJ23" s="167">
        <f>'(Bloom Raw Data)'!AL23</f>
        <v>8924</v>
      </c>
      <c r="AK23" s="167">
        <f>'(Bloom Raw Data)'!AP23</f>
        <v>7985</v>
      </c>
      <c r="AL23" s="127">
        <f>AVERAGE(AK23,AM23)</f>
        <v>7801.5</v>
      </c>
      <c r="AM23" s="167">
        <f>'(Bloom Raw Data)'!AX23</f>
        <v>7618</v>
      </c>
      <c r="AO23" s="168" t="str">
        <f>'(Bloom Raw Data)'!BC23</f>
        <v>#N/A N/A</v>
      </c>
      <c r="AP23" s="168" t="str">
        <f>'(Bloom Raw Data)'!BD23</f>
        <v>#N/A N/A</v>
      </c>
      <c r="AQ23" s="168" t="str">
        <f>'(Bloom Raw Data)'!BE23</f>
        <v>#N/A N/A</v>
      </c>
      <c r="AR23" s="168" t="str">
        <f>'(Bloom Raw Data)'!BF23</f>
        <v>#N/A N/A</v>
      </c>
      <c r="AS23" s="168" t="str">
        <f>'(Bloom Raw Data)'!BG23</f>
        <v>#N/A N/A</v>
      </c>
      <c r="AT23" s="168" t="str">
        <f>'(Bloom Raw Data)'!BH23</f>
        <v>#N/A N/A</v>
      </c>
      <c r="AU23" s="168" t="str">
        <f>'(Bloom Raw Data)'!BI23</f>
        <v>#N/A N/A</v>
      </c>
      <c r="AV23" s="168" t="str">
        <f>'(Bloom Raw Data)'!BJ23</f>
        <v>#N/A N/A</v>
      </c>
      <c r="AW23" s="168" t="str">
        <f>'(Bloom Raw Data)'!BK23</f>
        <v>#N/A N/A</v>
      </c>
      <c r="AX23" s="168" t="str">
        <f>'(Bloom Raw Data)'!BL23</f>
        <v>#N/A N/A</v>
      </c>
      <c r="AY23" s="168" t="str">
        <f>'(Bloom Raw Data)'!BM23</f>
        <v>#N/A N/A</v>
      </c>
      <c r="AZ23" s="168" t="str">
        <f>'(Bloom Raw Data)'!BN23</f>
        <v>#N/A N/A</v>
      </c>
      <c r="BA23" s="168" t="str">
        <f>'(Bloom Raw Data)'!BO23</f>
        <v>#N/A N/A</v>
      </c>
      <c r="BB23" s="168" t="str">
        <f>'(Bloom Raw Data)'!BP23</f>
        <v>#N/A N/A</v>
      </c>
      <c r="BC23" s="168" t="str">
        <f>'(Bloom Raw Data)'!BQ23</f>
        <v>#N/A N/A</v>
      </c>
      <c r="BE23" s="168">
        <f>'(Bloom Raw Data)'!BT23</f>
        <v>1.3336000000000001</v>
      </c>
      <c r="BF23" s="168">
        <f>'(Bloom Raw Data)'!BU23</f>
        <v>1.2883</v>
      </c>
      <c r="BG23" s="168">
        <f>'(Bloom Raw Data)'!BV23</f>
        <v>1.4367000000000001</v>
      </c>
      <c r="BH23" s="168">
        <f>'(Bloom Raw Data)'!BW23</f>
        <v>1.2676000000000001</v>
      </c>
      <c r="BI23" s="168">
        <f>'(Bloom Raw Data)'!BX23</f>
        <v>1.3294999999999999</v>
      </c>
      <c r="BJ23" s="168">
        <f>'(Bloom Raw Data)'!BY23</f>
        <v>1.2270000000000001</v>
      </c>
      <c r="BK23" s="168">
        <f>'(Bloom Raw Data)'!BZ23</f>
        <v>1.8675999999999999</v>
      </c>
      <c r="BL23" s="168">
        <f>'(Bloom Raw Data)'!CA23</f>
        <v>1.8538999999999999</v>
      </c>
      <c r="BM23" s="168">
        <f>'(Bloom Raw Data)'!CB23</f>
        <v>1.8115000000000001</v>
      </c>
      <c r="BN23" s="168">
        <f>'(Bloom Raw Data)'!CC23</f>
        <v>2.0587</v>
      </c>
      <c r="BO23" s="168">
        <f>'(Bloom Raw Data)'!CD23</f>
        <v>2.0291000000000001</v>
      </c>
      <c r="BP23" s="168">
        <f>'(Bloom Raw Data)'!CE23</f>
        <v>2.0057</v>
      </c>
      <c r="BQ23" s="168">
        <f>'(Bloom Raw Data)'!CF23</f>
        <v>1.7643</v>
      </c>
      <c r="BR23" s="168">
        <f>'(Bloom Raw Data)'!CG23</f>
        <v>1.6646000000000001</v>
      </c>
      <c r="BS23" s="168">
        <f>'(Bloom Raw Data)'!CH23</f>
        <v>2.0158</v>
      </c>
      <c r="BU23" s="167">
        <f>'(Bloom Raw Data)'!CK23</f>
        <v>289302.20649999997</v>
      </c>
      <c r="BV23" s="167">
        <f>'(Bloom Raw Data)'!CL23</f>
        <v>285527.92129999999</v>
      </c>
      <c r="BW23" s="167">
        <f>'(Bloom Raw Data)'!CM23</f>
        <v>288184.51</v>
      </c>
      <c r="BX23" s="167">
        <f>'(Bloom Raw Data)'!CN23</f>
        <v>302050.9522</v>
      </c>
      <c r="BY23" s="167">
        <f>'(Bloom Raw Data)'!CO23</f>
        <v>296191.36949999997</v>
      </c>
      <c r="BZ23" s="167">
        <f>'(Bloom Raw Data)'!CP23</f>
        <v>289051.13669999997</v>
      </c>
      <c r="CA23" s="167">
        <f>'(Bloom Raw Data)'!CQ23</f>
        <v>277424.94400000002</v>
      </c>
      <c r="CB23" s="167">
        <f>'(Bloom Raw Data)'!CR23</f>
        <v>273475.07939999999</v>
      </c>
      <c r="CC23" s="167">
        <f>'(Bloom Raw Data)'!CS23</f>
        <v>277082.06520000001</v>
      </c>
      <c r="CD23" s="167">
        <f>'(Bloom Raw Data)'!CT23</f>
        <v>280641.12190000003</v>
      </c>
      <c r="CE23" s="167">
        <f>'(Bloom Raw Data)'!CU23</f>
        <v>270718.35019999999</v>
      </c>
      <c r="CF23" s="167">
        <f>'(Bloom Raw Data)'!CV23</f>
        <v>281597.41879999998</v>
      </c>
      <c r="CG23" s="167">
        <f>'(Bloom Raw Data)'!CW23</f>
        <v>256521.5355</v>
      </c>
      <c r="CH23" s="167">
        <f>'(Bloom Raw Data)'!CX23</f>
        <v>263536.85509999999</v>
      </c>
      <c r="CI23" s="167">
        <f>'(Bloom Raw Data)'!CY23</f>
        <v>261752.6171</v>
      </c>
      <c r="CK23" s="167">
        <f t="shared" si="2"/>
        <v>7126.9999999999709</v>
      </c>
      <c r="CL23" s="167">
        <f t="shared" si="3"/>
        <v>7603</v>
      </c>
      <c r="CM23" s="167">
        <f t="shared" si="4"/>
        <v>7402</v>
      </c>
      <c r="CN23" s="167">
        <f t="shared" si="5"/>
        <v>7202</v>
      </c>
      <c r="CO23" s="167">
        <f t="shared" si="6"/>
        <v>6757.9999999999709</v>
      </c>
      <c r="CP23" s="167">
        <f t="shared" si="7"/>
        <v>6447.9999999999709</v>
      </c>
      <c r="CQ23" s="167">
        <f t="shared" si="8"/>
        <v>6876.0000000000291</v>
      </c>
      <c r="CR23" s="167">
        <f t="shared" si="9"/>
        <v>7853</v>
      </c>
      <c r="CS23" s="167">
        <f t="shared" si="10"/>
        <v>7353</v>
      </c>
      <c r="CT23" s="167">
        <f t="shared" si="11"/>
        <v>4678.0000000000291</v>
      </c>
      <c r="CU23" s="167">
        <f t="shared" si="12"/>
        <v>4123</v>
      </c>
      <c r="CV23" s="167">
        <f t="shared" si="13"/>
        <v>3806.9999999999709</v>
      </c>
      <c r="CW23" s="167">
        <f t="shared" si="14"/>
        <v>3956</v>
      </c>
      <c r="CX23" s="167">
        <f t="shared" si="15"/>
        <v>4343</v>
      </c>
      <c r="CY23" s="167">
        <f t="shared" si="16"/>
        <v>4039</v>
      </c>
      <c r="DA23" s="168">
        <f>'(Bloom Raw Data)'!DB23</f>
        <v>7.819</v>
      </c>
      <c r="DB23" s="168">
        <f>'(Bloom Raw Data)'!DC23</f>
        <v>7.6972000000000005</v>
      </c>
      <c r="DC23" s="168">
        <f>'(Bloom Raw Data)'!DD23</f>
        <v>7.5711000000000004</v>
      </c>
      <c r="DD23" s="168">
        <f>'(Bloom Raw Data)'!DE23</f>
        <v>7.7084999999999999</v>
      </c>
      <c r="DE23" s="168">
        <f>'(Bloom Raw Data)'!DF23</f>
        <v>7.8613</v>
      </c>
      <c r="DF23" s="168">
        <f>'(Bloom Raw Data)'!DG23</f>
        <v>7.6444000000000001</v>
      </c>
      <c r="DG23" s="168">
        <f>'(Bloom Raw Data)'!DH23</f>
        <v>7.4409000000000001</v>
      </c>
      <c r="DH23" s="168">
        <f>'(Bloom Raw Data)'!DI23</f>
        <v>7.4561000000000002</v>
      </c>
      <c r="DI23" s="168">
        <f>'(Bloom Raw Data)'!DJ23</f>
        <v>7.4679000000000002</v>
      </c>
      <c r="DJ23" s="168">
        <f>'(Bloom Raw Data)'!DK23</f>
        <v>7.5846999999999998</v>
      </c>
      <c r="DK23" s="168">
        <f>'(Bloom Raw Data)'!DL23</f>
        <v>7.2706999999999997</v>
      </c>
      <c r="DL23" s="168">
        <f>'(Bloom Raw Data)'!DM23</f>
        <v>7.73</v>
      </c>
      <c r="DM23" s="168">
        <f>'(Bloom Raw Data)'!DN23</f>
        <v>7.3254000000000001</v>
      </c>
      <c r="DN23" s="168">
        <f>'(Bloom Raw Data)'!DO23</f>
        <v>7.6009000000000002</v>
      </c>
      <c r="DO23" s="168">
        <f>'(Bloom Raw Data)'!DP23</f>
        <v>7.7187999999999999</v>
      </c>
      <c r="DR23" s="168">
        <f>'(Bloom Raw Data)'!DS23</f>
        <v>2.6501999999999999</v>
      </c>
      <c r="DS23" s="168">
        <f>'(Bloom Raw Data)'!DT23</f>
        <v>2.6402000000000001</v>
      </c>
      <c r="DT23" s="168">
        <f>'(Bloom Raw Data)'!DU23</f>
        <v>2.6749999999999998</v>
      </c>
      <c r="DU23" s="168">
        <f>'(Bloom Raw Data)'!DV23</f>
        <v>2.8087999999999997</v>
      </c>
      <c r="DV23" s="168">
        <f>'(Bloom Raw Data)'!DW23</f>
        <v>2.7686999999999999</v>
      </c>
      <c r="DW23" s="168">
        <f>'(Bloom Raw Data)'!DX23</f>
        <v>2.7395</v>
      </c>
      <c r="DX23" s="168">
        <f>'(Bloom Raw Data)'!DY23</f>
        <v>2.6560000000000001</v>
      </c>
      <c r="DY23" s="168">
        <f>'(Bloom Raw Data)'!DZ23</f>
        <v>2.6223999999999998</v>
      </c>
      <c r="DZ23" s="168">
        <f>'(Bloom Raw Data)'!EA23</f>
        <v>2.6465999999999998</v>
      </c>
      <c r="EA23" s="168">
        <f>'(Bloom Raw Data)'!EB23</f>
        <v>2.6560000000000001</v>
      </c>
      <c r="EB23" s="168">
        <f>'(Bloom Raw Data)'!EC23</f>
        <v>2.5550999999999999</v>
      </c>
      <c r="EC23" s="168">
        <f>'(Bloom Raw Data)'!ED23</f>
        <v>2.6795999999999998</v>
      </c>
      <c r="ED23" s="168">
        <f>'(Bloom Raw Data)'!EE23</f>
        <v>2.4454000000000002</v>
      </c>
      <c r="EE23" s="168">
        <f>'(Bloom Raw Data)'!EF23</f>
        <v>2.5402</v>
      </c>
      <c r="EF23" s="168">
        <f>'(Bloom Raw Data)'!EG23</f>
        <v>2.548</v>
      </c>
      <c r="EH23" s="167" t="str">
        <f>'(Bloom Raw Data)'!EJ23</f>
        <v>#N/A N/A</v>
      </c>
      <c r="EI23" s="167">
        <f>'(Bloom Raw Data)'!EK23</f>
        <v>11.6625</v>
      </c>
      <c r="EJ23" s="167">
        <f>'(Bloom Raw Data)'!EL23</f>
        <v>11.027900000000001</v>
      </c>
      <c r="EK23" s="167">
        <f>'(Bloom Raw Data)'!EM23</f>
        <v>11.431900000000001</v>
      </c>
      <c r="EL23" s="167" t="str">
        <f>'(Bloom Raw Data)'!EN23</f>
        <v>#N/A N/A</v>
      </c>
      <c r="EM23" s="167">
        <f>'(Bloom Raw Data)'!EO23</f>
        <v>11.608499999999999</v>
      </c>
      <c r="EN23" s="167">
        <f>'(Bloom Raw Data)'!EP23</f>
        <v>10.5486</v>
      </c>
      <c r="EO23" s="167">
        <f>'(Bloom Raw Data)'!EQ23</f>
        <v>10.8781</v>
      </c>
      <c r="EP23" s="167" t="str">
        <f>'(Bloom Raw Data)'!ER23</f>
        <v>#N/A N/A</v>
      </c>
      <c r="EQ23" s="167" t="str">
        <f>'(Bloom Raw Data)'!ES23</f>
        <v>#N/A N/A</v>
      </c>
      <c r="ER23" s="167" t="str">
        <f>'(Bloom Raw Data)'!ET23</f>
        <v>#N/A N/A</v>
      </c>
      <c r="ES23" s="167" t="str">
        <f>'(Bloom Raw Data)'!EU23</f>
        <v>#N/A N/A</v>
      </c>
      <c r="ET23" s="167" t="str">
        <f>'(Bloom Raw Data)'!EV23</f>
        <v>#N/A N/A</v>
      </c>
      <c r="EU23" s="167" t="str">
        <f>'(Bloom Raw Data)'!EW23</f>
        <v>#N/A N/A</v>
      </c>
      <c r="EV23" s="167" t="str">
        <f>'(Bloom Raw Data)'!EX23</f>
        <v>#N/A N/A</v>
      </c>
      <c r="EY23" s="167">
        <f>'(Bloom Raw Data)'!FR23</f>
        <v>11584</v>
      </c>
      <c r="EZ23" s="167">
        <f>'(Bloom Raw Data)'!FS23</f>
        <v>16928</v>
      </c>
      <c r="FA23" s="167">
        <f>'(Bloom Raw Data)'!FT23</f>
        <v>11373</v>
      </c>
      <c r="FB23" s="167">
        <f>'(Bloom Raw Data)'!FU23</f>
        <v>12787</v>
      </c>
      <c r="FC23" s="167">
        <f>'(Bloom Raw Data)'!FV23</f>
        <v>15344</v>
      </c>
      <c r="FD23" s="167">
        <f>'(Bloom Raw Data)'!FW23</f>
        <v>25660</v>
      </c>
      <c r="FE23" s="167">
        <f>'(Bloom Raw Data)'!FX23</f>
        <v>5669</v>
      </c>
      <c r="FF23" s="167">
        <f>'(Bloom Raw Data)'!FY23</f>
        <v>14912</v>
      </c>
      <c r="FG23" s="167">
        <f>'(Bloom Raw Data)'!FZ23</f>
        <v>5035</v>
      </c>
      <c r="FH23" s="167">
        <f>'(Bloom Raw Data)'!GA23</f>
        <v>18884</v>
      </c>
      <c r="FI23" s="167">
        <f>'(Bloom Raw Data)'!GB23</f>
        <v>10110</v>
      </c>
      <c r="FJ23" s="167">
        <f>'(Bloom Raw Data)'!GC23</f>
        <v>11289</v>
      </c>
      <c r="FK23" s="167">
        <f>'(Bloom Raw Data)'!GD23</f>
        <v>4043</v>
      </c>
      <c r="FL23" s="167">
        <f>'(Bloom Raw Data)'!GE23</f>
        <v>25900</v>
      </c>
      <c r="FM23" s="167">
        <f>'(Bloom Raw Data)'!GF23</f>
        <v>18128</v>
      </c>
      <c r="FO23" s="168" t="str">
        <f>'(Bloom Raw Data)'!FA23</f>
        <v>#N/A N/A</v>
      </c>
      <c r="FP23" s="168">
        <f>'(Bloom Raw Data)'!FB23</f>
        <v>1.7153</v>
      </c>
      <c r="FQ23" s="168">
        <f>'(Bloom Raw Data)'!FC23</f>
        <v>1.7587999999999999</v>
      </c>
      <c r="FR23" s="168">
        <f>'(Bloom Raw Data)'!FD23</f>
        <v>1.9713000000000001</v>
      </c>
      <c r="FS23" s="168" t="str">
        <f>'(Bloom Raw Data)'!FE23</f>
        <v>#N/A N/A</v>
      </c>
      <c r="FT23" s="168">
        <f>'(Bloom Raw Data)'!FF23</f>
        <v>2.0173999999999999</v>
      </c>
      <c r="FU23" s="168">
        <f>'(Bloom Raw Data)'!FG23</f>
        <v>1.8243</v>
      </c>
      <c r="FV23" s="168">
        <f>'(Bloom Raw Data)'!FH23</f>
        <v>1.7238</v>
      </c>
      <c r="FW23" s="168" t="str">
        <f>'(Bloom Raw Data)'!FI23</f>
        <v>#N/A N/A</v>
      </c>
      <c r="FX23" s="168" t="str">
        <f>'(Bloom Raw Data)'!FJ23</f>
        <v>#N/A N/A</v>
      </c>
      <c r="FY23" s="168" t="str">
        <f>'(Bloom Raw Data)'!FK23</f>
        <v>#N/A N/A</v>
      </c>
      <c r="FZ23" s="168" t="str">
        <f>'(Bloom Raw Data)'!FL23</f>
        <v>#N/A N/A</v>
      </c>
      <c r="GA23" s="168" t="str">
        <f>'(Bloom Raw Data)'!FM23</f>
        <v>#N/A N/A</v>
      </c>
      <c r="GB23" s="168" t="str">
        <f>'(Bloom Raw Data)'!FN23</f>
        <v>#N/A N/A</v>
      </c>
      <c r="GC23" s="168" t="str">
        <f>'(Bloom Raw Data)'!FO23</f>
        <v>#N/A N/A</v>
      </c>
      <c r="GD23" s="176"/>
      <c r="GE23" s="176"/>
      <c r="GF23" s="167">
        <f>'(Bloom Raw Data)'!GI23</f>
        <v>142499</v>
      </c>
      <c r="GG23" s="167">
        <f>'(Bloom Raw Data)'!GJ23</f>
        <v>141772</v>
      </c>
      <c r="GH23" s="167">
        <f>'(Bloom Raw Data)'!GK23</f>
        <v>135952</v>
      </c>
      <c r="GI23" s="167">
        <f>'(Bloom Raw Data)'!GL23</f>
        <v>131577</v>
      </c>
      <c r="GJ23" s="167">
        <f>'(Bloom Raw Data)'!GM23</f>
        <v>132665</v>
      </c>
      <c r="GK23" s="167">
        <f>'(Bloom Raw Data)'!GN23</f>
        <v>123530</v>
      </c>
      <c r="GL23" s="167">
        <f>'(Bloom Raw Data)'!GO23</f>
        <v>117010</v>
      </c>
      <c r="GM23" s="167">
        <f>'(Bloom Raw Data)'!GP23</f>
        <v>122498</v>
      </c>
      <c r="GN23" s="167">
        <f>'(Bloom Raw Data)'!GQ23</f>
        <v>122942</v>
      </c>
      <c r="GO23" s="167">
        <f>'(Bloom Raw Data)'!GR23</f>
        <v>116086</v>
      </c>
      <c r="GP23" s="167">
        <f>'(Bloom Raw Data)'!GS23</f>
        <v>106011</v>
      </c>
      <c r="GQ23" s="167">
        <f>'(Bloom Raw Data)'!GT23</f>
        <v>105817</v>
      </c>
      <c r="GR23" s="167">
        <f>'(Bloom Raw Data)'!GU23</f>
        <v>113396</v>
      </c>
      <c r="GS23" s="167">
        <f>'(Bloom Raw Data)'!GV23</f>
        <v>111816</v>
      </c>
      <c r="GT23" s="167">
        <f>'(Bloom Raw Data)'!GW23</f>
        <v>106459</v>
      </c>
      <c r="GV23" s="167">
        <f t="shared" si="17"/>
        <v>36999.898516434325</v>
      </c>
      <c r="GW23" s="167">
        <f t="shared" si="18"/>
        <v>37095.037325261132</v>
      </c>
      <c r="GX23" s="167">
        <f t="shared" si="19"/>
        <v>38063.756917753031</v>
      </c>
      <c r="GY23" s="167">
        <f t="shared" si="20"/>
        <v>39184.141168839597</v>
      </c>
      <c r="GZ23" s="167">
        <f t="shared" si="21"/>
        <v>37677.14875402287</v>
      </c>
      <c r="HA23" s="167">
        <f t="shared" si="22"/>
        <v>37812.141790068541</v>
      </c>
      <c r="HB23" s="167">
        <f t="shared" si="23"/>
        <v>37283.788788990583</v>
      </c>
      <c r="HC23" s="167">
        <f t="shared" si="24"/>
        <v>36678.032671235633</v>
      </c>
      <c r="HD23" s="167">
        <f t="shared" si="25"/>
        <v>37103.076527537865</v>
      </c>
      <c r="HE23" s="167">
        <f t="shared" si="26"/>
        <v>37000.95216686224</v>
      </c>
      <c r="HF23" s="167">
        <f t="shared" si="27"/>
        <v>37234.152172418064</v>
      </c>
      <c r="HG23" s="167">
        <f t="shared" si="28"/>
        <v>36429.161552393271</v>
      </c>
      <c r="HH23" s="167">
        <f t="shared" si="29"/>
        <v>35018.092595626178</v>
      </c>
      <c r="HI23" s="167">
        <f t="shared" si="30"/>
        <v>34671.796116249388</v>
      </c>
      <c r="HJ23" s="167">
        <f t="shared" si="31"/>
        <v>33911.050564854639</v>
      </c>
      <c r="HL23" s="168">
        <f>'(Bloom Raw Data)'!HQ23</f>
        <v>6.8726000000000003</v>
      </c>
      <c r="HM23" s="168">
        <f>'(Bloom Raw Data)'!HR23</f>
        <v>7.2943999999999996</v>
      </c>
      <c r="HN23" s="168">
        <f>'(Bloom Raw Data)'!HS23</f>
        <v>8.4779</v>
      </c>
      <c r="HO23" s="168">
        <f>'(Bloom Raw Data)'!HT23</f>
        <v>8.6692999999999998</v>
      </c>
      <c r="HP23" s="168">
        <f>'(Bloom Raw Data)'!HU23</f>
        <v>9.4322999999999997</v>
      </c>
      <c r="HQ23" s="168">
        <f>'(Bloom Raw Data)'!HV23</f>
        <v>9.8923000000000005</v>
      </c>
      <c r="HR23" s="168">
        <f>'(Bloom Raw Data)'!HW23</f>
        <v>9.0198</v>
      </c>
      <c r="HS23" s="168">
        <f>'(Bloom Raw Data)'!HX23</f>
        <v>7.8665000000000003</v>
      </c>
      <c r="HT23" s="168">
        <f>'(Bloom Raw Data)'!HY23</f>
        <v>6.7896999999999998</v>
      </c>
      <c r="HU23" s="168">
        <f>'(Bloom Raw Data)'!HZ23</f>
        <v>6.6597999999999997</v>
      </c>
      <c r="HV23" s="168">
        <f>'(Bloom Raw Data)'!IA23</f>
        <v>6.8837000000000002</v>
      </c>
      <c r="HW23" s="168">
        <f>'(Bloom Raw Data)'!IB23</f>
        <v>6.6165000000000003</v>
      </c>
      <c r="HX23" s="168">
        <f>'(Bloom Raw Data)'!IC23</f>
        <v>6.4081999999999999</v>
      </c>
      <c r="HY23" s="168">
        <f>'(Bloom Raw Data)'!ID23</f>
        <v>7.3038999999999996</v>
      </c>
      <c r="HZ23" s="168">
        <f>'(Bloom Raw Data)'!IE23</f>
        <v>7.8311999999999999</v>
      </c>
    </row>
    <row r="24" spans="1:236">
      <c r="A24" s="11" t="s">
        <v>507</v>
      </c>
      <c r="B24" s="11" t="s">
        <v>15</v>
      </c>
      <c r="D24" s="167">
        <f>'(Bloom Raw Data)'!D24</f>
        <v>48530.0245</v>
      </c>
      <c r="E24" s="167">
        <f>'(Bloom Raw Data)'!E24</f>
        <v>52369.7016</v>
      </c>
      <c r="F24" s="167">
        <f>'(Bloom Raw Data)'!F24</f>
        <v>51000.791700000002</v>
      </c>
      <c r="G24" s="167">
        <f>'(Bloom Raw Data)'!G24</f>
        <v>61871.630499999999</v>
      </c>
      <c r="H24" s="167">
        <f>'(Bloom Raw Data)'!H24</f>
        <v>61362.762900000002</v>
      </c>
      <c r="I24" s="167">
        <f>'(Bloom Raw Data)'!I24</f>
        <v>65371.185700000002</v>
      </c>
      <c r="J24" s="167">
        <f>'(Bloom Raw Data)'!J24</f>
        <v>55514.744899999998</v>
      </c>
      <c r="K24" s="167">
        <f>'(Bloom Raw Data)'!K24</f>
        <v>55673.455499999996</v>
      </c>
      <c r="L24" s="167">
        <f>'(Bloom Raw Data)'!L24</f>
        <v>59471.679499999998</v>
      </c>
      <c r="M24" s="167">
        <f>'(Bloom Raw Data)'!M24</f>
        <v>59344.728199999998</v>
      </c>
      <c r="N24" s="167">
        <f>'(Bloom Raw Data)'!N24</f>
        <v>47489.817300000002</v>
      </c>
      <c r="O24" s="167">
        <f>'(Bloom Raw Data)'!O24</f>
        <v>52512.258699999998</v>
      </c>
      <c r="P24" s="167">
        <f>'(Bloom Raw Data)'!P24</f>
        <v>52069.827799999999</v>
      </c>
      <c r="Q24" s="167">
        <f>'(Bloom Raw Data)'!Q24</f>
        <v>49957.131999999998</v>
      </c>
      <c r="R24" s="167">
        <f>'(Bloom Raw Data)'!R24</f>
        <v>35082.936000000002</v>
      </c>
      <c r="T24" s="167">
        <f>'(Bloom Raw Data)'!U24</f>
        <v>1823</v>
      </c>
      <c r="U24" s="167">
        <f>'(Bloom Raw Data)'!V24</f>
        <v>3232</v>
      </c>
      <c r="V24" s="167">
        <f>'(Bloom Raw Data)'!W24</f>
        <v>4251</v>
      </c>
      <c r="W24" s="167">
        <f>'(Bloom Raw Data)'!X24</f>
        <v>2342</v>
      </c>
      <c r="X24" s="167">
        <f>'(Bloom Raw Data)'!Y24</f>
        <v>1680</v>
      </c>
      <c r="Y24" s="167">
        <f>'(Bloom Raw Data)'!Z24</f>
        <v>789</v>
      </c>
      <c r="Z24" s="167">
        <f>'(Bloom Raw Data)'!AA24</f>
        <v>13587</v>
      </c>
      <c r="AA24" s="167">
        <f>'(Bloom Raw Data)'!AB24</f>
        <v>12187</v>
      </c>
      <c r="AB24" s="167">
        <f>'(Bloom Raw Data)'!AC24</f>
        <v>13099</v>
      </c>
      <c r="AC24" s="167">
        <f>'(Bloom Raw Data)'!AD24</f>
        <v>12741</v>
      </c>
      <c r="AD24" s="167">
        <f>'(Bloom Raw Data)'!AE24</f>
        <v>17647</v>
      </c>
      <c r="AE24" s="167">
        <f>'(Bloom Raw Data)'!AF24</f>
        <v>16006</v>
      </c>
      <c r="AF24" s="167">
        <f>'(Bloom Raw Data)'!AG24</f>
        <v>15221</v>
      </c>
      <c r="AG24" s="167">
        <f>'(Bloom Raw Data)'!AH24</f>
        <v>10937</v>
      </c>
      <c r="AH24" s="167">
        <f>'(Bloom Raw Data)'!AI24</f>
        <v>8893</v>
      </c>
      <c r="AJ24" s="167">
        <f>'(Bloom Raw Data)'!AL24</f>
        <v>6451</v>
      </c>
      <c r="AK24" s="167">
        <f>'(Bloom Raw Data)'!AP24</f>
        <v>5452</v>
      </c>
      <c r="AL24" s="167">
        <f>'(Bloom Raw Data)'!AT24</f>
        <v>4534</v>
      </c>
      <c r="AM24" s="167">
        <f>'(Bloom Raw Data)'!AX24</f>
        <v>5980</v>
      </c>
      <c r="AO24" s="168">
        <f>'(Bloom Raw Data)'!BC24</f>
        <v>5.6833</v>
      </c>
      <c r="AP24" s="168">
        <f>'(Bloom Raw Data)'!BD24</f>
        <v>19.896100000000001</v>
      </c>
      <c r="AQ24" s="168">
        <f>'(Bloom Raw Data)'!BE24</f>
        <v>16.1206</v>
      </c>
      <c r="AR24" s="168">
        <f>'(Bloom Raw Data)'!BF24</f>
        <v>20.809000000000001</v>
      </c>
      <c r="AS24" s="168">
        <f>'(Bloom Raw Data)'!BG24</f>
        <v>7.3872999999999998</v>
      </c>
      <c r="AT24" s="168">
        <f>'(Bloom Raw Data)'!BH24</f>
        <v>56.862099999999998</v>
      </c>
      <c r="AU24" s="168">
        <f>'(Bloom Raw Data)'!BI24</f>
        <v>19.965499999999999</v>
      </c>
      <c r="AV24" s="168">
        <f>'(Bloom Raw Data)'!BJ24</f>
        <v>10.9833</v>
      </c>
      <c r="AW24" s="168">
        <f>'(Bloom Raw Data)'!BK24</f>
        <v>7.8056000000000001</v>
      </c>
      <c r="AX24" s="168">
        <f>'(Bloom Raw Data)'!BL24</f>
        <v>5.6978999999999997</v>
      </c>
      <c r="AY24" s="168">
        <f>'(Bloom Raw Data)'!BM24</f>
        <v>3.4459</v>
      </c>
      <c r="AZ24" s="168">
        <f>'(Bloom Raw Data)'!BN24</f>
        <v>5.0849000000000002</v>
      </c>
      <c r="BA24" s="168">
        <f>'(Bloom Raw Data)'!BO24</f>
        <v>6.17</v>
      </c>
      <c r="BB24" s="168">
        <f>'(Bloom Raw Data)'!BP24</f>
        <v>5.2077</v>
      </c>
      <c r="BC24" s="168">
        <f>'(Bloom Raw Data)'!BQ24</f>
        <v>14.895799999999999</v>
      </c>
      <c r="BE24" s="168">
        <f>'(Bloom Raw Data)'!BT24</f>
        <v>0.19839999999999999</v>
      </c>
      <c r="BF24" s="168">
        <f>'(Bloom Raw Data)'!BU24</f>
        <v>0.34749999999999998</v>
      </c>
      <c r="BG24" s="168">
        <f>'(Bloom Raw Data)'!BV24</f>
        <v>0.41970000000000002</v>
      </c>
      <c r="BH24" s="168">
        <f>'(Bloom Raw Data)'!BW24</f>
        <v>0.22489999999999999</v>
      </c>
      <c r="BI24" s="168">
        <f>'(Bloom Raw Data)'!BX24</f>
        <v>0.15609999999999999</v>
      </c>
      <c r="BJ24" s="168">
        <f>'(Bloom Raw Data)'!BY24</f>
        <v>7.1999999999999995E-2</v>
      </c>
      <c r="BK24" s="168">
        <f>'(Bloom Raw Data)'!BZ24</f>
        <v>1.2939000000000001</v>
      </c>
      <c r="BL24" s="168">
        <f>'(Bloom Raw Data)'!CA24</f>
        <v>1.1357999999999999</v>
      </c>
      <c r="BM24" s="168">
        <f>'(Bloom Raw Data)'!CB24</f>
        <v>1.1818</v>
      </c>
      <c r="BN24" s="168">
        <f>'(Bloom Raw Data)'!CC24</f>
        <v>1.2697000000000001</v>
      </c>
      <c r="BO24" s="168">
        <f>'(Bloom Raw Data)'!CD24</f>
        <v>2.0091999999999999</v>
      </c>
      <c r="BP24" s="168">
        <f>'(Bloom Raw Data)'!CE24</f>
        <v>1.9338</v>
      </c>
      <c r="BQ24" s="168">
        <f>'(Bloom Raw Data)'!CF24</f>
        <v>1.8782000000000001</v>
      </c>
      <c r="BR24" s="168">
        <f>'(Bloom Raw Data)'!CG24</f>
        <v>1.3524</v>
      </c>
      <c r="BS24" s="168">
        <f>'(Bloom Raw Data)'!CH24</f>
        <v>1.097</v>
      </c>
      <c r="BU24" s="167">
        <f>'(Bloom Raw Data)'!CK24</f>
        <v>50416.0245</v>
      </c>
      <c r="BV24" s="167">
        <f>'(Bloom Raw Data)'!CL24</f>
        <v>55604.7016</v>
      </c>
      <c r="BW24" s="167">
        <f>'(Bloom Raw Data)'!CM24</f>
        <v>55255.791700000002</v>
      </c>
      <c r="BX24" s="167">
        <f>'(Bloom Raw Data)'!CN24</f>
        <v>64217.630499999999</v>
      </c>
      <c r="BY24" s="167">
        <f>'(Bloom Raw Data)'!CO24</f>
        <v>63045.762900000002</v>
      </c>
      <c r="BZ24" s="167">
        <f>'(Bloom Raw Data)'!CP24</f>
        <v>66163.185700000002</v>
      </c>
      <c r="CA24" s="167">
        <f>'(Bloom Raw Data)'!CQ24</f>
        <v>69104.744900000005</v>
      </c>
      <c r="CB24" s="167">
        <f>'(Bloom Raw Data)'!CR24</f>
        <v>67863.455499999996</v>
      </c>
      <c r="CC24" s="167">
        <f>'(Bloom Raw Data)'!CS24</f>
        <v>72573.679499999998</v>
      </c>
      <c r="CD24" s="167">
        <f>'(Bloom Raw Data)'!CT24</f>
        <v>72088.728199999998</v>
      </c>
      <c r="CE24" s="167">
        <f>'(Bloom Raw Data)'!CU24</f>
        <v>65139.817300000002</v>
      </c>
      <c r="CF24" s="167">
        <f>'(Bloom Raw Data)'!CV24</f>
        <v>68521.258700000006</v>
      </c>
      <c r="CG24" s="167">
        <f>'(Bloom Raw Data)'!CW24</f>
        <v>67293.827799999999</v>
      </c>
      <c r="CH24" s="167">
        <f>'(Bloom Raw Data)'!CX24</f>
        <v>60896.131999999998</v>
      </c>
      <c r="CI24" s="167">
        <f>'(Bloom Raw Data)'!CY24</f>
        <v>43977.936000000002</v>
      </c>
      <c r="CK24" s="167">
        <f t="shared" si="2"/>
        <v>63</v>
      </c>
      <c r="CL24" s="167">
        <f t="shared" si="3"/>
        <v>3</v>
      </c>
      <c r="CM24" s="167">
        <f t="shared" si="4"/>
        <v>4</v>
      </c>
      <c r="CN24" s="167">
        <f t="shared" si="5"/>
        <v>4</v>
      </c>
      <c r="CO24" s="167">
        <f t="shared" si="6"/>
        <v>3</v>
      </c>
      <c r="CP24" s="167">
        <f t="shared" si="7"/>
        <v>3</v>
      </c>
      <c r="CQ24" s="167">
        <f t="shared" si="8"/>
        <v>3.000000000007276</v>
      </c>
      <c r="CR24" s="167">
        <f t="shared" si="9"/>
        <v>3</v>
      </c>
      <c r="CS24" s="167">
        <f t="shared" si="10"/>
        <v>3</v>
      </c>
      <c r="CT24" s="167">
        <f t="shared" si="11"/>
        <v>3</v>
      </c>
      <c r="CU24" s="167">
        <f t="shared" si="12"/>
        <v>3</v>
      </c>
      <c r="CV24" s="167">
        <f t="shared" si="13"/>
        <v>3.000000000007276</v>
      </c>
      <c r="CW24" s="167">
        <f t="shared" si="14"/>
        <v>3</v>
      </c>
      <c r="CX24" s="167">
        <f t="shared" si="15"/>
        <v>2</v>
      </c>
      <c r="CY24" s="167">
        <f t="shared" si="16"/>
        <v>2</v>
      </c>
      <c r="DA24" s="168">
        <f>'(Bloom Raw Data)'!DB24</f>
        <v>5.4878</v>
      </c>
      <c r="DB24" s="168">
        <f>'(Bloom Raw Data)'!DC24</f>
        <v>5.9777000000000005</v>
      </c>
      <c r="DC24" s="168">
        <f>'(Bloom Raw Data)'!DD24</f>
        <v>5.4551999999999996</v>
      </c>
      <c r="DD24" s="168">
        <f>'(Bloom Raw Data)'!DE24</f>
        <v>6.1658999999999997</v>
      </c>
      <c r="DE24" s="168">
        <f>'(Bloom Raw Data)'!DF24</f>
        <v>5.8586999999999998</v>
      </c>
      <c r="DF24" s="168">
        <f>'(Bloom Raw Data)'!DG24</f>
        <v>6.0357000000000003</v>
      </c>
      <c r="DG24" s="168">
        <f>'(Bloom Raw Data)'!DH24</f>
        <v>6.5808</v>
      </c>
      <c r="DH24" s="168">
        <f>'(Bloom Raw Data)'!DI24</f>
        <v>6.3246000000000002</v>
      </c>
      <c r="DI24" s="168">
        <f>'(Bloom Raw Data)'!DJ24</f>
        <v>6.5476000000000001</v>
      </c>
      <c r="DJ24" s="168">
        <f>'(Bloom Raw Data)'!DK24</f>
        <v>7.1837</v>
      </c>
      <c r="DK24" s="168">
        <f>'(Bloom Raw Data)'!DL24</f>
        <v>7.4165999999999999</v>
      </c>
      <c r="DL24" s="168">
        <f>'(Bloom Raw Data)'!DM24</f>
        <v>8.2784999999999993</v>
      </c>
      <c r="DM24" s="168">
        <f>'(Bloom Raw Data)'!DN24</f>
        <v>8.3038000000000007</v>
      </c>
      <c r="DN24" s="168">
        <f>'(Bloom Raw Data)'!DO24</f>
        <v>7.5301</v>
      </c>
      <c r="DO24" s="168">
        <f>'(Bloom Raw Data)'!DP24</f>
        <v>5.4246999999999996</v>
      </c>
      <c r="DR24" s="168">
        <f>'(Bloom Raw Data)'!DS24</f>
        <v>1.3028999999999999</v>
      </c>
      <c r="DS24" s="168">
        <f>'(Bloom Raw Data)'!DT24</f>
        <v>1.4479</v>
      </c>
      <c r="DT24" s="168">
        <f>'(Bloom Raw Data)'!DU24</f>
        <v>1.413</v>
      </c>
      <c r="DU24" s="168">
        <f>'(Bloom Raw Data)'!DV24</f>
        <v>1.6324000000000001</v>
      </c>
      <c r="DV24" s="168">
        <f>'(Bloom Raw Data)'!DW24</f>
        <v>1.5697000000000001</v>
      </c>
      <c r="DW24" s="168">
        <f>'(Bloom Raw Data)'!DX24</f>
        <v>1.6457999999999999</v>
      </c>
      <c r="DX24" s="168">
        <f>'(Bloom Raw Data)'!DY24</f>
        <v>1.7396</v>
      </c>
      <c r="DY24" s="168">
        <f>'(Bloom Raw Data)'!DZ24</f>
        <v>1.69</v>
      </c>
      <c r="DZ24" s="168">
        <f>'(Bloom Raw Data)'!EA24</f>
        <v>1.77</v>
      </c>
      <c r="EA24" s="168">
        <f>'(Bloom Raw Data)'!EB24</f>
        <v>1.855</v>
      </c>
      <c r="EB24" s="168">
        <f>'(Bloom Raw Data)'!EC24</f>
        <v>1.7812000000000001</v>
      </c>
      <c r="EC24" s="168">
        <f>'(Bloom Raw Data)'!ED24</f>
        <v>1.8496000000000001</v>
      </c>
      <c r="ED24" s="168">
        <f>'(Bloom Raw Data)'!EE24</f>
        <v>1.7993000000000001</v>
      </c>
      <c r="EE24" s="168">
        <f>'(Bloom Raw Data)'!EF24</f>
        <v>1.6341000000000001</v>
      </c>
      <c r="EF24" s="168">
        <f>'(Bloom Raw Data)'!EG24</f>
        <v>1.19</v>
      </c>
      <c r="EH24" s="167" t="str">
        <f>'(Bloom Raw Data)'!EJ24</f>
        <v>#N/A N/A</v>
      </c>
      <c r="EI24" s="167">
        <f>'(Bloom Raw Data)'!EK24</f>
        <v>5.8739999999999997</v>
      </c>
      <c r="EJ24" s="167">
        <f>'(Bloom Raw Data)'!EL24</f>
        <v>5.2869000000000002</v>
      </c>
      <c r="EK24" s="167">
        <f>'(Bloom Raw Data)'!EM24</f>
        <v>6.0690999999999997</v>
      </c>
      <c r="EL24" s="167" t="str">
        <f>'(Bloom Raw Data)'!EN24</f>
        <v>#N/A N/A</v>
      </c>
      <c r="EM24" s="167">
        <f>'(Bloom Raw Data)'!EO24</f>
        <v>6.0021000000000004</v>
      </c>
      <c r="EN24" s="167">
        <f>'(Bloom Raw Data)'!EP24</f>
        <v>6.5640000000000001</v>
      </c>
      <c r="EO24" s="167">
        <f>'(Bloom Raw Data)'!EQ24</f>
        <v>8.3751999999999995</v>
      </c>
      <c r="EP24" s="167" t="str">
        <f>'(Bloom Raw Data)'!ER24</f>
        <v>#N/A N/A</v>
      </c>
      <c r="EQ24" s="167" t="str">
        <f>'(Bloom Raw Data)'!ES24</f>
        <v>#N/A N/A</v>
      </c>
      <c r="ER24" s="167" t="str">
        <f>'(Bloom Raw Data)'!ET24</f>
        <v>#N/A N/A</v>
      </c>
      <c r="ES24" s="167" t="str">
        <f>'(Bloom Raw Data)'!EU24</f>
        <v>#N/A N/A</v>
      </c>
      <c r="ET24" s="167" t="str">
        <f>'(Bloom Raw Data)'!EV24</f>
        <v>#N/A N/A</v>
      </c>
      <c r="EU24" s="167" t="str">
        <f>'(Bloom Raw Data)'!EW24</f>
        <v>#N/A N/A</v>
      </c>
      <c r="EV24" s="167" t="str">
        <f>'(Bloom Raw Data)'!EX24</f>
        <v>#N/A N/A</v>
      </c>
      <c r="EY24" s="167">
        <f>'(Bloom Raw Data)'!FR24</f>
        <v>1312</v>
      </c>
      <c r="EZ24" s="167">
        <f>'(Bloom Raw Data)'!FS24</f>
        <v>993</v>
      </c>
      <c r="FA24" s="167">
        <f>'(Bloom Raw Data)'!FT24</f>
        <v>1072</v>
      </c>
      <c r="FB24" s="167">
        <f>'(Bloom Raw Data)'!FU24</f>
        <v>1513</v>
      </c>
      <c r="FC24" s="167">
        <f>'(Bloom Raw Data)'!FV24</f>
        <v>834</v>
      </c>
      <c r="FD24" s="167">
        <f>'(Bloom Raw Data)'!FW24</f>
        <v>1443</v>
      </c>
      <c r="FE24" s="167">
        <f>'(Bloom Raw Data)'!FX24</f>
        <v>1978</v>
      </c>
      <c r="FF24" s="167">
        <f>'(Bloom Raw Data)'!FY24</f>
        <v>2812</v>
      </c>
      <c r="FG24" s="167">
        <f>'(Bloom Raw Data)'!FZ24</f>
        <v>1026</v>
      </c>
      <c r="FH24" s="167">
        <f>'(Bloom Raw Data)'!GA24</f>
        <v>546</v>
      </c>
      <c r="FI24" s="167">
        <f>'(Bloom Raw Data)'!GB24</f>
        <v>1147</v>
      </c>
      <c r="FJ24" s="167">
        <f>'(Bloom Raw Data)'!GC24</f>
        <v>632</v>
      </c>
      <c r="FK24" s="167">
        <f>'(Bloom Raw Data)'!GD24</f>
        <v>1673</v>
      </c>
      <c r="FL24" s="167">
        <f>'(Bloom Raw Data)'!GE24</f>
        <v>386</v>
      </c>
      <c r="FM24" s="167">
        <f>'(Bloom Raw Data)'!GF24</f>
        <v>740</v>
      </c>
      <c r="FO24" s="168" t="str">
        <f>'(Bloom Raw Data)'!FA24</f>
        <v>#N/A N/A</v>
      </c>
      <c r="FP24" s="168">
        <f>'(Bloom Raw Data)'!FB24</f>
        <v>1.0947</v>
      </c>
      <c r="FQ24" s="168">
        <f>'(Bloom Raw Data)'!FC24</f>
        <v>1.1429</v>
      </c>
      <c r="FR24" s="168">
        <f>'(Bloom Raw Data)'!FD24</f>
        <v>1.3481000000000001</v>
      </c>
      <c r="FS24" s="168" t="str">
        <f>'(Bloom Raw Data)'!FE24</f>
        <v>#N/A N/A</v>
      </c>
      <c r="FT24" s="168">
        <f>'(Bloom Raw Data)'!FF24</f>
        <v>1.2877000000000001</v>
      </c>
      <c r="FU24" s="168">
        <f>'(Bloom Raw Data)'!FG24</f>
        <v>1.9668000000000001</v>
      </c>
      <c r="FV24" s="168">
        <f>'(Bloom Raw Data)'!FH24</f>
        <v>1.8469</v>
      </c>
      <c r="FW24" s="168" t="str">
        <f>'(Bloom Raw Data)'!FI24</f>
        <v>#N/A N/A</v>
      </c>
      <c r="FX24" s="168" t="str">
        <f>'(Bloom Raw Data)'!FJ24</f>
        <v>#N/A N/A</v>
      </c>
      <c r="FY24" s="168" t="str">
        <f>'(Bloom Raw Data)'!FK24</f>
        <v>#N/A N/A</v>
      </c>
      <c r="FZ24" s="168" t="str">
        <f>'(Bloom Raw Data)'!FL24</f>
        <v>#N/A N/A</v>
      </c>
      <c r="GA24" s="168" t="str">
        <f>'(Bloom Raw Data)'!FM24</f>
        <v>#N/A N/A</v>
      </c>
      <c r="GB24" s="168" t="str">
        <f>'(Bloom Raw Data)'!FN24</f>
        <v>#N/A N/A</v>
      </c>
      <c r="GC24" s="168" t="str">
        <f>'(Bloom Raw Data)'!FO24</f>
        <v>#N/A N/A</v>
      </c>
      <c r="GF24" s="167">
        <f>'(Bloom Raw Data)'!GI24</f>
        <v>28465</v>
      </c>
      <c r="GG24" s="167">
        <f>'(Bloom Raw Data)'!GJ24</f>
        <v>28317</v>
      </c>
      <c r="GH24" s="167">
        <f>'(Bloom Raw Data)'!GK24</f>
        <v>26859</v>
      </c>
      <c r="GI24" s="167">
        <f>'(Bloom Raw Data)'!GL24</f>
        <v>27624</v>
      </c>
      <c r="GJ24" s="167">
        <f>'(Bloom Raw Data)'!GM24</f>
        <v>28875</v>
      </c>
      <c r="GK24" s="167">
        <f>'(Bloom Raw Data)'!GN24</f>
        <v>29988</v>
      </c>
      <c r="GL24" s="167">
        <f>'(Bloom Raw Data)'!GO24</f>
        <v>19830</v>
      </c>
      <c r="GM24" s="167">
        <f>'(Bloom Raw Data)'!GP24</f>
        <v>21178</v>
      </c>
      <c r="GN24" s="167">
        <f>'(Bloom Raw Data)'!GQ24</f>
        <v>21452</v>
      </c>
      <c r="GO24" s="167">
        <f>'(Bloom Raw Data)'!GR24</f>
        <v>22271</v>
      </c>
      <c r="GP24" s="167">
        <f>'(Bloom Raw Data)'!GS24</f>
        <v>16986</v>
      </c>
      <c r="GQ24" s="167">
        <f>'(Bloom Raw Data)'!GT24</f>
        <v>16930</v>
      </c>
      <c r="GR24" s="167">
        <f>'(Bloom Raw Data)'!GU24</f>
        <v>20429</v>
      </c>
      <c r="GS24" s="167">
        <f>'(Bloom Raw Data)'!GV24</f>
        <v>20825</v>
      </c>
      <c r="GT24" s="167">
        <f>'(Bloom Raw Data)'!GW24</f>
        <v>21293</v>
      </c>
      <c r="GV24" s="167">
        <f t="shared" si="17"/>
        <v>9186.9281861583877</v>
      </c>
      <c r="GW24" s="167">
        <f t="shared" si="18"/>
        <v>9302.0227846830712</v>
      </c>
      <c r="GX24" s="167">
        <f t="shared" si="19"/>
        <v>10129.012996773721</v>
      </c>
      <c r="GY24" s="167">
        <f t="shared" si="20"/>
        <v>10414.96464425307</v>
      </c>
      <c r="GZ24" s="167">
        <f t="shared" si="21"/>
        <v>10761.049874545548</v>
      </c>
      <c r="HA24" s="167">
        <f t="shared" si="22"/>
        <v>10961.973872127508</v>
      </c>
      <c r="HB24" s="167">
        <f t="shared" si="23"/>
        <v>10500.964153294433</v>
      </c>
      <c r="HC24" s="167">
        <f t="shared" si="24"/>
        <v>10730.078661101097</v>
      </c>
      <c r="HD24" s="167">
        <f t="shared" si="25"/>
        <v>11084.01238621785</v>
      </c>
      <c r="HE24" s="167">
        <f t="shared" si="26"/>
        <v>10035.041580244164</v>
      </c>
      <c r="HF24" s="167">
        <f t="shared" si="27"/>
        <v>8782.9756627025872</v>
      </c>
      <c r="HG24" s="167">
        <f t="shared" si="28"/>
        <v>8277.0137947695857</v>
      </c>
      <c r="HH24" s="167">
        <f t="shared" si="29"/>
        <v>8103.9798405549254</v>
      </c>
      <c r="HI24" s="167">
        <f t="shared" si="30"/>
        <v>8087.0283263170477</v>
      </c>
      <c r="HJ24" s="167">
        <f t="shared" si="31"/>
        <v>8106.9802938411349</v>
      </c>
      <c r="HL24" s="168">
        <f>'(Bloom Raw Data)'!HQ24</f>
        <v>8.3986999999999998</v>
      </c>
      <c r="HM24" s="168">
        <f>'(Bloom Raw Data)'!HR24</f>
        <v>9.0451999999999995</v>
      </c>
      <c r="HN24" s="168">
        <f>'(Bloom Raw Data)'!HS24</f>
        <v>10.833600000000001</v>
      </c>
      <c r="HO24" s="168">
        <f>'(Bloom Raw Data)'!HT24</f>
        <v>11.3103</v>
      </c>
      <c r="HP24" s="168">
        <f>'(Bloom Raw Data)'!HU24</f>
        <v>12.945600000000001</v>
      </c>
      <c r="HQ24" s="168">
        <f>'(Bloom Raw Data)'!HV24</f>
        <v>12.838699999999999</v>
      </c>
      <c r="HR24" s="168">
        <f>'(Bloom Raw Data)'!HW24</f>
        <v>10.1486</v>
      </c>
      <c r="HS24" s="168">
        <f>'(Bloom Raw Data)'!HX24</f>
        <v>7.8585000000000003</v>
      </c>
      <c r="HT24" s="168">
        <f>'(Bloom Raw Data)'!HY24</f>
        <v>6.5148999999999999</v>
      </c>
      <c r="HU24" s="168">
        <f>'(Bloom Raw Data)'!HZ24</f>
        <v>6.5583</v>
      </c>
      <c r="HV24" s="168">
        <f>'(Bloom Raw Data)'!IA24</f>
        <v>5.6955</v>
      </c>
      <c r="HW24" s="168">
        <f>'(Bloom Raw Data)'!IB24</f>
        <v>5.7134</v>
      </c>
      <c r="HX24" s="168">
        <f>'(Bloom Raw Data)'!IC24</f>
        <v>5.6101999999999999</v>
      </c>
      <c r="HY24" s="168">
        <f>'(Bloom Raw Data)'!ID24</f>
        <v>6.6901999999999999</v>
      </c>
      <c r="HZ24" s="168">
        <f>'(Bloom Raw Data)'!IE24</f>
        <v>6.7249999999999996</v>
      </c>
    </row>
    <row r="25" spans="1:236">
      <c r="A25" s="11" t="s">
        <v>508</v>
      </c>
      <c r="B25" s="11" t="s">
        <v>12</v>
      </c>
      <c r="D25" s="167">
        <f>'(Bloom Raw Data)'!D25</f>
        <v>20491.332699999999</v>
      </c>
      <c r="E25" s="167">
        <f>'(Bloom Raw Data)'!E25</f>
        <v>19933.409599999999</v>
      </c>
      <c r="F25" s="167">
        <f>'(Bloom Raw Data)'!F25</f>
        <v>19006.132900000001</v>
      </c>
      <c r="G25" s="127">
        <f>AVERAGE(F25,H25)</f>
        <v>20150.1626</v>
      </c>
      <c r="H25" s="167">
        <f>'(Bloom Raw Data)'!H25</f>
        <v>21294.192299999999</v>
      </c>
      <c r="I25" s="167">
        <f>'(Bloom Raw Data)'!I25</f>
        <v>21208.824000000001</v>
      </c>
      <c r="J25" s="167">
        <f>'(Bloom Raw Data)'!J25</f>
        <v>19969.649000000001</v>
      </c>
      <c r="K25" s="167">
        <f>'(Bloom Raw Data)'!K25</f>
        <v>19208.160500000002</v>
      </c>
      <c r="L25" s="167">
        <f>'(Bloom Raw Data)'!L25</f>
        <v>18436.1567</v>
      </c>
      <c r="M25" s="167">
        <f>'(Bloom Raw Data)'!M25</f>
        <v>18902.549800000001</v>
      </c>
      <c r="N25" s="167">
        <f>'(Bloom Raw Data)'!N25</f>
        <v>19746.922399999999</v>
      </c>
      <c r="O25" s="167">
        <f>'(Bloom Raw Data)'!O25</f>
        <v>19581.155999999999</v>
      </c>
      <c r="P25" s="167">
        <f>'(Bloom Raw Data)'!P25</f>
        <v>20399.429499999998</v>
      </c>
      <c r="Q25" s="167">
        <f>'(Bloom Raw Data)'!Q25</f>
        <v>22751.413400000001</v>
      </c>
      <c r="R25" s="167">
        <f>'(Bloom Raw Data)'!R25</f>
        <v>21425.307199999999</v>
      </c>
      <c r="T25" s="167">
        <f>'(Bloom Raw Data)'!U25</f>
        <v>9509</v>
      </c>
      <c r="U25" s="167">
        <f>'(Bloom Raw Data)'!V25</f>
        <v>8919</v>
      </c>
      <c r="V25" s="167">
        <f>'(Bloom Raw Data)'!W25</f>
        <v>9615</v>
      </c>
      <c r="W25" s="167">
        <f>'(Bloom Raw Data)'!X25</f>
        <v>9139</v>
      </c>
      <c r="X25" s="167">
        <f>'(Bloom Raw Data)'!Y25</f>
        <v>9167</v>
      </c>
      <c r="Y25" s="167">
        <f>'(Bloom Raw Data)'!Z25</f>
        <v>8869</v>
      </c>
      <c r="Z25" s="167">
        <f>'(Bloom Raw Data)'!AA25</f>
        <v>9638</v>
      </c>
      <c r="AA25" s="167">
        <f>'(Bloom Raw Data)'!AB25</f>
        <v>9091</v>
      </c>
      <c r="AB25" s="167">
        <f>'(Bloom Raw Data)'!AC25</f>
        <v>8444</v>
      </c>
      <c r="AC25" s="167">
        <f>'(Bloom Raw Data)'!AD25</f>
        <v>8444</v>
      </c>
      <c r="AD25" s="167">
        <f>'(Bloom Raw Data)'!AE25</f>
        <v>8924</v>
      </c>
      <c r="AE25" s="167">
        <f>'(Bloom Raw Data)'!AF25</f>
        <v>8758</v>
      </c>
      <c r="AF25" s="167">
        <f>'(Bloom Raw Data)'!AG25</f>
        <v>8205</v>
      </c>
      <c r="AG25" s="167">
        <f>'(Bloom Raw Data)'!AH25</f>
        <v>8070</v>
      </c>
      <c r="AH25" s="167">
        <f>'(Bloom Raw Data)'!AI25</f>
        <v>8759</v>
      </c>
      <c r="AJ25" s="167">
        <f>'(Bloom Raw Data)'!AL25</f>
        <v>852</v>
      </c>
      <c r="AK25" s="167">
        <f>'(Bloom Raw Data)'!AP25</f>
        <v>732</v>
      </c>
      <c r="AL25" s="167">
        <f>'(Bloom Raw Data)'!AT25</f>
        <v>627</v>
      </c>
      <c r="AM25" s="167">
        <f>'(Bloom Raw Data)'!AX25</f>
        <v>695</v>
      </c>
      <c r="AO25" s="168">
        <f>'(Bloom Raw Data)'!BC25</f>
        <v>1.2405999999999999</v>
      </c>
      <c r="AP25" s="168">
        <f>'(Bloom Raw Data)'!BD25</f>
        <v>7.5270000000000001</v>
      </c>
      <c r="AQ25" s="168">
        <f>'(Bloom Raw Data)'!BE25</f>
        <v>9.75</v>
      </c>
      <c r="AR25" s="168">
        <f>'(Bloom Raw Data)'!BF25</f>
        <v>10.4054</v>
      </c>
      <c r="AS25" s="168">
        <f>'(Bloom Raw Data)'!BG25</f>
        <v>3.7107999999999999</v>
      </c>
      <c r="AT25" s="168">
        <f>'(Bloom Raw Data)'!BH25</f>
        <v>9.6715999999999998</v>
      </c>
      <c r="AU25" s="168">
        <f>'(Bloom Raw Data)'!BI25</f>
        <v>9.9705999999999992</v>
      </c>
      <c r="AV25" s="168">
        <f>'(Bloom Raw Data)'!BJ25</f>
        <v>9.1882000000000001</v>
      </c>
      <c r="AW25" s="168">
        <f>'(Bloom Raw Data)'!BK25</f>
        <v>3.6709000000000001</v>
      </c>
      <c r="AX25" s="168">
        <f>'(Bloom Raw Data)'!BL25</f>
        <v>9.6405999999999992</v>
      </c>
      <c r="AY25" s="168">
        <f>'(Bloom Raw Data)'!BM25</f>
        <v>9.3332999999999995</v>
      </c>
      <c r="AZ25" s="168">
        <f>'(Bloom Raw Data)'!BN25</f>
        <v>9.2173999999999996</v>
      </c>
      <c r="BA25" s="168">
        <f>'(Bloom Raw Data)'!BO25</f>
        <v>3.8153999999999999</v>
      </c>
      <c r="BB25" s="168">
        <f>'(Bloom Raw Data)'!BP25</f>
        <v>8.0596999999999994</v>
      </c>
      <c r="BC25" s="168">
        <f>'(Bloom Raw Data)'!BQ25</f>
        <v>9.0475999999999992</v>
      </c>
      <c r="BE25" s="168">
        <f>'(Bloom Raw Data)'!BT25</f>
        <v>2.0301</v>
      </c>
      <c r="BF25" s="168">
        <f>'(Bloom Raw Data)'!BU25</f>
        <v>1.9376</v>
      </c>
      <c r="BG25" s="168">
        <f>'(Bloom Raw Data)'!BV25</f>
        <v>2.0771000000000002</v>
      </c>
      <c r="BH25" s="168">
        <f>'(Bloom Raw Data)'!BW25</f>
        <v>1.9691999999999998</v>
      </c>
      <c r="BI25" s="168">
        <f>'(Bloom Raw Data)'!BX25</f>
        <v>2.1082999999999998</v>
      </c>
      <c r="BJ25" s="168">
        <f>'(Bloom Raw Data)'!BY25</f>
        <v>2.0084</v>
      </c>
      <c r="BK25" s="168">
        <f>'(Bloom Raw Data)'!BZ25</f>
        <v>2.2259000000000002</v>
      </c>
      <c r="BL25" s="168">
        <f>'(Bloom Raw Data)'!CA25</f>
        <v>2.1034000000000002</v>
      </c>
      <c r="BM25" s="168">
        <f>'(Bloom Raw Data)'!CB25</f>
        <v>1.9637</v>
      </c>
      <c r="BN25" s="168">
        <f>'(Bloom Raw Data)'!CC25</f>
        <v>1.9765999999999999</v>
      </c>
      <c r="BO25" s="168">
        <f>'(Bloom Raw Data)'!CD25</f>
        <v>2.0977999999999999</v>
      </c>
      <c r="BP25" s="168">
        <f>'(Bloom Raw Data)'!CE25</f>
        <v>2.1200999999999999</v>
      </c>
      <c r="BQ25" s="168">
        <f>'(Bloom Raw Data)'!CF25</f>
        <v>2.0036999999999998</v>
      </c>
      <c r="BR25" s="168">
        <f>'(Bloom Raw Data)'!CG25</f>
        <v>2.0034999999999998</v>
      </c>
      <c r="BS25" s="168">
        <f>'(Bloom Raw Data)'!CH25</f>
        <v>2.2046000000000001</v>
      </c>
      <c r="BU25" s="167">
        <f>'(Bloom Raw Data)'!CK25</f>
        <v>30319.332699999999</v>
      </c>
      <c r="BV25" s="167">
        <f>'(Bloom Raw Data)'!CL25</f>
        <v>29143.409599999999</v>
      </c>
      <c r="BW25" s="167">
        <f>'(Bloom Raw Data)'!CM25</f>
        <v>28889.132900000001</v>
      </c>
      <c r="BX25" s="167">
        <f>'(Bloom Raw Data)'!CN25</f>
        <v>29934.132600000001</v>
      </c>
      <c r="BY25" s="167">
        <f>'(Bloom Raw Data)'!CO25</f>
        <v>30481.192299999999</v>
      </c>
      <c r="BZ25" s="167">
        <f>'(Bloom Raw Data)'!CP25</f>
        <v>30111.824000000001</v>
      </c>
      <c r="CA25" s="167">
        <f>'(Bloom Raw Data)'!CQ25</f>
        <v>29628.649000000001</v>
      </c>
      <c r="CB25" s="167">
        <f>'(Bloom Raw Data)'!CR25</f>
        <v>28322.160500000002</v>
      </c>
      <c r="CC25" s="167">
        <f>'(Bloom Raw Data)'!CS25</f>
        <v>26904.1567</v>
      </c>
      <c r="CD25" s="167">
        <f>'(Bloom Raw Data)'!CT25</f>
        <v>27373.549800000001</v>
      </c>
      <c r="CE25" s="167">
        <f>'(Bloom Raw Data)'!CU25</f>
        <v>28684.922399999999</v>
      </c>
      <c r="CF25" s="167">
        <f>'(Bloom Raw Data)'!CV25</f>
        <v>28354.155999999999</v>
      </c>
      <c r="CG25" s="167">
        <f>'(Bloom Raw Data)'!CW25</f>
        <v>28628.429499999998</v>
      </c>
      <c r="CH25" s="167">
        <f>'(Bloom Raw Data)'!CX25</f>
        <v>30850.413400000001</v>
      </c>
      <c r="CI25" s="167">
        <f>'(Bloom Raw Data)'!CY25</f>
        <v>30200.307199999999</v>
      </c>
      <c r="CK25" s="167">
        <f t="shared" si="2"/>
        <v>319</v>
      </c>
      <c r="CL25" s="167">
        <f t="shared" si="3"/>
        <v>291</v>
      </c>
      <c r="CM25" s="167">
        <f t="shared" si="4"/>
        <v>268</v>
      </c>
      <c r="CN25" s="167">
        <f t="shared" si="5"/>
        <v>644.97000000000116</v>
      </c>
      <c r="CO25" s="167">
        <f t="shared" si="6"/>
        <v>20</v>
      </c>
      <c r="CP25" s="167">
        <f t="shared" si="7"/>
        <v>34</v>
      </c>
      <c r="CQ25" s="167">
        <f t="shared" si="8"/>
        <v>21</v>
      </c>
      <c r="CR25" s="167">
        <f t="shared" si="9"/>
        <v>23</v>
      </c>
      <c r="CS25" s="167">
        <f t="shared" si="10"/>
        <v>24</v>
      </c>
      <c r="CT25" s="167">
        <f t="shared" si="11"/>
        <v>27</v>
      </c>
      <c r="CU25" s="167">
        <f t="shared" si="12"/>
        <v>14</v>
      </c>
      <c r="CV25" s="167">
        <f t="shared" si="13"/>
        <v>15</v>
      </c>
      <c r="CW25" s="167">
        <f t="shared" si="14"/>
        <v>24</v>
      </c>
      <c r="CX25" s="167">
        <f t="shared" si="15"/>
        <v>29</v>
      </c>
      <c r="CY25" s="167">
        <f t="shared" si="16"/>
        <v>16</v>
      </c>
      <c r="DA25" s="168">
        <f>'(Bloom Raw Data)'!DB25</f>
        <v>6.4729999999999999</v>
      </c>
      <c r="DB25" s="168">
        <f>'(Bloom Raw Data)'!DC25</f>
        <v>6.3314000000000004</v>
      </c>
      <c r="DC25" s="168">
        <f>'(Bloom Raw Data)'!DD25</f>
        <v>6.2408999999999999</v>
      </c>
      <c r="DD25" s="168">
        <f>'(Bloom Raw Data)'!DE25</f>
        <v>6.4499000000000004</v>
      </c>
      <c r="DE25" s="168">
        <f>'(Bloom Raw Data)'!DF25</f>
        <v>7.0103999999999997</v>
      </c>
      <c r="DF25" s="168">
        <f>'(Bloom Raw Data)'!DG25</f>
        <v>6.8187999999999995</v>
      </c>
      <c r="DG25" s="168">
        <f>'(Bloom Raw Data)'!DH25</f>
        <v>6.8426</v>
      </c>
      <c r="DH25" s="168">
        <f>'(Bloom Raw Data)'!DI25</f>
        <v>6.5529999999999999</v>
      </c>
      <c r="DI25" s="168">
        <f>'(Bloom Raw Data)'!DJ25</f>
        <v>6.2568000000000001</v>
      </c>
      <c r="DJ25" s="168">
        <f>'(Bloom Raw Data)'!DK25</f>
        <v>6.4077000000000002</v>
      </c>
      <c r="DK25" s="168">
        <f>'(Bloom Raw Data)'!DL25</f>
        <v>6.7430000000000003</v>
      </c>
      <c r="DL25" s="168">
        <f>'(Bloom Raw Data)'!DM25</f>
        <v>6.8638000000000003</v>
      </c>
      <c r="DM25" s="168">
        <f>'(Bloom Raw Data)'!DN25</f>
        <v>6.9911000000000003</v>
      </c>
      <c r="DN25" s="168">
        <f>'(Bloom Raw Data)'!DO25</f>
        <v>7.6589999999999998</v>
      </c>
      <c r="DO25" s="168">
        <f>'(Bloom Raw Data)'!DP25</f>
        <v>7.6013999999999999</v>
      </c>
      <c r="DR25" s="168">
        <f>'(Bloom Raw Data)'!DS25</f>
        <v>2.5263999999999998</v>
      </c>
      <c r="DS25" s="168">
        <f>'(Bloom Raw Data)'!DT25</f>
        <v>2.4209999999999998</v>
      </c>
      <c r="DT25" s="168">
        <f>'(Bloom Raw Data)'!DU25</f>
        <v>2.4013999999999998</v>
      </c>
      <c r="DU25" s="168">
        <f>'(Bloom Raw Data)'!DV25</f>
        <v>2.4836999999999998</v>
      </c>
      <c r="DV25" s="168">
        <f>'(Bloom Raw Data)'!DW25</f>
        <v>2.5426000000000002</v>
      </c>
      <c r="DW25" s="168">
        <f>'(Bloom Raw Data)'!DX25</f>
        <v>2.5310000000000001</v>
      </c>
      <c r="DX25" s="168">
        <f>'(Bloom Raw Data)'!DY25</f>
        <v>2.5186000000000002</v>
      </c>
      <c r="DY25" s="168">
        <f>'(Bloom Raw Data)'!DZ25</f>
        <v>2.4521000000000002</v>
      </c>
      <c r="DZ25" s="168">
        <f>'(Bloom Raw Data)'!EA25</f>
        <v>2.3462000000000001</v>
      </c>
      <c r="EA25" s="168">
        <f>'(Bloom Raw Data)'!EB25</f>
        <v>2.3997000000000002</v>
      </c>
      <c r="EB25" s="168">
        <f>'(Bloom Raw Data)'!EC25</f>
        <v>2.5236999999999998</v>
      </c>
      <c r="EC25" s="168">
        <f>'(Bloom Raw Data)'!ED25</f>
        <v>2.4967999999999999</v>
      </c>
      <c r="ED25" s="168">
        <f>'(Bloom Raw Data)'!EE25</f>
        <v>2.5148000000000001</v>
      </c>
      <c r="EE25" s="168">
        <f>'(Bloom Raw Data)'!EF25</f>
        <v>2.7263000000000002</v>
      </c>
      <c r="EF25" s="168">
        <f>'(Bloom Raw Data)'!EG25</f>
        <v>2.6587000000000001</v>
      </c>
      <c r="EH25" s="167" t="str">
        <f>'(Bloom Raw Data)'!EJ25</f>
        <v>#N/A N/A</v>
      </c>
      <c r="EI25" s="167">
        <f>'(Bloom Raw Data)'!EK25</f>
        <v>10.6167</v>
      </c>
      <c r="EJ25" s="167">
        <f>'(Bloom Raw Data)'!EL25</f>
        <v>10.3238</v>
      </c>
      <c r="EK25" s="167">
        <f>'(Bloom Raw Data)'!EM25</f>
        <v>11.0023</v>
      </c>
      <c r="EL25" s="167" t="str">
        <f>'(Bloom Raw Data)'!EN25</f>
        <v>#N/A N/A</v>
      </c>
      <c r="EM25" s="167">
        <f>'(Bloom Raw Data)'!EO25</f>
        <v>10.991300000000001</v>
      </c>
      <c r="EN25" s="167">
        <f>'(Bloom Raw Data)'!EP25</f>
        <v>10.631499999999999</v>
      </c>
      <c r="EO25" s="167">
        <f>'(Bloom Raw Data)'!EQ25</f>
        <v>10.0761</v>
      </c>
      <c r="EP25" s="167" t="str">
        <f>'(Bloom Raw Data)'!ER25</f>
        <v>#N/A N/A</v>
      </c>
      <c r="EQ25" s="167" t="str">
        <f>'(Bloom Raw Data)'!ES25</f>
        <v>#N/A N/A</v>
      </c>
      <c r="ER25" s="167" t="str">
        <f>'(Bloom Raw Data)'!ET25</f>
        <v>#N/A N/A</v>
      </c>
      <c r="ES25" s="167" t="str">
        <f>'(Bloom Raw Data)'!EU25</f>
        <v>#N/A N/A</v>
      </c>
      <c r="ET25" s="167" t="str">
        <f>'(Bloom Raw Data)'!EV25</f>
        <v>#N/A N/A</v>
      </c>
      <c r="EU25" s="167" t="str">
        <f>'(Bloom Raw Data)'!EW25</f>
        <v>#N/A N/A</v>
      </c>
      <c r="EV25" s="167" t="str">
        <f>'(Bloom Raw Data)'!EX25</f>
        <v>#N/A N/A</v>
      </c>
      <c r="EY25" s="167">
        <f>'(Bloom Raw Data)'!FR25</f>
        <v>532</v>
      </c>
      <c r="EZ25" s="167">
        <f>'(Bloom Raw Data)'!FS25</f>
        <v>866</v>
      </c>
      <c r="FA25" s="167">
        <f>'(Bloom Raw Data)'!FT25</f>
        <v>535</v>
      </c>
      <c r="FB25" s="167">
        <f>'(Bloom Raw Data)'!FU25</f>
        <v>559</v>
      </c>
      <c r="FC25" s="167">
        <f>'(Bloom Raw Data)'!FV25</f>
        <v>483</v>
      </c>
      <c r="FD25" s="167">
        <f>'(Bloom Raw Data)'!FW25</f>
        <v>484</v>
      </c>
      <c r="FE25" s="167">
        <f>'(Bloom Raw Data)'!FX25</f>
        <v>271</v>
      </c>
      <c r="FF25" s="167">
        <f>'(Bloom Raw Data)'!FY25</f>
        <v>305</v>
      </c>
      <c r="FG25" s="167">
        <f>'(Bloom Raw Data)'!FZ25</f>
        <v>314</v>
      </c>
      <c r="FH25" s="167">
        <f>'(Bloom Raw Data)'!GA25</f>
        <v>314</v>
      </c>
      <c r="FI25" s="167">
        <f>'(Bloom Raw Data)'!GB25</f>
        <v>189</v>
      </c>
      <c r="FJ25" s="167">
        <f>'(Bloom Raw Data)'!GC25</f>
        <v>156</v>
      </c>
      <c r="FK25" s="167">
        <f>'(Bloom Raw Data)'!GD25</f>
        <v>538</v>
      </c>
      <c r="FL25" s="167">
        <f>'(Bloom Raw Data)'!GE25</f>
        <v>685</v>
      </c>
      <c r="FM25" s="167">
        <f>'(Bloom Raw Data)'!GF25</f>
        <v>173</v>
      </c>
      <c r="FO25" s="168" t="str">
        <f>'(Bloom Raw Data)'!FA25</f>
        <v>#N/A N/A</v>
      </c>
      <c r="FP25" s="168">
        <f>'(Bloom Raw Data)'!FB25</f>
        <v>3.0236000000000001</v>
      </c>
      <c r="FQ25" s="168">
        <f>'(Bloom Raw Data)'!FC25</f>
        <v>3.3891</v>
      </c>
      <c r="FR25" s="168">
        <f>'(Bloom Raw Data)'!FD25</f>
        <v>3.3161</v>
      </c>
      <c r="FS25" s="168" t="str">
        <f>'(Bloom Raw Data)'!FE25</f>
        <v>#N/A N/A</v>
      </c>
      <c r="FT25" s="168">
        <f>'(Bloom Raw Data)'!FF25</f>
        <v>3.3447</v>
      </c>
      <c r="FU25" s="168">
        <f>'(Bloom Raw Data)'!FG25</f>
        <v>3.8843999999999999</v>
      </c>
      <c r="FV25" s="168">
        <f>'(Bloom Raw Data)'!FH25</f>
        <v>3.7968000000000002</v>
      </c>
      <c r="FW25" s="168" t="str">
        <f>'(Bloom Raw Data)'!FI25</f>
        <v>#N/A N/A</v>
      </c>
      <c r="FX25" s="168" t="str">
        <f>'(Bloom Raw Data)'!FJ25</f>
        <v>#N/A N/A</v>
      </c>
      <c r="FY25" s="168" t="str">
        <f>'(Bloom Raw Data)'!FK25</f>
        <v>#N/A N/A</v>
      </c>
      <c r="FZ25" s="168" t="str">
        <f>'(Bloom Raw Data)'!FL25</f>
        <v>#N/A N/A</v>
      </c>
      <c r="GA25" s="168" t="str">
        <f>'(Bloom Raw Data)'!FM25</f>
        <v>#N/A N/A</v>
      </c>
      <c r="GB25" s="168" t="str">
        <f>'(Bloom Raw Data)'!FN25</f>
        <v>#N/A N/A</v>
      </c>
      <c r="GC25" s="168" t="str">
        <f>'(Bloom Raw Data)'!FO25</f>
        <v>#N/A N/A</v>
      </c>
      <c r="GF25" s="167">
        <f>'(Bloom Raw Data)'!GI25</f>
        <v>6610</v>
      </c>
      <c r="GG25" s="167">
        <f>'(Bloom Raw Data)'!GJ25</f>
        <v>6739</v>
      </c>
      <c r="GH25" s="167">
        <f>'(Bloom Raw Data)'!GK25</f>
        <v>5753</v>
      </c>
      <c r="GI25" s="167">
        <f>'(Bloom Raw Data)'!GL25</f>
        <v>6321</v>
      </c>
      <c r="GJ25" s="167">
        <f>'(Bloom Raw Data)'!GM25</f>
        <v>5350</v>
      </c>
      <c r="GK25" s="167">
        <f>'(Bloom Raw Data)'!GN25</f>
        <v>6236</v>
      </c>
      <c r="GL25" s="167">
        <f>'(Bloom Raw Data)'!GO25</f>
        <v>5162</v>
      </c>
      <c r="GM25" s="167">
        <f>'(Bloom Raw Data)'!GP25</f>
        <v>5082</v>
      </c>
      <c r="GN25" s="167">
        <f>'(Bloom Raw Data)'!GQ25</f>
        <v>4296</v>
      </c>
      <c r="GO25" s="167">
        <f>'(Bloom Raw Data)'!GR25</f>
        <v>4693</v>
      </c>
      <c r="GP25" s="167">
        <f>'(Bloom Raw Data)'!GS25</f>
        <v>3957</v>
      </c>
      <c r="GQ25" s="167">
        <f>'(Bloom Raw Data)'!GT25</f>
        <v>4258</v>
      </c>
      <c r="GR25" s="167">
        <f>'(Bloom Raw Data)'!GU25</f>
        <v>4156</v>
      </c>
      <c r="GS25" s="167">
        <f>'(Bloom Raw Data)'!GV25</f>
        <v>5191</v>
      </c>
      <c r="GT25" s="167">
        <f>'(Bloom Raw Data)'!GW25</f>
        <v>4685</v>
      </c>
      <c r="GV25" s="167">
        <f t="shared" si="17"/>
        <v>4683.9692105669701</v>
      </c>
      <c r="GW25" s="167">
        <f t="shared" si="18"/>
        <v>4602.9961146034047</v>
      </c>
      <c r="GX25" s="167">
        <f t="shared" si="19"/>
        <v>4629.001089586438</v>
      </c>
      <c r="GY25" s="167">
        <f t="shared" si="20"/>
        <v>4641.0227445386745</v>
      </c>
      <c r="GZ25" s="167">
        <f t="shared" si="21"/>
        <v>4347.996162843775</v>
      </c>
      <c r="HA25" s="167">
        <f t="shared" si="22"/>
        <v>4416.0004692907851</v>
      </c>
      <c r="HB25" s="167">
        <f t="shared" si="23"/>
        <v>4330.0279133662643</v>
      </c>
      <c r="HC25" s="167">
        <f t="shared" si="24"/>
        <v>4322.0144208759348</v>
      </c>
      <c r="HD25" s="167">
        <f t="shared" si="25"/>
        <v>4299.9866864851037</v>
      </c>
      <c r="HE25" s="167">
        <f t="shared" si="26"/>
        <v>4271.9774334004405</v>
      </c>
      <c r="HF25" s="167">
        <f t="shared" si="27"/>
        <v>4254.0297197093278</v>
      </c>
      <c r="HG25" s="167">
        <f t="shared" si="28"/>
        <v>4130.9705993764383</v>
      </c>
      <c r="HH25" s="167">
        <f t="shared" si="29"/>
        <v>4094.9821201241575</v>
      </c>
      <c r="HI25" s="167">
        <f t="shared" si="30"/>
        <v>4027.9949601775693</v>
      </c>
      <c r="HJ25" s="167">
        <f t="shared" si="31"/>
        <v>3972.9927644907516</v>
      </c>
      <c r="HL25" s="168">
        <f>'(Bloom Raw Data)'!HQ25</f>
        <v>5.6532</v>
      </c>
      <c r="HM25" s="168">
        <f>'(Bloom Raw Data)'!HR25</f>
        <v>6.0940000000000003</v>
      </c>
      <c r="HN25" s="168">
        <f>'(Bloom Raw Data)'!HS25</f>
        <v>5.8245000000000005</v>
      </c>
      <c r="HO25" s="168">
        <f>'(Bloom Raw Data)'!HT25</f>
        <v>5.7889999999999997</v>
      </c>
      <c r="HP25" s="168">
        <f>'(Bloom Raw Data)'!HU25</f>
        <v>6.0361000000000002</v>
      </c>
      <c r="HQ25" s="168">
        <f>'(Bloom Raw Data)'!HV25</f>
        <v>5.7984999999999998</v>
      </c>
      <c r="HR25" s="168">
        <f>'(Bloom Raw Data)'!HW25</f>
        <v>5.6901999999999999</v>
      </c>
      <c r="HS25" s="168">
        <f>'(Bloom Raw Data)'!HX25</f>
        <v>5.4062999999999999</v>
      </c>
      <c r="HT25" s="168">
        <f>'(Bloom Raw Data)'!HY25</f>
        <v>4.9265999999999996</v>
      </c>
      <c r="HU25" s="168">
        <f>'(Bloom Raw Data)'!HZ25</f>
        <v>5.056</v>
      </c>
      <c r="HV25" s="168">
        <f>'(Bloom Raw Data)'!IA25</f>
        <v>5.4055999999999997</v>
      </c>
      <c r="HW25" s="168">
        <f>'(Bloom Raw Data)'!IB25</f>
        <v>5.0545</v>
      </c>
      <c r="HX25" s="168">
        <f>'(Bloom Raw Data)'!IC25</f>
        <v>5.1757999999999997</v>
      </c>
      <c r="HY25" s="168">
        <f>'(Bloom Raw Data)'!ID25</f>
        <v>4.9328000000000003</v>
      </c>
      <c r="HZ25" s="168">
        <f>'(Bloom Raw Data)'!IE25</f>
        <v>5.4858000000000002</v>
      </c>
    </row>
    <row r="26" spans="1:236">
      <c r="A26" s="11" t="s">
        <v>27</v>
      </c>
      <c r="B26" s="7" t="s">
        <v>343</v>
      </c>
      <c r="D26" s="167">
        <f>'(Bloom Raw Data)'!D26</f>
        <v>693.7373</v>
      </c>
      <c r="E26" s="167">
        <f>'(Bloom Raw Data)'!E26</f>
        <v>585.2627</v>
      </c>
      <c r="F26" s="167">
        <f>'(Bloom Raw Data)'!F26</f>
        <v>505.78710000000001</v>
      </c>
      <c r="G26" s="127">
        <f>AVERAGE(F26,H26)</f>
        <v>493.86215000000004</v>
      </c>
      <c r="H26" s="167">
        <f>'(Bloom Raw Data)'!H26</f>
        <v>481.93720000000002</v>
      </c>
      <c r="I26" s="167">
        <f>'(Bloom Raw Data)'!I26</f>
        <v>539.84789999999998</v>
      </c>
      <c r="J26" s="167">
        <f>'(Bloom Raw Data)'!J26</f>
        <v>541.87490000000003</v>
      </c>
      <c r="K26" s="167">
        <f>'(Bloom Raw Data)'!K26</f>
        <v>413.1266</v>
      </c>
      <c r="L26" s="167">
        <f>'(Bloom Raw Data)'!L26</f>
        <v>434</v>
      </c>
      <c r="M26" s="167">
        <f>'(Bloom Raw Data)'!M26</f>
        <v>438.89</v>
      </c>
      <c r="N26" s="167">
        <f>'(Bloom Raw Data)'!N26</f>
        <v>469.67329999999998</v>
      </c>
      <c r="O26" s="167">
        <f>'(Bloom Raw Data)'!O26</f>
        <v>495.37099999999998</v>
      </c>
      <c r="P26" s="167">
        <f>'(Bloom Raw Data)'!P26</f>
        <v>536.01220000000001</v>
      </c>
      <c r="Q26" s="167">
        <f>'(Bloom Raw Data)'!Q26</f>
        <v>608.17600000000004</v>
      </c>
      <c r="R26" s="167">
        <f>'(Bloom Raw Data)'!R26</f>
        <v>562.64409999999998</v>
      </c>
      <c r="T26" s="167">
        <f>'(Bloom Raw Data)'!U26</f>
        <v>298.52800000000002</v>
      </c>
      <c r="U26" s="167">
        <f>'(Bloom Raw Data)'!V26</f>
        <v>273.8</v>
      </c>
      <c r="V26" s="167">
        <f>'(Bloom Raw Data)'!W26</f>
        <v>270.2</v>
      </c>
      <c r="W26" s="167">
        <f>'(Bloom Raw Data)'!X26</f>
        <v>267.7</v>
      </c>
      <c r="X26" s="167">
        <f>'(Bloom Raw Data)'!Y26</f>
        <v>288.82740000000001</v>
      </c>
      <c r="Y26" s="167">
        <f>'(Bloom Raw Data)'!Z26</f>
        <v>303.5</v>
      </c>
      <c r="Z26" s="167">
        <f>'(Bloom Raw Data)'!AA26</f>
        <v>295.07619999999997</v>
      </c>
      <c r="AA26" s="167">
        <f>'(Bloom Raw Data)'!AB26</f>
        <v>258</v>
      </c>
      <c r="AB26" s="167">
        <f>'(Bloom Raw Data)'!AC26</f>
        <v>269.86790000000002</v>
      </c>
      <c r="AC26" s="167">
        <f>'(Bloom Raw Data)'!AD26</f>
        <v>333</v>
      </c>
      <c r="AD26" s="167">
        <f>'(Bloom Raw Data)'!AE26</f>
        <v>344.8</v>
      </c>
      <c r="AE26" s="167">
        <f>'(Bloom Raw Data)'!AF26</f>
        <v>326.8</v>
      </c>
      <c r="AF26" s="167">
        <f>'(Bloom Raw Data)'!AG26</f>
        <v>343.75020000000001</v>
      </c>
      <c r="AG26" s="167">
        <f>'(Bloom Raw Data)'!AH26</f>
        <v>355.21409999999997</v>
      </c>
      <c r="AH26" s="167">
        <f>'(Bloom Raw Data)'!AI26</f>
        <v>366.5</v>
      </c>
      <c r="AJ26" s="167">
        <f>'(Bloom Raw Data)'!AL26</f>
        <v>211.43430000000001</v>
      </c>
      <c r="AK26" s="167">
        <f>'(Bloom Raw Data)'!AP26</f>
        <v>234.34620000000001</v>
      </c>
      <c r="AL26" s="167">
        <f>'(Bloom Raw Data)'!AT26</f>
        <v>220.49350000000001</v>
      </c>
      <c r="AM26" s="167">
        <f>'(Bloom Raw Data)'!AX26</f>
        <v>170.7689</v>
      </c>
      <c r="AO26" s="168" t="str">
        <f>'(Bloom Raw Data)'!BC26</f>
        <v>#N/A N/A</v>
      </c>
      <c r="AP26" s="168" t="str">
        <f>'(Bloom Raw Data)'!BD26</f>
        <v>#N/A N/A</v>
      </c>
      <c r="AQ26" s="168" t="str">
        <f>'(Bloom Raw Data)'!BE26</f>
        <v>#N/A N/A</v>
      </c>
      <c r="AR26" s="168" t="str">
        <f>'(Bloom Raw Data)'!BF26</f>
        <v>#N/A N/A</v>
      </c>
      <c r="AS26" s="168" t="str">
        <f>'(Bloom Raw Data)'!BG26</f>
        <v>#N/A N/A</v>
      </c>
      <c r="AT26" s="168" t="str">
        <f>'(Bloom Raw Data)'!BH26</f>
        <v>#N/A N/A</v>
      </c>
      <c r="AU26" s="168" t="str">
        <f>'(Bloom Raw Data)'!BI26</f>
        <v>#N/A N/A</v>
      </c>
      <c r="AV26" s="168" t="str">
        <f>'(Bloom Raw Data)'!BJ26</f>
        <v>#N/A N/A</v>
      </c>
      <c r="AW26" s="168" t="str">
        <f>'(Bloom Raw Data)'!BK26</f>
        <v>#N/A N/A</v>
      </c>
      <c r="AX26" s="168" t="str">
        <f>'(Bloom Raw Data)'!BL26</f>
        <v>#N/A N/A</v>
      </c>
      <c r="AY26" s="168" t="str">
        <f>'(Bloom Raw Data)'!BM26</f>
        <v>#N/A N/A</v>
      </c>
      <c r="AZ26" s="168" t="str">
        <f>'(Bloom Raw Data)'!BN26</f>
        <v>#N/A N/A</v>
      </c>
      <c r="BA26" s="168" t="str">
        <f>'(Bloom Raw Data)'!BO26</f>
        <v>#N/A N/A</v>
      </c>
      <c r="BB26" s="168">
        <f>'(Bloom Raw Data)'!BP26</f>
        <v>6.7881999999999998</v>
      </c>
      <c r="BC26" s="168" t="str">
        <f>'(Bloom Raw Data)'!BQ26</f>
        <v>#N/A N/A</v>
      </c>
      <c r="BE26" s="168">
        <f>'(Bloom Raw Data)'!BT26</f>
        <v>1.6985999999999999</v>
      </c>
      <c r="BF26" s="168">
        <f>'(Bloom Raw Data)'!BU26</f>
        <v>1.5369000000000002</v>
      </c>
      <c r="BG26" s="168">
        <f>'(Bloom Raw Data)'!BV26</f>
        <v>1.4713000000000001</v>
      </c>
      <c r="BH26" s="168">
        <f>'(Bloom Raw Data)'!BW26</f>
        <v>1.4243999999999999</v>
      </c>
      <c r="BI26" s="168">
        <f>'(Bloom Raw Data)'!BX26</f>
        <v>1.4902</v>
      </c>
      <c r="BJ26" s="168">
        <f>'(Bloom Raw Data)'!BY26</f>
        <v>1.506</v>
      </c>
      <c r="BK26" s="168">
        <f>'(Bloom Raw Data)'!BZ26</f>
        <v>1.4288000000000001</v>
      </c>
      <c r="BL26" s="168">
        <f>'(Bloom Raw Data)'!CA26</f>
        <v>1.2021999999999999</v>
      </c>
      <c r="BM26" s="168">
        <f>'(Bloom Raw Data)'!CB26</f>
        <v>1.1177999999999999</v>
      </c>
      <c r="BN26" s="168">
        <f>'(Bloom Raw Data)'!CC26</f>
        <v>1.3524</v>
      </c>
      <c r="BO26" s="168">
        <f>'(Bloom Raw Data)'!CD26</f>
        <v>1.3584000000000001</v>
      </c>
      <c r="BP26" s="168">
        <f>'(Bloom Raw Data)'!CE26</f>
        <v>1.2434000000000001</v>
      </c>
      <c r="BQ26" s="168">
        <f>'(Bloom Raw Data)'!CF26</f>
        <v>1.3980000000000001</v>
      </c>
      <c r="BR26" s="168">
        <f>'(Bloom Raw Data)'!CG26</f>
        <v>1.4369000000000001</v>
      </c>
      <c r="BS26" s="168">
        <f>'(Bloom Raw Data)'!CH26</f>
        <v>1.4777</v>
      </c>
      <c r="BU26" s="167">
        <f>'(Bloom Raw Data)'!CK26</f>
        <v>992.77350000000001</v>
      </c>
      <c r="BV26" s="167">
        <f>'(Bloom Raw Data)'!CL26</f>
        <v>859.46270000000004</v>
      </c>
      <c r="BW26" s="167">
        <f>'(Bloom Raw Data)'!CM26</f>
        <v>776.48710000000005</v>
      </c>
      <c r="BX26" s="167">
        <f>'(Bloom Raw Data)'!CN26</f>
        <v>786.9058</v>
      </c>
      <c r="BY26" s="167">
        <f>'(Bloom Raw Data)'!CO26</f>
        <v>771.35829999999999</v>
      </c>
      <c r="BZ26" s="167">
        <f>'(Bloom Raw Data)'!CP26</f>
        <v>843.84789999999998</v>
      </c>
      <c r="CA26" s="167">
        <f>'(Bloom Raw Data)'!CQ26</f>
        <v>837.41330000000005</v>
      </c>
      <c r="CB26" s="167">
        <f>'(Bloom Raw Data)'!CR26</f>
        <v>671.62660000000005</v>
      </c>
      <c r="CC26" s="167">
        <f>'(Bloom Raw Data)'!CS26</f>
        <v>704.38350000000003</v>
      </c>
      <c r="CD26" s="167">
        <f>'(Bloom Raw Data)'!CT26</f>
        <v>772.29</v>
      </c>
      <c r="CE26" s="167">
        <f>'(Bloom Raw Data)'!CU26</f>
        <v>814.87329999999997</v>
      </c>
      <c r="CF26" s="167">
        <f>'(Bloom Raw Data)'!CV26</f>
        <v>822.57100000000003</v>
      </c>
      <c r="CG26" s="167">
        <f>'(Bloom Raw Data)'!CW26</f>
        <v>880.1499</v>
      </c>
      <c r="CH26" s="167">
        <f>'(Bloom Raw Data)'!CX26</f>
        <v>963.75829999999996</v>
      </c>
      <c r="CI26" s="167">
        <f>'(Bloom Raw Data)'!CY26</f>
        <v>929.54409999999996</v>
      </c>
      <c r="CK26" s="167">
        <f t="shared" si="2"/>
        <v>0.50819999999998799</v>
      </c>
      <c r="CL26" s="167">
        <f t="shared" si="3"/>
        <v>0.40000000000003411</v>
      </c>
      <c r="CM26" s="167">
        <f t="shared" si="4"/>
        <v>0.50000000000005684</v>
      </c>
      <c r="CN26" s="167">
        <f t="shared" si="5"/>
        <v>25.343649999999968</v>
      </c>
      <c r="CO26" s="167">
        <f t="shared" si="6"/>
        <v>0.59369999999995571</v>
      </c>
      <c r="CP26" s="167">
        <f t="shared" si="7"/>
        <v>0.5</v>
      </c>
      <c r="CQ26" s="167">
        <f t="shared" si="8"/>
        <v>0.46220000000005257</v>
      </c>
      <c r="CR26" s="167">
        <f t="shared" si="9"/>
        <v>0.50000000000005684</v>
      </c>
      <c r="CS26" s="167">
        <f t="shared" si="10"/>
        <v>0.51560000000000628</v>
      </c>
      <c r="CT26" s="167">
        <f t="shared" si="11"/>
        <v>0.39999999999997726</v>
      </c>
      <c r="CU26" s="167">
        <f t="shared" si="12"/>
        <v>0.39999999999997726</v>
      </c>
      <c r="CV26" s="167">
        <f t="shared" si="13"/>
        <v>0.40000000000003411</v>
      </c>
      <c r="CW26" s="167">
        <f t="shared" si="14"/>
        <v>0.38749999999998863</v>
      </c>
      <c r="CX26" s="167">
        <f t="shared" si="15"/>
        <v>0.36819999999994479</v>
      </c>
      <c r="CY26" s="167">
        <f t="shared" si="16"/>
        <v>0.39999999999997726</v>
      </c>
      <c r="DA26" s="168">
        <f>'(Bloom Raw Data)'!DB26</f>
        <v>5.6487999999999996</v>
      </c>
      <c r="DB26" s="168">
        <f>'(Bloom Raw Data)'!DC26</f>
        <v>4.8243999999999998</v>
      </c>
      <c r="DC26" s="168">
        <f>'(Bloom Raw Data)'!DD26</f>
        <v>4.2282999999999999</v>
      </c>
      <c r="DD26" s="168">
        <f>'(Bloom Raw Data)'!DE26</f>
        <v>4.1868999999999996</v>
      </c>
      <c r="DE26" s="168">
        <f>'(Bloom Raw Data)'!DF26</f>
        <v>3.9797000000000002</v>
      </c>
      <c r="DF26" s="168">
        <f>'(Bloom Raw Data)'!DG26</f>
        <v>4.1874000000000002</v>
      </c>
      <c r="DG26" s="168">
        <f>'(Bloom Raw Data)'!DH26</f>
        <v>4.0549999999999997</v>
      </c>
      <c r="DH26" s="168">
        <f>'(Bloom Raw Data)'!DI26</f>
        <v>3.1294</v>
      </c>
      <c r="DI26" s="168">
        <f>'(Bloom Raw Data)'!DJ26</f>
        <v>2.9176000000000002</v>
      </c>
      <c r="DJ26" s="168">
        <f>'(Bloom Raw Data)'!DK26</f>
        <v>3.1364999999999998</v>
      </c>
      <c r="DK26" s="168">
        <f>'(Bloom Raw Data)'!DL26</f>
        <v>3.2101999999999999</v>
      </c>
      <c r="DL26" s="168">
        <f>'(Bloom Raw Data)'!DM26</f>
        <v>3.1295999999999999</v>
      </c>
      <c r="DM26" s="168">
        <f>'(Bloom Raw Data)'!DN26</f>
        <v>3.5794000000000001</v>
      </c>
      <c r="DN26" s="168">
        <f>'(Bloom Raw Data)'!DO26</f>
        <v>3.8984000000000001</v>
      </c>
      <c r="DO26" s="168">
        <f>'(Bloom Raw Data)'!DP26</f>
        <v>3.7479</v>
      </c>
      <c r="DR26" s="168">
        <f>'(Bloom Raw Data)'!DS26</f>
        <v>1.0457000000000001</v>
      </c>
      <c r="DS26" s="168">
        <f>'(Bloom Raw Data)'!DT26</f>
        <v>0.92290000000000005</v>
      </c>
      <c r="DT26" s="168">
        <f>'(Bloom Raw Data)'!DU26</f>
        <v>0.84570000000000001</v>
      </c>
      <c r="DU26" s="168">
        <f>'(Bloom Raw Data)'!DV26</f>
        <v>0.85809999999999997</v>
      </c>
      <c r="DV26" s="168">
        <f>'(Bloom Raw Data)'!DW26</f>
        <v>0.8377</v>
      </c>
      <c r="DW26" s="168">
        <f>'(Bloom Raw Data)'!DX26</f>
        <v>0.92349999999999999</v>
      </c>
      <c r="DX26" s="168">
        <f>'(Bloom Raw Data)'!DY26</f>
        <v>0.93479999999999996</v>
      </c>
      <c r="DY26" s="168">
        <f>'(Bloom Raw Data)'!DZ26</f>
        <v>0.75729999999999997</v>
      </c>
      <c r="DZ26" s="168">
        <f>'(Bloom Raw Data)'!EA26</f>
        <v>0.81559999999999999</v>
      </c>
      <c r="EA26" s="168">
        <f>'(Bloom Raw Data)'!EB26</f>
        <v>0.90820000000000001</v>
      </c>
      <c r="EB26" s="168">
        <f>'(Bloom Raw Data)'!EC26</f>
        <v>0.96409999999999996</v>
      </c>
      <c r="EC26" s="168">
        <f>'(Bloom Raw Data)'!ED26</f>
        <v>0.99050000000000005</v>
      </c>
      <c r="ED26" s="168">
        <f>'(Bloom Raw Data)'!EE26</f>
        <v>1.0661</v>
      </c>
      <c r="EE26" s="168">
        <f>'(Bloom Raw Data)'!EF26</f>
        <v>1.1793</v>
      </c>
      <c r="EF26" s="168">
        <f>'(Bloom Raw Data)'!EG26</f>
        <v>1.1364000000000001</v>
      </c>
      <c r="EH26" s="167">
        <f>'(Bloom Raw Data)'!EJ26</f>
        <v>111.2647</v>
      </c>
      <c r="EI26" s="167">
        <f>'(Bloom Raw Data)'!EK26</f>
        <v>40.758000000000003</v>
      </c>
      <c r="EJ26" s="167">
        <f>'(Bloom Raw Data)'!EL26</f>
        <v>20.508500000000002</v>
      </c>
      <c r="EK26" s="167">
        <f>'(Bloom Raw Data)'!EM26</f>
        <v>15.4983</v>
      </c>
      <c r="EL26" s="167">
        <f>'(Bloom Raw Data)'!EN26</f>
        <v>12.122299999999999</v>
      </c>
      <c r="EM26" s="167">
        <f>'(Bloom Raw Data)'!EO26</f>
        <v>11.6631</v>
      </c>
      <c r="EN26" s="167">
        <f>'(Bloom Raw Data)'!EP26</f>
        <v>10.396599999999999</v>
      </c>
      <c r="EO26" s="167">
        <f>'(Bloom Raw Data)'!EQ26</f>
        <v>6.0274999999999999</v>
      </c>
      <c r="EP26" s="167" t="str">
        <f>'(Bloom Raw Data)'!ER26</f>
        <v>#N/A N/A</v>
      </c>
      <c r="EQ26" s="167" t="str">
        <f>'(Bloom Raw Data)'!ES26</f>
        <v>#N/A N/A</v>
      </c>
      <c r="ER26" s="167" t="str">
        <f>'(Bloom Raw Data)'!ET26</f>
        <v>#N/A N/A</v>
      </c>
      <c r="ES26" s="167" t="str">
        <f>'(Bloom Raw Data)'!EU26</f>
        <v>#N/A N/A</v>
      </c>
      <c r="ET26" s="167">
        <f>'(Bloom Raw Data)'!EV26</f>
        <v>7.2107000000000001</v>
      </c>
      <c r="EU26" s="167" t="str">
        <f>'(Bloom Raw Data)'!EW26</f>
        <v>#N/A N/A</v>
      </c>
      <c r="EV26" s="167" t="str">
        <f>'(Bloom Raw Data)'!EX26</f>
        <v>#N/A N/A</v>
      </c>
      <c r="EY26" s="167">
        <f>'(Bloom Raw Data)'!FR26</f>
        <v>83.629400000000004</v>
      </c>
      <c r="EZ26" s="167">
        <f>'(Bloom Raw Data)'!FS26</f>
        <v>76.3</v>
      </c>
      <c r="FA26" s="167">
        <f>'(Bloom Raw Data)'!FT26</f>
        <v>76.099999999999994</v>
      </c>
      <c r="FB26" s="167">
        <f>'(Bloom Raw Data)'!FU26</f>
        <v>93.4</v>
      </c>
      <c r="FC26" s="167">
        <f>'(Bloom Raw Data)'!FV26</f>
        <v>68.5779</v>
      </c>
      <c r="FD26" s="167">
        <f>'(Bloom Raw Data)'!FW26</f>
        <v>100.8</v>
      </c>
      <c r="FE26" s="167">
        <f>'(Bloom Raw Data)'!FX26</f>
        <v>126.142</v>
      </c>
      <c r="FF26" s="167">
        <f>'(Bloom Raw Data)'!FY26</f>
        <v>183</v>
      </c>
      <c r="FG26" s="167">
        <f>'(Bloom Raw Data)'!FZ26</f>
        <v>189.3501</v>
      </c>
      <c r="FH26" s="167">
        <f>'(Bloom Raw Data)'!GA26</f>
        <v>99.9</v>
      </c>
      <c r="FI26" s="167">
        <f>'(Bloom Raw Data)'!GB26</f>
        <v>109</v>
      </c>
      <c r="FJ26" s="167">
        <f>'(Bloom Raw Data)'!GC26</f>
        <v>69</v>
      </c>
      <c r="FK26" s="167">
        <f>'(Bloom Raw Data)'!GD26</f>
        <v>62.418999999999997</v>
      </c>
      <c r="FL26" s="167">
        <f>'(Bloom Raw Data)'!GE26</f>
        <v>32.2956</v>
      </c>
      <c r="FM26" s="167">
        <f>'(Bloom Raw Data)'!GF26</f>
        <v>18.7</v>
      </c>
      <c r="FO26" s="168">
        <f>'(Bloom Raw Data)'!FA26</f>
        <v>0.7419</v>
      </c>
      <c r="FP26" s="168">
        <f>'(Bloom Raw Data)'!FB26</f>
        <v>0.62190000000000001</v>
      </c>
      <c r="FQ26" s="168">
        <f>'(Bloom Raw Data)'!FC26</f>
        <v>0.53069999999999995</v>
      </c>
      <c r="FR26" s="168">
        <f>'(Bloom Raw Data)'!FD26</f>
        <v>0.53810000000000002</v>
      </c>
      <c r="FS26" s="168">
        <f>'(Bloom Raw Data)'!FE26</f>
        <v>0.4945</v>
      </c>
      <c r="FT26" s="168">
        <f>'(Bloom Raw Data)'!FF26</f>
        <v>0.53959999999999997</v>
      </c>
      <c r="FU26" s="168">
        <f>'(Bloom Raw Data)'!FG26</f>
        <v>0.54790000000000005</v>
      </c>
      <c r="FV26" s="168">
        <f>'(Bloom Raw Data)'!FH26</f>
        <v>0.40710000000000002</v>
      </c>
      <c r="FW26" s="168" t="str">
        <f>'(Bloom Raw Data)'!FI26</f>
        <v>#N/A N/A</v>
      </c>
      <c r="FX26" s="168" t="str">
        <f>'(Bloom Raw Data)'!FJ26</f>
        <v>#N/A N/A</v>
      </c>
      <c r="FY26" s="168" t="str">
        <f>'(Bloom Raw Data)'!FK26</f>
        <v>#N/A N/A</v>
      </c>
      <c r="FZ26" s="168" t="str">
        <f>'(Bloom Raw Data)'!FL26</f>
        <v>#N/A N/A</v>
      </c>
      <c r="GA26" s="168">
        <f>'(Bloom Raw Data)'!FM26</f>
        <v>0.495</v>
      </c>
      <c r="GB26" s="168" t="str">
        <f>'(Bloom Raw Data)'!FN26</f>
        <v>#N/A N/A</v>
      </c>
      <c r="GC26" s="168" t="str">
        <f>'(Bloom Raw Data)'!FO26</f>
        <v>#N/A N/A</v>
      </c>
      <c r="GF26" s="167">
        <f>'(Bloom Raw Data)'!GI26</f>
        <v>935.64059999999995</v>
      </c>
      <c r="GG26" s="167">
        <f>'(Bloom Raw Data)'!GJ26</f>
        <v>941.5</v>
      </c>
      <c r="GH26" s="167">
        <f>'(Bloom Raw Data)'!GK26</f>
        <v>953.5</v>
      </c>
      <c r="GI26" s="167">
        <f>'(Bloom Raw Data)'!GL26</f>
        <v>964.3</v>
      </c>
      <c r="GJ26" s="167">
        <f>'(Bloom Raw Data)'!GM26</f>
        <v>975.25199999999995</v>
      </c>
      <c r="GK26" s="167">
        <f>'(Bloom Raw Data)'!GN26</f>
        <v>1001</v>
      </c>
      <c r="GL26" s="167">
        <f>'(Bloom Raw Data)'!GO26</f>
        <v>989.37559999999996</v>
      </c>
      <c r="GM26" s="167">
        <f>'(Bloom Raw Data)'!GP26</f>
        <v>1015.2</v>
      </c>
      <c r="GN26" s="167">
        <f>'(Bloom Raw Data)'!GQ26</f>
        <v>1034.4010000000001</v>
      </c>
      <c r="GO26" s="167">
        <f>'(Bloom Raw Data)'!GR26</f>
        <v>1052.8</v>
      </c>
      <c r="GP26" s="167">
        <f>'(Bloom Raw Data)'!GS26</f>
        <v>1046.9000000000001</v>
      </c>
      <c r="GQ26" s="167">
        <f>'(Bloom Raw Data)'!GT26</f>
        <v>1070</v>
      </c>
      <c r="GR26" s="167">
        <f>'(Bloom Raw Data)'!GU26</f>
        <v>1083.2429999999999</v>
      </c>
      <c r="GS26" s="167">
        <f>'(Bloom Raw Data)'!GV26</f>
        <v>1101.1855</v>
      </c>
      <c r="GT26" s="167">
        <f>'(Bloom Raw Data)'!GW26</f>
        <v>1079.0999999999999</v>
      </c>
      <c r="GV26" s="167">
        <f t="shared" si="17"/>
        <v>175.74945121087666</v>
      </c>
      <c r="GW26" s="167">
        <f t="shared" si="18"/>
        <v>178.14913771660727</v>
      </c>
      <c r="GX26" s="167">
        <f t="shared" si="19"/>
        <v>183.64049381548142</v>
      </c>
      <c r="GY26" s="167">
        <f t="shared" si="20"/>
        <v>187.94473237956484</v>
      </c>
      <c r="GZ26" s="167">
        <f t="shared" si="21"/>
        <v>193.82322788149858</v>
      </c>
      <c r="HA26" s="167">
        <f t="shared" si="22"/>
        <v>201.52072885322633</v>
      </c>
      <c r="HB26" s="167">
        <f t="shared" si="23"/>
        <v>206.51376078914922</v>
      </c>
      <c r="HC26" s="167">
        <f t="shared" si="24"/>
        <v>214.61832939221577</v>
      </c>
      <c r="HD26" s="167">
        <f t="shared" si="25"/>
        <v>241.42565807513023</v>
      </c>
      <c r="HE26" s="167">
        <f t="shared" si="26"/>
        <v>246.22668579626972</v>
      </c>
      <c r="HF26" s="167">
        <f t="shared" si="27"/>
        <v>253.83879509064855</v>
      </c>
      <c r="HG26" s="167">
        <f t="shared" si="28"/>
        <v>262.83582566462167</v>
      </c>
      <c r="HH26" s="167">
        <f t="shared" si="29"/>
        <v>245.89313851483487</v>
      </c>
      <c r="HI26" s="167">
        <f t="shared" si="30"/>
        <v>247.21893597373281</v>
      </c>
      <c r="HJ26" s="167">
        <f t="shared" si="31"/>
        <v>248.01731636383039</v>
      </c>
      <c r="HL26" s="168">
        <f>'(Bloom Raw Data)'!HQ26</f>
        <v>8.6603999999999992</v>
      </c>
      <c r="HM26" s="168">
        <f>'(Bloom Raw Data)'!HR26</f>
        <v>8.9451000000000001</v>
      </c>
      <c r="HN26" s="168">
        <f>'(Bloom Raw Data)'!HS26</f>
        <v>10.679</v>
      </c>
      <c r="HO26" s="168">
        <f>'(Bloom Raw Data)'!HT26</f>
        <v>10.1425</v>
      </c>
      <c r="HP26" s="168">
        <f>'(Bloom Raw Data)'!HU26</f>
        <v>9.3558000000000003</v>
      </c>
      <c r="HQ26" s="168">
        <f>'(Bloom Raw Data)'!HV26</f>
        <v>10.410600000000001</v>
      </c>
      <c r="HR26" s="168">
        <f>'(Bloom Raw Data)'!HW26</f>
        <v>12.5008</v>
      </c>
      <c r="HS26" s="168">
        <f>'(Bloom Raw Data)'!HX26</f>
        <v>13.6037</v>
      </c>
      <c r="HT26" s="168">
        <f>'(Bloom Raw Data)'!HY26</f>
        <v>15.7218</v>
      </c>
      <c r="HU26" s="168">
        <f>'(Bloom Raw Data)'!HZ26</f>
        <v>12.0525</v>
      </c>
      <c r="HV26" s="168">
        <f>'(Bloom Raw Data)'!IA26</f>
        <v>12.172800000000001</v>
      </c>
      <c r="HW26" s="168">
        <f>'(Bloom Raw Data)'!IB26</f>
        <v>10.081899999999999</v>
      </c>
      <c r="HX26" s="168">
        <f>'(Bloom Raw Data)'!IC26</f>
        <v>12.0137</v>
      </c>
      <c r="HY26" s="168">
        <f>'(Bloom Raw Data)'!ID26</f>
        <v>10.7751</v>
      </c>
      <c r="HZ26" s="168">
        <f>'(Bloom Raw Data)'!IE26</f>
        <v>11.8957</v>
      </c>
    </row>
    <row r="27" spans="1:236" s="1096" customFormat="1">
      <c r="A27" s="1096" t="s">
        <v>727</v>
      </c>
      <c r="B27" s="1096" t="s">
        <v>345</v>
      </c>
      <c r="D27" s="1706">
        <f>'(Bloom Raw Data)'!D27</f>
        <v>878.23950000000002</v>
      </c>
      <c r="E27" s="1706">
        <f>'(Bloom Raw Data)'!E27</f>
        <v>806.67930000000001</v>
      </c>
      <c r="F27" s="1706">
        <f>'(Bloom Raw Data)'!F27</f>
        <v>637.53679999999997</v>
      </c>
      <c r="G27" s="1706">
        <f>AVERAGE(F27,H27)</f>
        <v>598.50395000000003</v>
      </c>
      <c r="H27" s="1706">
        <f>'(Bloom Raw Data)'!H27</f>
        <v>559.47109999999998</v>
      </c>
      <c r="I27" s="1706">
        <f>'(Bloom Raw Data)'!I27</f>
        <v>526.94370000000004</v>
      </c>
      <c r="J27" s="1706">
        <f>'(Bloom Raw Data)'!J27</f>
        <v>455.38350000000003</v>
      </c>
      <c r="K27" s="1706">
        <f>'(Bloom Raw Data)'!K27</f>
        <v>400.08690000000001</v>
      </c>
      <c r="L27" s="1706">
        <f>'(Bloom Raw Data)'!L27</f>
        <v>409.71499999999997</v>
      </c>
      <c r="M27" s="1706">
        <f>'(Bloom Raw Data)'!M27</f>
        <v>449.52850000000001</v>
      </c>
      <c r="N27" s="1706">
        <f>'(Bloom Raw Data)'!N27</f>
        <v>396.83420000000001</v>
      </c>
      <c r="O27" s="1706">
        <f>'(Bloom Raw Data)'!O27</f>
        <v>497.73410000000001</v>
      </c>
      <c r="P27" s="1706">
        <f>'(Bloom Raw Data)'!P27</f>
        <v>621.59839999999997</v>
      </c>
      <c r="Q27" s="1706">
        <f>'(Bloom Raw Data)'!Q27</f>
        <v>539.9547</v>
      </c>
      <c r="R27" s="1706">
        <f>104/95.55*P27</f>
        <v>676.56968707482997</v>
      </c>
      <c r="T27" s="1706">
        <f>'(Bloom Raw Data)'!U27</f>
        <v>617.56399999999996</v>
      </c>
      <c r="U27" s="1706">
        <f>'(Bloom Raw Data)'!V27</f>
        <v>621.42999999999995</v>
      </c>
      <c r="V27" s="1706">
        <f>'(Bloom Raw Data)'!W27</f>
        <v>561.19200000000001</v>
      </c>
      <c r="W27" s="1706">
        <f>'(Bloom Raw Data)'!X27</f>
        <v>233.90899999999999</v>
      </c>
      <c r="X27" s="1706">
        <f>'(Bloom Raw Data)'!Y27</f>
        <v>523.62800000000004</v>
      </c>
      <c r="Y27" s="1706">
        <f>'(Bloom Raw Data)'!Z27</f>
        <v>478.834</v>
      </c>
      <c r="Z27" s="1706">
        <f>'(Bloom Raw Data)'!AA27</f>
        <v>443.05200000000002</v>
      </c>
      <c r="AA27" s="1706">
        <f>'(Bloom Raw Data)'!AB27</f>
        <v>392.66300000000001</v>
      </c>
      <c r="AB27" s="1706">
        <f>'(Bloom Raw Data)'!AC27</f>
        <v>399.57600000000002</v>
      </c>
      <c r="AC27" s="1706">
        <f>'(Bloom Raw Data)'!AD27</f>
        <v>357.245</v>
      </c>
      <c r="AD27" s="1706">
        <f>'(Bloom Raw Data)'!AE27</f>
        <v>317.46899999999999</v>
      </c>
      <c r="AE27" s="1706">
        <f>'(Bloom Raw Data)'!AF27</f>
        <v>336.30099999999999</v>
      </c>
      <c r="AF27" s="1706">
        <f>'(Bloom Raw Data)'!AG27</f>
        <v>337.21499999999997</v>
      </c>
      <c r="AG27" s="1706">
        <f>'(Bloom Raw Data)'!AH27</f>
        <v>374.04899999999998</v>
      </c>
      <c r="AH27" s="1706">
        <v>341.60300000000001</v>
      </c>
      <c r="AJ27" s="1706">
        <f>'(Bloom Raw Data)'!AL27</f>
        <v>59.494</v>
      </c>
      <c r="AK27" s="1706">
        <f>'(Bloom Raw Data)'!AP27</f>
        <v>66.087000000000003</v>
      </c>
      <c r="AL27" s="1706">
        <f>AVERAGE(AK27,AM27)</f>
        <v>106.1995</v>
      </c>
      <c r="AM27" s="1706">
        <f>'(Bloom Raw Data)'!AX27</f>
        <v>146.31200000000001</v>
      </c>
      <c r="AO27" s="1707">
        <f>'(Bloom Raw Data)'!BC27</f>
        <v>1.6735</v>
      </c>
      <c r="AP27" s="1707">
        <f>'(Bloom Raw Data)'!BD27</f>
        <v>1.0636000000000001</v>
      </c>
      <c r="AQ27" s="1707">
        <f>'(Bloom Raw Data)'!BE27</f>
        <v>2.4883999999999999</v>
      </c>
      <c r="AR27" s="1707">
        <f>'(Bloom Raw Data)'!BF27</f>
        <v>1.6677999999999999</v>
      </c>
      <c r="AS27" s="1707">
        <f>'(Bloom Raw Data)'!BG27</f>
        <v>29.245999999999999</v>
      </c>
      <c r="AT27" s="1707">
        <f>'(Bloom Raw Data)'!BH27</f>
        <v>4.0086000000000004</v>
      </c>
      <c r="AU27" s="1707">
        <f>'(Bloom Raw Data)'!BI27</f>
        <v>2.8546</v>
      </c>
      <c r="AV27" s="1707">
        <f>'(Bloom Raw Data)'!BJ27</f>
        <v>2.9214000000000002</v>
      </c>
      <c r="AW27" s="1707">
        <f>'(Bloom Raw Data)'!BK27</f>
        <v>-0.38990000000000002</v>
      </c>
      <c r="AX27" s="1707">
        <f>'(Bloom Raw Data)'!BL27</f>
        <v>4.2637999999999998</v>
      </c>
      <c r="AY27" s="1707">
        <f>'(Bloom Raw Data)'!BM27</f>
        <v>3.4512</v>
      </c>
      <c r="AZ27" s="1707">
        <f>'(Bloom Raw Data)'!BN27</f>
        <v>3.8923999999999999</v>
      </c>
      <c r="BA27" s="1707">
        <f>AVERAGE(AZ27,BB27)</f>
        <v>3.64785</v>
      </c>
      <c r="BB27" s="1707">
        <f>'(Bloom Raw Data)'!BP27</f>
        <v>3.4032999999999998</v>
      </c>
      <c r="BC27" s="1707" t="str">
        <f>'(Bloom Raw Data)'!BQ27</f>
        <v>#N/A N/A</v>
      </c>
      <c r="BE27" s="1707">
        <f>'(Bloom Raw Data)'!BT27</f>
        <v>2.2271999999999998</v>
      </c>
      <c r="BF27" s="1707">
        <f>'(Bloom Raw Data)'!BU27</f>
        <v>2.2827999999999999</v>
      </c>
      <c r="BG27" s="1707">
        <f>'(Bloom Raw Data)'!BV27</f>
        <v>2.0785999999999998</v>
      </c>
      <c r="BH27" s="1707">
        <f>'(Bloom Raw Data)'!BW27</f>
        <v>0.88419999999999999</v>
      </c>
      <c r="BI27" s="1707">
        <f>'(Bloom Raw Data)'!BX27</f>
        <v>1.8380000000000001</v>
      </c>
      <c r="BJ27" s="1707">
        <f>'(Bloom Raw Data)'!BY27</f>
        <v>1.6411</v>
      </c>
      <c r="BK27" s="1707">
        <f>'(Bloom Raw Data)'!BZ27</f>
        <v>1.5246</v>
      </c>
      <c r="BL27" s="1707">
        <f>'(Bloom Raw Data)'!CA27</f>
        <v>1.3210999999999999</v>
      </c>
      <c r="BM27" s="1707">
        <f>'(Bloom Raw Data)'!CB27</f>
        <v>1.5941000000000001</v>
      </c>
      <c r="BN27" s="1707">
        <f>'(Bloom Raw Data)'!CC27</f>
        <v>1.4478</v>
      </c>
      <c r="BO27" s="1707">
        <f>'(Bloom Raw Data)'!CD27</f>
        <v>1.3004</v>
      </c>
      <c r="BP27" s="1707">
        <f>'(Bloom Raw Data)'!CE27</f>
        <v>1.4116</v>
      </c>
      <c r="BQ27" s="1707">
        <f>'(Bloom Raw Data)'!CF27</f>
        <v>1.4786999999999999</v>
      </c>
      <c r="BR27" s="1707">
        <f>'(Bloom Raw Data)'!CG27</f>
        <v>1.6193</v>
      </c>
      <c r="BS27" s="1707">
        <f>BR27</f>
        <v>1.6193</v>
      </c>
      <c r="BU27" s="1706">
        <f>'(Bloom Raw Data)'!CK27</f>
        <v>1495.8035</v>
      </c>
      <c r="BV27" s="1706">
        <f>'(Bloom Raw Data)'!CL27</f>
        <v>1428.1093000000001</v>
      </c>
      <c r="BW27" s="1706">
        <f>'(Bloom Raw Data)'!CM27</f>
        <v>1198.7288000000001</v>
      </c>
      <c r="BX27" s="1706">
        <f>'(Bloom Raw Data)'!CN27</f>
        <v>817.38530000000003</v>
      </c>
      <c r="BY27" s="1706">
        <f>'(Bloom Raw Data)'!CO27</f>
        <v>1083.0990999999999</v>
      </c>
      <c r="BZ27" s="1706">
        <f>'(Bloom Raw Data)'!CP27</f>
        <v>1005.7777</v>
      </c>
      <c r="CA27" s="1706">
        <f>'(Bloom Raw Data)'!CQ27</f>
        <v>898.43550000000005</v>
      </c>
      <c r="CB27" s="1706">
        <f>'(Bloom Raw Data)'!CR27</f>
        <v>792.74990000000003</v>
      </c>
      <c r="CC27" s="1706">
        <f>'(Bloom Raw Data)'!CS27</f>
        <v>809.29100000000005</v>
      </c>
      <c r="CD27" s="1706">
        <f>'(Bloom Raw Data)'!CT27</f>
        <v>806.77350000000001</v>
      </c>
      <c r="CE27" s="1706">
        <f>'(Bloom Raw Data)'!CU27</f>
        <v>714.30319999999995</v>
      </c>
      <c r="CF27" s="1706">
        <f>'(Bloom Raw Data)'!CV27</f>
        <v>834.03510000000006</v>
      </c>
      <c r="CG27" s="1706">
        <f>'(Bloom Raw Data)'!CW27</f>
        <v>958.8134</v>
      </c>
      <c r="CH27" s="1706">
        <f>'(Bloom Raw Data)'!CX27</f>
        <v>914.00369999999998</v>
      </c>
      <c r="CI27" s="1706">
        <f>CH27+(R27-Q27)+(AH27-AG27)</f>
        <v>1018.17268707483</v>
      </c>
      <c r="CK27" s="1706">
        <f t="shared" si="2"/>
        <v>0</v>
      </c>
      <c r="CL27" s="1706">
        <f t="shared" si="3"/>
        <v>0</v>
      </c>
      <c r="CM27" s="1706">
        <f t="shared" si="4"/>
        <v>0</v>
      </c>
      <c r="CN27" s="1706">
        <f t="shared" si="5"/>
        <v>-15.027649999999994</v>
      </c>
      <c r="CO27" s="1706">
        <f t="shared" si="6"/>
        <v>0</v>
      </c>
      <c r="CP27" s="1706">
        <f t="shared" si="7"/>
        <v>0</v>
      </c>
      <c r="CQ27" s="1706">
        <f t="shared" si="8"/>
        <v>0</v>
      </c>
      <c r="CR27" s="1706">
        <f t="shared" si="9"/>
        <v>0</v>
      </c>
      <c r="CS27" s="1706">
        <f t="shared" si="10"/>
        <v>0</v>
      </c>
      <c r="CT27" s="1706">
        <f t="shared" si="11"/>
        <v>0</v>
      </c>
      <c r="CU27" s="1706">
        <f t="shared" si="12"/>
        <v>0</v>
      </c>
      <c r="CV27" s="1706">
        <f t="shared" si="13"/>
        <v>0</v>
      </c>
      <c r="CW27" s="1706">
        <f t="shared" si="14"/>
        <v>0</v>
      </c>
      <c r="CX27" s="1706">
        <f t="shared" si="15"/>
        <v>0</v>
      </c>
      <c r="CY27" s="1706">
        <f t="shared" si="16"/>
        <v>0</v>
      </c>
      <c r="DA27" s="1707">
        <f>'(Bloom Raw Data)'!DB27</f>
        <v>5.3945999999999996</v>
      </c>
      <c r="DB27" s="1707">
        <f>'(Bloom Raw Data)'!DC27</f>
        <v>5.2461000000000002</v>
      </c>
      <c r="DC27" s="1707">
        <f>'(Bloom Raw Data)'!DD27</f>
        <v>4.4398999999999997</v>
      </c>
      <c r="DD27" s="1707">
        <f>'(Bloom Raw Data)'!DE27</f>
        <v>3.0899000000000001</v>
      </c>
      <c r="DE27" s="1707">
        <f>'(Bloom Raw Data)'!DF27</f>
        <v>3.8018000000000001</v>
      </c>
      <c r="DF27" s="1707">
        <f>'(Bloom Raw Data)'!DG27</f>
        <v>3.4470000000000001</v>
      </c>
      <c r="DG27" s="1707">
        <f>'(Bloom Raw Data)'!DH27</f>
        <v>3.0916000000000001</v>
      </c>
      <c r="DH27" s="1707">
        <f>'(Bloom Raw Data)'!DI27</f>
        <v>2.6672000000000002</v>
      </c>
      <c r="DI27" s="1707">
        <f>'(Bloom Raw Data)'!DJ27</f>
        <v>3.2286999999999999</v>
      </c>
      <c r="DJ27" s="1707">
        <f>'(Bloom Raw Data)'!DK27</f>
        <v>3.2694999999999999</v>
      </c>
      <c r="DK27" s="1707">
        <f>'(Bloom Raw Data)'!DL27</f>
        <v>2.9258999999999999</v>
      </c>
      <c r="DL27" s="1707">
        <f>'(Bloom Raw Data)'!DM27</f>
        <v>3.5007000000000001</v>
      </c>
      <c r="DM27" s="1707">
        <f>'(Bloom Raw Data)'!DN27</f>
        <v>4.0498000000000003</v>
      </c>
      <c r="DN27" s="1707">
        <f>'(Bloom Raw Data)'!DO27</f>
        <v>3.9569999999999999</v>
      </c>
      <c r="DO27" s="1707">
        <f>DN27</f>
        <v>3.9569999999999999</v>
      </c>
      <c r="DR27" s="1707">
        <f>'(Bloom Raw Data)'!DS27</f>
        <v>1.7648999999999999</v>
      </c>
      <c r="DS27" s="1707">
        <f>'(Bloom Raw Data)'!DT27</f>
        <v>1.6725000000000001</v>
      </c>
      <c r="DT27" s="1707">
        <f>'(Bloom Raw Data)'!DU27</f>
        <v>1.4028</v>
      </c>
      <c r="DU27" s="1707">
        <f>'(Bloom Raw Data)'!DV27</f>
        <v>0.96450000000000002</v>
      </c>
      <c r="DV27" s="1707">
        <f>'(Bloom Raw Data)'!DW27</f>
        <v>1.2904</v>
      </c>
      <c r="DW27" s="1707">
        <f>'(Bloom Raw Data)'!DX27</f>
        <v>1.2109000000000001</v>
      </c>
      <c r="DX27" s="1707">
        <f>'(Bloom Raw Data)'!DY27</f>
        <v>1.0904</v>
      </c>
      <c r="DY27" s="1707">
        <f>'(Bloom Raw Data)'!DZ27</f>
        <v>0.96389999999999998</v>
      </c>
      <c r="DZ27" s="1707">
        <f>'(Bloom Raw Data)'!EA27</f>
        <v>0.9929</v>
      </c>
      <c r="EA27" s="1707">
        <f>'(Bloom Raw Data)'!EB27</f>
        <v>0.99219999999999997</v>
      </c>
      <c r="EB27" s="1707">
        <f>'(Bloom Raw Data)'!EC27</f>
        <v>0.88700000000000001</v>
      </c>
      <c r="EC27" s="1707">
        <f>'(Bloom Raw Data)'!ED27</f>
        <v>1.054</v>
      </c>
      <c r="ED27" s="1707">
        <f>'(Bloom Raw Data)'!EE27</f>
        <v>1.2212000000000001</v>
      </c>
      <c r="EE27" s="1707">
        <f>'(Bloom Raw Data)'!EF27</f>
        <v>1.1726000000000001</v>
      </c>
      <c r="EF27" s="1707">
        <f>CI27/(382+785-388)</f>
        <v>1.3070252722398332</v>
      </c>
      <c r="EH27" s="1706" t="str">
        <f>'(Bloom Raw Data)'!EJ27</f>
        <v>#N/A N/A</v>
      </c>
      <c r="EI27" s="1706">
        <f>'(Bloom Raw Data)'!EK27</f>
        <v>54.479599999999998</v>
      </c>
      <c r="EJ27" s="1706">
        <f>'(Bloom Raw Data)'!EL27</f>
        <v>125.79649999999999</v>
      </c>
      <c r="EK27" s="1706" t="str">
        <f>'(Bloom Raw Data)'!EM27</f>
        <v>#N/A N/A</v>
      </c>
      <c r="EL27" s="1706" t="str">
        <f>'(Bloom Raw Data)'!EN27</f>
        <v>#N/A N/A</v>
      </c>
      <c r="EM27" s="1706" t="str">
        <f>'(Bloom Raw Data)'!EO27</f>
        <v>#N/A N/A</v>
      </c>
      <c r="EN27" s="1706" t="str">
        <f>'(Bloom Raw Data)'!EP27</f>
        <v>#N/A N/A</v>
      </c>
      <c r="EO27" s="1706" t="str">
        <f>'(Bloom Raw Data)'!EQ27</f>
        <v>#N/A N/A</v>
      </c>
      <c r="EP27" s="1706" t="str">
        <f>'(Bloom Raw Data)'!ER27</f>
        <v>#N/A N/A</v>
      </c>
      <c r="EQ27" s="1706" t="str">
        <f>'(Bloom Raw Data)'!ES27</f>
        <v>#N/A N/A</v>
      </c>
      <c r="ER27" s="1706" t="str">
        <f>'(Bloom Raw Data)'!ET27</f>
        <v>#N/A N/A</v>
      </c>
      <c r="ES27" s="1706" t="str">
        <f>'(Bloom Raw Data)'!EU27</f>
        <v>#N/A N/A</v>
      </c>
      <c r="ET27" s="1706" t="str">
        <f>'(Bloom Raw Data)'!EV27</f>
        <v>#N/A N/A</v>
      </c>
      <c r="EU27" s="1706" t="str">
        <f>'(Bloom Raw Data)'!EW27</f>
        <v>#N/A N/A</v>
      </c>
      <c r="EV27" s="1706" t="str">
        <f>'(Bloom Raw Data)'!EX27</f>
        <v>#N/A N/A</v>
      </c>
      <c r="EY27" s="1706">
        <f>'(Bloom Raw Data)'!FR27</f>
        <v>21.21</v>
      </c>
      <c r="EZ27" s="1706">
        <f>'(Bloom Raw Data)'!FS27</f>
        <v>10.177</v>
      </c>
      <c r="FA27" s="1706">
        <f>'(Bloom Raw Data)'!FT27</f>
        <v>43.780999999999999</v>
      </c>
      <c r="FB27" s="1706">
        <f>'(Bloom Raw Data)'!FU27</f>
        <v>36.402000000000001</v>
      </c>
      <c r="FC27" s="1706">
        <f>'(Bloom Raw Data)'!FV27</f>
        <v>46.725999999999999</v>
      </c>
      <c r="FD27" s="1706">
        <f>'(Bloom Raw Data)'!FW27</f>
        <v>41.994999999999997</v>
      </c>
      <c r="FE27" s="1706">
        <f>'(Bloom Raw Data)'!FX27</f>
        <v>62.015999999999998</v>
      </c>
      <c r="FF27" s="1706">
        <f>'(Bloom Raw Data)'!FY27</f>
        <v>62.534999999999997</v>
      </c>
      <c r="FG27" s="1706">
        <f>'(Bloom Raw Data)'!FZ27</f>
        <v>61.265000000000001</v>
      </c>
      <c r="FH27" s="1706">
        <f>'(Bloom Raw Data)'!GA27</f>
        <v>23.632000000000001</v>
      </c>
      <c r="FI27" s="1706">
        <f>'(Bloom Raw Data)'!GB27</f>
        <v>50.41</v>
      </c>
      <c r="FJ27" s="1706">
        <f>'(Bloom Raw Data)'!GC27</f>
        <v>37.731999999999999</v>
      </c>
      <c r="FK27" s="1706">
        <f>'(Bloom Raw Data)'!GD27</f>
        <v>44.073999999999998</v>
      </c>
      <c r="FL27" s="1706">
        <f>'(Bloom Raw Data)'!GE27</f>
        <v>55.313000000000002</v>
      </c>
      <c r="FM27" s="1706">
        <f>FL27</f>
        <v>55.313000000000002</v>
      </c>
      <c r="FO27" s="1707" t="str">
        <f>'(Bloom Raw Data)'!FA27</f>
        <v>#N/A N/A</v>
      </c>
      <c r="FP27" s="1707">
        <f>'(Bloom Raw Data)'!FB27</f>
        <v>0.77990000000000004</v>
      </c>
      <c r="FQ27" s="1707">
        <f>'(Bloom Raw Data)'!FC27</f>
        <v>0.61350000000000005</v>
      </c>
      <c r="FR27" s="1707">
        <f>'(Bloom Raw Data)'!FD27</f>
        <v>0.57099999999999995</v>
      </c>
      <c r="FS27" s="1707" t="str">
        <f>'(Bloom Raw Data)'!FE27</f>
        <v>#N/A N/A</v>
      </c>
      <c r="FT27" s="1707">
        <f>'(Bloom Raw Data)'!FF27</f>
        <v>0.64349999999999996</v>
      </c>
      <c r="FU27" s="1707">
        <f>'(Bloom Raw Data)'!FG27</f>
        <v>0.54879999999999995</v>
      </c>
      <c r="FV27" s="1707">
        <f>'(Bloom Raw Data)'!FH27</f>
        <v>0.48759999999999998</v>
      </c>
      <c r="FW27" s="1707" t="str">
        <f>'(Bloom Raw Data)'!FI27</f>
        <v>#N/A N/A</v>
      </c>
      <c r="FX27" s="1707" t="str">
        <f>'(Bloom Raw Data)'!FJ27</f>
        <v>#N/A N/A</v>
      </c>
      <c r="FY27" s="1707" t="str">
        <f>'(Bloom Raw Data)'!FK27</f>
        <v>#N/A N/A</v>
      </c>
      <c r="FZ27" s="1707" t="str">
        <f>'(Bloom Raw Data)'!FL27</f>
        <v>#N/A N/A</v>
      </c>
      <c r="GA27" s="1707" t="str">
        <f>'(Bloom Raw Data)'!FM27</f>
        <v>#N/A N/A</v>
      </c>
      <c r="GB27" s="1707" t="str">
        <f>'(Bloom Raw Data)'!FN27</f>
        <v>#N/A N/A</v>
      </c>
      <c r="GC27" s="1707" t="str">
        <f>'(Bloom Raw Data)'!FO27</f>
        <v>#N/A N/A</v>
      </c>
      <c r="GF27" s="1706">
        <f>'(Bloom Raw Data)'!GI27</f>
        <v>1001.566</v>
      </c>
      <c r="GG27" s="1706">
        <f>'(Bloom Raw Data)'!GJ27</f>
        <v>1034.377</v>
      </c>
      <c r="GH27" s="1706">
        <f>'(Bloom Raw Data)'!GK27</f>
        <v>1039.26</v>
      </c>
      <c r="GI27" s="1706">
        <f>'(Bloom Raw Data)'!GL27</f>
        <v>1021.796</v>
      </c>
      <c r="GJ27" s="1706">
        <f>'(Bloom Raw Data)'!GM27</f>
        <v>807.81200000000001</v>
      </c>
      <c r="GK27" s="1706">
        <f>'(Bloom Raw Data)'!GN27</f>
        <v>818.87099999999998</v>
      </c>
      <c r="GL27" s="1706">
        <f>'(Bloom Raw Data)'!GO27</f>
        <v>829.74199999999996</v>
      </c>
      <c r="GM27" s="1706">
        <f>'(Bloom Raw Data)'!GP27</f>
        <v>820.47900000000004</v>
      </c>
      <c r="GN27" s="1706">
        <f>'(Bloom Raw Data)'!GQ27</f>
        <v>815.27499999999998</v>
      </c>
      <c r="GO27" s="1706">
        <f>'(Bloom Raw Data)'!GR27</f>
        <v>831.09400000000005</v>
      </c>
      <c r="GP27" s="1706">
        <f>'(Bloom Raw Data)'!GS27</f>
        <v>799.09199999999998</v>
      </c>
      <c r="GQ27" s="1706">
        <f>'(Bloom Raw Data)'!GT27</f>
        <v>812.60900000000004</v>
      </c>
      <c r="GR27" s="1706">
        <f>'(Bloom Raw Data)'!GU27</f>
        <v>814.71699999999998</v>
      </c>
      <c r="GS27" s="1706">
        <f>'(Bloom Raw Data)'!GV27</f>
        <v>804.07899999999995</v>
      </c>
      <c r="GT27" s="1706">
        <f>GS27</f>
        <v>804.07899999999995</v>
      </c>
      <c r="GV27" s="1706">
        <f t="shared" si="17"/>
        <v>277.27792607422236</v>
      </c>
      <c r="GW27" s="1706">
        <f t="shared" si="18"/>
        <v>272.22304187872896</v>
      </c>
      <c r="GX27" s="1706">
        <f t="shared" si="19"/>
        <v>269.99004482082933</v>
      </c>
      <c r="GY27" s="1706">
        <f t="shared" si="20"/>
        <v>264.53454804362599</v>
      </c>
      <c r="GZ27" s="1706">
        <f t="shared" si="21"/>
        <v>284.89113051712343</v>
      </c>
      <c r="HA27" s="1706">
        <f t="shared" si="22"/>
        <v>291.78349289237019</v>
      </c>
      <c r="HB27" s="1706">
        <f t="shared" si="23"/>
        <v>290.60534998059256</v>
      </c>
      <c r="HC27" s="1706">
        <f t="shared" si="24"/>
        <v>297.22176814637072</v>
      </c>
      <c r="HD27" s="1706">
        <f t="shared" si="25"/>
        <v>250.65537213119833</v>
      </c>
      <c r="HE27" s="1706">
        <f t="shared" si="26"/>
        <v>246.75745526838969</v>
      </c>
      <c r="HF27" s="1706">
        <f t="shared" si="27"/>
        <v>244.13110495915785</v>
      </c>
      <c r="HG27" s="1706">
        <f t="shared" si="28"/>
        <v>238.24809323849516</v>
      </c>
      <c r="HH27" s="1706">
        <f t="shared" si="29"/>
        <v>236.7557410242481</v>
      </c>
      <c r="HI27" s="1706">
        <f t="shared" si="30"/>
        <v>230.98400303260047</v>
      </c>
      <c r="HJ27" s="1706">
        <f t="shared" si="31"/>
        <v>257.30924616498106</v>
      </c>
      <c r="HL27" s="1707">
        <f>'(Bloom Raw Data)'!HQ27</f>
        <v>6.0853000000000002</v>
      </c>
      <c r="HM27" s="1707">
        <f>'(Bloom Raw Data)'!HR27</f>
        <v>5.8943000000000003</v>
      </c>
      <c r="HN27" s="1707">
        <f>'(Bloom Raw Data)'!HS27</f>
        <v>6.2850999999999999</v>
      </c>
      <c r="HO27" s="1707">
        <f>'(Bloom Raw Data)'!HT27</f>
        <v>9.8435000000000006</v>
      </c>
      <c r="HP27" s="1707">
        <f>'(Bloom Raw Data)'!HU27</f>
        <v>6.6367000000000003</v>
      </c>
      <c r="HQ27" s="1707">
        <f>'(Bloom Raw Data)'!HV27</f>
        <v>6.2824999999999998</v>
      </c>
      <c r="HR27" s="1707">
        <f>'(Bloom Raw Data)'!HW27</f>
        <v>6.0678000000000001</v>
      </c>
      <c r="HS27" s="1707">
        <f>'(Bloom Raw Data)'!HX27</f>
        <v>5.6652000000000005</v>
      </c>
      <c r="HT27" s="1707">
        <f>'(Bloom Raw Data)'!HY27</f>
        <v>7.8646000000000003</v>
      </c>
      <c r="HU27" s="1707">
        <f>'(Bloom Raw Data)'!HZ27</f>
        <v>10.9094</v>
      </c>
      <c r="HV27" s="1707">
        <f>'(Bloom Raw Data)'!IA27</f>
        <v>8.6117000000000008</v>
      </c>
      <c r="HW27" s="1707">
        <f>'(Bloom Raw Data)'!IB27</f>
        <v>6.3845999999999998</v>
      </c>
      <c r="HX27" s="1707">
        <f>'(Bloom Raw Data)'!IC27</f>
        <v>10.125500000000001</v>
      </c>
      <c r="HY27" s="1707">
        <f>'(Bloom Raw Data)'!ID27</f>
        <v>9.4055999999999997</v>
      </c>
      <c r="HZ27" s="1707">
        <f>HY27</f>
        <v>9.4055999999999997</v>
      </c>
      <c r="IB27" s="2381"/>
    </row>
    <row r="28" spans="1:236">
      <c r="D28" s="167"/>
      <c r="E28" s="167"/>
      <c r="F28" s="167"/>
      <c r="G28" s="127"/>
      <c r="H28" s="167"/>
      <c r="I28" s="167"/>
      <c r="J28" s="167"/>
      <c r="K28" s="167"/>
      <c r="L28" s="167"/>
      <c r="M28" s="167"/>
      <c r="N28" s="167"/>
      <c r="O28" s="167"/>
      <c r="P28" s="167"/>
      <c r="Q28" s="167"/>
      <c r="R28" s="167"/>
      <c r="T28" s="167"/>
      <c r="U28" s="167"/>
      <c r="V28" s="167"/>
      <c r="W28" s="167"/>
      <c r="X28" s="167"/>
      <c r="Y28" s="167"/>
      <c r="Z28" s="167"/>
      <c r="AA28" s="167"/>
      <c r="AB28" s="167"/>
      <c r="AC28" s="167"/>
      <c r="AD28" s="167"/>
      <c r="AE28" s="167"/>
      <c r="AF28" s="167"/>
      <c r="AG28" s="167"/>
      <c r="AH28" s="167"/>
      <c r="BU28" s="167"/>
      <c r="BV28" s="167"/>
      <c r="BW28" s="167"/>
      <c r="BX28" s="167"/>
      <c r="BY28" s="167"/>
      <c r="BZ28" s="167"/>
      <c r="CA28" s="167"/>
      <c r="CB28" s="167"/>
      <c r="CC28" s="167"/>
      <c r="CD28" s="167"/>
      <c r="CE28" s="167"/>
      <c r="CF28" s="167"/>
      <c r="CG28" s="167"/>
      <c r="CH28" s="167"/>
      <c r="CI28" s="167"/>
      <c r="DA28" s="168"/>
      <c r="DB28" s="168"/>
      <c r="DC28" s="168"/>
      <c r="DD28" s="168"/>
      <c r="DE28" s="168"/>
      <c r="DF28" s="168"/>
      <c r="DG28" s="168"/>
      <c r="DH28" s="168"/>
      <c r="DI28" s="168"/>
      <c r="DJ28" s="168"/>
      <c r="DK28" s="168"/>
      <c r="DL28" s="168"/>
      <c r="DM28" s="168"/>
      <c r="DN28" s="168"/>
      <c r="DO28" s="168"/>
    </row>
    <row r="29" spans="1:236">
      <c r="A29" s="14" t="s">
        <v>2553</v>
      </c>
      <c r="D29" s="174">
        <f>D7/SUM(D$7:D$9)</f>
        <v>0.61638316120266612</v>
      </c>
      <c r="E29" s="174">
        <f t="shared" ref="E29:R29" si="32">E7/SUM(E$7:E$9)</f>
        <v>0.638506286766233</v>
      </c>
      <c r="F29" s="174">
        <f t="shared" si="32"/>
        <v>0.63440283643052131</v>
      </c>
      <c r="G29" s="174">
        <f t="shared" si="32"/>
        <v>0.63654477867347026</v>
      </c>
      <c r="H29" s="174">
        <f t="shared" si="32"/>
        <v>0.56472707702419445</v>
      </c>
      <c r="I29" s="174">
        <f t="shared" si="32"/>
        <v>0.56498148620483279</v>
      </c>
      <c r="J29" s="174">
        <f t="shared" si="32"/>
        <v>0.54854825568913801</v>
      </c>
      <c r="K29" s="174">
        <f t="shared" si="32"/>
        <v>0.56447600638170314</v>
      </c>
      <c r="L29" s="174">
        <f t="shared" si="32"/>
        <v>0.57131239177672144</v>
      </c>
      <c r="M29" s="174">
        <f t="shared" si="32"/>
        <v>0.59463642468482714</v>
      </c>
      <c r="N29" s="174">
        <f t="shared" si="32"/>
        <v>0.57799888371467389</v>
      </c>
      <c r="O29" s="174">
        <f t="shared" si="32"/>
        <v>0.60048971759819481</v>
      </c>
      <c r="P29" s="174">
        <f t="shared" si="32"/>
        <v>0.57583033792904925</v>
      </c>
      <c r="Q29" s="174">
        <f t="shared" si="32"/>
        <v>0.54608243801350065</v>
      </c>
      <c r="R29" s="174">
        <f t="shared" si="32"/>
        <v>0.53768511763028759</v>
      </c>
      <c r="AC29" s="1781"/>
      <c r="AD29" s="1781"/>
      <c r="AE29" s="1781"/>
      <c r="AF29" s="1781"/>
      <c r="AJ29" s="14" t="s">
        <v>2557</v>
      </c>
      <c r="AO29" s="11" t="s">
        <v>2556</v>
      </c>
      <c r="DA29" s="11" t="s">
        <v>710</v>
      </c>
      <c r="DM29" s="455"/>
      <c r="DO29" s="174"/>
      <c r="DR29" s="11" t="s">
        <v>724</v>
      </c>
      <c r="EH29" s="11" t="s">
        <v>1056</v>
      </c>
      <c r="GV29" s="11" t="s">
        <v>2559</v>
      </c>
      <c r="HL29" s="11" t="s">
        <v>2560</v>
      </c>
    </row>
    <row r="30" spans="1:236">
      <c r="A30" s="14" t="s">
        <v>77</v>
      </c>
      <c r="D30" s="174">
        <f t="shared" ref="D30:R31" si="33">D8/SUM(D$7:D$9)</f>
        <v>0.21613243801490237</v>
      </c>
      <c r="E30" s="174">
        <f t="shared" si="33"/>
        <v>0.18929722060466381</v>
      </c>
      <c r="F30" s="174">
        <f t="shared" si="33"/>
        <v>0.19001366499518801</v>
      </c>
      <c r="G30" s="174">
        <f t="shared" si="33"/>
        <v>0.1820249926905716</v>
      </c>
      <c r="H30" s="174">
        <f t="shared" si="33"/>
        <v>0.20354566252065345</v>
      </c>
      <c r="I30" s="174">
        <f t="shared" si="33"/>
        <v>0.19463576945885575</v>
      </c>
      <c r="J30" s="174">
        <f t="shared" si="33"/>
        <v>0.20741504351591769</v>
      </c>
      <c r="K30" s="174">
        <f t="shared" si="33"/>
        <v>0.20537036600463671</v>
      </c>
      <c r="L30" s="174">
        <f t="shared" si="33"/>
        <v>0.18030058030986698</v>
      </c>
      <c r="M30" s="174">
        <f t="shared" si="33"/>
        <v>0.14789381052531336</v>
      </c>
      <c r="N30" s="174">
        <f t="shared" si="33"/>
        <v>0.12357403139220469</v>
      </c>
      <c r="O30" s="174">
        <f t="shared" si="33"/>
        <v>0.10421963021196134</v>
      </c>
      <c r="P30" s="174">
        <f t="shared" si="33"/>
        <v>9.4800570041951193E-2</v>
      </c>
      <c r="Q30" s="174">
        <f t="shared" si="33"/>
        <v>8.8462225328730937E-2</v>
      </c>
      <c r="R30" s="174">
        <f t="shared" si="33"/>
        <v>8.8622352669249366E-2</v>
      </c>
      <c r="AC30" s="1782"/>
      <c r="AD30" s="1782"/>
      <c r="AE30" s="1782"/>
      <c r="AF30" s="1782"/>
      <c r="DA30" s="126" t="s">
        <v>759</v>
      </c>
      <c r="DE30" s="457"/>
      <c r="DF30" s="23" t="s">
        <v>716</v>
      </c>
      <c r="DG30" s="490" t="s">
        <v>713</v>
      </c>
      <c r="DH30" s="490" t="s">
        <v>714</v>
      </c>
      <c r="DI30" s="491" t="s">
        <v>715</v>
      </c>
      <c r="DJ30" s="491" t="s">
        <v>717</v>
      </c>
      <c r="DK30" s="490" t="s">
        <v>720</v>
      </c>
      <c r="DL30" s="490" t="s">
        <v>721</v>
      </c>
      <c r="DM30" s="491" t="s">
        <v>722</v>
      </c>
      <c r="DN30" s="491" t="s">
        <v>723</v>
      </c>
      <c r="EI30" s="126"/>
      <c r="EJ30" s="126"/>
      <c r="EK30" s="126"/>
      <c r="EL30" s="126"/>
      <c r="EM30" s="126"/>
      <c r="EN30" s="126"/>
      <c r="EO30" s="126"/>
      <c r="EP30" s="126"/>
    </row>
    <row r="31" spans="1:236">
      <c r="A31" s="126" t="s">
        <v>78</v>
      </c>
      <c r="B31" s="126"/>
      <c r="D31" s="174">
        <f t="shared" si="33"/>
        <v>0.16748440078243151</v>
      </c>
      <c r="E31" s="174">
        <f t="shared" si="33"/>
        <v>0.17219649262910328</v>
      </c>
      <c r="F31" s="174">
        <f t="shared" si="33"/>
        <v>0.17558349857429062</v>
      </c>
      <c r="G31" s="174">
        <f t="shared" si="33"/>
        <v>0.18143022863595823</v>
      </c>
      <c r="H31" s="174">
        <f t="shared" si="33"/>
        <v>0.23172726045515207</v>
      </c>
      <c r="I31" s="174">
        <f t="shared" si="33"/>
        <v>0.24038274433631152</v>
      </c>
      <c r="J31" s="174">
        <f t="shared" si="33"/>
        <v>0.24403670079494427</v>
      </c>
      <c r="K31" s="174">
        <f t="shared" si="33"/>
        <v>0.23015362761366021</v>
      </c>
      <c r="L31" s="174">
        <f t="shared" si="33"/>
        <v>0.24838702791341161</v>
      </c>
      <c r="M31" s="174">
        <f t="shared" si="33"/>
        <v>0.25746976478985945</v>
      </c>
      <c r="N31" s="174">
        <f t="shared" si="33"/>
        <v>0.29842708489312131</v>
      </c>
      <c r="O31" s="174">
        <f t="shared" si="33"/>
        <v>0.29529065218984385</v>
      </c>
      <c r="P31" s="174">
        <f t="shared" si="33"/>
        <v>0.32936909202899967</v>
      </c>
      <c r="Q31" s="174">
        <f t="shared" si="33"/>
        <v>0.36545533665776836</v>
      </c>
      <c r="R31" s="174">
        <f t="shared" si="33"/>
        <v>0.37369252970046302</v>
      </c>
      <c r="AJ31" s="126" t="s">
        <v>2558</v>
      </c>
      <c r="BE31" s="3089" t="s">
        <v>2554</v>
      </c>
      <c r="DA31" s="544">
        <f>SUM(DG31:DJ31)</f>
        <v>2502.1000000000004</v>
      </c>
      <c r="DB31" s="127">
        <f>DH31+DI31+DJ31+DK32</f>
        <v>2276.6</v>
      </c>
      <c r="DC31" s="127">
        <f>DI31+DJ31+DK32+DL32</f>
        <v>2051.9</v>
      </c>
      <c r="DD31" s="127">
        <f>DJ31+DK32+DL32+DM32</f>
        <v>1777</v>
      </c>
      <c r="DE31" s="544">
        <f>SUM(DK32:DN32)</f>
        <v>1491.4</v>
      </c>
      <c r="DG31" s="457">
        <v>602.5</v>
      </c>
      <c r="DH31" s="457">
        <v>594.9</v>
      </c>
      <c r="DI31" s="458">
        <v>656.7</v>
      </c>
      <c r="DJ31" s="458">
        <v>648</v>
      </c>
      <c r="DK31" s="23" t="s">
        <v>719</v>
      </c>
      <c r="EI31" s="126"/>
      <c r="EJ31" s="126"/>
      <c r="EK31" s="126"/>
      <c r="EL31" s="126"/>
      <c r="EM31" s="126"/>
      <c r="EN31" s="126"/>
      <c r="EO31" s="126"/>
      <c r="EP31" s="126"/>
    </row>
    <row r="32" spans="1:236">
      <c r="A32" s="126" t="s">
        <v>453</v>
      </c>
      <c r="B32" s="126"/>
      <c r="AJ32" s="126" t="s">
        <v>2571</v>
      </c>
      <c r="DA32" s="126" t="s">
        <v>2555</v>
      </c>
      <c r="DI32" s="23" t="s">
        <v>718</v>
      </c>
      <c r="DJ32" s="457">
        <v>379.8</v>
      </c>
      <c r="DK32" s="457">
        <v>377</v>
      </c>
      <c r="DL32" s="457">
        <v>370.2</v>
      </c>
      <c r="DM32" s="457">
        <v>381.8</v>
      </c>
      <c r="DN32" s="457">
        <v>362.4</v>
      </c>
      <c r="EI32" s="126"/>
      <c r="EJ32" s="126"/>
      <c r="EK32" s="126"/>
      <c r="EL32" s="126"/>
      <c r="EM32" s="126"/>
      <c r="EN32" s="126"/>
      <c r="EO32" s="126"/>
      <c r="EP32" s="126"/>
    </row>
    <row r="33" spans="1:236">
      <c r="A33" s="23" t="s">
        <v>364</v>
      </c>
      <c r="EI33" s="126"/>
      <c r="EJ33" s="126"/>
      <c r="EK33" s="126"/>
      <c r="EL33" s="126"/>
      <c r="EM33" s="126"/>
      <c r="EN33" s="126"/>
      <c r="EO33" s="126"/>
      <c r="EP33" s="126"/>
    </row>
    <row r="34" spans="1:236">
      <c r="BU34" s="145"/>
      <c r="DI34" s="455">
        <v>1</v>
      </c>
      <c r="DJ34" s="455">
        <v>2</v>
      </c>
      <c r="DK34" s="455">
        <v>3</v>
      </c>
      <c r="DL34" s="455">
        <v>4</v>
      </c>
      <c r="DP34" s="24">
        <v>41547</v>
      </c>
      <c r="DQ34" s="24"/>
      <c r="EW34" s="24">
        <v>41547</v>
      </c>
      <c r="EX34" s="24"/>
      <c r="EY34" s="24"/>
      <c r="EZ34" s="24"/>
      <c r="FA34" s="24"/>
      <c r="FB34" s="24"/>
      <c r="FC34" s="24"/>
      <c r="FD34" s="24"/>
      <c r="FE34" s="24"/>
      <c r="FF34" s="24"/>
      <c r="FG34" s="24"/>
      <c r="FH34" s="24"/>
      <c r="FI34" s="24"/>
      <c r="FJ34" s="24"/>
      <c r="FK34" s="24"/>
      <c r="FL34" s="24"/>
      <c r="FM34" s="24"/>
      <c r="FN34" s="24"/>
      <c r="FW34" s="455">
        <v>1</v>
      </c>
      <c r="FX34" s="455">
        <v>2</v>
      </c>
      <c r="FY34" s="455">
        <v>3</v>
      </c>
      <c r="FZ34" s="455">
        <v>4</v>
      </c>
      <c r="GB34" s="455">
        <v>1</v>
      </c>
      <c r="GC34" s="455">
        <v>2</v>
      </c>
      <c r="GD34" s="24">
        <v>41547</v>
      </c>
      <c r="GE34" s="24"/>
      <c r="GV34" s="126"/>
    </row>
    <row r="35" spans="1:236" s="725" customFormat="1">
      <c r="A35" s="725" t="s">
        <v>485</v>
      </c>
      <c r="B35" s="727" t="s">
        <v>486</v>
      </c>
      <c r="AI35" s="950"/>
      <c r="AJ35" s="950"/>
      <c r="AK35" s="950"/>
      <c r="AL35" s="950"/>
      <c r="AM35" s="950"/>
      <c r="AN35" s="950"/>
      <c r="AO35" s="950"/>
      <c r="AP35" s="950"/>
      <c r="AQ35" s="950"/>
      <c r="AR35" s="950"/>
      <c r="AS35" s="950"/>
      <c r="AT35" s="950"/>
      <c r="AU35" s="950"/>
      <c r="AV35" s="950"/>
      <c r="AW35" s="950"/>
      <c r="AX35" s="950"/>
      <c r="AY35" s="950"/>
      <c r="AZ35" s="950"/>
      <c r="BA35" s="950"/>
      <c r="BB35" s="950"/>
      <c r="BC35" s="950"/>
      <c r="BD35" s="950"/>
      <c r="BE35" s="950"/>
      <c r="BF35" s="950"/>
      <c r="BG35" s="950"/>
      <c r="BH35" s="950"/>
      <c r="BI35" s="950"/>
      <c r="BJ35" s="950"/>
      <c r="BK35" s="950"/>
      <c r="BL35" s="950"/>
      <c r="BM35" s="950"/>
      <c r="BN35" s="950"/>
      <c r="BO35" s="950"/>
      <c r="BP35" s="950"/>
      <c r="BQ35" s="950"/>
      <c r="BR35" s="950"/>
      <c r="BS35" s="950"/>
      <c r="BT35" s="950"/>
      <c r="BU35" s="950"/>
      <c r="DA35" s="742">
        <f>'(Bloom Raw Data)'!DB31</f>
        <v>5.6085000000000003</v>
      </c>
      <c r="DB35" s="742">
        <f>'(Bloom Raw Data)'!DC31</f>
        <v>5.6410999999999998</v>
      </c>
      <c r="DC35" s="742">
        <f>'(Bloom Raw Data)'!DD31</f>
        <v>5.4523999999999999</v>
      </c>
      <c r="DD35" s="742">
        <f>'(Bloom Raw Data)'!DE31</f>
        <v>5.8440000000000003</v>
      </c>
      <c r="DE35" s="742">
        <f>'(Bloom Raw Data)'!DF31</f>
        <v>5.6459000000000001</v>
      </c>
      <c r="DF35" s="742">
        <f>'(Bloom Raw Data)'!DG31</f>
        <v>5.8033000000000001</v>
      </c>
      <c r="DG35" s="742">
        <f>'(Bloom Raw Data)'!DH31</f>
        <v>5.6826999999999996</v>
      </c>
      <c r="DH35" s="742">
        <f>'(Bloom Raw Data)'!DI31</f>
        <v>5.4458000000000002</v>
      </c>
      <c r="DI35" s="951">
        <f>$DH35+($DM35-$DH35)*DI$34/5</f>
        <v>5.3807200000000002</v>
      </c>
      <c r="DJ35" s="951">
        <f t="shared" ref="DJ35:DK40" si="34">$DH35+($DM35-$DH35)*DJ$34/5</f>
        <v>5.3156400000000001</v>
      </c>
      <c r="DK35" s="951">
        <f t="shared" si="34"/>
        <v>5.2505600000000001</v>
      </c>
      <c r="DL35" s="951">
        <f>$DH35+($DM35-$DH35)*DL$34/5</f>
        <v>5.1854800000000001</v>
      </c>
      <c r="DM35" s="742">
        <f>'(Bloom Raw Data)'!DN31</f>
        <v>5.1204000000000001</v>
      </c>
      <c r="DN35" s="951">
        <f>$DM35+($DP35-$DM35)/3</f>
        <v>5.5153333333333334</v>
      </c>
      <c r="DO35" s="951">
        <f>$DM35+($DP35-$DM35)*2/3</f>
        <v>5.9102666666666668</v>
      </c>
      <c r="DP35" s="742">
        <f>'(Bloom Raw Data)'!DQ31</f>
        <v>6.3052000000000001</v>
      </c>
      <c r="DQ35" s="742"/>
      <c r="EH35" s="742">
        <f>'(Bloom Raw Data)'!EJ31</f>
        <v>13.9069</v>
      </c>
      <c r="EI35" s="742">
        <f>'(Bloom Raw Data)'!EK31</f>
        <v>10.9459</v>
      </c>
      <c r="EJ35" s="742">
        <f>'(Bloom Raw Data)'!EL31</f>
        <v>9.6668000000000003</v>
      </c>
      <c r="EK35" s="742">
        <f>'(Bloom Raw Data)'!EM31</f>
        <v>8.9400999999999993</v>
      </c>
      <c r="EL35" s="742">
        <f>'(Bloom Raw Data)'!EN31</f>
        <v>9.0245999999999995</v>
      </c>
      <c r="EM35" s="742">
        <f>'(Bloom Raw Data)'!EO31</f>
        <v>10.416700000000001</v>
      </c>
      <c r="EN35" s="742">
        <f>'(Bloom Raw Data)'!EP31</f>
        <v>11.169499999999999</v>
      </c>
      <c r="EO35" s="742">
        <f>'(Bloom Raw Data)'!EQ31</f>
        <v>13.183400000000001</v>
      </c>
      <c r="EP35" s="742" t="str">
        <f>'(Bloom Raw Data)'!ER31</f>
        <v>#N/A N/A</v>
      </c>
      <c r="EQ35" s="742" t="str">
        <f>'(Bloom Raw Data)'!ES31</f>
        <v>#N/A N/A</v>
      </c>
      <c r="ER35" s="742" t="str">
        <f>'(Bloom Raw Data)'!ET31</f>
        <v>#N/A N/A</v>
      </c>
      <c r="ES35" s="742" t="str">
        <f>'(Bloom Raw Data)'!EU31</f>
        <v>#N/A N/A</v>
      </c>
      <c r="ET35" s="742">
        <f>'(Bloom Raw Data)'!EV31</f>
        <v>82.981700000000004</v>
      </c>
      <c r="EU35" s="951">
        <f>$ET35+($EW35-$ET35)/3</f>
        <v>97.942866666666674</v>
      </c>
      <c r="EV35" s="951">
        <f>$ET35+($EW35-$ET35)*2/3</f>
        <v>112.90403333333333</v>
      </c>
      <c r="EW35" s="742">
        <f>'(Bloom Raw Data)'!EY31</f>
        <v>127.8652</v>
      </c>
      <c r="EX35" s="742"/>
      <c r="EY35" s="742"/>
      <c r="EZ35" s="742"/>
      <c r="FA35" s="742"/>
      <c r="FB35" s="742"/>
      <c r="FC35" s="742"/>
      <c r="FD35" s="742"/>
      <c r="FE35" s="742"/>
      <c r="FF35" s="742"/>
      <c r="FG35" s="742"/>
      <c r="FH35" s="742"/>
      <c r="FI35" s="742"/>
      <c r="FJ35" s="742"/>
      <c r="FK35" s="742"/>
      <c r="FL35" s="742"/>
      <c r="FM35" s="742"/>
      <c r="FN35" s="742"/>
      <c r="FO35" s="742">
        <f>'(Bloom Raw Data)'!FA31</f>
        <v>1.6254999999999999</v>
      </c>
      <c r="FP35" s="742">
        <f>'(Bloom Raw Data)'!FB31</f>
        <v>1.522</v>
      </c>
      <c r="FQ35" s="742">
        <f>'(Bloom Raw Data)'!FC31</f>
        <v>1.4018999999999999</v>
      </c>
      <c r="FR35" s="742">
        <f>'(Bloom Raw Data)'!FD31</f>
        <v>1.4748000000000001</v>
      </c>
      <c r="FS35" s="742">
        <f>'(Bloom Raw Data)'!FE31</f>
        <v>1.4508000000000001</v>
      </c>
      <c r="FT35" s="742">
        <f>'(Bloom Raw Data)'!FF31</f>
        <v>1.5234000000000001</v>
      </c>
      <c r="FU35" s="742">
        <f>'(Bloom Raw Data)'!FG31</f>
        <v>1.5146999999999999</v>
      </c>
      <c r="FV35" s="742">
        <f>'(Bloom Raw Data)'!FH31</f>
        <v>1.4112</v>
      </c>
      <c r="FW35" s="951">
        <f>$FV35+($GA35-$FV35)*FW$34/5</f>
        <v>1.4157200000000001</v>
      </c>
      <c r="FX35" s="951">
        <f t="shared" ref="FX35:FZ40" si="35">$FV35+($GA35-$FV35)*FX$34/5</f>
        <v>1.4202399999999999</v>
      </c>
      <c r="FY35" s="951">
        <f t="shared" si="35"/>
        <v>1.42476</v>
      </c>
      <c r="FZ35" s="951">
        <f t="shared" si="35"/>
        <v>1.4292799999999999</v>
      </c>
      <c r="GA35" s="742">
        <f>'(Bloom Raw Data)'!FM31</f>
        <v>1.4338</v>
      </c>
      <c r="GB35" s="951">
        <f>$GA35+($GD35-$GA35)/3</f>
        <v>1.5669</v>
      </c>
      <c r="GC35" s="951">
        <f>$GA35+($GD35-$GA35)*2/3</f>
        <v>1.7</v>
      </c>
      <c r="GD35" s="742">
        <f>'(Bloom Raw Data)'!FP31</f>
        <v>1.8331</v>
      </c>
      <c r="GE35" s="742"/>
      <c r="GS35" s="1092"/>
      <c r="IB35" s="1214"/>
    </row>
    <row r="36" spans="1:236">
      <c r="A36" s="11" t="s">
        <v>487</v>
      </c>
      <c r="B36" s="7" t="s">
        <v>494</v>
      </c>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DA36" s="168">
        <f>'(Bloom Raw Data)'!DB32</f>
        <v>5.6085000000000003</v>
      </c>
      <c r="DB36" s="168">
        <f>'(Bloom Raw Data)'!DC32</f>
        <v>5.6410999999999998</v>
      </c>
      <c r="DC36" s="168">
        <f>'(Bloom Raw Data)'!DD32</f>
        <v>5.4523999999999999</v>
      </c>
      <c r="DD36" s="168">
        <f>'(Bloom Raw Data)'!DE32</f>
        <v>5.8440000000000003</v>
      </c>
      <c r="DE36" s="168">
        <f>'(Bloom Raw Data)'!DF32</f>
        <v>5.6459000000000001</v>
      </c>
      <c r="DF36" s="168">
        <f>'(Bloom Raw Data)'!DG32</f>
        <v>5.8033000000000001</v>
      </c>
      <c r="DG36" s="168">
        <f>'(Bloom Raw Data)'!DH32</f>
        <v>5.6826999999999996</v>
      </c>
      <c r="DH36" s="168">
        <f>'(Bloom Raw Data)'!DI32</f>
        <v>5.4458000000000002</v>
      </c>
      <c r="DI36" s="129">
        <f>$DH36+($DM36-$DH36)*DI$34/5</f>
        <v>5.3807200000000002</v>
      </c>
      <c r="DJ36" s="129">
        <f t="shared" si="34"/>
        <v>5.3156400000000001</v>
      </c>
      <c r="DK36" s="129">
        <f t="shared" si="34"/>
        <v>5.2505600000000001</v>
      </c>
      <c r="DL36" s="129">
        <f>$DH36+($DM36-$DH36)*DL$34/5</f>
        <v>5.1854800000000001</v>
      </c>
      <c r="DM36" s="168">
        <f>'(Bloom Raw Data)'!DN32</f>
        <v>5.1204000000000001</v>
      </c>
      <c r="DN36" s="129">
        <f>$DM36+($DP36-$DM36)/3</f>
        <v>5.5153333333333334</v>
      </c>
      <c r="DO36" s="129">
        <f>$DM36+($DP36-$DM36)*2/3</f>
        <v>5.9102666666666668</v>
      </c>
      <c r="DP36" s="168">
        <f>'(Bloom Raw Data)'!DQ32</f>
        <v>6.3052000000000001</v>
      </c>
      <c r="DQ36" s="168"/>
      <c r="EH36" s="168">
        <f>'(Bloom Raw Data)'!EJ32</f>
        <v>14.3628</v>
      </c>
      <c r="EI36" s="168">
        <f>'(Bloom Raw Data)'!EK32</f>
        <v>11.3551</v>
      </c>
      <c r="EJ36" s="168">
        <f>'(Bloom Raw Data)'!EL32</f>
        <v>10.0464</v>
      </c>
      <c r="EK36" s="168">
        <f>'(Bloom Raw Data)'!EM32</f>
        <v>9.3047000000000004</v>
      </c>
      <c r="EL36" s="168">
        <f>'(Bloom Raw Data)'!EN32</f>
        <v>9.4166000000000007</v>
      </c>
      <c r="EM36" s="168">
        <f>'(Bloom Raw Data)'!EO32</f>
        <v>10.9314</v>
      </c>
      <c r="EN36" s="168">
        <f>'(Bloom Raw Data)'!EP32</f>
        <v>11.9383</v>
      </c>
      <c r="EO36" s="168">
        <f>'(Bloom Raw Data)'!EQ32</f>
        <v>14.0906</v>
      </c>
      <c r="EP36" s="168" t="str">
        <f>'(Bloom Raw Data)'!ER32</f>
        <v>#N/A N/A</v>
      </c>
      <c r="EQ36" s="168" t="str">
        <f>'(Bloom Raw Data)'!ES32</f>
        <v>#N/A N/A</v>
      </c>
      <c r="ER36" s="168" t="str">
        <f>'(Bloom Raw Data)'!ET32</f>
        <v>#N/A N/A</v>
      </c>
      <c r="ES36" s="168" t="str">
        <f>'(Bloom Raw Data)'!EU32</f>
        <v>#N/A N/A</v>
      </c>
      <c r="ET36" s="168">
        <f>'(Bloom Raw Data)'!EV32</f>
        <v>92.537999999999997</v>
      </c>
      <c r="EU36" s="129">
        <f>$ET36+($EW36-$ET36)/3</f>
        <v>104.2683</v>
      </c>
      <c r="EV36" s="129">
        <f>$ET36+($EW36-$ET36)*2/3</f>
        <v>115.9986</v>
      </c>
      <c r="EW36" s="168">
        <f>'(Bloom Raw Data)'!EY32</f>
        <v>127.7289</v>
      </c>
      <c r="EX36" s="168"/>
      <c r="EY36" s="168"/>
      <c r="EZ36" s="168"/>
      <c r="FA36" s="168"/>
      <c r="FB36" s="168"/>
      <c r="FC36" s="168"/>
      <c r="FD36" s="168"/>
      <c r="FE36" s="168"/>
      <c r="FF36" s="168"/>
      <c r="FG36" s="168"/>
      <c r="FH36" s="168"/>
      <c r="FI36" s="168"/>
      <c r="FJ36" s="168"/>
      <c r="FK36" s="168"/>
      <c r="FL36" s="168"/>
      <c r="FM36" s="168"/>
      <c r="FN36" s="168"/>
      <c r="FO36" s="168">
        <f>'(Bloom Raw Data)'!FA32</f>
        <v>1.6787000000000001</v>
      </c>
      <c r="FP36" s="168">
        <f>'(Bloom Raw Data)'!FB32</f>
        <v>1.5789</v>
      </c>
      <c r="FQ36" s="168">
        <f>'(Bloom Raw Data)'!FC32</f>
        <v>1.4570000000000001</v>
      </c>
      <c r="FR36" s="168">
        <f>'(Bloom Raw Data)'!FD32</f>
        <v>1.5349999999999999</v>
      </c>
      <c r="FS36" s="168">
        <f>'(Bloom Raw Data)'!FE32</f>
        <v>1.5138</v>
      </c>
      <c r="FT36" s="168">
        <f>'(Bloom Raw Data)'!FF32</f>
        <v>1.5987</v>
      </c>
      <c r="FU36" s="168">
        <f>'(Bloom Raw Data)'!FG32</f>
        <v>1.6189</v>
      </c>
      <c r="FV36" s="168">
        <f>'(Bloom Raw Data)'!FH32</f>
        <v>1.5083</v>
      </c>
      <c r="FW36" s="129">
        <f>$FV36+($GA36-$FV36)*FW$34/5</f>
        <v>1.5264199999999999</v>
      </c>
      <c r="FX36" s="129">
        <f t="shared" si="35"/>
        <v>1.54454</v>
      </c>
      <c r="FY36" s="129">
        <f t="shared" si="35"/>
        <v>1.5626599999999999</v>
      </c>
      <c r="FZ36" s="129">
        <f t="shared" si="35"/>
        <v>1.5807800000000001</v>
      </c>
      <c r="GA36" s="168">
        <f>'(Bloom Raw Data)'!FM32</f>
        <v>1.5989</v>
      </c>
      <c r="GB36" s="129">
        <f>$GA36+($GD36-$GA36)/3</f>
        <v>1.6762999999999999</v>
      </c>
      <c r="GC36" s="129">
        <f>$GA36+($GD36-$GA36)*2/3</f>
        <v>1.7537</v>
      </c>
      <c r="GD36" s="168">
        <f>'(Bloom Raw Data)'!FP32</f>
        <v>1.8310999999999999</v>
      </c>
      <c r="GE36" s="168"/>
    </row>
    <row r="37" spans="1:236" s="176" customFormat="1">
      <c r="A37" s="176" t="s">
        <v>489</v>
      </c>
      <c r="B37" s="228" t="s">
        <v>488</v>
      </c>
      <c r="AI37" s="454"/>
      <c r="AJ37" s="454"/>
      <c r="AK37" s="454"/>
      <c r="AL37" s="454"/>
      <c r="AM37" s="454"/>
      <c r="AN37" s="454"/>
      <c r="AO37" s="454"/>
      <c r="AP37" s="454"/>
      <c r="AQ37" s="454"/>
      <c r="AR37" s="454"/>
      <c r="AS37" s="454"/>
      <c r="AT37" s="454"/>
      <c r="AU37" s="454"/>
      <c r="AV37" s="454"/>
      <c r="AW37" s="454"/>
      <c r="AX37" s="454"/>
      <c r="AY37" s="454"/>
      <c r="AZ37" s="454"/>
      <c r="BA37" s="454"/>
      <c r="BB37" s="454"/>
      <c r="BC37" s="454"/>
      <c r="BD37" s="454"/>
      <c r="BE37" s="454"/>
      <c r="BF37" s="454"/>
      <c r="BG37" s="454"/>
      <c r="BH37" s="454"/>
      <c r="BI37" s="454"/>
      <c r="BJ37" s="454"/>
      <c r="BK37" s="454"/>
      <c r="BL37" s="454"/>
      <c r="BM37" s="454"/>
      <c r="BN37" s="454"/>
      <c r="BO37" s="454"/>
      <c r="BP37" s="454"/>
      <c r="BQ37" s="454"/>
      <c r="BR37" s="454"/>
      <c r="BS37" s="454"/>
      <c r="BT37" s="454"/>
      <c r="BU37" s="454"/>
      <c r="DA37" s="952">
        <f>'(Bloom Raw Data)'!DB33</f>
        <v>4.7956000000000003</v>
      </c>
      <c r="DB37" s="952">
        <f>'(Bloom Raw Data)'!DC33</f>
        <v>4.7956000000000003</v>
      </c>
      <c r="DC37" s="952">
        <f>'(Bloom Raw Data)'!DD33</f>
        <v>4.7956000000000003</v>
      </c>
      <c r="DD37" s="952">
        <f>'(Bloom Raw Data)'!DE33</f>
        <v>4.7956000000000003</v>
      </c>
      <c r="DE37" s="952">
        <f>'(Bloom Raw Data)'!DF33</f>
        <v>4.7956000000000003</v>
      </c>
      <c r="DF37" s="952">
        <f>'(Bloom Raw Data)'!DG33</f>
        <v>4.7956000000000003</v>
      </c>
      <c r="DG37" s="952">
        <f>'(Bloom Raw Data)'!DH33</f>
        <v>4.7956000000000003</v>
      </c>
      <c r="DH37" s="952">
        <f>'(Bloom Raw Data)'!DI33</f>
        <v>4.7956000000000003</v>
      </c>
      <c r="DI37" s="952">
        <f>'(Bloom Raw Data)'!DJ33</f>
        <v>4.7956000000000003</v>
      </c>
      <c r="DJ37" s="952">
        <f>'(Bloom Raw Data)'!DK33</f>
        <v>4.7956000000000003</v>
      </c>
      <c r="DK37" s="952">
        <f>'(Bloom Raw Data)'!DL33</f>
        <v>4.7956000000000003</v>
      </c>
      <c r="DL37" s="952">
        <f>'(Bloom Raw Data)'!DM33</f>
        <v>4.7956000000000003</v>
      </c>
      <c r="DM37" s="952">
        <f>'(Bloom Raw Data)'!DN33</f>
        <v>4.7956000000000003</v>
      </c>
      <c r="DN37" s="952">
        <f>'(Bloom Raw Data)'!DO33</f>
        <v>4.7956000000000003</v>
      </c>
      <c r="DO37" s="952">
        <f>'(Bloom Raw Data)'!DP33</f>
        <v>4.7956000000000003</v>
      </c>
      <c r="DP37" s="952">
        <f>'(Bloom Raw Data)'!DQ33</f>
        <v>5.1307999999999998</v>
      </c>
      <c r="DQ37" s="952"/>
      <c r="EH37" s="952" t="str">
        <f>'(Bloom Raw Data)'!EJ33</f>
        <v>#N/A N/A</v>
      </c>
      <c r="EI37" s="952" t="str">
        <f>'(Bloom Raw Data)'!EK33</f>
        <v>#N/A N/A</v>
      </c>
      <c r="EJ37" s="952" t="str">
        <f>'(Bloom Raw Data)'!EL33</f>
        <v>#N/A N/A</v>
      </c>
      <c r="EK37" s="952" t="str">
        <f>'(Bloom Raw Data)'!EM33</f>
        <v>#N/A N/A</v>
      </c>
      <c r="EL37" s="952" t="str">
        <f>'(Bloom Raw Data)'!EN33</f>
        <v>#N/A N/A</v>
      </c>
      <c r="EM37" s="952" t="str">
        <f>'(Bloom Raw Data)'!EO33</f>
        <v>#N/A N/A</v>
      </c>
      <c r="EN37" s="952" t="str">
        <f>'(Bloom Raw Data)'!EP33</f>
        <v>#N/A N/A</v>
      </c>
      <c r="EO37" s="952" t="str">
        <f>'(Bloom Raw Data)'!EQ33</f>
        <v>#N/A N/A</v>
      </c>
      <c r="EP37" s="952" t="str">
        <f>'(Bloom Raw Data)'!ER33</f>
        <v>#N/A N/A</v>
      </c>
      <c r="EQ37" s="952" t="str">
        <f>'(Bloom Raw Data)'!ES33</f>
        <v>#N/A N/A</v>
      </c>
      <c r="ER37" s="952" t="str">
        <f>'(Bloom Raw Data)'!ET33</f>
        <v>#N/A N/A</v>
      </c>
      <c r="ES37" s="952" t="str">
        <f>'(Bloom Raw Data)'!EU33</f>
        <v>#N/A N/A</v>
      </c>
      <c r="ET37" s="952" t="str">
        <f>'(Bloom Raw Data)'!EV33</f>
        <v>#N/A N/A</v>
      </c>
      <c r="EU37" s="952" t="str">
        <f>'(Bloom Raw Data)'!EW33</f>
        <v>#N/A N/A</v>
      </c>
      <c r="EV37" s="952" t="str">
        <f>'(Bloom Raw Data)'!EX33</f>
        <v>#N/A N/A</v>
      </c>
      <c r="EW37" s="952" t="str">
        <f>'(Bloom Raw Data)'!EY33</f>
        <v>#N/A N/A</v>
      </c>
      <c r="EX37" s="952"/>
      <c r="EY37" s="952"/>
      <c r="EZ37" s="952"/>
      <c r="FA37" s="952"/>
      <c r="FB37" s="952"/>
      <c r="FC37" s="952"/>
      <c r="FD37" s="952"/>
      <c r="FE37" s="952"/>
      <c r="FF37" s="952"/>
      <c r="FG37" s="952"/>
      <c r="FH37" s="952"/>
      <c r="FI37" s="952"/>
      <c r="FJ37" s="952"/>
      <c r="FK37" s="952"/>
      <c r="FL37" s="952"/>
      <c r="FM37" s="952"/>
      <c r="FN37" s="952"/>
      <c r="FO37" s="952" t="str">
        <f>'(Bloom Raw Data)'!FA33</f>
        <v>#N/A N/A</v>
      </c>
      <c r="FP37" s="952" t="str">
        <f>'(Bloom Raw Data)'!FB33</f>
        <v>#N/A N/A</v>
      </c>
      <c r="FQ37" s="952" t="str">
        <f>'(Bloom Raw Data)'!FC33</f>
        <v>#N/A N/A</v>
      </c>
      <c r="FR37" s="952" t="str">
        <f>'(Bloom Raw Data)'!FD33</f>
        <v>#N/A N/A</v>
      </c>
      <c r="FS37" s="952" t="str">
        <f>'(Bloom Raw Data)'!FE33</f>
        <v>#N/A N/A</v>
      </c>
      <c r="FT37" s="952" t="str">
        <f>'(Bloom Raw Data)'!FF33</f>
        <v>#N/A N/A</v>
      </c>
      <c r="FU37" s="952" t="str">
        <f>'(Bloom Raw Data)'!FG33</f>
        <v>#N/A N/A</v>
      </c>
      <c r="FV37" s="952" t="str">
        <f>'(Bloom Raw Data)'!FH33</f>
        <v>#N/A N/A</v>
      </c>
      <c r="FW37" s="952" t="str">
        <f>'(Bloom Raw Data)'!FI33</f>
        <v>#N/A N/A</v>
      </c>
      <c r="FX37" s="952" t="str">
        <f>'(Bloom Raw Data)'!FJ33</f>
        <v>#N/A N/A</v>
      </c>
      <c r="FY37" s="952" t="str">
        <f>'(Bloom Raw Data)'!FK33</f>
        <v>#N/A N/A</v>
      </c>
      <c r="FZ37" s="952" t="str">
        <f>'(Bloom Raw Data)'!FL33</f>
        <v>#N/A N/A</v>
      </c>
      <c r="GA37" s="952" t="str">
        <f>'(Bloom Raw Data)'!FM33</f>
        <v>#N/A N/A</v>
      </c>
      <c r="GB37" s="952" t="str">
        <f>'(Bloom Raw Data)'!FN33</f>
        <v>#N/A N/A</v>
      </c>
      <c r="GC37" s="952" t="str">
        <f>'(Bloom Raw Data)'!FO33</f>
        <v>#N/A N/A</v>
      </c>
      <c r="GD37" s="952">
        <f>'(Bloom Raw Data)'!FP33</f>
        <v>1.6516999999999999</v>
      </c>
      <c r="GE37" s="952"/>
      <c r="IB37" s="2382"/>
    </row>
    <row r="38" spans="1:236" s="725" customFormat="1">
      <c r="A38" s="725" t="s">
        <v>493</v>
      </c>
      <c r="B38" s="727" t="s">
        <v>490</v>
      </c>
      <c r="AI38" s="950"/>
      <c r="AJ38" s="950"/>
      <c r="AK38" s="950"/>
      <c r="AL38" s="950"/>
      <c r="AM38" s="950"/>
      <c r="AN38" s="950"/>
      <c r="AO38" s="950"/>
      <c r="AP38" s="950"/>
      <c r="AQ38" s="950"/>
      <c r="AR38" s="950"/>
      <c r="AS38" s="950"/>
      <c r="AT38" s="950"/>
      <c r="AU38" s="950"/>
      <c r="AV38" s="950"/>
      <c r="AW38" s="950"/>
      <c r="AX38" s="950"/>
      <c r="AY38" s="950"/>
      <c r="AZ38" s="950"/>
      <c r="BA38" s="950"/>
      <c r="BB38" s="950"/>
      <c r="BC38" s="950"/>
      <c r="BD38" s="950"/>
      <c r="BE38" s="950"/>
      <c r="BF38" s="950"/>
      <c r="BG38" s="950"/>
      <c r="BH38" s="950"/>
      <c r="BI38" s="950"/>
      <c r="BJ38" s="950"/>
      <c r="BK38" s="950"/>
      <c r="BL38" s="950"/>
      <c r="BM38" s="950"/>
      <c r="BN38" s="950"/>
      <c r="BO38" s="950"/>
      <c r="BP38" s="950"/>
      <c r="BQ38" s="950"/>
      <c r="BR38" s="950"/>
      <c r="BS38" s="950"/>
      <c r="BT38" s="950"/>
      <c r="BU38" s="950"/>
      <c r="DA38" s="742">
        <f>'(Bloom Raw Data)'!DB34</f>
        <v>6.1997</v>
      </c>
      <c r="DB38" s="742">
        <f>'(Bloom Raw Data)'!DC34</f>
        <v>6.2983000000000002</v>
      </c>
      <c r="DC38" s="742">
        <f>'(Bloom Raw Data)'!DD34</f>
        <v>6.1234000000000002</v>
      </c>
      <c r="DD38" s="742">
        <f>'(Bloom Raw Data)'!DE34</f>
        <v>6.5911999999999997</v>
      </c>
      <c r="DE38" s="742">
        <f>'(Bloom Raw Data)'!DF34</f>
        <v>6.6402000000000001</v>
      </c>
      <c r="DF38" s="742">
        <f>'(Bloom Raw Data)'!DG34</f>
        <v>6.8207000000000004</v>
      </c>
      <c r="DG38" s="742">
        <f>'(Bloom Raw Data)'!DH34</f>
        <v>6.6776999999999997</v>
      </c>
      <c r="DH38" s="742">
        <f>'(Bloom Raw Data)'!DI34</f>
        <v>6.476</v>
      </c>
      <c r="DI38" s="951">
        <f>$DH38+($DM38-$DH38)*DI$34/5</f>
        <v>6.4140600000000001</v>
      </c>
      <c r="DJ38" s="951">
        <f t="shared" si="34"/>
        <v>6.3521200000000002</v>
      </c>
      <c r="DK38" s="951">
        <f t="shared" si="34"/>
        <v>6.2901799999999994</v>
      </c>
      <c r="DL38" s="951">
        <f>$DH38+($DM38-$DH38)*DL$34/5</f>
        <v>6.2282399999999996</v>
      </c>
      <c r="DM38" s="742">
        <f>'(Bloom Raw Data)'!DN34</f>
        <v>6.1662999999999997</v>
      </c>
      <c r="DN38" s="951">
        <f>$DM38+($DP38-$DM38)/3</f>
        <v>6.8334666666666664</v>
      </c>
      <c r="DO38" s="951">
        <f>$DM38+($DP38-$DM38)*2/3</f>
        <v>7.500633333333333</v>
      </c>
      <c r="DP38" s="742">
        <f>'(Bloom Raw Data)'!DQ34</f>
        <v>8.1677999999999997</v>
      </c>
      <c r="DQ38" s="742"/>
      <c r="EH38" s="742">
        <f>'(Bloom Raw Data)'!EJ34</f>
        <v>16.6341</v>
      </c>
      <c r="EI38" s="742">
        <f>'(Bloom Raw Data)'!EK34</f>
        <v>11.0204</v>
      </c>
      <c r="EJ38" s="742">
        <f>'(Bloom Raw Data)'!EL34</f>
        <v>10.469799999999999</v>
      </c>
      <c r="EK38" s="742">
        <f>'(Bloom Raw Data)'!EM34</f>
        <v>8.9239999999999995</v>
      </c>
      <c r="EL38" s="742">
        <f>'(Bloom Raw Data)'!EN34</f>
        <v>9.4634999999999998</v>
      </c>
      <c r="EM38" s="742">
        <f>'(Bloom Raw Data)'!EO34</f>
        <v>12.786200000000001</v>
      </c>
      <c r="EN38" s="742">
        <f>'(Bloom Raw Data)'!EP34</f>
        <v>12.34</v>
      </c>
      <c r="EO38" s="742">
        <f>'(Bloom Raw Data)'!EQ34</f>
        <v>13.475199999999999</v>
      </c>
      <c r="EP38" s="742" t="str">
        <f>'(Bloom Raw Data)'!ER34</f>
        <v>#N/A N/A</v>
      </c>
      <c r="EQ38" s="742" t="str">
        <f>'(Bloom Raw Data)'!ES34</f>
        <v>#N/A N/A</v>
      </c>
      <c r="ER38" s="742" t="str">
        <f>'(Bloom Raw Data)'!ET34</f>
        <v>#N/A N/A</v>
      </c>
      <c r="ES38" s="742" t="str">
        <f>'(Bloom Raw Data)'!EU34</f>
        <v>#N/A N/A</v>
      </c>
      <c r="ET38" s="742" t="str">
        <f>'(Bloom Raw Data)'!EV34</f>
        <v>#N/A N/A</v>
      </c>
      <c r="EU38" s="742" t="str">
        <f>'(Bloom Raw Data)'!EW34</f>
        <v>#N/A N/A</v>
      </c>
      <c r="EV38" s="742" t="str">
        <f>'(Bloom Raw Data)'!EX34</f>
        <v>#N/A N/A</v>
      </c>
      <c r="EW38" s="742" t="str">
        <f>'(Bloom Raw Data)'!EY34</f>
        <v>#N/A N/A</v>
      </c>
      <c r="EX38" s="742"/>
      <c r="EY38" s="742"/>
      <c r="EZ38" s="742"/>
      <c r="FA38" s="742"/>
      <c r="FB38" s="742"/>
      <c r="FC38" s="742"/>
      <c r="FD38" s="742"/>
      <c r="FE38" s="742"/>
      <c r="FF38" s="742"/>
      <c r="FG38" s="742"/>
      <c r="FH38" s="742"/>
      <c r="FI38" s="742"/>
      <c r="FJ38" s="742"/>
      <c r="FK38" s="742"/>
      <c r="FL38" s="742"/>
      <c r="FM38" s="742"/>
      <c r="FN38" s="742"/>
      <c r="FO38" s="742">
        <f>'(Bloom Raw Data)'!FA34</f>
        <v>1.028</v>
      </c>
      <c r="FP38" s="742">
        <f>'(Bloom Raw Data)'!FB34</f>
        <v>1.0049999999999999</v>
      </c>
      <c r="FQ38" s="742">
        <f>'(Bloom Raw Data)'!FC34</f>
        <v>0.98580000000000001</v>
      </c>
      <c r="FR38" s="742">
        <f>'(Bloom Raw Data)'!FD34</f>
        <v>1.0396000000000001</v>
      </c>
      <c r="FS38" s="742">
        <f>'(Bloom Raw Data)'!FE34</f>
        <v>1.0711999999999999</v>
      </c>
      <c r="FT38" s="742">
        <f>'(Bloom Raw Data)'!FF34</f>
        <v>1.1758999999999999</v>
      </c>
      <c r="FU38" s="742">
        <f>'(Bloom Raw Data)'!FG34</f>
        <v>1.1246</v>
      </c>
      <c r="FV38" s="742">
        <f>'(Bloom Raw Data)'!FH34</f>
        <v>1.0964</v>
      </c>
      <c r="FW38" s="951">
        <f>$FV38+($GA38-$FV38)*FW$34/5</f>
        <v>1.1269400000000001</v>
      </c>
      <c r="FX38" s="951">
        <f t="shared" si="35"/>
        <v>1.1574800000000001</v>
      </c>
      <c r="FY38" s="951">
        <f t="shared" si="35"/>
        <v>1.1880199999999999</v>
      </c>
      <c r="FZ38" s="951">
        <f t="shared" si="35"/>
        <v>1.2185599999999999</v>
      </c>
      <c r="GA38" s="742">
        <f>'(Bloom Raw Data)'!FM34</f>
        <v>1.2490999999999999</v>
      </c>
      <c r="GB38" s="951">
        <f>$GA38+($GD38-$GA38)/3</f>
        <v>1.3798333333333332</v>
      </c>
      <c r="GC38" s="951">
        <f>$GA38+($GD38-$GA38)*2/3</f>
        <v>1.5105666666666666</v>
      </c>
      <c r="GD38" s="742">
        <f>'(Bloom Raw Data)'!FP34</f>
        <v>1.6413</v>
      </c>
      <c r="GE38" s="742"/>
      <c r="IB38" s="1214"/>
    </row>
    <row r="39" spans="1:236" s="725" customFormat="1">
      <c r="A39" s="725" t="s">
        <v>491</v>
      </c>
      <c r="B39" s="727" t="s">
        <v>492</v>
      </c>
      <c r="DA39" s="742">
        <f>'(Bloom Raw Data)'!DB35</f>
        <v>5.3141999999999996</v>
      </c>
      <c r="DB39" s="742">
        <f>'(Bloom Raw Data)'!DC35</f>
        <v>5.3106</v>
      </c>
      <c r="DC39" s="742">
        <f>'(Bloom Raw Data)'!DD35</f>
        <v>5.0982000000000003</v>
      </c>
      <c r="DD39" s="742">
        <f>'(Bloom Raw Data)'!DE35</f>
        <v>5.4623999999999997</v>
      </c>
      <c r="DE39" s="742">
        <f>'(Bloom Raw Data)'!DF35</f>
        <v>5.1510999999999996</v>
      </c>
      <c r="DF39" s="742">
        <f>'(Bloom Raw Data)'!DG35</f>
        <v>5.2797999999999998</v>
      </c>
      <c r="DG39" s="742">
        <f>'(Bloom Raw Data)'!DH35</f>
        <v>5.1737000000000002</v>
      </c>
      <c r="DH39" s="742">
        <f>'(Bloom Raw Data)'!DI35</f>
        <v>4.8963999999999999</v>
      </c>
      <c r="DI39" s="951">
        <f>$DH39+($DM39-$DH39)*DI$34/5</f>
        <v>4.8194799999999995</v>
      </c>
      <c r="DJ39" s="951">
        <f t="shared" si="34"/>
        <v>4.7425600000000001</v>
      </c>
      <c r="DK39" s="951">
        <f t="shared" si="34"/>
        <v>4.6656399999999998</v>
      </c>
      <c r="DL39" s="951">
        <f>$DH39+($DM39-$DH39)*DL$34/5</f>
        <v>4.5887200000000004</v>
      </c>
      <c r="DM39" s="742">
        <f>'(Bloom Raw Data)'!DN35</f>
        <v>4.5118</v>
      </c>
      <c r="DN39" s="951">
        <f>$DM39+($DP39-$DM39)/3</f>
        <v>4.7328999999999999</v>
      </c>
      <c r="DO39" s="951">
        <f>$DM39+($DP39-$DM39)*2/3</f>
        <v>4.9539999999999997</v>
      </c>
      <c r="DP39" s="742">
        <f>'(Bloom Raw Data)'!DQ35</f>
        <v>5.1750999999999996</v>
      </c>
      <c r="DQ39" s="742"/>
      <c r="EH39" s="742">
        <f>'(Bloom Raw Data)'!EJ35</f>
        <v>12.514799999999999</v>
      </c>
      <c r="EI39" s="742">
        <f>'(Bloom Raw Data)'!EK35</f>
        <v>10.891500000000001</v>
      </c>
      <c r="EJ39" s="742">
        <f>'(Bloom Raw Data)'!EL35</f>
        <v>9.0869</v>
      </c>
      <c r="EK39" s="742">
        <f>'(Bloom Raw Data)'!EM35</f>
        <v>8.9527000000000001</v>
      </c>
      <c r="EL39" s="742">
        <f>'(Bloom Raw Data)'!EN35</f>
        <v>8.6904000000000003</v>
      </c>
      <c r="EM39" s="742">
        <f>'(Bloom Raw Data)'!EO35</f>
        <v>8.9420999999999999</v>
      </c>
      <c r="EN39" s="742">
        <f>'(Bloom Raw Data)'!EP35</f>
        <v>10.296099999999999</v>
      </c>
      <c r="EO39" s="742">
        <f>'(Bloom Raw Data)'!EQ35</f>
        <v>12.899900000000001</v>
      </c>
      <c r="EP39" s="742" t="str">
        <f>'(Bloom Raw Data)'!ER35</f>
        <v>#N/A N/A</v>
      </c>
      <c r="EQ39" s="742" t="str">
        <f>'(Bloom Raw Data)'!ES35</f>
        <v>#N/A N/A</v>
      </c>
      <c r="ER39" s="742" t="str">
        <f>'(Bloom Raw Data)'!ET35</f>
        <v>#N/A N/A</v>
      </c>
      <c r="ES39" s="742" t="str">
        <f>'(Bloom Raw Data)'!EU35</f>
        <v>#N/A N/A</v>
      </c>
      <c r="ET39" s="742">
        <f>'(Bloom Raw Data)'!EV35</f>
        <v>15.9001</v>
      </c>
      <c r="EU39" s="951">
        <f>$ET39+($EW39-$ET39)/3</f>
        <v>21.641566666666666</v>
      </c>
      <c r="EV39" s="951">
        <f>$ET39+($EW39-$ET39)*2/3</f>
        <v>27.38303333333333</v>
      </c>
      <c r="EW39" s="742">
        <f>'(Bloom Raw Data)'!EY35</f>
        <v>33.124499999999998</v>
      </c>
      <c r="EX39" s="742"/>
      <c r="EY39" s="742"/>
      <c r="EZ39" s="742"/>
      <c r="FA39" s="742"/>
      <c r="FB39" s="742"/>
      <c r="FC39" s="742"/>
      <c r="FD39" s="742"/>
      <c r="FE39" s="742"/>
      <c r="FF39" s="742"/>
      <c r="FG39" s="742"/>
      <c r="FH39" s="742"/>
      <c r="FI39" s="742"/>
      <c r="FJ39" s="742"/>
      <c r="FK39" s="742"/>
      <c r="FL39" s="742"/>
      <c r="FM39" s="742"/>
      <c r="FN39" s="742"/>
      <c r="FO39" s="742">
        <f>'(Bloom Raw Data)'!FA35</f>
        <v>2.6835</v>
      </c>
      <c r="FP39" s="742">
        <f>'(Bloom Raw Data)'!FB35</f>
        <v>2.4567999999999999</v>
      </c>
      <c r="FQ39" s="742">
        <f>'(Bloom Raw Data)'!FC35</f>
        <v>2.1610999999999998</v>
      </c>
      <c r="FR39" s="742">
        <f>'(Bloom Raw Data)'!FD35</f>
        <v>2.19</v>
      </c>
      <c r="FS39" s="742">
        <f>'(Bloom Raw Data)'!FE35</f>
        <v>2.0546000000000002</v>
      </c>
      <c r="FT39" s="742">
        <f>'(Bloom Raw Data)'!FF35</f>
        <v>2.0670000000000002</v>
      </c>
      <c r="FU39" s="742">
        <f>'(Bloom Raw Data)'!FG35</f>
        <v>2.1957</v>
      </c>
      <c r="FV39" s="742">
        <f>'(Bloom Raw Data)'!FH35</f>
        <v>1.9914000000000001</v>
      </c>
      <c r="FW39" s="951">
        <f>$FV39+($GA39-$FV39)*FW$34/5</f>
        <v>1.9504600000000001</v>
      </c>
      <c r="FX39" s="951">
        <f t="shared" si="35"/>
        <v>1.9095200000000001</v>
      </c>
      <c r="FY39" s="951">
        <f t="shared" si="35"/>
        <v>1.8685799999999999</v>
      </c>
      <c r="FZ39" s="951">
        <f t="shared" si="35"/>
        <v>1.8276399999999999</v>
      </c>
      <c r="GA39" s="742">
        <f>'(Bloom Raw Data)'!FM35</f>
        <v>1.7867</v>
      </c>
      <c r="GB39" s="951">
        <f>$GA39+($GD39-$GA39)/3</f>
        <v>1.9305333333333332</v>
      </c>
      <c r="GC39" s="951">
        <f>$GA39+($GD39-$GA39)*2/3</f>
        <v>2.0743666666666667</v>
      </c>
      <c r="GD39" s="742">
        <f>'(Bloom Raw Data)'!FP35</f>
        <v>2.2181999999999999</v>
      </c>
      <c r="GE39" s="742"/>
      <c r="IB39" s="1214"/>
    </row>
    <row r="40" spans="1:236">
      <c r="A40" s="11" t="s">
        <v>495</v>
      </c>
      <c r="B40" s="7" t="s">
        <v>496</v>
      </c>
      <c r="DA40" s="168">
        <f>'(Bloom Raw Data)'!DB36</f>
        <v>7.6870000000000003</v>
      </c>
      <c r="DB40" s="168">
        <f>'(Bloom Raw Data)'!DC36</f>
        <v>7.2636000000000003</v>
      </c>
      <c r="DC40" s="168">
        <f>'(Bloom Raw Data)'!DD36</f>
        <v>6.7767999999999997</v>
      </c>
      <c r="DD40" s="168">
        <f>'(Bloom Raw Data)'!DE36</f>
        <v>6.9335000000000004</v>
      </c>
      <c r="DE40" s="168">
        <f>'(Bloom Raw Data)'!DF36</f>
        <v>6.8560999999999996</v>
      </c>
      <c r="DF40" s="168">
        <f>'(Bloom Raw Data)'!DG36</f>
        <v>7.0479000000000003</v>
      </c>
      <c r="DG40" s="168">
        <f>'(Bloom Raw Data)'!DH36</f>
        <v>6.8548999999999998</v>
      </c>
      <c r="DH40" s="168">
        <f>'(Bloom Raw Data)'!DI36</f>
        <v>6.6774000000000004</v>
      </c>
      <c r="DI40" s="129">
        <f>$DH40+($DM40-$DH40)*DI$34/5</f>
        <v>6.5923800000000004</v>
      </c>
      <c r="DJ40" s="129">
        <f t="shared" si="34"/>
        <v>6.5073600000000003</v>
      </c>
      <c r="DK40" s="129">
        <f t="shared" si="34"/>
        <v>6.4223400000000002</v>
      </c>
      <c r="DL40" s="129">
        <f>$DH40+($DM40-$DH40)*DL$34/5</f>
        <v>6.3373200000000001</v>
      </c>
      <c r="DM40" s="168">
        <f>'(Bloom Raw Data)'!DN36</f>
        <v>6.2523</v>
      </c>
      <c r="DN40" s="129">
        <f>$DM40+($DP40-$DM40)/3</f>
        <v>6.4127666666666663</v>
      </c>
      <c r="DO40" s="129">
        <f>$DM40+($DP40-$DM40)*2/3</f>
        <v>6.5732333333333335</v>
      </c>
      <c r="DP40" s="168">
        <f>'(Bloom Raw Data)'!DQ36</f>
        <v>6.7336999999999998</v>
      </c>
      <c r="DQ40" s="168"/>
      <c r="EH40" s="168">
        <f>'(Bloom Raw Data)'!EJ36</f>
        <v>10.563800000000001</v>
      </c>
      <c r="EI40" s="168">
        <f>'(Bloom Raw Data)'!EK36</f>
        <v>10.401400000000001</v>
      </c>
      <c r="EJ40" s="168">
        <f>'(Bloom Raw Data)'!EL36</f>
        <v>8.9009999999999998</v>
      </c>
      <c r="EK40" s="168">
        <f>'(Bloom Raw Data)'!EM36</f>
        <v>10.0366</v>
      </c>
      <c r="EL40" s="168">
        <f>'(Bloom Raw Data)'!EN36</f>
        <v>10.5868</v>
      </c>
      <c r="EM40" s="168">
        <f>'(Bloom Raw Data)'!EO36</f>
        <v>10.329800000000001</v>
      </c>
      <c r="EN40" s="168">
        <f>'(Bloom Raw Data)'!EP36</f>
        <v>12.573399999999999</v>
      </c>
      <c r="EO40" s="168">
        <f>'(Bloom Raw Data)'!EQ36</f>
        <v>11.691800000000001</v>
      </c>
      <c r="EP40" s="168" t="str">
        <f>'(Bloom Raw Data)'!ER36</f>
        <v>#N/A N/A</v>
      </c>
      <c r="EQ40" s="168" t="str">
        <f>'(Bloom Raw Data)'!ES36</f>
        <v>#N/A N/A</v>
      </c>
      <c r="ER40" s="168" t="str">
        <f>'(Bloom Raw Data)'!ET36</f>
        <v>#N/A N/A</v>
      </c>
      <c r="ES40" s="168" t="str">
        <f>'(Bloom Raw Data)'!EU36</f>
        <v>#N/A N/A</v>
      </c>
      <c r="ET40" s="168">
        <f>'(Bloom Raw Data)'!EV36</f>
        <v>14.7819</v>
      </c>
      <c r="EU40" s="129">
        <f>$DM40+($DP40-$DM40)/3</f>
        <v>6.4127666666666663</v>
      </c>
      <c r="EV40" s="129">
        <f>$DM40+($DP40-$DM40)*2/3</f>
        <v>6.5732333333333335</v>
      </c>
      <c r="EW40" s="168">
        <f>'(Bloom Raw Data)'!EY36</f>
        <v>15.0055</v>
      </c>
      <c r="EX40" s="168"/>
      <c r="EY40" s="168"/>
      <c r="EZ40" s="168"/>
      <c r="FA40" s="168"/>
      <c r="FB40" s="168"/>
      <c r="FC40" s="168"/>
      <c r="FD40" s="168"/>
      <c r="FE40" s="168"/>
      <c r="FF40" s="168"/>
      <c r="FG40" s="168"/>
      <c r="FH40" s="168"/>
      <c r="FI40" s="168"/>
      <c r="FJ40" s="168"/>
      <c r="FK40" s="168"/>
      <c r="FL40" s="168"/>
      <c r="FM40" s="168"/>
      <c r="FN40" s="168"/>
      <c r="FO40" s="168">
        <f>'(Bloom Raw Data)'!FA36</f>
        <v>1.6503000000000001</v>
      </c>
      <c r="FP40" s="168">
        <f>'(Bloom Raw Data)'!FB36</f>
        <v>1.5335999999999999</v>
      </c>
      <c r="FQ40" s="168">
        <f>'(Bloom Raw Data)'!FC36</f>
        <v>1.3122</v>
      </c>
      <c r="FR40" s="168">
        <f>'(Bloom Raw Data)'!FD36</f>
        <v>1.3708</v>
      </c>
      <c r="FS40" s="168">
        <f>'(Bloom Raw Data)'!FE36</f>
        <v>1.3264</v>
      </c>
      <c r="FT40" s="168">
        <f>'(Bloom Raw Data)'!FF36</f>
        <v>1.3075000000000001</v>
      </c>
      <c r="FU40" s="168">
        <f>'(Bloom Raw Data)'!FG36</f>
        <v>1.3391</v>
      </c>
      <c r="FV40" s="168">
        <f>'(Bloom Raw Data)'!FH36</f>
        <v>1.1859</v>
      </c>
      <c r="FW40" s="129">
        <f>$FV40+($GA40-$FV40)*FW$34/5</f>
        <v>1.1853</v>
      </c>
      <c r="FX40" s="129">
        <f t="shared" si="35"/>
        <v>1.1847000000000001</v>
      </c>
      <c r="FY40" s="129">
        <f t="shared" si="35"/>
        <v>1.1840999999999999</v>
      </c>
      <c r="FZ40" s="129">
        <f t="shared" si="35"/>
        <v>1.1835</v>
      </c>
      <c r="GA40" s="168">
        <f>'(Bloom Raw Data)'!FM36</f>
        <v>1.1829000000000001</v>
      </c>
      <c r="GB40" s="129">
        <f>$GA40+($GD40-$GA40)/3</f>
        <v>1.1926333333333334</v>
      </c>
      <c r="GC40" s="129">
        <f>$GA40+($GD40-$GA40)*2/3</f>
        <v>1.2023666666666666</v>
      </c>
      <c r="GD40" s="168">
        <f>'(Bloom Raw Data)'!FP36</f>
        <v>1.2121</v>
      </c>
      <c r="GE40" s="168"/>
    </row>
    <row r="41" spans="1:236">
      <c r="A41" s="11" t="s">
        <v>497</v>
      </c>
      <c r="B41" s="7" t="s">
        <v>498</v>
      </c>
      <c r="DA41" s="168">
        <f>'(Bloom Raw Data)'!DB37</f>
        <v>6.1516999999999999</v>
      </c>
      <c r="DB41" s="168">
        <f>'(Bloom Raw Data)'!DC37</f>
        <v>6.1516999999999999</v>
      </c>
      <c r="DC41" s="168">
        <f>'(Bloom Raw Data)'!DD37</f>
        <v>6.1516999999999999</v>
      </c>
      <c r="DD41" s="168">
        <f>'(Bloom Raw Data)'!DE37</f>
        <v>6.1516999999999999</v>
      </c>
      <c r="DE41" s="168">
        <f>'(Bloom Raw Data)'!DF37</f>
        <v>6.1516999999999999</v>
      </c>
      <c r="DF41" s="168">
        <f>'(Bloom Raw Data)'!DG37</f>
        <v>6.1516999999999999</v>
      </c>
      <c r="DG41" s="168">
        <f>'(Bloom Raw Data)'!DH37</f>
        <v>6.1516999999999999</v>
      </c>
      <c r="DH41" s="168">
        <f>'(Bloom Raw Data)'!DI37</f>
        <v>6.1516999999999999</v>
      </c>
      <c r="DI41" s="168">
        <f>'(Bloom Raw Data)'!DJ37</f>
        <v>6.1516999999999999</v>
      </c>
      <c r="DJ41" s="168">
        <f>'(Bloom Raw Data)'!DK37</f>
        <v>6.1516999999999999</v>
      </c>
      <c r="DK41" s="168">
        <f>'(Bloom Raw Data)'!DL37</f>
        <v>6.1516999999999999</v>
      </c>
      <c r="DL41" s="168">
        <f>'(Bloom Raw Data)'!DM37</f>
        <v>6.1516999999999999</v>
      </c>
      <c r="DM41" s="168">
        <f>'(Bloom Raw Data)'!DN37</f>
        <v>6.1516999999999999</v>
      </c>
      <c r="DN41" s="168">
        <f>'(Bloom Raw Data)'!DO37</f>
        <v>6.1516999999999999</v>
      </c>
      <c r="DO41" s="168">
        <f>'(Bloom Raw Data)'!DP37</f>
        <v>6.1516999999999999</v>
      </c>
      <c r="DP41" s="168">
        <f>'(Bloom Raw Data)'!DQ37</f>
        <v>6.3365</v>
      </c>
      <c r="DQ41" s="168"/>
      <c r="EH41" s="168" t="str">
        <f>'(Bloom Raw Data)'!EJ37</f>
        <v>#N/A N/A</v>
      </c>
      <c r="EI41" s="168" t="str">
        <f>'(Bloom Raw Data)'!EK37</f>
        <v>#N/A N/A</v>
      </c>
      <c r="EJ41" s="168" t="str">
        <f>'(Bloom Raw Data)'!EL37</f>
        <v>#N/A N/A</v>
      </c>
      <c r="EK41" s="168" t="str">
        <f>'(Bloom Raw Data)'!EM37</f>
        <v>#N/A N/A</v>
      </c>
      <c r="EL41" s="168" t="str">
        <f>'(Bloom Raw Data)'!EN37</f>
        <v>#N/A N/A</v>
      </c>
      <c r="EM41" s="168" t="str">
        <f>'(Bloom Raw Data)'!EO37</f>
        <v>#N/A N/A</v>
      </c>
      <c r="EN41" s="168" t="str">
        <f>'(Bloom Raw Data)'!EP37</f>
        <v>#N/A N/A</v>
      </c>
      <c r="EO41" s="168" t="str">
        <f>'(Bloom Raw Data)'!EQ37</f>
        <v>#N/A N/A</v>
      </c>
      <c r="EP41" s="168" t="str">
        <f>'(Bloom Raw Data)'!ER37</f>
        <v>#N/A N/A</v>
      </c>
      <c r="EQ41" s="168" t="str">
        <f>'(Bloom Raw Data)'!ES37</f>
        <v>#N/A N/A</v>
      </c>
      <c r="ER41" s="168" t="str">
        <f>'(Bloom Raw Data)'!ET37</f>
        <v>#N/A N/A</v>
      </c>
      <c r="ES41" s="168" t="str">
        <f>'(Bloom Raw Data)'!EU37</f>
        <v>#N/A N/A</v>
      </c>
      <c r="ET41" s="168" t="str">
        <f>'(Bloom Raw Data)'!EV37</f>
        <v>#N/A N/A</v>
      </c>
      <c r="EU41" s="168" t="str">
        <f>'(Bloom Raw Data)'!EW37</f>
        <v>#N/A N/A</v>
      </c>
      <c r="EV41" s="168" t="str">
        <f>'(Bloom Raw Data)'!EX37</f>
        <v>#N/A N/A</v>
      </c>
      <c r="EW41" s="168">
        <f>'(Bloom Raw Data)'!EY37</f>
        <v>14.7461</v>
      </c>
      <c r="EX41" s="168"/>
      <c r="EY41" s="168"/>
      <c r="EZ41" s="168"/>
      <c r="FA41" s="168"/>
      <c r="FB41" s="168"/>
      <c r="FC41" s="168"/>
      <c r="FD41" s="168"/>
      <c r="FE41" s="168"/>
      <c r="FF41" s="168"/>
      <c r="FG41" s="168"/>
      <c r="FH41" s="168"/>
      <c r="FI41" s="168"/>
      <c r="FJ41" s="168"/>
      <c r="FK41" s="168"/>
      <c r="FL41" s="168"/>
      <c r="FM41" s="168"/>
      <c r="FN41" s="168"/>
      <c r="FO41" s="168" t="str">
        <f>'(Bloom Raw Data)'!FA37</f>
        <v>#N/A N/A</v>
      </c>
      <c r="FP41" s="168" t="str">
        <f>'(Bloom Raw Data)'!FB37</f>
        <v>#N/A N/A</v>
      </c>
      <c r="FQ41" s="168" t="str">
        <f>'(Bloom Raw Data)'!FC37</f>
        <v>#N/A N/A</v>
      </c>
      <c r="FR41" s="168" t="str">
        <f>'(Bloom Raw Data)'!FD37</f>
        <v>#N/A N/A</v>
      </c>
      <c r="FS41" s="168" t="str">
        <f>'(Bloom Raw Data)'!FE37</f>
        <v>#N/A N/A</v>
      </c>
      <c r="FT41" s="168" t="str">
        <f>'(Bloom Raw Data)'!FF37</f>
        <v>#N/A N/A</v>
      </c>
      <c r="FU41" s="168" t="str">
        <f>'(Bloom Raw Data)'!FG37</f>
        <v>#N/A N/A</v>
      </c>
      <c r="FV41" s="168" t="str">
        <f>'(Bloom Raw Data)'!FH37</f>
        <v>#N/A N/A</v>
      </c>
      <c r="FW41" s="168" t="str">
        <f>'(Bloom Raw Data)'!FI37</f>
        <v>#N/A N/A</v>
      </c>
      <c r="FX41" s="168" t="str">
        <f>'(Bloom Raw Data)'!FJ37</f>
        <v>#N/A N/A</v>
      </c>
      <c r="FY41" s="168" t="str">
        <f>'(Bloom Raw Data)'!FK37</f>
        <v>#N/A N/A</v>
      </c>
      <c r="FZ41" s="168" t="str">
        <f>'(Bloom Raw Data)'!FL37</f>
        <v>#N/A N/A</v>
      </c>
      <c r="GA41" s="168" t="str">
        <f>'(Bloom Raw Data)'!FM37</f>
        <v>#N/A N/A</v>
      </c>
      <c r="GB41" s="168" t="str">
        <f>'(Bloom Raw Data)'!FN37</f>
        <v>#N/A N/A</v>
      </c>
      <c r="GC41" s="168" t="str">
        <f>'(Bloom Raw Data)'!FO37</f>
        <v>#N/A N/A</v>
      </c>
      <c r="GD41" s="168">
        <f>'(Bloom Raw Data)'!FP37</f>
        <v>0.92959999999999998</v>
      </c>
      <c r="GE41" s="168"/>
    </row>
    <row r="42" spans="1:236">
      <c r="DA42" s="24">
        <v>40178</v>
      </c>
      <c r="DB42" s="24">
        <v>40268</v>
      </c>
      <c r="DC42" s="24">
        <v>40359</v>
      </c>
      <c r="DD42" s="24">
        <v>40451</v>
      </c>
      <c r="DE42" s="24">
        <v>40543</v>
      </c>
      <c r="DF42" s="24">
        <v>40633</v>
      </c>
      <c r="DG42" s="24">
        <v>40724</v>
      </c>
      <c r="DH42" s="24">
        <v>40816</v>
      </c>
      <c r="DI42" s="24">
        <v>40908</v>
      </c>
      <c r="DJ42" s="24">
        <v>40999</v>
      </c>
      <c r="DK42" s="24">
        <v>41090</v>
      </c>
      <c r="DL42" s="24">
        <v>41182</v>
      </c>
      <c r="DM42" s="24">
        <v>41274</v>
      </c>
      <c r="DN42" s="24">
        <v>41364</v>
      </c>
      <c r="DO42" s="24">
        <v>41455</v>
      </c>
      <c r="DP42" s="24">
        <v>41547</v>
      </c>
      <c r="EO42" s="126" t="s">
        <v>2561</v>
      </c>
    </row>
    <row r="43" spans="1:236">
      <c r="A43" s="11" t="str">
        <f>'(Bloom Raw Data)'!A41</f>
        <v>DKK/€</v>
      </c>
      <c r="D43" s="232">
        <f>'(Bloom Raw Data)'!D41</f>
        <v>0.13439999999999999</v>
      </c>
      <c r="E43" s="232">
        <f>'(Bloom Raw Data)'!E41</f>
        <v>0.1343</v>
      </c>
      <c r="F43" s="232">
        <f>'(Bloom Raw Data)'!F41</f>
        <v>0.13420000000000001</v>
      </c>
      <c r="G43" s="232">
        <f>'(Bloom Raw Data)'!G41</f>
        <v>0.13420000000000001</v>
      </c>
      <c r="H43" s="232">
        <f>'(Bloom Raw Data)'!H41</f>
        <v>0.13420000000000001</v>
      </c>
      <c r="I43" s="232">
        <f>'(Bloom Raw Data)'!I41</f>
        <v>0.1341</v>
      </c>
      <c r="J43" s="232">
        <f>'(Bloom Raw Data)'!J41</f>
        <v>0.1341</v>
      </c>
      <c r="K43" s="232">
        <f>'(Bloom Raw Data)'!K41</f>
        <v>0.13439999999999999</v>
      </c>
      <c r="L43" s="235">
        <v>0.1346239498</v>
      </c>
      <c r="M43" s="232" t="str">
        <f>'(Bloom Raw Data)'!M41</f>
        <v>#N/A N/A</v>
      </c>
      <c r="N43" s="234">
        <v>0.13448535410000001</v>
      </c>
      <c r="O43" s="232" t="str">
        <f>'(Bloom Raw Data)'!O41</f>
        <v>#N/A N/A</v>
      </c>
      <c r="P43" s="232">
        <f>'(Bloom Raw Data)'!P41</f>
        <v>0.13400000000000001</v>
      </c>
      <c r="Q43" s="232" t="str">
        <f>'(Bloom Raw Data)'!Q41</f>
        <v>#N/A N/A</v>
      </c>
      <c r="R43" s="234">
        <v>0.1341264626</v>
      </c>
      <c r="BU43" s="232">
        <f t="shared" ref="BU43:BU48" si="36">D43</f>
        <v>0.13439999999999999</v>
      </c>
      <c r="BV43" s="232">
        <f t="shared" ref="BV43:CI48" si="37">E43</f>
        <v>0.1343</v>
      </c>
      <c r="BW43" s="232">
        <f t="shared" si="37"/>
        <v>0.13420000000000001</v>
      </c>
      <c r="BX43" s="232">
        <f t="shared" si="37"/>
        <v>0.13420000000000001</v>
      </c>
      <c r="BY43" s="232">
        <f t="shared" si="37"/>
        <v>0.13420000000000001</v>
      </c>
      <c r="BZ43" s="232">
        <f t="shared" si="37"/>
        <v>0.1341</v>
      </c>
      <c r="CA43" s="232">
        <f t="shared" si="37"/>
        <v>0.1341</v>
      </c>
      <c r="CB43" s="232">
        <f t="shared" si="37"/>
        <v>0.13439999999999999</v>
      </c>
      <c r="CC43" s="235">
        <f t="shared" si="37"/>
        <v>0.1346239498</v>
      </c>
      <c r="CD43" s="232" t="str">
        <f t="shared" si="37"/>
        <v>#N/A N/A</v>
      </c>
      <c r="CE43" s="234">
        <f t="shared" si="37"/>
        <v>0.13448535410000001</v>
      </c>
      <c r="CF43" s="232" t="str">
        <f t="shared" si="37"/>
        <v>#N/A N/A</v>
      </c>
      <c r="CG43" s="232">
        <f t="shared" si="37"/>
        <v>0.13400000000000001</v>
      </c>
      <c r="CH43" s="232" t="str">
        <f t="shared" si="37"/>
        <v>#N/A N/A</v>
      </c>
      <c r="CI43" s="234">
        <f t="shared" si="37"/>
        <v>0.1341264626</v>
      </c>
      <c r="DI43" s="126" t="s">
        <v>2562</v>
      </c>
    </row>
    <row r="44" spans="1:236">
      <c r="A44" s="11" t="str">
        <f>'(Bloom Raw Data)'!A42</f>
        <v>NOK / €</v>
      </c>
      <c r="D44" s="232">
        <f>'(Bloom Raw Data)'!D42</f>
        <v>0.1205</v>
      </c>
      <c r="E44" s="232">
        <f>'(Bloom Raw Data)'!E42</f>
        <v>0.1246</v>
      </c>
      <c r="F44" s="232">
        <f>'(Bloom Raw Data)'!F42</f>
        <v>0.12570000000000001</v>
      </c>
      <c r="G44" s="232">
        <f>'(Bloom Raw Data)'!G42</f>
        <v>0.12479999999999999</v>
      </c>
      <c r="H44" s="232">
        <f>'(Bloom Raw Data)'!H42</f>
        <v>0.1283</v>
      </c>
      <c r="I44" s="232">
        <f>'(Bloom Raw Data)'!I42</f>
        <v>0.1275</v>
      </c>
      <c r="J44" s="232">
        <f>'(Bloom Raw Data)'!J42</f>
        <v>0.128</v>
      </c>
      <c r="K44" s="232">
        <f>'(Bloom Raw Data)'!K42</f>
        <v>0.1273</v>
      </c>
      <c r="L44" s="235">
        <v>0.1290786568</v>
      </c>
      <c r="M44" s="232" t="str">
        <f>'(Bloom Raw Data)'!M42</f>
        <v>#N/A N/A</v>
      </c>
      <c r="N44" s="235">
        <v>0.13251293831152217</v>
      </c>
      <c r="O44" s="232" t="str">
        <f>'(Bloom Raw Data)'!O42</f>
        <v>#N/A N/A</v>
      </c>
      <c r="P44" s="232">
        <f>'(Bloom Raw Data)'!P42</f>
        <v>0.13619999999999999</v>
      </c>
      <c r="Q44" s="232" t="str">
        <f>'(Bloom Raw Data)'!Q42</f>
        <v>#N/A N/A</v>
      </c>
      <c r="R44" s="234">
        <v>0.12654088957494858</v>
      </c>
      <c r="BU44" s="232">
        <f t="shared" si="36"/>
        <v>0.1205</v>
      </c>
      <c r="BV44" s="232">
        <f t="shared" si="37"/>
        <v>0.1246</v>
      </c>
      <c r="BW44" s="232">
        <f t="shared" si="37"/>
        <v>0.12570000000000001</v>
      </c>
      <c r="BX44" s="232">
        <f t="shared" si="37"/>
        <v>0.12479999999999999</v>
      </c>
      <c r="BY44" s="232">
        <f t="shared" si="37"/>
        <v>0.1283</v>
      </c>
      <c r="BZ44" s="232">
        <f t="shared" si="37"/>
        <v>0.1275</v>
      </c>
      <c r="CA44" s="232">
        <f t="shared" si="37"/>
        <v>0.128</v>
      </c>
      <c r="CB44" s="232">
        <f t="shared" si="37"/>
        <v>0.1273</v>
      </c>
      <c r="CC44" s="235">
        <f t="shared" si="37"/>
        <v>0.1290786568</v>
      </c>
      <c r="CD44" s="232" t="str">
        <f t="shared" si="37"/>
        <v>#N/A N/A</v>
      </c>
      <c r="CE44" s="235">
        <f t="shared" si="37"/>
        <v>0.13251293831152217</v>
      </c>
      <c r="CF44" s="232" t="str">
        <f t="shared" si="37"/>
        <v>#N/A N/A</v>
      </c>
      <c r="CG44" s="232">
        <f t="shared" si="37"/>
        <v>0.13619999999999999</v>
      </c>
      <c r="CH44" s="232" t="str">
        <f t="shared" si="37"/>
        <v>#N/A N/A</v>
      </c>
      <c r="CI44" s="234">
        <f t="shared" si="37"/>
        <v>0.12654088957494858</v>
      </c>
      <c r="DA44" s="1712">
        <f>DA38/DA39</f>
        <v>1.1666290316510481</v>
      </c>
      <c r="DB44" s="1707"/>
      <c r="DC44" s="1712">
        <f>DC38/DC39</f>
        <v>1.2010905809893688</v>
      </c>
      <c r="DD44" s="1707"/>
      <c r="DE44" s="1707"/>
      <c r="DF44" s="1707"/>
      <c r="DG44" s="1707"/>
      <c r="DH44" s="1712">
        <f>DH38/DH39</f>
        <v>1.3226043623886938</v>
      </c>
      <c r="DN44" s="998">
        <f>DN38/DN39</f>
        <v>1.4438223217618513</v>
      </c>
      <c r="DO44" s="998">
        <f>DO38/DO39</f>
        <v>1.514055981698291</v>
      </c>
    </row>
    <row r="45" spans="1:236">
      <c r="A45" s="11" t="str">
        <f>'(Bloom Raw Data)'!A43</f>
        <v>PLN / €</v>
      </c>
      <c r="D45" s="232">
        <f>'(Bloom Raw Data)'!D43</f>
        <v>0.24392</v>
      </c>
      <c r="E45" s="232">
        <f>'(Bloom Raw Data)'!E43</f>
        <v>0.25905</v>
      </c>
      <c r="F45" s="232">
        <f>'(Bloom Raw Data)'!F43</f>
        <v>0.24115</v>
      </c>
      <c r="G45" s="232">
        <f>'(Bloom Raw Data)'!G43</f>
        <v>0.25220999999999999</v>
      </c>
      <c r="H45" s="232">
        <f>'(Bloom Raw Data)'!H43</f>
        <v>0.25224000000000002</v>
      </c>
      <c r="I45" s="232">
        <f>'(Bloom Raw Data)'!I43</f>
        <v>0.24845999999999999</v>
      </c>
      <c r="J45" s="232">
        <f>'(Bloom Raw Data)'!J43</f>
        <v>0.25142999999999999</v>
      </c>
      <c r="K45" s="232">
        <f>'(Bloom Raw Data)'!K43</f>
        <v>0.22625000000000001</v>
      </c>
      <c r="L45" s="235">
        <v>0.22446135819999999</v>
      </c>
      <c r="M45" s="232" t="str">
        <f>'(Bloom Raw Data)'!M43</f>
        <v>#N/A N/A</v>
      </c>
      <c r="N45" s="234">
        <v>0.23602567534029434</v>
      </c>
      <c r="O45" s="232" t="str">
        <f>'(Bloom Raw Data)'!O43</f>
        <v>#N/A N/A</v>
      </c>
      <c r="P45" s="232">
        <f>'(Bloom Raw Data)'!P43</f>
        <v>0.24504000000000001</v>
      </c>
      <c r="Q45" s="232" t="str">
        <f>'(Bloom Raw Data)'!Q43</f>
        <v>#N/A N/A</v>
      </c>
      <c r="R45" s="235">
        <v>0.23132551262675033</v>
      </c>
      <c r="BU45" s="232">
        <f t="shared" si="36"/>
        <v>0.24392</v>
      </c>
      <c r="BV45" s="232">
        <f t="shared" si="37"/>
        <v>0.25905</v>
      </c>
      <c r="BW45" s="232">
        <f t="shared" si="37"/>
        <v>0.24115</v>
      </c>
      <c r="BX45" s="232">
        <f t="shared" si="37"/>
        <v>0.25220999999999999</v>
      </c>
      <c r="BY45" s="232">
        <f t="shared" si="37"/>
        <v>0.25224000000000002</v>
      </c>
      <c r="BZ45" s="232">
        <f t="shared" si="37"/>
        <v>0.24845999999999999</v>
      </c>
      <c r="CA45" s="232">
        <f t="shared" si="37"/>
        <v>0.25142999999999999</v>
      </c>
      <c r="CB45" s="232">
        <f t="shared" si="37"/>
        <v>0.22625000000000001</v>
      </c>
      <c r="CC45" s="235">
        <f t="shared" si="37"/>
        <v>0.22446135819999999</v>
      </c>
      <c r="CD45" s="232" t="str">
        <f t="shared" si="37"/>
        <v>#N/A N/A</v>
      </c>
      <c r="CE45" s="234">
        <f t="shared" si="37"/>
        <v>0.23602567534029434</v>
      </c>
      <c r="CF45" s="232" t="str">
        <f t="shared" si="37"/>
        <v>#N/A N/A</v>
      </c>
      <c r="CG45" s="232">
        <f t="shared" si="37"/>
        <v>0.24504000000000001</v>
      </c>
      <c r="CH45" s="232" t="str">
        <f t="shared" si="37"/>
        <v>#N/A N/A</v>
      </c>
      <c r="CI45" s="235">
        <f t="shared" si="37"/>
        <v>0.23132551262675033</v>
      </c>
      <c r="CJ45" s="176"/>
      <c r="CK45" s="176"/>
      <c r="CL45" s="176"/>
      <c r="CM45" s="176"/>
      <c r="CN45" s="176"/>
      <c r="CO45" s="176"/>
      <c r="CP45" s="176"/>
      <c r="CQ45" s="176"/>
      <c r="CR45" s="176"/>
      <c r="CS45" s="176"/>
      <c r="CT45" s="176"/>
      <c r="CU45" s="176"/>
      <c r="CV45" s="176"/>
      <c r="CW45" s="176"/>
      <c r="CX45" s="176"/>
      <c r="CY45" s="176"/>
      <c r="CZ45" s="176"/>
    </row>
    <row r="46" spans="1:236">
      <c r="A46" s="11" t="str">
        <f>'(Bloom Raw Data)'!A44</f>
        <v>£ / €</v>
      </c>
      <c r="D46" s="232">
        <f>'(Bloom Raw Data)'!D44</f>
        <v>1.1274999999999999</v>
      </c>
      <c r="E46" s="232">
        <f>'(Bloom Raw Data)'!E44</f>
        <v>1.1238999999999999</v>
      </c>
      <c r="F46" s="232">
        <f>'(Bloom Raw Data)'!F44</f>
        <v>1.2215</v>
      </c>
      <c r="G46" s="232">
        <f>'(Bloom Raw Data)'!G44</f>
        <v>1.1524000000000001</v>
      </c>
      <c r="H46" s="232">
        <f>'(Bloom Raw Data)'!H44</f>
        <v>1.1663999999999999</v>
      </c>
      <c r="I46" s="232">
        <f>'(Bloom Raw Data)'!I44</f>
        <v>1.1320999999999999</v>
      </c>
      <c r="J46" s="232">
        <f>'(Bloom Raw Data)'!J44</f>
        <v>1.107</v>
      </c>
      <c r="K46" s="232">
        <f>'(Bloom Raw Data)'!K44</f>
        <v>1.1639999999999999</v>
      </c>
      <c r="L46" s="235">
        <v>1.197893356</v>
      </c>
      <c r="M46" s="232" t="str">
        <f>'(Bloom Raw Data)'!M44</f>
        <v>#N/A N/A</v>
      </c>
      <c r="N46" s="235">
        <v>1.2402969162961393</v>
      </c>
      <c r="O46" s="232" t="str">
        <f>'(Bloom Raw Data)'!O44</f>
        <v>#N/A N/A</v>
      </c>
      <c r="P46" s="232">
        <f>'(Bloom Raw Data)'!P44</f>
        <v>1.2317</v>
      </c>
      <c r="Q46" s="232" t="str">
        <f>'(Bloom Raw Data)'!Q44</f>
        <v>#N/A N/A</v>
      </c>
      <c r="R46" s="235">
        <v>1.1691318290431234</v>
      </c>
      <c r="BU46" s="232">
        <f t="shared" si="36"/>
        <v>1.1274999999999999</v>
      </c>
      <c r="BV46" s="232">
        <f t="shared" si="37"/>
        <v>1.1238999999999999</v>
      </c>
      <c r="BW46" s="232">
        <f t="shared" si="37"/>
        <v>1.2215</v>
      </c>
      <c r="BX46" s="232">
        <f t="shared" si="37"/>
        <v>1.1524000000000001</v>
      </c>
      <c r="BY46" s="232">
        <f t="shared" si="37"/>
        <v>1.1663999999999999</v>
      </c>
      <c r="BZ46" s="232">
        <f t="shared" si="37"/>
        <v>1.1320999999999999</v>
      </c>
      <c r="CA46" s="232">
        <f t="shared" si="37"/>
        <v>1.107</v>
      </c>
      <c r="CB46" s="232">
        <f t="shared" si="37"/>
        <v>1.1639999999999999</v>
      </c>
      <c r="CC46" s="235">
        <f t="shared" si="37"/>
        <v>1.197893356</v>
      </c>
      <c r="CD46" s="232" t="str">
        <f t="shared" si="37"/>
        <v>#N/A N/A</v>
      </c>
      <c r="CE46" s="235">
        <f t="shared" si="37"/>
        <v>1.2402969162961393</v>
      </c>
      <c r="CF46" s="232" t="str">
        <f t="shared" si="37"/>
        <v>#N/A N/A</v>
      </c>
      <c r="CG46" s="232">
        <f t="shared" si="37"/>
        <v>1.2317</v>
      </c>
      <c r="CH46" s="232" t="str">
        <f t="shared" si="37"/>
        <v>#N/A N/A</v>
      </c>
      <c r="CI46" s="235">
        <f t="shared" si="37"/>
        <v>1.1691318290431234</v>
      </c>
      <c r="CJ46" s="176"/>
      <c r="CK46" s="176"/>
      <c r="CL46" s="176"/>
      <c r="CM46" s="176"/>
      <c r="CN46" s="176"/>
      <c r="CO46" s="176"/>
      <c r="CP46" s="176"/>
      <c r="CQ46" s="176"/>
      <c r="CR46" s="176"/>
      <c r="CS46" s="176"/>
      <c r="CT46" s="176"/>
      <c r="CU46" s="176"/>
      <c r="CV46" s="176"/>
      <c r="CW46" s="176"/>
      <c r="CX46" s="176"/>
      <c r="CY46" s="176"/>
      <c r="CZ46" s="176"/>
    </row>
    <row r="47" spans="1:236">
      <c r="A47" s="11" t="str">
        <f>'(Bloom Raw Data)'!A45</f>
        <v>SEK / €</v>
      </c>
      <c r="D47" s="232">
        <f>'(Bloom Raw Data)'!D45</f>
        <v>9.7509999999999999E-2</v>
      </c>
      <c r="E47" s="232">
        <f>'(Bloom Raw Data)'!E45</f>
        <v>0.10254000000000001</v>
      </c>
      <c r="F47" s="232">
        <f>'(Bloom Raw Data)'!F45</f>
        <v>0.10485</v>
      </c>
      <c r="G47" s="232">
        <f>'(Bloom Raw Data)'!G45</f>
        <v>0.10881</v>
      </c>
      <c r="H47" s="232">
        <f>'(Bloom Raw Data)'!H45</f>
        <v>0.11133</v>
      </c>
      <c r="I47" s="232">
        <f>'(Bloom Raw Data)'!I45</f>
        <v>0.11169999999999999</v>
      </c>
      <c r="J47" s="232">
        <f>'(Bloom Raw Data)'!J45</f>
        <v>0.10896</v>
      </c>
      <c r="K47" s="232">
        <f>'(Bloom Raw Data)'!K45</f>
        <v>0.10867</v>
      </c>
      <c r="L47" s="235">
        <v>0.111752832</v>
      </c>
      <c r="M47" s="232" t="str">
        <f>'(Bloom Raw Data)'!M45</f>
        <v>#N/A N/A</v>
      </c>
      <c r="N47" s="234">
        <v>0.11411761929333547</v>
      </c>
      <c r="O47" s="232" t="str">
        <f>'(Bloom Raw Data)'!O45</f>
        <v>#N/A N/A</v>
      </c>
      <c r="P47" s="232">
        <f>'(Bloom Raw Data)'!P45</f>
        <v>0.11656</v>
      </c>
      <c r="Q47" s="232" t="str">
        <f>'(Bloom Raw Data)'!Q45</f>
        <v>#N/A N/A</v>
      </c>
      <c r="R47" s="235">
        <v>0.11476656615243665</v>
      </c>
      <c r="BU47" s="232">
        <f t="shared" si="36"/>
        <v>9.7509999999999999E-2</v>
      </c>
      <c r="BV47" s="232">
        <f t="shared" si="37"/>
        <v>0.10254000000000001</v>
      </c>
      <c r="BW47" s="232">
        <f t="shared" si="37"/>
        <v>0.10485</v>
      </c>
      <c r="BX47" s="232">
        <f t="shared" si="37"/>
        <v>0.10881</v>
      </c>
      <c r="BY47" s="232">
        <f t="shared" si="37"/>
        <v>0.11133</v>
      </c>
      <c r="BZ47" s="232">
        <f t="shared" si="37"/>
        <v>0.11169999999999999</v>
      </c>
      <c r="CA47" s="232">
        <f t="shared" si="37"/>
        <v>0.10896</v>
      </c>
      <c r="CB47" s="232">
        <f t="shared" si="37"/>
        <v>0.10867</v>
      </c>
      <c r="CC47" s="235">
        <f t="shared" si="37"/>
        <v>0.111752832</v>
      </c>
      <c r="CD47" s="232" t="str">
        <f t="shared" si="37"/>
        <v>#N/A N/A</v>
      </c>
      <c r="CE47" s="234">
        <f t="shared" si="37"/>
        <v>0.11411761929333547</v>
      </c>
      <c r="CF47" s="232" t="str">
        <f t="shared" si="37"/>
        <v>#N/A N/A</v>
      </c>
      <c r="CG47" s="232">
        <f t="shared" si="37"/>
        <v>0.11656</v>
      </c>
      <c r="CH47" s="232" t="str">
        <f t="shared" si="37"/>
        <v>#N/A N/A</v>
      </c>
      <c r="CI47" s="235">
        <f t="shared" si="37"/>
        <v>0.11476656615243665</v>
      </c>
      <c r="CJ47" s="176"/>
      <c r="CK47" s="176"/>
      <c r="CL47" s="176"/>
      <c r="CM47" s="176"/>
      <c r="CN47" s="176"/>
      <c r="CO47" s="176"/>
      <c r="CP47" s="176"/>
      <c r="CQ47" s="176"/>
      <c r="CR47" s="176"/>
      <c r="CS47" s="176"/>
      <c r="CT47" s="176"/>
      <c r="CU47" s="176"/>
      <c r="CV47" s="176"/>
      <c r="CW47" s="176"/>
      <c r="CX47" s="176"/>
      <c r="CY47" s="176"/>
      <c r="CZ47" s="176"/>
    </row>
    <row r="48" spans="1:236">
      <c r="A48" s="11" t="str">
        <f>'(Bloom Raw Data)'!A46</f>
        <v>CHF / €</v>
      </c>
      <c r="D48" s="232">
        <f>'(Bloom Raw Data)'!D46</f>
        <v>0.67430000000000001</v>
      </c>
      <c r="E48" s="232">
        <f>'(Bloom Raw Data)'!E46</f>
        <v>0.70230000000000004</v>
      </c>
      <c r="F48" s="232">
        <f>'(Bloom Raw Data)'!F46</f>
        <v>0.75849999999999995</v>
      </c>
      <c r="G48" s="232">
        <f>'(Bloom Raw Data)'!G46</f>
        <v>0.74650000000000005</v>
      </c>
      <c r="H48" s="232">
        <f>'(Bloom Raw Data)'!H46</f>
        <v>0.7994</v>
      </c>
      <c r="I48" s="232">
        <f>'(Bloom Raw Data)'!I46</f>
        <v>0.76859999999999995</v>
      </c>
      <c r="J48" s="232">
        <f>'(Bloom Raw Data)'!J46</f>
        <v>0.82040000000000002</v>
      </c>
      <c r="K48" s="232">
        <f>'(Bloom Raw Data)'!K46</f>
        <v>0.8226</v>
      </c>
      <c r="L48" s="235">
        <v>0.8221879285</v>
      </c>
      <c r="M48" s="232" t="str">
        <f>'(Bloom Raw Data)'!M46</f>
        <v>#N/A N/A</v>
      </c>
      <c r="N48" s="235">
        <v>0.83329404525512873</v>
      </c>
      <c r="O48" s="232" t="str">
        <f>'(Bloom Raw Data)'!O46</f>
        <v>#N/A N/A</v>
      </c>
      <c r="P48" s="232">
        <f>'(Bloom Raw Data)'!P46</f>
        <v>0.82809999999999995</v>
      </c>
      <c r="Q48" s="232" t="str">
        <f>'(Bloom Raw Data)'!Q46</f>
        <v>#N/A N/A</v>
      </c>
      <c r="R48" s="234">
        <v>0.8134441471223478</v>
      </c>
      <c r="BU48" s="232">
        <f t="shared" si="36"/>
        <v>0.67430000000000001</v>
      </c>
      <c r="BV48" s="232">
        <f t="shared" si="37"/>
        <v>0.70230000000000004</v>
      </c>
      <c r="BW48" s="232">
        <f t="shared" si="37"/>
        <v>0.75849999999999995</v>
      </c>
      <c r="BX48" s="232">
        <f t="shared" si="37"/>
        <v>0.74650000000000005</v>
      </c>
      <c r="BY48" s="232">
        <f t="shared" si="37"/>
        <v>0.7994</v>
      </c>
      <c r="BZ48" s="232">
        <f t="shared" si="37"/>
        <v>0.76859999999999995</v>
      </c>
      <c r="CA48" s="232">
        <f t="shared" si="37"/>
        <v>0.82040000000000002</v>
      </c>
      <c r="CB48" s="232">
        <f t="shared" si="37"/>
        <v>0.8226</v>
      </c>
      <c r="CC48" s="235">
        <f t="shared" si="37"/>
        <v>0.8221879285</v>
      </c>
      <c r="CD48" s="232" t="str">
        <f t="shared" si="37"/>
        <v>#N/A N/A</v>
      </c>
      <c r="CE48" s="235">
        <f t="shared" si="37"/>
        <v>0.83329404525512873</v>
      </c>
      <c r="CF48" s="232" t="str">
        <f t="shared" si="37"/>
        <v>#N/A N/A</v>
      </c>
      <c r="CG48" s="232">
        <f t="shared" si="37"/>
        <v>0.82809999999999995</v>
      </c>
      <c r="CH48" s="232" t="str">
        <f t="shared" si="37"/>
        <v>#N/A N/A</v>
      </c>
      <c r="CI48" s="234">
        <f t="shared" si="37"/>
        <v>0.8134441471223478</v>
      </c>
      <c r="CJ48" s="178"/>
      <c r="CK48" s="178"/>
      <c r="CL48" s="178"/>
      <c r="CM48" s="178"/>
      <c r="CN48" s="178"/>
      <c r="CO48" s="178"/>
      <c r="CP48" s="178"/>
      <c r="CQ48" s="178"/>
      <c r="CR48" s="178"/>
      <c r="CS48" s="178"/>
      <c r="CT48" s="178"/>
      <c r="CU48" s="178"/>
      <c r="CV48" s="178"/>
      <c r="CW48" s="178"/>
      <c r="CX48" s="178"/>
      <c r="CY48" s="178"/>
      <c r="CZ48" s="178"/>
    </row>
    <row r="49" spans="1:104">
      <c r="R49" s="126" t="s">
        <v>60</v>
      </c>
      <c r="CJ49" s="176"/>
      <c r="CK49" s="176"/>
      <c r="CL49" s="176"/>
      <c r="CM49" s="176"/>
      <c r="CN49" s="176"/>
      <c r="CO49" s="176"/>
      <c r="CP49" s="176"/>
      <c r="CQ49" s="176"/>
      <c r="CR49" s="176"/>
      <c r="CS49" s="176"/>
      <c r="CT49" s="176"/>
      <c r="CU49" s="176"/>
      <c r="CV49" s="176"/>
      <c r="CW49" s="176"/>
      <c r="CX49" s="176"/>
      <c r="CY49" s="176"/>
      <c r="CZ49" s="176"/>
    </row>
    <row r="50" spans="1:104">
      <c r="CJ50" s="176"/>
      <c r="CK50" s="176"/>
      <c r="CL50" s="176"/>
      <c r="CM50" s="176"/>
      <c r="CN50" s="176"/>
      <c r="CO50" s="176"/>
      <c r="CP50" s="176"/>
      <c r="CQ50" s="176"/>
      <c r="CR50" s="176"/>
      <c r="CS50" s="176"/>
      <c r="CT50" s="176"/>
      <c r="CU50" s="176"/>
      <c r="CV50" s="176"/>
      <c r="CW50" s="176"/>
      <c r="CX50" s="176"/>
      <c r="CY50" s="176"/>
      <c r="CZ50" s="176"/>
    </row>
    <row r="51" spans="1:104">
      <c r="A51" s="236" t="s">
        <v>502</v>
      </c>
      <c r="B51" s="236" t="s">
        <v>4</v>
      </c>
      <c r="C51" s="236"/>
      <c r="D51" s="236"/>
      <c r="E51" s="461">
        <f>(E5-D5)/D5</f>
        <v>-2.1451784147481806E-2</v>
      </c>
      <c r="F51" s="461">
        <f t="shared" ref="F51:R51" si="38">(F5-E5)/E5</f>
        <v>-3.4558093346573913E-2</v>
      </c>
      <c r="G51" s="461">
        <f t="shared" si="38"/>
        <v>3.4766508948776059E-2</v>
      </c>
      <c r="H51" s="461">
        <f t="shared" si="38"/>
        <v>-4.899115055140383E-2</v>
      </c>
      <c r="I51" s="461">
        <f t="shared" si="38"/>
        <v>0.12575837045215926</v>
      </c>
      <c r="J51" s="461">
        <f t="shared" si="38"/>
        <v>-7.8196872125114187E-3</v>
      </c>
      <c r="K51" s="461">
        <f t="shared" si="38"/>
        <v>-0.18168664703874746</v>
      </c>
      <c r="L51" s="461">
        <f t="shared" si="38"/>
        <v>4.5487892750021835E-3</v>
      </c>
      <c r="M51" s="461">
        <f t="shared" si="38"/>
        <v>2.2372301612852752E-2</v>
      </c>
      <c r="N51" s="461">
        <f t="shared" si="38"/>
        <v>-4.7440423654015858E-2</v>
      </c>
      <c r="O51" s="461">
        <f t="shared" si="38"/>
        <v>0.10875608061153563</v>
      </c>
      <c r="P51" s="461">
        <f t="shared" si="38"/>
        <v>-0.1025115742360805</v>
      </c>
      <c r="Q51" s="461">
        <f t="shared" si="38"/>
        <v>-3.406289497618302E-2</v>
      </c>
      <c r="R51" s="461">
        <f t="shared" si="38"/>
        <v>0.10964761022308471</v>
      </c>
      <c r="CJ51" s="176"/>
      <c r="CK51" s="176"/>
      <c r="CL51" s="176"/>
      <c r="CM51" s="176"/>
      <c r="CN51" s="176"/>
      <c r="CO51" s="176"/>
      <c r="CP51" s="176"/>
      <c r="CQ51" s="176"/>
      <c r="CR51" s="176"/>
      <c r="CS51" s="176"/>
      <c r="CT51" s="176"/>
      <c r="CU51" s="176"/>
      <c r="CV51" s="176"/>
      <c r="CW51" s="176"/>
      <c r="CX51" s="176"/>
      <c r="CY51" s="176"/>
      <c r="CZ51" s="176"/>
    </row>
    <row r="52" spans="1:104">
      <c r="A52" s="236" t="s">
        <v>389</v>
      </c>
      <c r="B52" s="236" t="s">
        <v>3</v>
      </c>
      <c r="C52" s="236"/>
      <c r="D52" s="236"/>
      <c r="E52" s="461">
        <f t="shared" ref="E52:R52" si="39">(E6-D6)/D6</f>
        <v>4.0201007763917489E-2</v>
      </c>
      <c r="F52" s="461">
        <f t="shared" si="39"/>
        <v>-0.11739129893741057</v>
      </c>
      <c r="G52" s="461">
        <f t="shared" si="39"/>
        <v>0.20853857054647904</v>
      </c>
      <c r="H52" s="461">
        <f t="shared" si="39"/>
        <v>-4.7101436372233303E-2</v>
      </c>
      <c r="I52" s="461">
        <f t="shared" si="39"/>
        <v>-1.9011407987459962E-2</v>
      </c>
      <c r="J52" s="461">
        <f t="shared" si="39"/>
        <v>-0.14728683511397048</v>
      </c>
      <c r="K52" s="461">
        <f t="shared" si="39"/>
        <v>-0.1387499993901754</v>
      </c>
      <c r="L52" s="461">
        <f t="shared" si="39"/>
        <v>0.21889430728226286</v>
      </c>
      <c r="M52" s="461">
        <f t="shared" si="39"/>
        <v>-5.4773744456243945E-2</v>
      </c>
      <c r="N52" s="461">
        <f t="shared" si="39"/>
        <v>-0.11142924023240874</v>
      </c>
      <c r="O52" s="461">
        <f t="shared" si="39"/>
        <v>-0.29114576747559839</v>
      </c>
      <c r="P52" s="461">
        <f t="shared" si="39"/>
        <v>4.3636383654948221E-2</v>
      </c>
      <c r="Q52" s="461">
        <f t="shared" si="39"/>
        <v>-0.10818814280358367</v>
      </c>
      <c r="R52" s="461">
        <f t="shared" si="39"/>
        <v>-4.9814454741479226E-2</v>
      </c>
      <c r="S52" s="145" t="s">
        <v>1055</v>
      </c>
      <c r="CJ52" s="176"/>
      <c r="CK52" s="176"/>
      <c r="CL52" s="176"/>
      <c r="CM52" s="176"/>
      <c r="CN52" s="176"/>
      <c r="CO52" s="176"/>
      <c r="CP52" s="176"/>
      <c r="CQ52" s="176"/>
      <c r="CR52" s="176"/>
      <c r="CS52" s="176"/>
      <c r="CT52" s="176"/>
      <c r="CU52" s="176"/>
      <c r="CV52" s="176"/>
      <c r="CW52" s="176"/>
      <c r="CX52" s="176"/>
      <c r="CY52" s="176"/>
      <c r="CZ52" s="176"/>
    </row>
    <row r="53" spans="1:104">
      <c r="A53" s="728" t="s">
        <v>323</v>
      </c>
      <c r="B53" s="728" t="s">
        <v>16</v>
      </c>
      <c r="C53" s="236"/>
      <c r="D53" s="236"/>
      <c r="E53" s="3090">
        <f t="shared" ref="E53:R53" si="40">(E7-D7)/D7</f>
        <v>0.13013121476454964</v>
      </c>
      <c r="F53" s="3090">
        <f t="shared" si="40"/>
        <v>-5.6252388913949652E-2</v>
      </c>
      <c r="G53" s="3090">
        <f t="shared" si="40"/>
        <v>0.10593466104136166</v>
      </c>
      <c r="H53" s="3090">
        <f t="shared" si="40"/>
        <v>-0.16464163119261988</v>
      </c>
      <c r="I53" s="3090">
        <f t="shared" si="40"/>
        <v>8.7981859769772686E-2</v>
      </c>
      <c r="J53" s="3090">
        <f t="shared" si="40"/>
        <v>-5.3958048922479115E-2</v>
      </c>
      <c r="K53" s="3090">
        <f t="shared" si="40"/>
        <v>-7.8674530113451255E-2</v>
      </c>
      <c r="L53" s="3090">
        <f t="shared" si="40"/>
        <v>5.2431793033790603E-3</v>
      </c>
      <c r="M53" s="3090">
        <f t="shared" si="40"/>
        <v>5.8142051708981721E-2</v>
      </c>
      <c r="N53" s="3090">
        <f t="shared" si="40"/>
        <v>-6.8381256067819612E-2</v>
      </c>
      <c r="O53" s="3090">
        <f t="shared" si="40"/>
        <v>5.7592251555474122E-2</v>
      </c>
      <c r="P53" s="3090">
        <f t="shared" si="40"/>
        <v>-0.1194851946434133</v>
      </c>
      <c r="Q53" s="3090">
        <f t="shared" si="40"/>
        <v>-7.2552132026158414E-2</v>
      </c>
      <c r="R53" s="3090">
        <f t="shared" si="40"/>
        <v>-0.11130282769761626</v>
      </c>
      <c r="S53" s="146">
        <f>(R7-L7)/L7</f>
        <v>-0.24337546417070122</v>
      </c>
      <c r="CJ53" s="176"/>
      <c r="CK53" s="176"/>
      <c r="CL53" s="176"/>
      <c r="CM53" s="176"/>
      <c r="CN53" s="176"/>
      <c r="CO53" s="176"/>
      <c r="CP53" s="176"/>
      <c r="CQ53" s="176"/>
      <c r="CR53" s="176"/>
      <c r="CS53" s="176"/>
      <c r="CT53" s="176"/>
      <c r="CU53" s="176"/>
      <c r="CV53" s="176"/>
      <c r="CW53" s="176"/>
      <c r="CX53" s="176"/>
      <c r="CY53" s="176"/>
      <c r="CZ53" s="176"/>
    </row>
    <row r="54" spans="1:104">
      <c r="A54" s="3091" t="s">
        <v>323</v>
      </c>
      <c r="B54" s="3091" t="s">
        <v>2</v>
      </c>
      <c r="C54" s="236"/>
      <c r="D54" s="236"/>
      <c r="E54" s="3090">
        <f t="shared" ref="E54:R54" si="41">(E8-D8)/D8</f>
        <v>-4.4482283965323541E-2</v>
      </c>
      <c r="F54" s="3090">
        <f t="shared" si="41"/>
        <v>-4.6553070883836339E-2</v>
      </c>
      <c r="G54" s="3090">
        <f t="shared" si="41"/>
        <v>5.5873312097374568E-2</v>
      </c>
      <c r="H54" s="3090">
        <f t="shared" si="41"/>
        <v>5.291668181894707E-2</v>
      </c>
      <c r="I54" s="3090">
        <f t="shared" si="41"/>
        <v>3.9888686123363742E-2</v>
      </c>
      <c r="J54" s="3090">
        <f t="shared" si="41"/>
        <v>3.8358611508762658E-2</v>
      </c>
      <c r="K54" s="3090">
        <f t="shared" si="41"/>
        <v>-0.11349752111860614</v>
      </c>
      <c r="L54" s="3090">
        <f t="shared" si="41"/>
        <v>-0.12802843062753702</v>
      </c>
      <c r="M54" s="3090">
        <f t="shared" si="41"/>
        <v>-0.16609038019845071</v>
      </c>
      <c r="N54" s="3090">
        <f t="shared" si="41"/>
        <v>-0.1991707209685101</v>
      </c>
      <c r="O54" s="3090">
        <f t="shared" si="41"/>
        <v>-0.14145710676761719</v>
      </c>
      <c r="P54" s="3090">
        <f t="shared" si="41"/>
        <v>-0.16476416948142938</v>
      </c>
      <c r="Q54" s="3090">
        <f t="shared" si="41"/>
        <v>-8.7416208672576892E-2</v>
      </c>
      <c r="R54" s="3090">
        <f t="shared" si="41"/>
        <v>-9.5789788842757559E-2</v>
      </c>
      <c r="S54" s="146">
        <f>(R8-L8)/L8</f>
        <v>-0.60484070756691533</v>
      </c>
      <c r="CJ54" s="176"/>
      <c r="CK54" s="176"/>
      <c r="CL54" s="176"/>
      <c r="CM54" s="176"/>
      <c r="CN54" s="176"/>
      <c r="CO54" s="176"/>
      <c r="CP54" s="176"/>
      <c r="CQ54" s="176"/>
      <c r="CR54" s="176"/>
      <c r="CS54" s="176"/>
      <c r="CT54" s="176"/>
      <c r="CU54" s="176"/>
      <c r="CV54" s="176"/>
      <c r="CW54" s="176"/>
      <c r="CX54" s="176"/>
      <c r="CY54" s="176"/>
      <c r="CZ54" s="176"/>
    </row>
    <row r="55" spans="1:104">
      <c r="A55" s="728" t="s">
        <v>323</v>
      </c>
      <c r="B55" s="728" t="s">
        <v>18</v>
      </c>
      <c r="C55" s="236"/>
      <c r="D55" s="236"/>
      <c r="E55" s="3090">
        <f t="shared" ref="E55:R55" si="42">(E9-D9)/D9</f>
        <v>0.12166817065560466</v>
      </c>
      <c r="F55" s="3090">
        <f t="shared" si="42"/>
        <v>-3.1464990062299254E-2</v>
      </c>
      <c r="G55" s="3090">
        <f t="shared" si="42"/>
        <v>0.13891568745099558</v>
      </c>
      <c r="H55" s="3090">
        <f t="shared" si="42"/>
        <v>0.20262618621493531</v>
      </c>
      <c r="I55" s="3090">
        <f t="shared" si="42"/>
        <v>0.128111978516878</v>
      </c>
      <c r="J55" s="3090">
        <f t="shared" si="42"/>
        <v>-1.0805644796822413E-2</v>
      </c>
      <c r="K55" s="3090">
        <f t="shared" si="42"/>
        <v>-0.15560605831198282</v>
      </c>
      <c r="L55" s="3090">
        <f t="shared" si="42"/>
        <v>7.1899489261399566E-2</v>
      </c>
      <c r="M55" s="3090">
        <f t="shared" si="42"/>
        <v>5.3812716234357016E-2</v>
      </c>
      <c r="N55" s="3090">
        <f t="shared" si="42"/>
        <v>0.11089938698144734</v>
      </c>
      <c r="O55" s="3090">
        <f t="shared" si="42"/>
        <v>7.2821713760271899E-3</v>
      </c>
      <c r="P55" s="3090">
        <f t="shared" si="42"/>
        <v>2.4190726893934835E-2</v>
      </c>
      <c r="Q55" s="3090">
        <f t="shared" si="42"/>
        <v>8.5118843136419292E-2</v>
      </c>
      <c r="R55" s="3090">
        <f t="shared" si="42"/>
        <v>-7.7079909034359656E-2</v>
      </c>
      <c r="S55" s="146">
        <f>(R9-L9)/L9</f>
        <v>0.20951582174051767</v>
      </c>
      <c r="CJ55" s="176"/>
      <c r="CK55" s="176"/>
      <c r="CL55" s="176"/>
      <c r="CM55" s="176"/>
      <c r="CN55" s="176"/>
      <c r="CO55" s="176"/>
      <c r="CP55" s="176"/>
      <c r="CQ55" s="176"/>
      <c r="CR55" s="176"/>
      <c r="CS55" s="176"/>
      <c r="CT55" s="176"/>
      <c r="CU55" s="176"/>
      <c r="CV55" s="176"/>
      <c r="CW55" s="176"/>
      <c r="CX55" s="176"/>
      <c r="CY55" s="176"/>
      <c r="CZ55" s="176"/>
    </row>
    <row r="56" spans="1:104">
      <c r="A56" s="236" t="s">
        <v>545</v>
      </c>
      <c r="B56" s="236" t="s">
        <v>13</v>
      </c>
      <c r="C56" s="236"/>
      <c r="D56" s="236"/>
      <c r="E56" s="461">
        <f t="shared" ref="E56:R56" si="43">(E10-D10)/D10</f>
        <v>-2.0014417136014605E-3</v>
      </c>
      <c r="F56" s="461">
        <f t="shared" si="43"/>
        <v>-9.9981043271737291E-2</v>
      </c>
      <c r="G56" s="461">
        <f t="shared" si="43"/>
        <v>4.2783136008209086E-2</v>
      </c>
      <c r="H56" s="461">
        <f t="shared" si="43"/>
        <v>-0.12769690002623171</v>
      </c>
      <c r="I56" s="461">
        <f t="shared" si="43"/>
        <v>-0.11061986294334822</v>
      </c>
      <c r="J56" s="461">
        <f t="shared" si="43"/>
        <v>0.10032817627754337</v>
      </c>
      <c r="K56" s="461">
        <f t="shared" si="43"/>
        <v>-3.0038346825734981E-2</v>
      </c>
      <c r="L56" s="461">
        <f t="shared" si="43"/>
        <v>1.380652117484915E-3</v>
      </c>
      <c r="M56" s="461">
        <f t="shared" si="43"/>
        <v>-0.10994837724515208</v>
      </c>
      <c r="N56" s="461">
        <f t="shared" si="43"/>
        <v>5.4213898472153773E-3</v>
      </c>
      <c r="O56" s="461">
        <f t="shared" si="43"/>
        <v>3.5784313725490194E-2</v>
      </c>
      <c r="P56" s="461">
        <f t="shared" si="43"/>
        <v>-5.2531945101751062E-2</v>
      </c>
      <c r="Q56" s="461">
        <f t="shared" si="43"/>
        <v>0.11613386613386613</v>
      </c>
      <c r="R56" s="461">
        <f t="shared" si="43"/>
        <v>2.2784027339856353E-2</v>
      </c>
      <c r="CJ56" s="176"/>
      <c r="CK56" s="176"/>
      <c r="CL56" s="176"/>
      <c r="CM56" s="176"/>
      <c r="CN56" s="176"/>
      <c r="CO56" s="176"/>
      <c r="CP56" s="176"/>
      <c r="CQ56" s="176"/>
      <c r="CR56" s="176"/>
      <c r="CS56" s="176"/>
      <c r="CT56" s="176"/>
      <c r="CU56" s="176"/>
      <c r="CV56" s="176"/>
      <c r="CW56" s="176"/>
      <c r="CX56" s="176"/>
      <c r="CY56" s="176"/>
      <c r="CZ56" s="176"/>
    </row>
    <row r="57" spans="1:104">
      <c r="A57" s="3092" t="s">
        <v>219</v>
      </c>
      <c r="B57" s="236" t="s">
        <v>9</v>
      </c>
      <c r="C57" s="236"/>
      <c r="D57" s="236"/>
      <c r="E57" s="461">
        <f t="shared" ref="E57:R57" si="44">(E11-D11)/D11</f>
        <v>-0.10018662594293831</v>
      </c>
      <c r="F57" s="461">
        <f t="shared" si="44"/>
        <v>-0.13027480377006326</v>
      </c>
      <c r="G57" s="461">
        <f t="shared" si="44"/>
        <v>0.19075869450680483</v>
      </c>
      <c r="H57" s="461">
        <f t="shared" si="44"/>
        <v>-7.7357695946477734E-2</v>
      </c>
      <c r="I57" s="461">
        <f t="shared" si="44"/>
        <v>5.4010351208472196E-2</v>
      </c>
      <c r="J57" s="461">
        <f t="shared" si="44"/>
        <v>-4.5570335854565089E-2</v>
      </c>
      <c r="K57" s="461">
        <f t="shared" si="44"/>
        <v>-0.14442467422885369</v>
      </c>
      <c r="L57" s="461">
        <f t="shared" si="44"/>
        <v>-8.9217504300098699E-2</v>
      </c>
      <c r="M57" s="461">
        <f t="shared" si="44"/>
        <v>-8.3572091132071952E-2</v>
      </c>
      <c r="N57" s="461">
        <f t="shared" si="44"/>
        <v>-0.14625672908704437</v>
      </c>
      <c r="O57" s="461">
        <f t="shared" si="44"/>
        <v>6.4532074516113914E-3</v>
      </c>
      <c r="P57" s="461">
        <f t="shared" si="44"/>
        <v>-2.8152238750651939E-2</v>
      </c>
      <c r="Q57" s="461">
        <f t="shared" si="44"/>
        <v>4.0378791539100505E-2</v>
      </c>
      <c r="R57" s="461">
        <f t="shared" si="44"/>
        <v>-6.9328565426238636E-2</v>
      </c>
      <c r="CJ57" s="178"/>
      <c r="CK57" s="178"/>
      <c r="CL57" s="178"/>
      <c r="CM57" s="178"/>
      <c r="CN57" s="178"/>
      <c r="CO57" s="178"/>
      <c r="CP57" s="178"/>
      <c r="CQ57" s="178"/>
      <c r="CR57" s="178"/>
      <c r="CS57" s="178"/>
      <c r="CT57" s="178"/>
      <c r="CU57" s="178"/>
      <c r="CV57" s="178"/>
      <c r="CW57" s="178"/>
      <c r="CX57" s="178"/>
      <c r="CY57" s="178"/>
      <c r="CZ57" s="178"/>
    </row>
    <row r="58" spans="1:104">
      <c r="A58" s="236" t="s">
        <v>73</v>
      </c>
      <c r="B58" s="236" t="s">
        <v>84</v>
      </c>
      <c r="C58" s="236"/>
      <c r="D58" s="236"/>
      <c r="E58" s="461">
        <f t="shared" ref="E58:R58" si="45">(E12-D12)/D12</f>
        <v>-4.2270082771579329E-2</v>
      </c>
      <c r="F58" s="461">
        <f t="shared" si="45"/>
        <v>-6.8777256824156321E-2</v>
      </c>
      <c r="G58" s="461">
        <f t="shared" si="45"/>
        <v>0.18495071968300397</v>
      </c>
      <c r="H58" s="461">
        <f t="shared" si="45"/>
        <v>3.0878058793884222E-2</v>
      </c>
      <c r="I58" s="461">
        <f t="shared" si="45"/>
        <v>-0.10527734172254492</v>
      </c>
      <c r="J58" s="461">
        <f t="shared" si="45"/>
        <v>-4.4499741094698508E-2</v>
      </c>
      <c r="K58" s="461">
        <f t="shared" si="45"/>
        <v>0.105216938634123</v>
      </c>
      <c r="L58" s="461">
        <f t="shared" si="45"/>
        <v>-1.4343853520419871E-2</v>
      </c>
      <c r="M58" s="461">
        <f t="shared" si="45"/>
        <v>0.11516064568598086</v>
      </c>
      <c r="N58" s="461">
        <f t="shared" si="45"/>
        <v>-0.11478820833803649</v>
      </c>
      <c r="O58" s="461">
        <f t="shared" si="45"/>
        <v>0.10767994471727797</v>
      </c>
      <c r="P58" s="461">
        <f t="shared" si="45"/>
        <v>-4.7484926719107493E-2</v>
      </c>
      <c r="Q58" s="461">
        <f t="shared" si="45"/>
        <v>-0.13385835111892236</v>
      </c>
      <c r="R58" s="461">
        <f t="shared" si="45"/>
        <v>4.0070161405191818E-2</v>
      </c>
      <c r="CJ58" s="176"/>
      <c r="CK58" s="176"/>
      <c r="CL58" s="176"/>
      <c r="CM58" s="176"/>
      <c r="CN58" s="176"/>
      <c r="CO58" s="176"/>
      <c r="CP58" s="176"/>
      <c r="CQ58" s="176"/>
      <c r="CR58" s="176"/>
      <c r="CS58" s="176"/>
      <c r="CT58" s="176"/>
      <c r="CU58" s="176"/>
      <c r="CV58" s="176"/>
      <c r="CW58" s="176"/>
      <c r="CX58" s="176"/>
      <c r="CY58" s="176"/>
      <c r="CZ58" s="176"/>
    </row>
    <row r="59" spans="1:104">
      <c r="A59" s="3093" t="s">
        <v>19</v>
      </c>
      <c r="B59" s="3093" t="s">
        <v>33</v>
      </c>
      <c r="C59" s="236"/>
      <c r="D59" s="236"/>
      <c r="E59" s="461">
        <f t="shared" ref="E59:R59" si="46">(E13-D13)/D13</f>
        <v>-0.1174011061896084</v>
      </c>
      <c r="F59" s="461">
        <f t="shared" si="46"/>
        <v>-0.13301750887400232</v>
      </c>
      <c r="G59" s="461">
        <f t="shared" si="46"/>
        <v>0.13820609789160113</v>
      </c>
      <c r="H59" s="461">
        <f t="shared" si="46"/>
        <v>0.12142449258320824</v>
      </c>
      <c r="I59" s="461">
        <f t="shared" si="46"/>
        <v>6.9209280293768605E-2</v>
      </c>
      <c r="J59" s="461">
        <f t="shared" si="46"/>
        <v>6.4729404775417901E-2</v>
      </c>
      <c r="K59" s="461">
        <f t="shared" si="46"/>
        <v>3.6871149782511915E-2</v>
      </c>
      <c r="L59" s="461">
        <f t="shared" si="46"/>
        <v>3.556001128032716E-2</v>
      </c>
      <c r="M59" s="461">
        <f t="shared" si="46"/>
        <v>9.9964666169797989E-2</v>
      </c>
      <c r="N59" s="461">
        <f t="shared" si="46"/>
        <v>9.0879888458496108E-2</v>
      </c>
      <c r="O59" s="461">
        <f t="shared" si="46"/>
        <v>7.4207467416755046E-2</v>
      </c>
      <c r="P59" s="461">
        <f t="shared" si="46"/>
        <v>6.9081131594820003E-2</v>
      </c>
      <c r="Q59" s="461">
        <f t="shared" si="46"/>
        <v>0.13879277201076515</v>
      </c>
      <c r="R59" s="461">
        <f t="shared" si="46"/>
        <v>0.12187711006076958</v>
      </c>
      <c r="CJ59" s="176"/>
      <c r="CK59" s="176"/>
      <c r="CL59" s="176"/>
      <c r="CM59" s="176"/>
      <c r="CN59" s="176"/>
      <c r="CO59" s="176"/>
      <c r="CP59" s="176"/>
      <c r="CQ59" s="176"/>
      <c r="CR59" s="176"/>
      <c r="CS59" s="176"/>
      <c r="CT59" s="176"/>
      <c r="CU59" s="176"/>
      <c r="CV59" s="176"/>
      <c r="CW59" s="176"/>
      <c r="CX59" s="176"/>
      <c r="CY59" s="176"/>
      <c r="CZ59" s="176"/>
    </row>
    <row r="60" spans="1:104">
      <c r="A60" s="3093" t="s">
        <v>19</v>
      </c>
      <c r="B60" s="3093" t="s">
        <v>74</v>
      </c>
      <c r="C60" s="236"/>
      <c r="D60" s="236"/>
      <c r="E60" s="461">
        <f t="shared" ref="E60:R60" si="47">(E14-D14)/D14</f>
        <v>-9.0211011935650023E-2</v>
      </c>
      <c r="F60" s="461">
        <f t="shared" si="47"/>
        <v>-9.915597255972633E-2</v>
      </c>
      <c r="G60" s="461">
        <f t="shared" si="47"/>
        <v>4.6294019384900319E-2</v>
      </c>
      <c r="H60" s="461">
        <f t="shared" si="47"/>
        <v>4.4245707733391849E-2</v>
      </c>
      <c r="I60" s="461">
        <f t="shared" si="47"/>
        <v>-3.0069877400035246E-2</v>
      </c>
      <c r="J60" s="461">
        <f t="shared" si="47"/>
        <v>-3.1002106955324637E-2</v>
      </c>
      <c r="K60" s="461">
        <f t="shared" si="47"/>
        <v>-8.8447945375047854E-2</v>
      </c>
      <c r="L60" s="461">
        <f t="shared" si="47"/>
        <v>-9.7030054319211592E-2</v>
      </c>
      <c r="M60" s="461">
        <f t="shared" si="47"/>
        <v>-7.2995625482196055E-2</v>
      </c>
      <c r="N60" s="461">
        <f t="shared" si="47"/>
        <v>-7.87435609677309E-2</v>
      </c>
      <c r="O60" s="461">
        <f t="shared" si="47"/>
        <v>-9.8591016545344828E-2</v>
      </c>
      <c r="P60" s="461">
        <f t="shared" si="47"/>
        <v>-0.1093743443375662</v>
      </c>
      <c r="Q60" s="461">
        <f t="shared" si="47"/>
        <v>-6.3563208033350013E-2</v>
      </c>
      <c r="R60" s="461">
        <f t="shared" si="47"/>
        <v>-6.7877734598464745E-2</v>
      </c>
      <c r="CJ60" s="176"/>
      <c r="CK60" s="176"/>
      <c r="CL60" s="176"/>
      <c r="CM60" s="176"/>
      <c r="CN60" s="176"/>
      <c r="CO60" s="176"/>
      <c r="CP60" s="176"/>
      <c r="CQ60" s="176"/>
      <c r="CR60" s="176"/>
      <c r="CS60" s="176"/>
      <c r="CT60" s="176"/>
      <c r="CU60" s="176"/>
      <c r="CV60" s="176"/>
      <c r="CW60" s="176"/>
      <c r="CX60" s="176"/>
      <c r="CY60" s="176"/>
      <c r="CZ60" s="176"/>
    </row>
    <row r="61" spans="1:104">
      <c r="A61" s="236" t="s">
        <v>378</v>
      </c>
      <c r="B61" s="236" t="s">
        <v>5</v>
      </c>
      <c r="C61" s="236"/>
      <c r="D61" s="236"/>
      <c r="E61" s="461">
        <f t="shared" ref="E61:R61" si="48">(E15-D15)/D15</f>
        <v>-0.10689989734611705</v>
      </c>
      <c r="F61" s="461">
        <f t="shared" si="48"/>
        <v>-0.32535365164399255</v>
      </c>
      <c r="G61" s="461">
        <f t="shared" si="48"/>
        <v>-0.1483870783042098</v>
      </c>
      <c r="H61" s="461">
        <f t="shared" si="48"/>
        <v>0.16098483377531667</v>
      </c>
      <c r="I61" s="461">
        <f t="shared" si="48"/>
        <v>0.285481244744971</v>
      </c>
      <c r="J61" s="461">
        <f t="shared" si="48"/>
        <v>-0.18401015993977402</v>
      </c>
      <c r="K61" s="461">
        <f t="shared" si="48"/>
        <v>-0.50233282894417464</v>
      </c>
      <c r="L61" s="461">
        <f t="shared" si="48"/>
        <v>-9.9999987248811109E-2</v>
      </c>
      <c r="M61" s="461">
        <f t="shared" si="48"/>
        <v>0.10763887585237268</v>
      </c>
      <c r="N61" s="461">
        <f t="shared" si="48"/>
        <v>-0.37304072187685733</v>
      </c>
      <c r="O61" s="461">
        <f t="shared" si="48"/>
        <v>0.45499993471391648</v>
      </c>
      <c r="P61" s="461">
        <f t="shared" si="48"/>
        <v>0.75257737018220627</v>
      </c>
      <c r="Q61" s="461">
        <f t="shared" si="48"/>
        <v>-7.4509824315626222E-2</v>
      </c>
      <c r="R61" s="461">
        <f t="shared" si="48"/>
        <v>0.27118644580628121</v>
      </c>
      <c r="CJ61" s="228"/>
      <c r="CK61" s="228"/>
      <c r="CL61" s="228"/>
      <c r="CM61" s="228"/>
      <c r="CN61" s="228"/>
      <c r="CO61" s="228"/>
      <c r="CP61" s="228"/>
      <c r="CQ61" s="228"/>
      <c r="CR61" s="228"/>
      <c r="CS61" s="228"/>
      <c r="CT61" s="228"/>
      <c r="CU61" s="228"/>
      <c r="CV61" s="228"/>
      <c r="CW61" s="228"/>
      <c r="CX61" s="228"/>
      <c r="CY61" s="228"/>
      <c r="CZ61" s="228"/>
    </row>
    <row r="62" spans="1:104">
      <c r="A62" s="236" t="s">
        <v>503</v>
      </c>
      <c r="B62" s="236" t="s">
        <v>6</v>
      </c>
      <c r="C62" s="236"/>
      <c r="D62" s="236"/>
      <c r="E62" s="461">
        <f t="shared" ref="E62:R62" si="49">(E16-D16)/D16</f>
        <v>-2.0220586005358799E-2</v>
      </c>
      <c r="F62" s="461">
        <f t="shared" si="49"/>
        <v>-0.14634146555465385</v>
      </c>
      <c r="G62" s="461">
        <f t="shared" si="49"/>
        <v>0.12795718499992195</v>
      </c>
      <c r="H62" s="461">
        <f t="shared" si="49"/>
        <v>-5.6585365631408924E-2</v>
      </c>
      <c r="I62" s="461">
        <f t="shared" si="49"/>
        <v>0.1220268902878652</v>
      </c>
      <c r="J62" s="461">
        <f t="shared" si="49"/>
        <v>-0.11566820490053069</v>
      </c>
      <c r="K62" s="461">
        <f t="shared" si="49"/>
        <v>-0.14551594799964029</v>
      </c>
      <c r="L62" s="461">
        <f t="shared" si="49"/>
        <v>1.4032949977106544E-2</v>
      </c>
      <c r="M62" s="461">
        <f t="shared" si="49"/>
        <v>7.2803851232825567E-2</v>
      </c>
      <c r="N62" s="461">
        <f t="shared" si="49"/>
        <v>-0.12450925699626318</v>
      </c>
      <c r="O62" s="461">
        <f t="shared" si="49"/>
        <v>-6.4061686345681407E-4</v>
      </c>
      <c r="P62" s="461">
        <f t="shared" si="49"/>
        <v>-0.12435897248350615</v>
      </c>
      <c r="Q62" s="461">
        <f t="shared" si="49"/>
        <v>-0.19326500281776979</v>
      </c>
      <c r="R62" s="461">
        <f t="shared" si="49"/>
        <v>-3.0852999868275478E-2</v>
      </c>
      <c r="CJ62" s="454"/>
      <c r="CK62" s="454"/>
      <c r="CL62" s="454"/>
      <c r="CM62" s="454"/>
      <c r="CN62" s="454"/>
      <c r="CO62" s="454"/>
      <c r="CP62" s="454"/>
      <c r="CQ62" s="454"/>
      <c r="CR62" s="454"/>
      <c r="CS62" s="454"/>
      <c r="CT62" s="454"/>
      <c r="CU62" s="454"/>
      <c r="CV62" s="454"/>
      <c r="CW62" s="454"/>
      <c r="CX62" s="454"/>
      <c r="CY62" s="454"/>
      <c r="CZ62" s="454"/>
    </row>
    <row r="63" spans="1:104">
      <c r="A63" s="236" t="s">
        <v>504</v>
      </c>
      <c r="B63" s="236" t="s">
        <v>14</v>
      </c>
      <c r="C63" s="236"/>
      <c r="D63" s="236"/>
      <c r="E63" s="461">
        <f t="shared" ref="E63:R63" si="50">(E17-D17)/D17</f>
        <v>-4.4345687229408121E-3</v>
      </c>
      <c r="F63" s="461">
        <f t="shared" si="50"/>
        <v>2.5434243176178612E-2</v>
      </c>
      <c r="G63" s="461">
        <f t="shared" si="50"/>
        <v>0.11433689591603528</v>
      </c>
      <c r="H63" s="461">
        <f t="shared" si="50"/>
        <v>1.3100704312655561E-2</v>
      </c>
      <c r="I63" s="461">
        <f t="shared" si="50"/>
        <v>-2.4719801165133864E-2</v>
      </c>
      <c r="J63" s="461">
        <f t="shared" si="50"/>
        <v>-2.9121465063596318E-2</v>
      </c>
      <c r="K63" s="461">
        <f t="shared" si="50"/>
        <v>2.4142025858289919E-3</v>
      </c>
      <c r="L63" s="461">
        <f t="shared" si="50"/>
        <v>5.8474614100500463E-2</v>
      </c>
      <c r="M63" s="461">
        <f t="shared" si="50"/>
        <v>5.9947557022232562E-2</v>
      </c>
      <c r="N63" s="461">
        <f t="shared" si="50"/>
        <v>-3.4481300649027144E-2</v>
      </c>
      <c r="O63" s="461">
        <f t="shared" si="50"/>
        <v>9.5540824042234629E-2</v>
      </c>
      <c r="P63" s="461">
        <f t="shared" si="50"/>
        <v>-5.6653284122622823E-3</v>
      </c>
      <c r="Q63" s="461">
        <f t="shared" si="50"/>
        <v>0.14975456081525071</v>
      </c>
      <c r="R63" s="461">
        <f t="shared" si="50"/>
        <v>-5.7165231010180034E-2</v>
      </c>
    </row>
    <row r="64" spans="1:104">
      <c r="A64" s="236" t="s">
        <v>505</v>
      </c>
      <c r="B64" s="236" t="s">
        <v>7</v>
      </c>
      <c r="C64" s="236"/>
      <c r="D64" s="236"/>
      <c r="E64" s="461">
        <f t="shared" ref="E64:R64" si="51">(E18-D18)/D18</f>
        <v>-1.5805624773698304E-2</v>
      </c>
      <c r="F64" s="461">
        <f t="shared" si="51"/>
        <v>-0.10699062174077331</v>
      </c>
      <c r="G64" s="461">
        <f t="shared" si="51"/>
        <v>5.2578242371484868E-2</v>
      </c>
      <c r="H64" s="461">
        <f t="shared" si="51"/>
        <v>-3.7461436788393428E-2</v>
      </c>
      <c r="I64" s="461">
        <f t="shared" si="51"/>
        <v>6.9684328620584379E-2</v>
      </c>
      <c r="J64" s="461">
        <f t="shared" si="51"/>
        <v>-0.16555740443934658</v>
      </c>
      <c r="K64" s="461">
        <f t="shared" si="51"/>
        <v>-4.5626135281151017E-2</v>
      </c>
      <c r="L64" s="461">
        <f t="shared" si="51"/>
        <v>-9.5328701383760067E-2</v>
      </c>
      <c r="M64" s="461">
        <f t="shared" si="51"/>
        <v>-0.10784207607413082</v>
      </c>
      <c r="N64" s="461">
        <f t="shared" si="51"/>
        <v>-8.3899122411555477E-2</v>
      </c>
      <c r="O64" s="461">
        <f t="shared" si="51"/>
        <v>-0.21307570128494993</v>
      </c>
      <c r="P64" s="461">
        <f t="shared" si="51"/>
        <v>-0.37504205175461214</v>
      </c>
      <c r="Q64" s="461">
        <f t="shared" si="51"/>
        <v>-0.2938643632082677</v>
      </c>
      <c r="R64" s="461">
        <f t="shared" si="51"/>
        <v>0.81550181494363494</v>
      </c>
    </row>
    <row r="65" spans="1:236">
      <c r="A65" s="236" t="s">
        <v>506</v>
      </c>
      <c r="B65" s="236" t="s">
        <v>76</v>
      </c>
      <c r="C65" s="236"/>
      <c r="D65" s="236"/>
      <c r="E65" s="461">
        <f t="shared" ref="E65:R65" si="52">(E19-D19)/D19</f>
        <v>2.1155732014232341E-2</v>
      </c>
      <c r="F65" s="461">
        <f t="shared" si="52"/>
        <v>-0.11782849970014599</v>
      </c>
      <c r="G65" s="461">
        <f t="shared" si="52"/>
        <v>0.25734265748910956</v>
      </c>
      <c r="H65" s="461">
        <f t="shared" si="52"/>
        <v>-9.0417329451188189E-2</v>
      </c>
      <c r="I65" s="461">
        <f t="shared" si="52"/>
        <v>7.6169807174641627E-2</v>
      </c>
      <c r="J65" s="461">
        <f t="shared" si="52"/>
        <v>-5.3409091701877229E-2</v>
      </c>
      <c r="K65" s="461">
        <f t="shared" si="52"/>
        <v>4.4417768185833331E-2</v>
      </c>
      <c r="L65" s="461">
        <f t="shared" si="52"/>
        <v>-1.8157705670922581E-2</v>
      </c>
      <c r="M65" s="461">
        <f t="shared" si="52"/>
        <v>3.4793122605012306E-4</v>
      </c>
      <c r="N65" s="461">
        <f t="shared" si="52"/>
        <v>-8.8940900468337275E-2</v>
      </c>
      <c r="O65" s="461">
        <f t="shared" si="52"/>
        <v>5.6518944725060444E-2</v>
      </c>
      <c r="P65" s="461">
        <f t="shared" si="52"/>
        <v>-0.25653495578238839</v>
      </c>
      <c r="Q65" s="461">
        <f t="shared" si="52"/>
        <v>-0.45461978467996988</v>
      </c>
      <c r="R65" s="461">
        <f t="shared" si="52"/>
        <v>0.12692600186849395</v>
      </c>
    </row>
    <row r="66" spans="1:236">
      <c r="A66" s="236" t="s">
        <v>27</v>
      </c>
      <c r="B66" s="236" t="s">
        <v>8</v>
      </c>
      <c r="C66" s="236"/>
      <c r="D66" s="236"/>
      <c r="E66" s="461">
        <f t="shared" ref="E66:R66" si="53">(E20-D20)/D20</f>
        <v>-5.5085782537672495E-3</v>
      </c>
      <c r="F66" s="461">
        <f t="shared" si="53"/>
        <v>-1.1840808023762531E-2</v>
      </c>
      <c r="G66" s="461">
        <f t="shared" si="53"/>
        <v>0.19682418857651743</v>
      </c>
      <c r="H66" s="461">
        <f t="shared" si="53"/>
        <v>-0.1637307793425947</v>
      </c>
      <c r="I66" s="461">
        <f t="shared" si="53"/>
        <v>-5.2614293260606565E-3</v>
      </c>
      <c r="J66" s="461">
        <f t="shared" si="53"/>
        <v>-0.16048625035108979</v>
      </c>
      <c r="K66" s="461">
        <f t="shared" si="53"/>
        <v>-0.19555359960779539</v>
      </c>
      <c r="L66" s="461">
        <f t="shared" si="53"/>
        <v>-0.26779837252089705</v>
      </c>
      <c r="M66" s="461">
        <f t="shared" si="53"/>
        <v>1.3436780324574937E-2</v>
      </c>
      <c r="N66" s="461">
        <f t="shared" si="53"/>
        <v>-0.15343900550526215</v>
      </c>
      <c r="O66" s="461">
        <f t="shared" si="53"/>
        <v>0.11345814156138144</v>
      </c>
      <c r="P66" s="461">
        <f t="shared" si="53"/>
        <v>-0.12292642568749174</v>
      </c>
      <c r="Q66" s="461">
        <f t="shared" si="53"/>
        <v>0.13687521963368995</v>
      </c>
      <c r="R66" s="461">
        <f t="shared" si="53"/>
        <v>-0.22052818293902809</v>
      </c>
    </row>
    <row r="67" spans="1:236">
      <c r="A67" s="236" t="s">
        <v>32</v>
      </c>
      <c r="B67" s="236" t="s">
        <v>11</v>
      </c>
      <c r="C67" s="236"/>
      <c r="D67" s="236"/>
      <c r="E67" s="461">
        <f t="shared" ref="E67:R67" si="54">(E21-D21)/D21</f>
        <v>-3.5007818596147919E-2</v>
      </c>
      <c r="F67" s="461">
        <f t="shared" si="54"/>
        <v>5.004035746664319E-2</v>
      </c>
      <c r="G67" s="461">
        <f t="shared" si="54"/>
        <v>2.4390173064393058E-2</v>
      </c>
      <c r="H67" s="461">
        <f t="shared" si="54"/>
        <v>0.29156837483078507</v>
      </c>
      <c r="I67" s="461">
        <f t="shared" si="54"/>
        <v>7.8246032539805846E-2</v>
      </c>
      <c r="J67" s="461">
        <f t="shared" si="54"/>
        <v>8.5668103412661789E-2</v>
      </c>
      <c r="K67" s="461">
        <f t="shared" si="54"/>
        <v>-0.17789599793847358</v>
      </c>
      <c r="L67" s="461">
        <f t="shared" si="54"/>
        <v>9.9174690793154621E-2</v>
      </c>
      <c r="M67" s="461">
        <f t="shared" si="54"/>
        <v>0.18740915583768472</v>
      </c>
      <c r="N67" s="461">
        <f t="shared" si="54"/>
        <v>-6.5577760137180682E-2</v>
      </c>
      <c r="O67" s="461">
        <f t="shared" si="54"/>
        <v>0.10329105056716502</v>
      </c>
      <c r="P67" s="461">
        <f t="shared" si="54"/>
        <v>1.4303621479763047E-3</v>
      </c>
      <c r="Q67" s="461">
        <f t="shared" si="54"/>
        <v>0.20403078728788673</v>
      </c>
      <c r="R67" s="461">
        <f t="shared" si="54"/>
        <v>0.11242174207713615</v>
      </c>
    </row>
    <row r="68" spans="1:236">
      <c r="A68" s="3093" t="s">
        <v>32</v>
      </c>
      <c r="B68" s="3093" t="s">
        <v>17</v>
      </c>
      <c r="C68" s="236"/>
      <c r="D68" s="236"/>
      <c r="E68" s="461">
        <f t="shared" ref="E68:R68" si="55">(E22-D22)/D22</f>
        <v>0</v>
      </c>
      <c r="F68" s="461">
        <f t="shared" si="55"/>
        <v>1.5017216315328942E-2</v>
      </c>
      <c r="G68" s="461">
        <f t="shared" si="55"/>
        <v>1.4795036058446164E-2</v>
      </c>
      <c r="H68" s="461">
        <f t="shared" si="55"/>
        <v>5.2043350476308717E-2</v>
      </c>
      <c r="I68" s="461">
        <f t="shared" si="55"/>
        <v>4.9468826976327644E-2</v>
      </c>
      <c r="J68" s="461">
        <f t="shared" si="55"/>
        <v>-3.9464676981304722E-2</v>
      </c>
      <c r="K68" s="461">
        <f t="shared" si="55"/>
        <v>-4.1086127741016727E-2</v>
      </c>
      <c r="L68" s="461">
        <f t="shared" si="55"/>
        <v>9.7869740972145007E-3</v>
      </c>
      <c r="M68" s="461">
        <f t="shared" si="55"/>
        <v>9.6921175933810961E-3</v>
      </c>
      <c r="N68" s="461">
        <f t="shared" si="55"/>
        <v>5.506680880051607E-3</v>
      </c>
      <c r="O68" s="461">
        <f t="shared" si="55"/>
        <v>5.4765234132825294E-3</v>
      </c>
      <c r="P68" s="461">
        <f t="shared" si="55"/>
        <v>2.8058509087912655E-2</v>
      </c>
      <c r="Q68" s="461">
        <f t="shared" si="55"/>
        <v>2.7292716163407692E-2</v>
      </c>
      <c r="R68" s="461">
        <f t="shared" si="55"/>
        <v>0</v>
      </c>
    </row>
    <row r="69" spans="1:236">
      <c r="A69" s="236" t="s">
        <v>507</v>
      </c>
      <c r="B69" s="236" t="s">
        <v>10</v>
      </c>
      <c r="C69" s="236"/>
      <c r="D69" s="236"/>
      <c r="E69" s="461">
        <f t="shared" ref="E69:R69" si="56">(E23-D23)/D23</f>
        <v>-1.1571888547030142E-2</v>
      </c>
      <c r="F69" s="461">
        <f t="shared" si="56"/>
        <v>-1.7560975605940655E-2</v>
      </c>
      <c r="G69" s="461">
        <f t="shared" si="56"/>
        <v>8.4409135807853045E-2</v>
      </c>
      <c r="H69" s="461">
        <f t="shared" si="56"/>
        <v>-2.3809477312873511E-2</v>
      </c>
      <c r="I69" s="461">
        <f t="shared" si="56"/>
        <v>-1.3099418652737333E-2</v>
      </c>
      <c r="J69" s="461">
        <f t="shared" si="56"/>
        <v>-0.14940421613525343</v>
      </c>
      <c r="K69" s="461">
        <f t="shared" si="56"/>
        <v>-1.6379310344827591E-2</v>
      </c>
      <c r="L69" s="461">
        <f t="shared" si="56"/>
        <v>2.4758931482053711E-2</v>
      </c>
      <c r="M69" s="461">
        <f t="shared" si="56"/>
        <v>-1.3470123256935073E-2</v>
      </c>
      <c r="N69" s="461">
        <f t="shared" si="56"/>
        <v>-4.377980060684878E-2</v>
      </c>
      <c r="O69" s="461">
        <f t="shared" si="56"/>
        <v>7.1622846781505142E-2</v>
      </c>
      <c r="P69" s="461">
        <f t="shared" si="56"/>
        <v>-6.8104953829241768E-2</v>
      </c>
      <c r="Q69" s="461">
        <f t="shared" si="56"/>
        <v>5.6059971694989309E-2</v>
      </c>
      <c r="R69" s="461">
        <f t="shared" si="56"/>
        <v>-6.0176230374062632E-2</v>
      </c>
    </row>
    <row r="70" spans="1:236">
      <c r="A70" s="236" t="s">
        <v>507</v>
      </c>
      <c r="B70" s="236" t="s">
        <v>15</v>
      </c>
      <c r="C70" s="236"/>
      <c r="D70" s="236"/>
      <c r="E70" s="461">
        <f t="shared" ref="E70:R70" si="57">(E24-D24)/D24</f>
        <v>7.9119620061185031E-2</v>
      </c>
      <c r="F70" s="461">
        <f t="shared" si="57"/>
        <v>-2.6139348863503907E-2</v>
      </c>
      <c r="G70" s="461">
        <f t="shared" si="57"/>
        <v>0.21315039311438763</v>
      </c>
      <c r="H70" s="461">
        <f t="shared" si="57"/>
        <v>-8.2245707101576675E-3</v>
      </c>
      <c r="I70" s="461">
        <f t="shared" si="57"/>
        <v>6.5323375457072189E-2</v>
      </c>
      <c r="J70" s="461">
        <f t="shared" si="57"/>
        <v>-0.15077653394926877</v>
      </c>
      <c r="K70" s="461">
        <f t="shared" si="57"/>
        <v>2.8588909178253025E-3</v>
      </c>
      <c r="L70" s="461">
        <f t="shared" si="57"/>
        <v>6.8223248689853674E-2</v>
      </c>
      <c r="M70" s="461">
        <f t="shared" si="57"/>
        <v>-2.1346513343380629E-3</v>
      </c>
      <c r="N70" s="461">
        <f t="shared" si="57"/>
        <v>-0.19976350485669586</v>
      </c>
      <c r="O70" s="461">
        <f t="shared" si="57"/>
        <v>0.10575828010186925</v>
      </c>
      <c r="P70" s="461">
        <f t="shared" si="57"/>
        <v>-8.4252879413849978E-3</v>
      </c>
      <c r="Q70" s="461">
        <f t="shared" si="57"/>
        <v>-4.0574280524123443E-2</v>
      </c>
      <c r="R70" s="461">
        <f t="shared" si="57"/>
        <v>-0.29773918967165686</v>
      </c>
    </row>
    <row r="71" spans="1:236">
      <c r="A71" s="236" t="s">
        <v>508</v>
      </c>
      <c r="B71" s="236" t="s">
        <v>12</v>
      </c>
      <c r="C71" s="236"/>
      <c r="D71" s="236"/>
      <c r="E71" s="461">
        <f t="shared" ref="E71:R71" si="58">(E25-D25)/D25</f>
        <v>-2.7227272533621009E-2</v>
      </c>
      <c r="F71" s="461">
        <f t="shared" si="58"/>
        <v>-4.6518720008643107E-2</v>
      </c>
      <c r="G71" s="461">
        <f t="shared" si="58"/>
        <v>6.0192660233371255E-2</v>
      </c>
      <c r="H71" s="461">
        <f t="shared" si="58"/>
        <v>5.6775209347442145E-2</v>
      </c>
      <c r="I71" s="461">
        <f t="shared" si="58"/>
        <v>-4.0089945087984523E-3</v>
      </c>
      <c r="J71" s="461">
        <f t="shared" si="58"/>
        <v>-5.8427331944477412E-2</v>
      </c>
      <c r="K71" s="461">
        <f t="shared" si="58"/>
        <v>-3.8132292660727256E-2</v>
      </c>
      <c r="L71" s="461">
        <f t="shared" si="58"/>
        <v>-4.019144883759182E-2</v>
      </c>
      <c r="M71" s="461">
        <f t="shared" si="58"/>
        <v>2.5297740065314218E-2</v>
      </c>
      <c r="N71" s="461">
        <f t="shared" si="58"/>
        <v>4.4669772540421968E-2</v>
      </c>
      <c r="O71" s="461">
        <f t="shared" si="58"/>
        <v>-8.3945435466946713E-3</v>
      </c>
      <c r="P71" s="461">
        <f t="shared" si="58"/>
        <v>4.1788824929437231E-2</v>
      </c>
      <c r="Q71" s="461">
        <f t="shared" si="58"/>
        <v>0.11529655277859624</v>
      </c>
      <c r="R71" s="461">
        <f t="shared" si="58"/>
        <v>-5.828676120842681E-2</v>
      </c>
    </row>
    <row r="72" spans="1:236">
      <c r="A72" s="236" t="s">
        <v>27</v>
      </c>
      <c r="B72" s="236" t="s">
        <v>343</v>
      </c>
      <c r="C72" s="236"/>
      <c r="D72" s="236"/>
      <c r="E72" s="461">
        <f t="shared" ref="E72:R72" si="59">(E26-D26)/D26</f>
        <v>-0.15636264620628013</v>
      </c>
      <c r="F72" s="461">
        <f t="shared" si="59"/>
        <v>-0.13579474653006246</v>
      </c>
      <c r="G72" s="461">
        <f t="shared" si="59"/>
        <v>-2.3577014913982518E-2</v>
      </c>
      <c r="H72" s="461">
        <f t="shared" si="59"/>
        <v>-2.4146312893182892E-2</v>
      </c>
      <c r="I72" s="461">
        <f t="shared" si="59"/>
        <v>0.12016233650359416</v>
      </c>
      <c r="J72" s="461">
        <f t="shared" si="59"/>
        <v>3.7547612948018207E-3</v>
      </c>
      <c r="K72" s="461">
        <f t="shared" si="59"/>
        <v>-0.23759782931447834</v>
      </c>
      <c r="L72" s="461">
        <f t="shared" si="59"/>
        <v>5.0525432155663672E-2</v>
      </c>
      <c r="M72" s="461">
        <f t="shared" si="59"/>
        <v>1.1267281105990751E-2</v>
      </c>
      <c r="N72" s="461">
        <f t="shared" si="59"/>
        <v>7.0138986989906352E-2</v>
      </c>
      <c r="O72" s="461">
        <f t="shared" si="59"/>
        <v>5.4713989490141335E-2</v>
      </c>
      <c r="P72" s="461">
        <f t="shared" si="59"/>
        <v>8.2041944320519422E-2</v>
      </c>
      <c r="Q72" s="461">
        <f t="shared" si="59"/>
        <v>0.13463089086405131</v>
      </c>
      <c r="R72" s="461">
        <f t="shared" si="59"/>
        <v>-7.4866321591118459E-2</v>
      </c>
    </row>
    <row r="73" spans="1:236">
      <c r="A73" s="1096" t="s">
        <v>727</v>
      </c>
      <c r="B73" s="1096" t="s">
        <v>345</v>
      </c>
      <c r="C73" s="1096"/>
      <c r="D73" s="1096"/>
      <c r="E73" s="1709">
        <f t="shared" ref="E73:R73" si="60">(E27-D27)/D27</f>
        <v>-8.1481418223616681E-2</v>
      </c>
      <c r="F73" s="1709">
        <f t="shared" si="60"/>
        <v>-0.20967750133169408</v>
      </c>
      <c r="G73" s="1709">
        <f t="shared" si="60"/>
        <v>-6.122446578770032E-2</v>
      </c>
      <c r="H73" s="1709">
        <f t="shared" si="60"/>
        <v>-6.5217364062509608E-2</v>
      </c>
      <c r="I73" s="1709">
        <f t="shared" si="60"/>
        <v>-5.8139553589095033E-2</v>
      </c>
      <c r="J73" s="1709">
        <f t="shared" si="60"/>
        <v>-0.1358023637060278</v>
      </c>
      <c r="K73" s="1709">
        <f t="shared" si="60"/>
        <v>-0.12142864201272116</v>
      </c>
      <c r="L73" s="1709">
        <f t="shared" si="60"/>
        <v>2.4065021873997776E-2</v>
      </c>
      <c r="M73" s="1709">
        <f t="shared" si="60"/>
        <v>9.7173645094761077E-2</v>
      </c>
      <c r="N73" s="1709">
        <f t="shared" si="60"/>
        <v>-0.11722126628233805</v>
      </c>
      <c r="O73" s="1709">
        <f t="shared" si="60"/>
        <v>0.25426210744940836</v>
      </c>
      <c r="P73" s="1709">
        <f t="shared" si="60"/>
        <v>0.24885636728526325</v>
      </c>
      <c r="Q73" s="1709">
        <f t="shared" si="60"/>
        <v>-0.13134477180121437</v>
      </c>
      <c r="R73" s="1709">
        <f t="shared" si="60"/>
        <v>0.25301194169590518</v>
      </c>
    </row>
    <row r="76" spans="1:236" s="463" customFormat="1">
      <c r="A76" s="463" t="s">
        <v>1816</v>
      </c>
      <c r="IB76" s="462"/>
    </row>
  </sheetData>
  <hyperlinks>
    <hyperlink ref="BE31" location="'Bloom Cleaner Data'!DA30" display="'Bloom Cleaner Data'!DA30"/>
  </hyperlink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dimension ref="A1:IH55"/>
  <sheetViews>
    <sheetView showGridLines="0" zoomScale="80" zoomScaleNormal="80" workbookViewId="0">
      <pane xSplit="2" ySplit="3" topLeftCell="C4" activePane="bottomRight" state="frozen"/>
      <selection pane="topRight" activeCell="C1" sqref="C1"/>
      <selection pane="bottomLeft" activeCell="A3" sqref="A3"/>
      <selection pane="bottomRight" activeCell="FA3" sqref="FA3"/>
    </sheetView>
  </sheetViews>
  <sheetFormatPr baseColWidth="10" defaultColWidth="11.44140625" defaultRowHeight="13.2"/>
  <cols>
    <col min="1" max="1" width="11.21875" style="11" customWidth="1"/>
    <col min="2" max="2" width="17" style="7" customWidth="1"/>
    <col min="3" max="3" width="6.88671875" style="7" customWidth="1"/>
    <col min="4" max="19" width="11.44140625" style="7"/>
    <col min="20" max="20" width="11.44140625" style="7" customWidth="1"/>
    <col min="21" max="87" width="11.44140625" style="7"/>
    <col min="89" max="156" width="11.44140625" style="7"/>
    <col min="173" max="224" width="11.44140625" style="7"/>
    <col min="225" max="240" width="11.44140625" style="228"/>
    <col min="241" max="241" width="11.44140625" style="7"/>
    <col min="242" max="242" width="11.44140625" style="2383"/>
    <col min="243" max="16384" width="11.44140625" style="7"/>
  </cols>
  <sheetData>
    <row r="1" spans="1:242">
      <c r="A1" s="3077" t="s">
        <v>356</v>
      </c>
      <c r="B1" s="3078"/>
    </row>
    <row r="2" spans="1:242">
      <c r="D2" s="5">
        <v>40178</v>
      </c>
      <c r="E2" s="5">
        <v>40268</v>
      </c>
      <c r="F2" s="5">
        <v>40359</v>
      </c>
      <c r="G2" s="5">
        <v>40451</v>
      </c>
      <c r="H2" s="5">
        <v>40543</v>
      </c>
      <c r="I2" s="5">
        <v>40633</v>
      </c>
      <c r="J2" s="5">
        <v>40724</v>
      </c>
      <c r="K2" s="5">
        <v>40816</v>
      </c>
      <c r="L2" s="5">
        <v>40908</v>
      </c>
      <c r="M2" s="5">
        <v>40999</v>
      </c>
      <c r="N2" s="5">
        <v>41090</v>
      </c>
      <c r="O2" s="5">
        <v>41182</v>
      </c>
      <c r="P2" s="5">
        <v>41274</v>
      </c>
      <c r="Q2" s="5">
        <v>41364</v>
      </c>
      <c r="R2" s="5">
        <v>41455</v>
      </c>
      <c r="S2" s="5">
        <v>41547</v>
      </c>
      <c r="U2" s="5">
        <v>40178</v>
      </c>
      <c r="V2" s="5">
        <v>40268</v>
      </c>
      <c r="W2" s="5">
        <v>40359</v>
      </c>
      <c r="X2" s="5">
        <v>40451</v>
      </c>
      <c r="Y2" s="5">
        <v>40543</v>
      </c>
      <c r="Z2" s="5">
        <v>40633</v>
      </c>
      <c r="AA2" s="5">
        <v>40724</v>
      </c>
      <c r="AB2" s="5">
        <v>40816</v>
      </c>
      <c r="AC2" s="5">
        <v>40908</v>
      </c>
      <c r="AD2" s="5">
        <v>40999</v>
      </c>
      <c r="AE2" s="5">
        <v>41090</v>
      </c>
      <c r="AF2" s="5">
        <v>41182</v>
      </c>
      <c r="AG2" s="5">
        <v>41274</v>
      </c>
      <c r="AH2" s="5">
        <v>41364</v>
      </c>
      <c r="AI2" s="5">
        <v>41455</v>
      </c>
      <c r="AJ2" s="5">
        <v>41547</v>
      </c>
      <c r="AK2" s="5"/>
      <c r="AL2" s="5">
        <v>40178</v>
      </c>
      <c r="AM2" s="5">
        <v>40268</v>
      </c>
      <c r="AN2" s="5">
        <v>40359</v>
      </c>
      <c r="AO2" s="5">
        <v>40451</v>
      </c>
      <c r="AP2" s="5">
        <v>40543</v>
      </c>
      <c r="AQ2" s="5">
        <v>40633</v>
      </c>
      <c r="AR2" s="5">
        <v>40724</v>
      </c>
      <c r="AS2" s="5">
        <v>40816</v>
      </c>
      <c r="AT2" s="5">
        <v>40908</v>
      </c>
      <c r="AU2" s="5">
        <v>40999</v>
      </c>
      <c r="AV2" s="5">
        <v>41090</v>
      </c>
      <c r="AW2" s="5">
        <v>41182</v>
      </c>
      <c r="AX2" s="5">
        <v>41274</v>
      </c>
      <c r="AY2" s="5">
        <v>41364</v>
      </c>
      <c r="AZ2" s="5">
        <v>41455</v>
      </c>
      <c r="BA2" s="5">
        <v>41547</v>
      </c>
      <c r="BB2" s="5"/>
      <c r="BC2" s="5">
        <v>40178</v>
      </c>
      <c r="BD2" s="5">
        <v>40268</v>
      </c>
      <c r="BE2" s="5">
        <v>40359</v>
      </c>
      <c r="BF2" s="5">
        <v>40451</v>
      </c>
      <c r="BG2" s="5">
        <v>40543</v>
      </c>
      <c r="BH2" s="5">
        <v>40633</v>
      </c>
      <c r="BI2" s="5">
        <v>40724</v>
      </c>
      <c r="BJ2" s="5">
        <v>40816</v>
      </c>
      <c r="BK2" s="5">
        <v>40908</v>
      </c>
      <c r="BL2" s="5">
        <v>40999</v>
      </c>
      <c r="BM2" s="5">
        <v>41090</v>
      </c>
      <c r="BN2" s="5">
        <v>41182</v>
      </c>
      <c r="BO2" s="5">
        <v>41274</v>
      </c>
      <c r="BP2" s="5">
        <v>41364</v>
      </c>
      <c r="BQ2" s="5">
        <v>41455</v>
      </c>
      <c r="BR2" s="5">
        <v>41547</v>
      </c>
      <c r="BS2" s="5"/>
      <c r="BT2" s="5">
        <v>40178</v>
      </c>
      <c r="BU2" s="5">
        <v>40268</v>
      </c>
      <c r="BV2" s="5">
        <v>40359</v>
      </c>
      <c r="BW2" s="5">
        <v>40451</v>
      </c>
      <c r="BX2" s="5">
        <v>40543</v>
      </c>
      <c r="BY2" s="5">
        <v>40633</v>
      </c>
      <c r="BZ2" s="5">
        <v>40724</v>
      </c>
      <c r="CA2" s="5">
        <v>40816</v>
      </c>
      <c r="CB2" s="5">
        <v>40908</v>
      </c>
      <c r="CC2" s="5">
        <v>40999</v>
      </c>
      <c r="CD2" s="5">
        <v>41090</v>
      </c>
      <c r="CE2" s="5">
        <v>41182</v>
      </c>
      <c r="CF2" s="5">
        <v>41274</v>
      </c>
      <c r="CG2" s="5">
        <v>41364</v>
      </c>
      <c r="CH2" s="5">
        <v>41455</v>
      </c>
      <c r="CI2" s="5">
        <v>41547</v>
      </c>
      <c r="CK2" s="5">
        <v>40178</v>
      </c>
      <c r="CL2" s="5">
        <v>40268</v>
      </c>
      <c r="CM2" s="5">
        <v>40359</v>
      </c>
      <c r="CN2" s="5">
        <v>40451</v>
      </c>
      <c r="CO2" s="5">
        <v>40543</v>
      </c>
      <c r="CP2" s="5">
        <v>40633</v>
      </c>
      <c r="CQ2" s="5">
        <v>40724</v>
      </c>
      <c r="CR2" s="5">
        <v>40816</v>
      </c>
      <c r="CS2" s="5">
        <v>40908</v>
      </c>
      <c r="CT2" s="5">
        <v>40999</v>
      </c>
      <c r="CU2" s="5">
        <v>41090</v>
      </c>
      <c r="CV2" s="5">
        <v>41182</v>
      </c>
      <c r="CW2" s="5">
        <v>41274</v>
      </c>
      <c r="CX2" s="5">
        <v>41364</v>
      </c>
      <c r="CY2" s="5">
        <v>41455</v>
      </c>
      <c r="CZ2" s="5">
        <v>41547</v>
      </c>
      <c r="DB2" s="5">
        <v>40178</v>
      </c>
      <c r="DC2" s="5">
        <v>40268</v>
      </c>
      <c r="DD2" s="5">
        <v>40359</v>
      </c>
      <c r="DE2" s="5">
        <v>40451</v>
      </c>
      <c r="DF2" s="5">
        <v>40543</v>
      </c>
      <c r="DG2" s="5">
        <v>40633</v>
      </c>
      <c r="DH2" s="5">
        <v>40724</v>
      </c>
      <c r="DI2" s="5">
        <v>40816</v>
      </c>
      <c r="DJ2" s="5">
        <v>40908</v>
      </c>
      <c r="DK2" s="5">
        <v>40999</v>
      </c>
      <c r="DL2" s="5">
        <v>41090</v>
      </c>
      <c r="DM2" s="5">
        <v>41182</v>
      </c>
      <c r="DN2" s="5">
        <v>41274</v>
      </c>
      <c r="DO2" s="5">
        <v>41364</v>
      </c>
      <c r="DP2" s="5">
        <v>41455</v>
      </c>
      <c r="DQ2" s="5">
        <v>41547</v>
      </c>
      <c r="DS2" s="5">
        <v>40178</v>
      </c>
      <c r="DT2" s="5">
        <v>40268</v>
      </c>
      <c r="DU2" s="5">
        <v>40359</v>
      </c>
      <c r="DV2" s="5">
        <v>40451</v>
      </c>
      <c r="DW2" s="5">
        <v>40543</v>
      </c>
      <c r="DX2" s="5">
        <v>40633</v>
      </c>
      <c r="DY2" s="5">
        <v>40724</v>
      </c>
      <c r="DZ2" s="5">
        <v>40816</v>
      </c>
      <c r="EA2" s="5">
        <v>40908</v>
      </c>
      <c r="EB2" s="5">
        <v>40999</v>
      </c>
      <c r="EC2" s="5">
        <v>41090</v>
      </c>
      <c r="ED2" s="5">
        <v>41182</v>
      </c>
      <c r="EE2" s="5">
        <v>41274</v>
      </c>
      <c r="EF2" s="5">
        <v>41364</v>
      </c>
      <c r="EG2" s="5">
        <v>41455</v>
      </c>
      <c r="EH2" s="5">
        <v>41547</v>
      </c>
      <c r="EI2" s="5"/>
      <c r="EJ2" s="5">
        <v>40178</v>
      </c>
      <c r="EK2" s="5">
        <v>40268</v>
      </c>
      <c r="EL2" s="5">
        <v>40359</v>
      </c>
      <c r="EM2" s="5">
        <v>40451</v>
      </c>
      <c r="EN2" s="5">
        <v>40543</v>
      </c>
      <c r="EO2" s="5">
        <v>40633</v>
      </c>
      <c r="EP2" s="5">
        <v>40724</v>
      </c>
      <c r="EQ2" s="5">
        <v>40816</v>
      </c>
      <c r="ER2" s="5">
        <v>40908</v>
      </c>
      <c r="ES2" s="5">
        <v>40999</v>
      </c>
      <c r="ET2" s="5">
        <v>41090</v>
      </c>
      <c r="EU2" s="5">
        <v>41182</v>
      </c>
      <c r="EV2" s="5">
        <v>41274</v>
      </c>
      <c r="EW2" s="5">
        <v>41364</v>
      </c>
      <c r="EX2" s="5">
        <v>41455</v>
      </c>
      <c r="EY2" s="5">
        <v>41547</v>
      </c>
      <c r="EZ2" s="5"/>
      <c r="FA2" s="5">
        <v>40178</v>
      </c>
      <c r="FB2" s="5">
        <v>40268</v>
      </c>
      <c r="FC2" s="5">
        <v>40359</v>
      </c>
      <c r="FD2" s="5">
        <v>40451</v>
      </c>
      <c r="FE2" s="5">
        <v>40543</v>
      </c>
      <c r="FF2" s="5">
        <v>40633</v>
      </c>
      <c r="FG2" s="5">
        <v>40724</v>
      </c>
      <c r="FH2" s="5">
        <v>40816</v>
      </c>
      <c r="FI2" s="5">
        <v>40908</v>
      </c>
      <c r="FJ2" s="5">
        <v>40999</v>
      </c>
      <c r="FK2" s="5">
        <v>41090</v>
      </c>
      <c r="FL2" s="5">
        <v>41182</v>
      </c>
      <c r="FM2" s="5">
        <v>41274</v>
      </c>
      <c r="FN2" s="5">
        <v>41364</v>
      </c>
      <c r="FO2" s="5">
        <v>41455</v>
      </c>
      <c r="FP2" s="5">
        <v>41547</v>
      </c>
      <c r="FQ2" s="5"/>
      <c r="FR2" s="5">
        <v>40178</v>
      </c>
      <c r="FS2" s="5">
        <v>40268</v>
      </c>
      <c r="FT2" s="5">
        <v>40359</v>
      </c>
      <c r="FU2" s="5">
        <v>40451</v>
      </c>
      <c r="FV2" s="5">
        <v>40543</v>
      </c>
      <c r="FW2" s="5">
        <v>40633</v>
      </c>
      <c r="FX2" s="5">
        <v>40724</v>
      </c>
      <c r="FY2" s="5">
        <v>40816</v>
      </c>
      <c r="FZ2" s="5">
        <v>40908</v>
      </c>
      <c r="GA2" s="5">
        <v>40999</v>
      </c>
      <c r="GB2" s="5">
        <v>41090</v>
      </c>
      <c r="GC2" s="5">
        <v>41182</v>
      </c>
      <c r="GD2" s="5">
        <v>41274</v>
      </c>
      <c r="GE2" s="5">
        <v>41364</v>
      </c>
      <c r="GF2" s="5">
        <v>41455</v>
      </c>
      <c r="GG2" s="5">
        <v>41547</v>
      </c>
      <c r="GH2" s="5"/>
      <c r="GI2" s="5">
        <v>40178</v>
      </c>
      <c r="GJ2" s="5">
        <v>40268</v>
      </c>
      <c r="GK2" s="5">
        <v>40359</v>
      </c>
      <c r="GL2" s="5">
        <v>40451</v>
      </c>
      <c r="GM2" s="5">
        <v>40543</v>
      </c>
      <c r="GN2" s="5">
        <v>40633</v>
      </c>
      <c r="GO2" s="5">
        <v>40724</v>
      </c>
      <c r="GP2" s="5">
        <v>40816</v>
      </c>
      <c r="GQ2" s="5">
        <v>40908</v>
      </c>
      <c r="GR2" s="5">
        <v>40999</v>
      </c>
      <c r="GS2" s="5">
        <v>41090</v>
      </c>
      <c r="GT2" s="5">
        <v>41182</v>
      </c>
      <c r="GU2" s="5">
        <v>41274</v>
      </c>
      <c r="GV2" s="5">
        <v>41364</v>
      </c>
      <c r="GW2" s="5">
        <v>41455</v>
      </c>
      <c r="GX2" s="5">
        <v>41547</v>
      </c>
      <c r="GY2" s="5"/>
      <c r="GZ2" s="5">
        <v>40178</v>
      </c>
      <c r="HA2" s="5">
        <v>40268</v>
      </c>
      <c r="HB2" s="5">
        <v>40359</v>
      </c>
      <c r="HC2" s="5">
        <v>40451</v>
      </c>
      <c r="HD2" s="5">
        <v>40543</v>
      </c>
      <c r="HE2" s="5">
        <v>40633</v>
      </c>
      <c r="HF2" s="5">
        <v>40724</v>
      </c>
      <c r="HG2" s="5">
        <v>40816</v>
      </c>
      <c r="HH2" s="5">
        <v>40908</v>
      </c>
      <c r="HI2" s="5">
        <v>40999</v>
      </c>
      <c r="HJ2" s="5">
        <v>41090</v>
      </c>
      <c r="HK2" s="5">
        <v>41182</v>
      </c>
      <c r="HL2" s="5">
        <v>41274</v>
      </c>
      <c r="HM2" s="5">
        <v>41364</v>
      </c>
      <c r="HN2" s="5">
        <v>41455</v>
      </c>
      <c r="HO2" s="5">
        <v>41547</v>
      </c>
      <c r="HQ2" s="481">
        <v>40178</v>
      </c>
      <c r="HR2" s="481">
        <v>40268</v>
      </c>
      <c r="HS2" s="481">
        <v>40359</v>
      </c>
      <c r="HT2" s="481">
        <v>40451</v>
      </c>
      <c r="HU2" s="481">
        <v>40543</v>
      </c>
      <c r="HV2" s="481">
        <v>40633</v>
      </c>
      <c r="HW2" s="481">
        <v>40724</v>
      </c>
      <c r="HX2" s="481">
        <v>40816</v>
      </c>
      <c r="HY2" s="481">
        <v>40908</v>
      </c>
      <c r="HZ2" s="481">
        <v>40999</v>
      </c>
      <c r="IA2" s="481">
        <v>41090</v>
      </c>
      <c r="IB2" s="481">
        <v>41182</v>
      </c>
      <c r="IC2" s="481">
        <v>41274</v>
      </c>
      <c r="ID2" s="481">
        <v>41364</v>
      </c>
      <c r="IE2" s="481">
        <v>41455</v>
      </c>
      <c r="IF2" s="481">
        <v>41547</v>
      </c>
      <c r="IH2" s="31" t="s">
        <v>1816</v>
      </c>
    </row>
    <row r="3" spans="1:242">
      <c r="D3" s="7" t="s">
        <v>51</v>
      </c>
      <c r="E3" s="7" t="s">
        <v>51</v>
      </c>
      <c r="F3" s="7" t="s">
        <v>51</v>
      </c>
      <c r="G3" s="7" t="s">
        <v>51</v>
      </c>
      <c r="H3" s="7" t="s">
        <v>51</v>
      </c>
      <c r="I3" s="7" t="s">
        <v>51</v>
      </c>
      <c r="J3" s="7" t="s">
        <v>51</v>
      </c>
      <c r="K3" s="7" t="s">
        <v>51</v>
      </c>
      <c r="L3" s="7" t="s">
        <v>51</v>
      </c>
      <c r="M3" s="7" t="s">
        <v>51</v>
      </c>
      <c r="N3" s="7" t="s">
        <v>51</v>
      </c>
      <c r="O3" s="7" t="s">
        <v>51</v>
      </c>
      <c r="P3" s="7" t="s">
        <v>51</v>
      </c>
      <c r="Q3" s="7" t="s">
        <v>51</v>
      </c>
      <c r="R3" s="7" t="s">
        <v>51</v>
      </c>
      <c r="S3" s="7" t="s">
        <v>51</v>
      </c>
      <c r="U3" s="7" t="s">
        <v>0</v>
      </c>
      <c r="V3" s="7" t="s">
        <v>0</v>
      </c>
      <c r="W3" s="7" t="s">
        <v>0</v>
      </c>
      <c r="X3" s="7" t="s">
        <v>0</v>
      </c>
      <c r="Y3" s="7" t="s">
        <v>0</v>
      </c>
      <c r="Z3" s="7" t="s">
        <v>0</v>
      </c>
      <c r="AA3" s="7" t="s">
        <v>0</v>
      </c>
      <c r="AB3" s="7" t="s">
        <v>0</v>
      </c>
      <c r="AC3" s="7" t="s">
        <v>0</v>
      </c>
      <c r="AD3" s="7" t="s">
        <v>0</v>
      </c>
      <c r="AE3" s="7" t="s">
        <v>0</v>
      </c>
      <c r="AF3" s="7" t="s">
        <v>0</v>
      </c>
      <c r="AG3" s="7" t="s">
        <v>0</v>
      </c>
      <c r="AH3" s="7" t="s">
        <v>0</v>
      </c>
      <c r="AI3" s="7" t="s">
        <v>0</v>
      </c>
      <c r="AJ3" s="7" t="s">
        <v>0</v>
      </c>
      <c r="AL3" s="7" t="s">
        <v>405</v>
      </c>
      <c r="AM3" s="7" t="s">
        <v>405</v>
      </c>
      <c r="AN3" s="7" t="s">
        <v>405</v>
      </c>
      <c r="AO3" s="7" t="s">
        <v>405</v>
      </c>
      <c r="AP3" s="7" t="s">
        <v>405</v>
      </c>
      <c r="AQ3" s="7" t="s">
        <v>405</v>
      </c>
      <c r="AR3" s="7" t="s">
        <v>405</v>
      </c>
      <c r="AS3" s="7" t="s">
        <v>405</v>
      </c>
      <c r="AT3" s="7" t="s">
        <v>405</v>
      </c>
      <c r="AU3" s="7" t="s">
        <v>405</v>
      </c>
      <c r="AV3" s="7" t="s">
        <v>405</v>
      </c>
      <c r="AW3" s="7" t="s">
        <v>405</v>
      </c>
      <c r="AX3" s="7" t="s">
        <v>405</v>
      </c>
      <c r="AY3" s="7" t="s">
        <v>405</v>
      </c>
      <c r="AZ3" s="7" t="s">
        <v>405</v>
      </c>
      <c r="BA3" s="7" t="s">
        <v>405</v>
      </c>
      <c r="BC3" s="11" t="s">
        <v>450</v>
      </c>
      <c r="BD3" s="7" t="s">
        <v>450</v>
      </c>
      <c r="BE3" s="7" t="s">
        <v>450</v>
      </c>
      <c r="BF3" s="7" t="s">
        <v>450</v>
      </c>
      <c r="BG3" s="7" t="s">
        <v>450</v>
      </c>
      <c r="BH3" s="7" t="s">
        <v>450</v>
      </c>
      <c r="BI3" s="7" t="s">
        <v>450</v>
      </c>
      <c r="BJ3" s="7" t="s">
        <v>450</v>
      </c>
      <c r="BK3" s="7" t="s">
        <v>450</v>
      </c>
      <c r="BL3" s="7" t="s">
        <v>450</v>
      </c>
      <c r="BM3" s="7" t="s">
        <v>450</v>
      </c>
      <c r="BN3" s="7" t="s">
        <v>450</v>
      </c>
      <c r="BO3" s="7" t="s">
        <v>450</v>
      </c>
      <c r="BP3" s="7" t="s">
        <v>450</v>
      </c>
      <c r="BQ3" s="7" t="s">
        <v>450</v>
      </c>
      <c r="BR3" s="7" t="s">
        <v>450</v>
      </c>
      <c r="BT3" s="7" t="s">
        <v>481</v>
      </c>
      <c r="BU3" s="7" t="s">
        <v>481</v>
      </c>
      <c r="BV3" s="7" t="s">
        <v>481</v>
      </c>
      <c r="BW3" s="7" t="s">
        <v>481</v>
      </c>
      <c r="BX3" s="7" t="s">
        <v>481</v>
      </c>
      <c r="BY3" s="7" t="s">
        <v>481</v>
      </c>
      <c r="BZ3" s="7" t="s">
        <v>481</v>
      </c>
      <c r="CA3" s="7" t="s">
        <v>481</v>
      </c>
      <c r="CB3" s="7" t="s">
        <v>481</v>
      </c>
      <c r="CC3" s="7" t="s">
        <v>481</v>
      </c>
      <c r="CD3" s="7" t="s">
        <v>481</v>
      </c>
      <c r="CE3" s="7" t="s">
        <v>481</v>
      </c>
      <c r="CF3" s="7" t="s">
        <v>481</v>
      </c>
      <c r="CG3" s="7" t="s">
        <v>481</v>
      </c>
      <c r="CH3" s="7" t="s">
        <v>481</v>
      </c>
      <c r="CI3" s="7" t="s">
        <v>481</v>
      </c>
      <c r="CK3" s="7" t="s">
        <v>1</v>
      </c>
      <c r="CL3" s="7" t="s">
        <v>1</v>
      </c>
      <c r="CM3" s="7" t="s">
        <v>1</v>
      </c>
      <c r="CN3" s="7" t="s">
        <v>1</v>
      </c>
      <c r="CO3" s="7" t="s">
        <v>1</v>
      </c>
      <c r="CP3" s="7" t="s">
        <v>1</v>
      </c>
      <c r="CQ3" s="7" t="s">
        <v>1</v>
      </c>
      <c r="CR3" s="7" t="s">
        <v>1</v>
      </c>
      <c r="CS3" s="7" t="s">
        <v>1</v>
      </c>
      <c r="CT3" s="7" t="s">
        <v>1</v>
      </c>
      <c r="CU3" s="7" t="s">
        <v>1</v>
      </c>
      <c r="CV3" s="7" t="s">
        <v>1</v>
      </c>
      <c r="CW3" s="7" t="s">
        <v>1</v>
      </c>
      <c r="CX3" s="7" t="s">
        <v>1</v>
      </c>
      <c r="CY3" s="7" t="s">
        <v>1</v>
      </c>
      <c r="CZ3" s="7" t="s">
        <v>1</v>
      </c>
      <c r="DB3" s="7" t="s">
        <v>34</v>
      </c>
      <c r="DC3" s="7" t="s">
        <v>34</v>
      </c>
      <c r="DD3" s="7" t="s">
        <v>34</v>
      </c>
      <c r="DE3" s="7" t="s">
        <v>34</v>
      </c>
      <c r="DF3" s="7" t="s">
        <v>34</v>
      </c>
      <c r="DG3" s="7" t="s">
        <v>34</v>
      </c>
      <c r="DH3" s="7" t="s">
        <v>34</v>
      </c>
      <c r="DI3" s="7" t="s">
        <v>34</v>
      </c>
      <c r="DJ3" s="7" t="s">
        <v>34</v>
      </c>
      <c r="DK3" s="7" t="s">
        <v>34</v>
      </c>
      <c r="DL3" s="7" t="s">
        <v>34</v>
      </c>
      <c r="DM3" s="7" t="s">
        <v>34</v>
      </c>
      <c r="DN3" s="7" t="s">
        <v>34</v>
      </c>
      <c r="DO3" s="7" t="s">
        <v>34</v>
      </c>
      <c r="DP3" s="7" t="s">
        <v>34</v>
      </c>
      <c r="DQ3" s="7" t="s">
        <v>34</v>
      </c>
      <c r="DS3" s="7" t="s">
        <v>346</v>
      </c>
      <c r="DT3" s="7" t="s">
        <v>346</v>
      </c>
      <c r="DU3" s="7" t="s">
        <v>346</v>
      </c>
      <c r="DV3" s="7" t="s">
        <v>346</v>
      </c>
      <c r="DW3" s="7" t="s">
        <v>346</v>
      </c>
      <c r="DX3" s="7" t="s">
        <v>346</v>
      </c>
      <c r="DY3" s="7" t="s">
        <v>346</v>
      </c>
      <c r="DZ3" s="7" t="s">
        <v>346</v>
      </c>
      <c r="EA3" s="7" t="s">
        <v>346</v>
      </c>
      <c r="EB3" s="7" t="s">
        <v>346</v>
      </c>
      <c r="EC3" s="7" t="s">
        <v>346</v>
      </c>
      <c r="ED3" s="7" t="s">
        <v>346</v>
      </c>
      <c r="EE3" s="7" t="s">
        <v>346</v>
      </c>
      <c r="EF3" s="7" t="s">
        <v>346</v>
      </c>
      <c r="EG3" s="7" t="s">
        <v>346</v>
      </c>
      <c r="EH3" s="7" t="s">
        <v>346</v>
      </c>
      <c r="EJ3" s="7" t="s">
        <v>347</v>
      </c>
      <c r="EK3" s="7" t="s">
        <v>347</v>
      </c>
      <c r="EL3" s="7" t="s">
        <v>347</v>
      </c>
      <c r="EM3" s="7" t="s">
        <v>347</v>
      </c>
      <c r="EN3" s="7" t="s">
        <v>347</v>
      </c>
      <c r="EO3" s="7" t="s">
        <v>347</v>
      </c>
      <c r="EP3" s="7" t="s">
        <v>347</v>
      </c>
      <c r="EQ3" s="7" t="s">
        <v>347</v>
      </c>
      <c r="ER3" s="7" t="s">
        <v>347</v>
      </c>
      <c r="ES3" s="7" t="s">
        <v>347</v>
      </c>
      <c r="ET3" s="7" t="s">
        <v>347</v>
      </c>
      <c r="EU3" s="7" t="s">
        <v>347</v>
      </c>
      <c r="EV3" s="7" t="s">
        <v>347</v>
      </c>
      <c r="EW3" s="7" t="s">
        <v>347</v>
      </c>
      <c r="EX3" s="7" t="s">
        <v>347</v>
      </c>
      <c r="EY3" s="7" t="s">
        <v>347</v>
      </c>
      <c r="FA3" s="11" t="s">
        <v>471</v>
      </c>
      <c r="FB3" s="7" t="s">
        <v>471</v>
      </c>
      <c r="FC3" s="7" t="s">
        <v>471</v>
      </c>
      <c r="FD3" s="7" t="s">
        <v>471</v>
      </c>
      <c r="FE3" s="7" t="s">
        <v>471</v>
      </c>
      <c r="FF3" s="7" t="s">
        <v>471</v>
      </c>
      <c r="FG3" s="7" t="s">
        <v>471</v>
      </c>
      <c r="FH3" s="7" t="s">
        <v>471</v>
      </c>
      <c r="FI3" s="7" t="s">
        <v>471</v>
      </c>
      <c r="FJ3" s="7" t="s">
        <v>471</v>
      </c>
      <c r="FK3" s="7" t="s">
        <v>471</v>
      </c>
      <c r="FL3" s="7" t="s">
        <v>471</v>
      </c>
      <c r="FM3" s="7" t="s">
        <v>471</v>
      </c>
      <c r="FN3" s="7" t="s">
        <v>471</v>
      </c>
      <c r="FO3" s="7" t="s">
        <v>471</v>
      </c>
      <c r="FP3" s="7" t="s">
        <v>471</v>
      </c>
      <c r="FR3" s="7" t="s">
        <v>479</v>
      </c>
      <c r="FS3" s="7" t="s">
        <v>479</v>
      </c>
      <c r="FT3" s="7" t="s">
        <v>479</v>
      </c>
      <c r="FU3" s="7" t="s">
        <v>479</v>
      </c>
      <c r="FV3" s="7" t="s">
        <v>479</v>
      </c>
      <c r="FW3" s="7" t="s">
        <v>479</v>
      </c>
      <c r="FX3" s="7" t="s">
        <v>479</v>
      </c>
      <c r="FY3" s="7" t="s">
        <v>479</v>
      </c>
      <c r="FZ3" s="7" t="s">
        <v>479</v>
      </c>
      <c r="GA3" s="7" t="s">
        <v>479</v>
      </c>
      <c r="GB3" s="7" t="s">
        <v>479</v>
      </c>
      <c r="GC3" s="7" t="s">
        <v>479</v>
      </c>
      <c r="GD3" s="7" t="s">
        <v>479</v>
      </c>
      <c r="GE3" s="7" t="s">
        <v>479</v>
      </c>
      <c r="GF3" s="7" t="s">
        <v>479</v>
      </c>
      <c r="GG3" s="7" t="s">
        <v>479</v>
      </c>
      <c r="GI3" s="7" t="s">
        <v>725</v>
      </c>
      <c r="GJ3" s="7" t="s">
        <v>725</v>
      </c>
      <c r="GK3" s="7" t="s">
        <v>725</v>
      </c>
      <c r="GL3" s="7" t="s">
        <v>725</v>
      </c>
      <c r="GM3" s="7" t="s">
        <v>725</v>
      </c>
      <c r="GN3" s="7" t="s">
        <v>725</v>
      </c>
      <c r="GO3" s="7" t="s">
        <v>725</v>
      </c>
      <c r="GP3" s="7" t="s">
        <v>725</v>
      </c>
      <c r="GQ3" s="7" t="s">
        <v>725</v>
      </c>
      <c r="GR3" s="7" t="s">
        <v>725</v>
      </c>
      <c r="GS3" s="7" t="s">
        <v>725</v>
      </c>
      <c r="GT3" s="7" t="s">
        <v>725</v>
      </c>
      <c r="GU3" s="7" t="s">
        <v>725</v>
      </c>
      <c r="GV3" s="7" t="s">
        <v>725</v>
      </c>
      <c r="GW3" s="7" t="s">
        <v>725</v>
      </c>
      <c r="GX3" s="7" t="s">
        <v>725</v>
      </c>
      <c r="GZ3" s="7" t="s">
        <v>59</v>
      </c>
      <c r="HA3" s="7" t="s">
        <v>59</v>
      </c>
      <c r="HB3" s="7" t="s">
        <v>59</v>
      </c>
      <c r="HC3" s="7" t="s">
        <v>59</v>
      </c>
      <c r="HD3" s="7" t="s">
        <v>59</v>
      </c>
      <c r="HE3" s="7" t="s">
        <v>59</v>
      </c>
      <c r="HF3" s="7" t="s">
        <v>59</v>
      </c>
      <c r="HG3" s="7" t="s">
        <v>59</v>
      </c>
      <c r="HH3" s="7" t="s">
        <v>59</v>
      </c>
      <c r="HI3" s="7" t="s">
        <v>59</v>
      </c>
      <c r="HJ3" s="7" t="s">
        <v>59</v>
      </c>
      <c r="HK3" s="7" t="s">
        <v>59</v>
      </c>
      <c r="HL3" s="7" t="s">
        <v>59</v>
      </c>
      <c r="HM3" s="7" t="s">
        <v>59</v>
      </c>
      <c r="HN3" s="7" t="s">
        <v>59</v>
      </c>
      <c r="HO3" s="7" t="s">
        <v>59</v>
      </c>
      <c r="HQ3" s="228" t="s">
        <v>476</v>
      </c>
      <c r="HR3" s="228" t="s">
        <v>476</v>
      </c>
      <c r="HS3" s="228" t="s">
        <v>476</v>
      </c>
      <c r="HT3" s="228" t="s">
        <v>476</v>
      </c>
      <c r="HU3" s="228" t="s">
        <v>476</v>
      </c>
      <c r="HV3" s="228" t="s">
        <v>476</v>
      </c>
      <c r="HW3" s="228" t="s">
        <v>476</v>
      </c>
      <c r="HX3" s="228" t="s">
        <v>476</v>
      </c>
      <c r="HY3" s="228" t="s">
        <v>476</v>
      </c>
      <c r="HZ3" s="228" t="s">
        <v>476</v>
      </c>
      <c r="IA3" s="228" t="s">
        <v>476</v>
      </c>
      <c r="IB3" s="228" t="s">
        <v>476</v>
      </c>
      <c r="IC3" s="228" t="s">
        <v>476</v>
      </c>
      <c r="ID3" s="228" t="s">
        <v>476</v>
      </c>
      <c r="IE3" s="228" t="s">
        <v>476</v>
      </c>
      <c r="IF3" s="228" t="s">
        <v>476</v>
      </c>
    </row>
    <row r="4" spans="1:242">
      <c r="FA4" s="7"/>
      <c r="FB4" s="7"/>
      <c r="FC4" s="7"/>
      <c r="FD4" s="7"/>
      <c r="FE4" s="7"/>
      <c r="FF4" s="7"/>
      <c r="FG4" s="7"/>
      <c r="FH4" s="7"/>
      <c r="FI4" s="7"/>
      <c r="FJ4" s="7"/>
      <c r="FK4" s="7"/>
      <c r="FL4" s="7"/>
      <c r="FM4" s="7"/>
      <c r="FN4" s="7"/>
      <c r="FO4" s="7"/>
      <c r="FP4" s="7"/>
    </row>
    <row r="5" spans="1:242">
      <c r="A5" s="11" t="s">
        <v>502</v>
      </c>
      <c r="B5" s="7" t="s">
        <v>4</v>
      </c>
      <c r="D5" s="7">
        <v>44877.982799999998</v>
      </c>
      <c r="E5" s="7">
        <v>43915.27</v>
      </c>
      <c r="F5" s="7">
        <v>42397.642</v>
      </c>
      <c r="G5" s="7">
        <v>43871.66</v>
      </c>
      <c r="H5" s="7">
        <v>41722.336900000002</v>
      </c>
      <c r="I5" s="7">
        <v>46969.27</v>
      </c>
      <c r="J5" s="7">
        <v>46601.985000000001</v>
      </c>
      <c r="K5" s="7">
        <v>38135.026599999997</v>
      </c>
      <c r="L5" s="7">
        <v>38308.4948</v>
      </c>
      <c r="M5" s="7">
        <v>39165.544000000002</v>
      </c>
      <c r="N5" s="7">
        <v>37307.514000000003</v>
      </c>
      <c r="O5" s="7">
        <v>41364.932999999997</v>
      </c>
      <c r="P5" s="7">
        <v>37124.548600000002</v>
      </c>
      <c r="Q5" s="7">
        <v>35859.978999999999</v>
      </c>
      <c r="R5" s="7">
        <v>39791.94</v>
      </c>
      <c r="S5" s="7" t="s">
        <v>72</v>
      </c>
      <c r="U5" s="7">
        <v>44168</v>
      </c>
      <c r="V5" s="7">
        <v>43629</v>
      </c>
      <c r="W5" s="7">
        <v>48327</v>
      </c>
      <c r="X5" s="7">
        <v>46574</v>
      </c>
      <c r="Y5" s="7">
        <v>45366</v>
      </c>
      <c r="Z5" s="7">
        <v>43929</v>
      </c>
      <c r="AA5" s="7">
        <v>45762</v>
      </c>
      <c r="AB5" s="7">
        <v>45369</v>
      </c>
      <c r="AC5" s="7">
        <v>42196</v>
      </c>
      <c r="AD5" s="7">
        <v>40216</v>
      </c>
      <c r="AE5" s="7">
        <v>42732</v>
      </c>
      <c r="AF5" s="7">
        <v>40827</v>
      </c>
      <c r="AG5" s="7">
        <v>38568</v>
      </c>
      <c r="AH5" s="7">
        <v>38518</v>
      </c>
      <c r="AI5" s="7">
        <v>43004</v>
      </c>
      <c r="AJ5" s="7" t="s">
        <v>72</v>
      </c>
      <c r="AL5" s="7">
        <v>24548</v>
      </c>
      <c r="AM5" s="7" t="s">
        <v>72</v>
      </c>
      <c r="AN5" s="7" t="s">
        <v>72</v>
      </c>
      <c r="AO5" s="7">
        <v>17304</v>
      </c>
      <c r="AP5" s="7">
        <v>17663</v>
      </c>
      <c r="AQ5" s="7" t="s">
        <v>72</v>
      </c>
      <c r="AR5" s="7" t="s">
        <v>72</v>
      </c>
      <c r="AS5" s="7">
        <v>5102</v>
      </c>
      <c r="AT5" s="7">
        <v>17470</v>
      </c>
      <c r="AU5" s="7" t="s">
        <v>72</v>
      </c>
      <c r="AV5" s="7" t="s">
        <v>72</v>
      </c>
      <c r="AW5" s="7" t="s">
        <v>72</v>
      </c>
      <c r="AX5" s="7">
        <v>17502</v>
      </c>
      <c r="AY5" s="7" t="s">
        <v>72</v>
      </c>
      <c r="AZ5" s="7" t="s">
        <v>72</v>
      </c>
      <c r="BA5" s="7" t="s">
        <v>72</v>
      </c>
      <c r="BC5" s="7">
        <v>2.7835000000000001</v>
      </c>
      <c r="BD5" s="7">
        <v>2.7530999999999999</v>
      </c>
      <c r="BE5" s="7">
        <v>2.3698000000000001</v>
      </c>
      <c r="BF5" s="7">
        <v>2.6158999999999999</v>
      </c>
      <c r="BG5" s="7">
        <v>0.48609999999999998</v>
      </c>
      <c r="BH5" s="7">
        <v>2.5137999999999998</v>
      </c>
      <c r="BI5" s="7">
        <v>2.4312</v>
      </c>
      <c r="BJ5" s="7">
        <v>3.7846000000000002</v>
      </c>
      <c r="BK5" s="7" t="s">
        <v>72</v>
      </c>
      <c r="BL5" s="7">
        <v>2.7816000000000001</v>
      </c>
      <c r="BM5" s="7">
        <v>2.4426000000000001</v>
      </c>
      <c r="BN5" s="7">
        <v>3.2513000000000001</v>
      </c>
      <c r="BO5" s="7">
        <v>4.1078000000000001</v>
      </c>
      <c r="BP5" s="7">
        <v>3.0017</v>
      </c>
      <c r="BQ5" s="7">
        <v>2.6034000000000002</v>
      </c>
      <c r="BR5" s="7" t="s">
        <v>72</v>
      </c>
      <c r="BT5" s="7" t="e">
        <v>#NAME?</v>
      </c>
      <c r="BU5" s="7">
        <v>1.9694</v>
      </c>
      <c r="BV5" s="7">
        <v>2.2368000000000001</v>
      </c>
      <c r="BW5" s="7">
        <v>2.2208000000000001</v>
      </c>
      <c r="BX5" s="7">
        <v>2.5480999999999998</v>
      </c>
      <c r="BY5" s="7">
        <v>2.5228999999999999</v>
      </c>
      <c r="BZ5" s="7">
        <v>2.7326999999999999</v>
      </c>
      <c r="CA5" s="7">
        <v>2.7244000000000002</v>
      </c>
      <c r="CB5" s="7">
        <v>2.2204000000000002</v>
      </c>
      <c r="CC5" s="7">
        <v>2.0991</v>
      </c>
      <c r="CD5" s="7">
        <v>2.1810999999999998</v>
      </c>
      <c r="CE5" s="7">
        <v>2.0819000000000001</v>
      </c>
      <c r="CF5" s="7">
        <v>2.1436000000000002</v>
      </c>
      <c r="CG5" s="7">
        <v>2.1776</v>
      </c>
      <c r="CH5" s="7">
        <v>2.4577</v>
      </c>
      <c r="CI5" s="7" t="s">
        <v>72</v>
      </c>
      <c r="CK5" s="7">
        <v>94628.982799999998</v>
      </c>
      <c r="CL5" s="7">
        <v>93284.27</v>
      </c>
      <c r="CM5" s="7">
        <v>95766.642000000007</v>
      </c>
      <c r="CN5" s="7">
        <v>95647.66</v>
      </c>
      <c r="CO5" s="7">
        <v>92100.336899999995</v>
      </c>
      <c r="CP5" s="7">
        <v>95951.27</v>
      </c>
      <c r="CQ5" s="7">
        <v>97085.985000000001</v>
      </c>
      <c r="CR5" s="7">
        <v>88351.026599999997</v>
      </c>
      <c r="CS5" s="7">
        <v>85151.4948</v>
      </c>
      <c r="CT5" s="7">
        <v>84090.543999999994</v>
      </c>
      <c r="CU5" s="7">
        <v>84504.513999999996</v>
      </c>
      <c r="CV5" s="7">
        <v>86802.933000000005</v>
      </c>
      <c r="CW5" s="7">
        <v>80315.548599999995</v>
      </c>
      <c r="CX5" s="7">
        <v>78970.979000000007</v>
      </c>
      <c r="CY5" s="7">
        <v>89828.94</v>
      </c>
      <c r="CZ5" s="7" t="s">
        <v>72</v>
      </c>
      <c r="DB5" s="7">
        <v>4.2236000000000002</v>
      </c>
      <c r="DC5" s="7">
        <v>4.2108999999999996</v>
      </c>
      <c r="DD5" s="7">
        <v>4.4325999999999999</v>
      </c>
      <c r="DE5" s="7">
        <v>4.5606999999999998</v>
      </c>
      <c r="DF5" s="7">
        <v>5.173</v>
      </c>
      <c r="DG5" s="7">
        <v>5.5106000000000002</v>
      </c>
      <c r="DH5" s="7">
        <v>5.7976000000000001</v>
      </c>
      <c r="DI5" s="7">
        <v>5.3053999999999997</v>
      </c>
      <c r="DJ5" s="7">
        <v>4.4806999999999997</v>
      </c>
      <c r="DK5" s="7">
        <v>4.3891</v>
      </c>
      <c r="DL5" s="7">
        <v>4.3132000000000001</v>
      </c>
      <c r="DM5" s="7">
        <v>4.4264999999999999</v>
      </c>
      <c r="DN5" s="7">
        <v>4.4640000000000004</v>
      </c>
      <c r="DO5" s="7">
        <v>4.4646999999999997</v>
      </c>
      <c r="DP5" s="7">
        <v>5.1337000000000002</v>
      </c>
      <c r="DQ5" s="7" t="s">
        <v>72</v>
      </c>
      <c r="DS5" s="7">
        <v>1.4647999999999999</v>
      </c>
      <c r="DT5" s="7">
        <v>1.446</v>
      </c>
      <c r="DU5" s="7">
        <v>1.5009000000000001</v>
      </c>
      <c r="DV5" s="7">
        <v>1.5148000000000001</v>
      </c>
      <c r="DW5" s="7">
        <v>1.4755</v>
      </c>
      <c r="DX5" s="7">
        <v>1.5676999999999999</v>
      </c>
      <c r="DY5" s="7">
        <v>1.6141000000000001</v>
      </c>
      <c r="DZ5" s="7">
        <v>1.4919</v>
      </c>
      <c r="EA5" s="7">
        <v>1.4518</v>
      </c>
      <c r="EB5" s="7">
        <v>1.4377</v>
      </c>
      <c r="EC5" s="7">
        <v>1.4472</v>
      </c>
      <c r="ED5" s="7">
        <v>1.4870000000000001</v>
      </c>
      <c r="EE5" s="7">
        <v>1.3807</v>
      </c>
      <c r="EF5" s="7">
        <v>1.3729</v>
      </c>
      <c r="EG5" s="7">
        <v>1.5407999999999999</v>
      </c>
      <c r="EH5" s="7" t="s">
        <v>72</v>
      </c>
      <c r="EJ5" s="7" t="s">
        <v>72</v>
      </c>
      <c r="EK5" s="7">
        <v>19.3691</v>
      </c>
      <c r="EL5" s="7">
        <v>19.066500000000001</v>
      </c>
      <c r="EM5" s="7">
        <v>19.349900000000002</v>
      </c>
      <c r="EN5" s="7" t="s">
        <v>72</v>
      </c>
      <c r="EO5" s="7">
        <v>33.968699999999998</v>
      </c>
      <c r="EP5" s="7">
        <v>37.189700000000002</v>
      </c>
      <c r="EQ5" s="7">
        <v>28.483899999999998</v>
      </c>
      <c r="ER5" s="7" t="s">
        <v>72</v>
      </c>
      <c r="ES5" s="7" t="s">
        <v>72</v>
      </c>
      <c r="ET5" s="7" t="s">
        <v>72</v>
      </c>
      <c r="EU5" s="7" t="s">
        <v>72</v>
      </c>
      <c r="EV5" s="7" t="s">
        <v>72</v>
      </c>
      <c r="EW5" s="7" t="s">
        <v>72</v>
      </c>
      <c r="EX5" s="7" t="s">
        <v>72</v>
      </c>
      <c r="EY5" s="7" t="s">
        <v>72</v>
      </c>
      <c r="FA5" s="7" t="s">
        <v>72</v>
      </c>
      <c r="FB5" s="7">
        <v>1.1395</v>
      </c>
      <c r="FC5" s="7">
        <v>1.0667</v>
      </c>
      <c r="FD5" s="7">
        <v>1.1496999999999999</v>
      </c>
      <c r="FE5" s="7" t="s">
        <v>72</v>
      </c>
      <c r="FF5" s="7">
        <v>1.2490999999999999</v>
      </c>
      <c r="FG5" s="7">
        <v>1.3485</v>
      </c>
      <c r="FH5" s="7">
        <v>1.0639000000000001</v>
      </c>
      <c r="FI5" s="7" t="s">
        <v>72</v>
      </c>
      <c r="FJ5" s="7" t="s">
        <v>72</v>
      </c>
      <c r="FK5" s="7" t="s">
        <v>72</v>
      </c>
      <c r="FL5" s="7" t="s">
        <v>72</v>
      </c>
      <c r="FM5" s="7" t="s">
        <v>72</v>
      </c>
      <c r="FN5" s="7" t="s">
        <v>72</v>
      </c>
      <c r="FO5" s="7" t="s">
        <v>72</v>
      </c>
      <c r="FP5" s="7">
        <v>1.9758</v>
      </c>
      <c r="FR5" s="7" t="e">
        <v>#NAME?</v>
      </c>
      <c r="FS5" s="7">
        <v>5553</v>
      </c>
      <c r="FT5" s="7">
        <v>1839</v>
      </c>
      <c r="FU5" s="7">
        <v>2074</v>
      </c>
      <c r="FV5" s="7">
        <v>2808</v>
      </c>
      <c r="FW5" s="7">
        <v>1676</v>
      </c>
      <c r="FX5" s="7">
        <v>2744</v>
      </c>
      <c r="FY5" s="7">
        <v>2130</v>
      </c>
      <c r="FZ5" s="7">
        <v>3749</v>
      </c>
      <c r="GA5" s="7">
        <v>3294</v>
      </c>
      <c r="GB5" s="7">
        <v>2950</v>
      </c>
      <c r="GC5" s="7">
        <v>2529</v>
      </c>
      <c r="GD5" s="7">
        <v>4026</v>
      </c>
      <c r="GE5" s="7">
        <v>4540</v>
      </c>
      <c r="GF5" s="7">
        <v>5243</v>
      </c>
      <c r="GG5" s="7" t="s">
        <v>72</v>
      </c>
      <c r="GI5" s="7">
        <v>41937</v>
      </c>
      <c r="GJ5" s="7">
        <v>44279</v>
      </c>
      <c r="GK5" s="7">
        <v>44787</v>
      </c>
      <c r="GL5" s="7">
        <v>43360</v>
      </c>
      <c r="GM5" s="7">
        <v>43028</v>
      </c>
      <c r="GN5" s="7">
        <v>42656</v>
      </c>
      <c r="GO5" s="7">
        <v>39280</v>
      </c>
      <c r="GP5" s="7">
        <v>40690</v>
      </c>
      <c r="GQ5" s="7">
        <v>39941</v>
      </c>
      <c r="GR5" s="7">
        <v>39818</v>
      </c>
      <c r="GS5" s="7">
        <v>37874</v>
      </c>
      <c r="GT5" s="7">
        <v>30259</v>
      </c>
      <c r="GU5" s="7">
        <v>30543</v>
      </c>
      <c r="GV5" s="7">
        <v>31013</v>
      </c>
      <c r="GW5" s="7">
        <v>31250</v>
      </c>
      <c r="GX5" s="7" t="s">
        <v>72</v>
      </c>
      <c r="GZ5" s="7">
        <v>7042</v>
      </c>
      <c r="HA5" s="7">
        <v>4690</v>
      </c>
      <c r="HB5" s="7">
        <v>4479</v>
      </c>
      <c r="HC5" s="7">
        <v>4761</v>
      </c>
      <c r="HD5" s="7">
        <v>3874</v>
      </c>
      <c r="HE5" s="7">
        <v>4298</v>
      </c>
      <c r="HF5" s="7">
        <v>3813</v>
      </c>
      <c r="HG5" s="7">
        <v>4668</v>
      </c>
      <c r="HH5" s="7">
        <v>6225</v>
      </c>
      <c r="HI5" s="7">
        <v>4453</v>
      </c>
      <c r="HJ5" s="7">
        <v>4246</v>
      </c>
      <c r="HK5" s="7">
        <v>4686</v>
      </c>
      <c r="HL5" s="7">
        <v>4607</v>
      </c>
      <c r="HM5" s="7">
        <v>4149</v>
      </c>
      <c r="HN5" s="7">
        <v>4056</v>
      </c>
      <c r="HO5" s="7" t="s">
        <v>72</v>
      </c>
      <c r="HQ5" s="228">
        <v>4.6195000000000004</v>
      </c>
      <c r="HR5" s="228">
        <v>5.6878000000000002</v>
      </c>
      <c r="HS5" s="228">
        <v>6.3822999999999999</v>
      </c>
      <c r="HT5" s="228">
        <v>7.4030000000000005</v>
      </c>
      <c r="HU5" s="228">
        <v>6.6543000000000001</v>
      </c>
      <c r="HV5" s="228">
        <v>7.2379999999999995</v>
      </c>
      <c r="HW5" s="228">
        <v>7.0167000000000002</v>
      </c>
      <c r="HX5" s="228">
        <v>6.5442</v>
      </c>
      <c r="HY5" s="228">
        <v>5.3388999999999998</v>
      </c>
      <c r="HZ5" s="228">
        <v>5.2583000000000002</v>
      </c>
      <c r="IA5" s="228">
        <v>5.5208000000000004</v>
      </c>
      <c r="IB5" s="228">
        <v>5.7710999999999997</v>
      </c>
      <c r="IC5" s="228">
        <v>4.9032999999999998</v>
      </c>
      <c r="ID5" s="228">
        <v>4.5873999999999997</v>
      </c>
      <c r="IE5" s="228">
        <v>5.2995000000000001</v>
      </c>
      <c r="IF5" s="228" t="s">
        <v>72</v>
      </c>
    </row>
    <row r="6" spans="1:242">
      <c r="A6" s="11" t="s">
        <v>389</v>
      </c>
      <c r="B6" s="7" t="s">
        <v>3</v>
      </c>
      <c r="D6" s="7">
        <v>4403.5114999999996</v>
      </c>
      <c r="E6" s="7">
        <v>4580.5370999999996</v>
      </c>
      <c r="F6" s="7">
        <v>4042.8218999999999</v>
      </c>
      <c r="G6" s="7">
        <v>4885.9062000000004</v>
      </c>
      <c r="H6" s="7">
        <v>4655.7730000000001</v>
      </c>
      <c r="I6" s="7">
        <v>4567.2601999999997</v>
      </c>
      <c r="J6" s="7">
        <v>3894.5628999999999</v>
      </c>
      <c r="K6" s="7">
        <v>3354.1923000000002</v>
      </c>
      <c r="L6" s="7">
        <v>4088.4059000000002</v>
      </c>
      <c r="M6" s="7">
        <v>3864.4686000000002</v>
      </c>
      <c r="N6" s="7">
        <v>3433.8537999999999</v>
      </c>
      <c r="O6" s="7">
        <v>2434.1017999999999</v>
      </c>
      <c r="P6" s="7">
        <v>2540.3172</v>
      </c>
      <c r="Q6" s="7">
        <v>2265.4850000000001</v>
      </c>
      <c r="R6" s="7">
        <v>2152.6311000000001</v>
      </c>
      <c r="S6" s="7" t="s">
        <v>72</v>
      </c>
      <c r="U6" s="7">
        <v>3145.31</v>
      </c>
      <c r="V6" s="7">
        <v>2965.2</v>
      </c>
      <c r="W6" s="7">
        <v>3106.4</v>
      </c>
      <c r="X6" s="7">
        <v>2823.3</v>
      </c>
      <c r="Y6" s="7">
        <v>3350.0210000000002</v>
      </c>
      <c r="Z6" s="7">
        <v>3327</v>
      </c>
      <c r="AA6" s="7">
        <v>3536.5</v>
      </c>
      <c r="AB6" s="7">
        <v>3438</v>
      </c>
      <c r="AC6" s="7">
        <v>3323.3139999999999</v>
      </c>
      <c r="AD6" s="7">
        <v>3279.5</v>
      </c>
      <c r="AE6" s="7">
        <v>3371</v>
      </c>
      <c r="AF6" s="7">
        <v>3210.2</v>
      </c>
      <c r="AG6" s="7">
        <v>3195.5210000000002</v>
      </c>
      <c r="AH6" s="7">
        <v>3509</v>
      </c>
      <c r="AI6" s="7">
        <v>3474.4</v>
      </c>
      <c r="AJ6" s="7" t="s">
        <v>72</v>
      </c>
      <c r="AL6" s="7">
        <v>122.795</v>
      </c>
      <c r="AM6" s="7" t="s">
        <v>72</v>
      </c>
      <c r="AN6" s="7" t="s">
        <v>72</v>
      </c>
      <c r="AO6" s="7" t="s">
        <v>72</v>
      </c>
      <c r="AP6" s="7">
        <v>109.989</v>
      </c>
      <c r="AQ6" s="7" t="s">
        <v>72</v>
      </c>
      <c r="AR6" s="7" t="s">
        <v>72</v>
      </c>
      <c r="AS6" s="7" t="s">
        <v>72</v>
      </c>
      <c r="AT6" s="7">
        <v>109.435</v>
      </c>
      <c r="AU6" s="7" t="s">
        <v>72</v>
      </c>
      <c r="AV6" s="7" t="s">
        <v>72</v>
      </c>
      <c r="AW6" s="7" t="s">
        <v>72</v>
      </c>
      <c r="AX6" s="7">
        <v>105.739</v>
      </c>
      <c r="AY6" s="7" t="s">
        <v>72</v>
      </c>
      <c r="AZ6" s="7" t="s">
        <v>72</v>
      </c>
      <c r="BA6" s="7" t="s">
        <v>72</v>
      </c>
      <c r="BC6" s="7">
        <v>2.0987</v>
      </c>
      <c r="BD6" s="7">
        <v>3.1259000000000001</v>
      </c>
      <c r="BE6" s="7">
        <v>2.5788000000000002</v>
      </c>
      <c r="BF6" s="7">
        <v>3.5594999999999999</v>
      </c>
      <c r="BG6" s="7">
        <v>1.8706</v>
      </c>
      <c r="BH6" s="7">
        <v>2.7198000000000002</v>
      </c>
      <c r="BI6" s="7">
        <v>2.2719</v>
      </c>
      <c r="BJ6" s="7">
        <v>3.0768</v>
      </c>
      <c r="BK6" s="7">
        <v>-3.6991000000000001</v>
      </c>
      <c r="BL6" s="7">
        <v>2.0314000000000001</v>
      </c>
      <c r="BM6" s="7">
        <v>1.6831</v>
      </c>
      <c r="BN6" s="7">
        <v>3.2178</v>
      </c>
      <c r="BO6" s="7">
        <v>1.5064</v>
      </c>
      <c r="BP6" s="7">
        <v>2.3489</v>
      </c>
      <c r="BQ6" s="7">
        <v>2.1646999999999998</v>
      </c>
      <c r="BR6" s="7" t="s">
        <v>72</v>
      </c>
      <c r="BT6" s="7">
        <v>1.7532000000000001</v>
      </c>
      <c r="BU6" s="7">
        <v>1.6798999999999999</v>
      </c>
      <c r="BV6" s="7">
        <v>1.8073000000000001</v>
      </c>
      <c r="BW6" s="7">
        <v>1.6823999999999999</v>
      </c>
      <c r="BX6" s="7">
        <v>2.0352999999999999</v>
      </c>
      <c r="BY6" s="7">
        <v>2.0579000000000001</v>
      </c>
      <c r="BZ6" s="7">
        <v>2.2189000000000001</v>
      </c>
      <c r="CA6" s="7">
        <v>2.2071000000000001</v>
      </c>
      <c r="CB6" s="7">
        <v>2.1758999999999999</v>
      </c>
      <c r="CC6" s="7">
        <v>2.198</v>
      </c>
      <c r="CD6" s="7">
        <v>2.2839</v>
      </c>
      <c r="CE6" s="7">
        <v>2.1787000000000001</v>
      </c>
      <c r="CF6" s="7">
        <v>2.1955</v>
      </c>
      <c r="CG6" s="7">
        <v>2.4521999999999999</v>
      </c>
      <c r="CH6" s="7">
        <v>2.4878</v>
      </c>
      <c r="CI6" s="7" t="s">
        <v>72</v>
      </c>
      <c r="CK6" s="7">
        <v>7551.5445</v>
      </c>
      <c r="CL6" s="7">
        <v>7548.5370999999996</v>
      </c>
      <c r="CM6" s="7">
        <v>7151.8218999999999</v>
      </c>
      <c r="CN6" s="7">
        <v>7711.9062000000004</v>
      </c>
      <c r="CO6" s="7">
        <v>8008.34</v>
      </c>
      <c r="CP6" s="7">
        <v>7896.4602000000004</v>
      </c>
      <c r="CQ6" s="7">
        <v>7433.3629000000001</v>
      </c>
      <c r="CR6" s="7">
        <v>6794.2923000000001</v>
      </c>
      <c r="CS6" s="7">
        <v>7412.6539000000002</v>
      </c>
      <c r="CT6" s="7">
        <v>7144.8685999999998</v>
      </c>
      <c r="CU6" s="7">
        <v>6805.8537999999999</v>
      </c>
      <c r="CV6" s="7">
        <v>5645.3018000000002</v>
      </c>
      <c r="CW6" s="7">
        <v>5736.8901999999998</v>
      </c>
      <c r="CX6" s="7">
        <v>5775.585</v>
      </c>
      <c r="CY6" s="7">
        <v>5628.2311</v>
      </c>
      <c r="CZ6" s="7" t="s">
        <v>72</v>
      </c>
      <c r="DB6" s="7">
        <v>4.2092000000000001</v>
      </c>
      <c r="DC6" s="7">
        <v>4.2765000000000004</v>
      </c>
      <c r="DD6" s="7">
        <v>4.1608000000000001</v>
      </c>
      <c r="DE6" s="7">
        <v>4.5955000000000004</v>
      </c>
      <c r="DF6" s="7">
        <v>4.8654999999999999</v>
      </c>
      <c r="DG6" s="7">
        <v>4.8841999999999999</v>
      </c>
      <c r="DH6" s="7">
        <v>4.6638000000000002</v>
      </c>
      <c r="DI6" s="7">
        <v>4.3616999999999999</v>
      </c>
      <c r="DJ6" s="7">
        <v>4.8532000000000002</v>
      </c>
      <c r="DK6" s="7">
        <v>4.7885999999999997</v>
      </c>
      <c r="DL6" s="7">
        <v>4.6111000000000004</v>
      </c>
      <c r="DM6" s="7">
        <v>3.8313000000000001</v>
      </c>
      <c r="DN6" s="7">
        <v>3.9416000000000002</v>
      </c>
      <c r="DO6" s="7">
        <v>4.0361000000000002</v>
      </c>
      <c r="DP6" s="7">
        <v>4.03</v>
      </c>
      <c r="DQ6" s="7" t="s">
        <v>72</v>
      </c>
      <c r="DS6" s="7">
        <v>1.5726</v>
      </c>
      <c r="DT6" s="7">
        <v>1.5956000000000001</v>
      </c>
      <c r="DU6" s="7">
        <v>1.5190999999999999</v>
      </c>
      <c r="DV6" s="7">
        <v>1.6543999999999999</v>
      </c>
      <c r="DW6" s="7">
        <v>1.7219</v>
      </c>
      <c r="DX6" s="7">
        <v>1.7008000000000001</v>
      </c>
      <c r="DY6" s="7">
        <v>1.6217999999999999</v>
      </c>
      <c r="DZ6" s="7">
        <v>1.5066999999999999</v>
      </c>
      <c r="EA6" s="7">
        <v>1.6640000000000001</v>
      </c>
      <c r="EB6" s="7">
        <v>1.6269</v>
      </c>
      <c r="EC6" s="7">
        <v>1.5662</v>
      </c>
      <c r="ED6" s="7">
        <v>1.3044</v>
      </c>
      <c r="EE6" s="7">
        <v>1.325</v>
      </c>
      <c r="EF6" s="7">
        <v>1.3357999999999999</v>
      </c>
      <c r="EG6" s="7">
        <v>1.3078000000000001</v>
      </c>
      <c r="EH6" s="7" t="s">
        <v>72</v>
      </c>
      <c r="EJ6" s="7" t="s">
        <v>72</v>
      </c>
      <c r="EK6" s="7">
        <v>43.125</v>
      </c>
      <c r="EL6" s="7">
        <v>43.5</v>
      </c>
      <c r="EM6" s="7">
        <v>14.918900000000001</v>
      </c>
      <c r="EN6" s="7" t="s">
        <v>72</v>
      </c>
      <c r="EO6" s="7">
        <v>172</v>
      </c>
      <c r="EP6" s="7" t="s">
        <v>72</v>
      </c>
      <c r="EQ6" s="7">
        <v>378.95</v>
      </c>
      <c r="ER6" s="7" t="s">
        <v>72</v>
      </c>
      <c r="ES6" s="7" t="s">
        <v>72</v>
      </c>
      <c r="ET6" s="7" t="s">
        <v>72</v>
      </c>
      <c r="EU6" s="7" t="s">
        <v>72</v>
      </c>
      <c r="EV6" s="7" t="s">
        <v>72</v>
      </c>
      <c r="EW6" s="7" t="s">
        <v>72</v>
      </c>
      <c r="EX6" s="7" t="s">
        <v>72</v>
      </c>
      <c r="EY6" s="7" t="s">
        <v>72</v>
      </c>
      <c r="FA6" s="7" t="s">
        <v>72</v>
      </c>
      <c r="FB6" s="7">
        <v>2.6831</v>
      </c>
      <c r="FC6" s="7">
        <v>2.6951999999999998</v>
      </c>
      <c r="FD6" s="7">
        <v>3.2273999999999998</v>
      </c>
      <c r="FE6" s="7" t="s">
        <v>72</v>
      </c>
      <c r="FF6" s="7">
        <v>3.3698999999999999</v>
      </c>
      <c r="FG6" s="7">
        <v>5.1754999999999995</v>
      </c>
      <c r="FH6" s="7">
        <v>4.3822999999999999</v>
      </c>
      <c r="FI6" s="7" t="s">
        <v>72</v>
      </c>
      <c r="FJ6" s="7" t="s">
        <v>72</v>
      </c>
      <c r="FK6" s="7" t="s">
        <v>72</v>
      </c>
      <c r="FL6" s="7" t="s">
        <v>72</v>
      </c>
      <c r="FM6" s="7" t="s">
        <v>72</v>
      </c>
      <c r="FN6" s="7" t="s">
        <v>72</v>
      </c>
      <c r="FO6" s="7" t="s">
        <v>72</v>
      </c>
      <c r="FP6" s="7">
        <v>2.9295999999999998</v>
      </c>
      <c r="FR6" s="7">
        <v>730.05399999999997</v>
      </c>
      <c r="FS6" s="7">
        <v>231.7</v>
      </c>
      <c r="FT6" s="7">
        <v>173.3</v>
      </c>
      <c r="FU6" s="7">
        <v>826.4</v>
      </c>
      <c r="FV6" s="7">
        <v>120.196</v>
      </c>
      <c r="FW6" s="7">
        <v>353.4</v>
      </c>
      <c r="FX6" s="7">
        <v>168.4</v>
      </c>
      <c r="FY6" s="7">
        <v>318.7</v>
      </c>
      <c r="FZ6" s="7">
        <v>459.952</v>
      </c>
      <c r="GA6" s="7">
        <v>625</v>
      </c>
      <c r="GB6" s="7">
        <v>306.60000000000002</v>
      </c>
      <c r="GC6" s="7">
        <v>506.3</v>
      </c>
      <c r="GD6" s="7">
        <v>600.76300000000003</v>
      </c>
      <c r="GE6" s="7">
        <v>420.5</v>
      </c>
      <c r="GF6" s="7">
        <v>530.79999999999995</v>
      </c>
      <c r="GG6" s="7" t="s">
        <v>72</v>
      </c>
      <c r="GI6" s="7">
        <v>1614.146</v>
      </c>
      <c r="GJ6" s="7">
        <v>1710</v>
      </c>
      <c r="GK6" s="7">
        <v>1502.6</v>
      </c>
      <c r="GL6" s="7">
        <v>1516.6</v>
      </c>
      <c r="GM6" s="7">
        <v>1476.925</v>
      </c>
      <c r="GN6" s="7">
        <v>1357.5</v>
      </c>
      <c r="GO6" s="7">
        <v>754.8</v>
      </c>
      <c r="GP6" s="7">
        <v>767.5</v>
      </c>
      <c r="GQ6" s="7">
        <v>883.11</v>
      </c>
      <c r="GR6" s="7">
        <v>930.6</v>
      </c>
      <c r="GS6" s="7">
        <v>815.1</v>
      </c>
      <c r="GT6" s="7">
        <v>914.8</v>
      </c>
      <c r="GU6" s="7">
        <v>836.14700000000005</v>
      </c>
      <c r="GV6" s="7">
        <v>915.3</v>
      </c>
      <c r="GW6" s="7">
        <v>937.5</v>
      </c>
      <c r="GX6" s="7" t="s">
        <v>72</v>
      </c>
      <c r="GZ6" s="7">
        <v>399.43799999999999</v>
      </c>
      <c r="HA6" s="7">
        <v>425.9</v>
      </c>
      <c r="HB6" s="7">
        <v>403.7</v>
      </c>
      <c r="HC6" s="7">
        <v>449.1</v>
      </c>
      <c r="HD6" s="7">
        <v>367.23</v>
      </c>
      <c r="HE6" s="7">
        <v>396.7</v>
      </c>
      <c r="HF6" s="7">
        <v>380.8</v>
      </c>
      <c r="HG6" s="7">
        <v>413</v>
      </c>
      <c r="HH6" s="7">
        <v>336.86200000000002</v>
      </c>
      <c r="HI6" s="7">
        <v>361.4</v>
      </c>
      <c r="HJ6" s="7">
        <v>364.7</v>
      </c>
      <c r="HK6" s="7">
        <v>410.5</v>
      </c>
      <c r="HL6" s="7">
        <v>318.87200000000001</v>
      </c>
      <c r="HM6" s="7">
        <v>336.9</v>
      </c>
      <c r="HN6" s="7">
        <v>330.3</v>
      </c>
      <c r="HO6" s="7" t="s">
        <v>72</v>
      </c>
      <c r="HQ6" s="228">
        <v>7.4924999999999997</v>
      </c>
      <c r="HR6" s="228">
        <v>7.0602</v>
      </c>
      <c r="HS6" s="228">
        <v>8.5809999999999995</v>
      </c>
      <c r="HT6" s="228">
        <v>7.4513999999999996</v>
      </c>
      <c r="HU6" s="228">
        <v>8.8432999999999993</v>
      </c>
      <c r="HV6" s="228">
        <v>10.1328</v>
      </c>
      <c r="HW6" s="228">
        <v>8.0869</v>
      </c>
      <c r="HX6" s="228">
        <v>8.3938000000000006</v>
      </c>
      <c r="HY6" s="228">
        <v>7.3704000000000001</v>
      </c>
      <c r="HZ6" s="228">
        <v>7.0548999999999999</v>
      </c>
      <c r="IA6" s="228">
        <v>6.7568999999999999</v>
      </c>
      <c r="IB6" s="228">
        <v>5.4363000000000001</v>
      </c>
      <c r="IC6" s="228">
        <v>5.5948000000000002</v>
      </c>
      <c r="ID6" s="228">
        <v>4.8295000000000003</v>
      </c>
      <c r="IE6" s="228">
        <v>4.8882000000000003</v>
      </c>
      <c r="IF6" s="228" t="s">
        <v>72</v>
      </c>
    </row>
    <row r="7" spans="1:242">
      <c r="A7" s="11" t="s">
        <v>323</v>
      </c>
      <c r="B7" s="7" t="s">
        <v>16</v>
      </c>
      <c r="D7" s="7">
        <v>8197.4082999999991</v>
      </c>
      <c r="E7" s="7">
        <v>9264.1470000000008</v>
      </c>
      <c r="F7" s="7">
        <v>8743.0166000000008</v>
      </c>
      <c r="G7" s="7">
        <v>9669.2050999999992</v>
      </c>
      <c r="H7" s="7">
        <v>8077.2514000000001</v>
      </c>
      <c r="I7" s="7">
        <v>8787.9030000000002</v>
      </c>
      <c r="J7" s="7">
        <v>8313.7248999999993</v>
      </c>
      <c r="K7" s="7">
        <v>7659.6464999999998</v>
      </c>
      <c r="L7" s="7">
        <v>7699.8073999999997</v>
      </c>
      <c r="M7" s="7">
        <v>8147.49</v>
      </c>
      <c r="N7" s="7">
        <v>7590.3544000000002</v>
      </c>
      <c r="O7" s="7">
        <v>8027.5</v>
      </c>
      <c r="P7" s="7">
        <v>7068.3325999999997</v>
      </c>
      <c r="Q7" s="7">
        <v>6555.51</v>
      </c>
      <c r="R7" s="7">
        <v>5825.8631999999998</v>
      </c>
      <c r="S7" s="7" t="s">
        <v>72</v>
      </c>
      <c r="U7" s="7">
        <v>1779</v>
      </c>
      <c r="V7" s="7">
        <v>1444</v>
      </c>
      <c r="W7" s="7">
        <v>1799</v>
      </c>
      <c r="X7" s="7">
        <v>1527</v>
      </c>
      <c r="Y7" s="7">
        <v>1562</v>
      </c>
      <c r="Z7" s="7">
        <v>1288</v>
      </c>
      <c r="AA7" s="7">
        <v>1715</v>
      </c>
      <c r="AB7" s="7">
        <v>1448</v>
      </c>
      <c r="AC7" s="7">
        <v>1616</v>
      </c>
      <c r="AD7" s="7">
        <v>1398</v>
      </c>
      <c r="AE7" s="7">
        <v>1846</v>
      </c>
      <c r="AF7" s="7">
        <v>1598</v>
      </c>
      <c r="AG7" s="7">
        <v>1691</v>
      </c>
      <c r="AH7" s="7">
        <v>1586</v>
      </c>
      <c r="AI7" s="7">
        <v>2085</v>
      </c>
      <c r="AJ7" s="7" t="s">
        <v>72</v>
      </c>
      <c r="AL7" s="7">
        <v>325</v>
      </c>
      <c r="AM7" s="7" t="s">
        <v>72</v>
      </c>
      <c r="AN7" s="7" t="s">
        <v>72</v>
      </c>
      <c r="AO7" s="7" t="s">
        <v>72</v>
      </c>
      <c r="AP7" s="7">
        <v>329</v>
      </c>
      <c r="AQ7" s="7" t="s">
        <v>72</v>
      </c>
      <c r="AR7" s="7" t="s">
        <v>72</v>
      </c>
      <c r="AS7" s="7" t="s">
        <v>72</v>
      </c>
      <c r="AT7" s="7">
        <v>330</v>
      </c>
      <c r="AU7" s="7" t="s">
        <v>72</v>
      </c>
      <c r="AV7" s="7" t="s">
        <v>72</v>
      </c>
      <c r="AW7" s="7" t="s">
        <v>72</v>
      </c>
      <c r="AX7" s="7">
        <v>318</v>
      </c>
      <c r="AY7" s="7" t="s">
        <v>72</v>
      </c>
      <c r="AZ7" s="7" t="s">
        <v>72</v>
      </c>
      <c r="BA7" s="7" t="s">
        <v>72</v>
      </c>
      <c r="BC7" s="7">
        <v>3.0602999999999998</v>
      </c>
      <c r="BD7" s="7" t="s">
        <v>72</v>
      </c>
      <c r="BE7" s="7" t="s">
        <v>72</v>
      </c>
      <c r="BF7" s="7" t="s">
        <v>72</v>
      </c>
      <c r="BG7" s="7" t="s">
        <v>72</v>
      </c>
      <c r="BH7" s="7" t="s">
        <v>72</v>
      </c>
      <c r="BI7" s="7" t="s">
        <v>72</v>
      </c>
      <c r="BJ7" s="7" t="s">
        <v>72</v>
      </c>
      <c r="BK7" s="7" t="s">
        <v>72</v>
      </c>
      <c r="BL7" s="7" t="s">
        <v>72</v>
      </c>
      <c r="BM7" s="7" t="s">
        <v>72</v>
      </c>
      <c r="BN7" s="7" t="s">
        <v>72</v>
      </c>
      <c r="BO7" s="7" t="s">
        <v>72</v>
      </c>
      <c r="BP7" s="7" t="s">
        <v>72</v>
      </c>
      <c r="BQ7" s="7" t="s">
        <v>72</v>
      </c>
      <c r="BR7" s="7" t="s">
        <v>72</v>
      </c>
      <c r="BT7" s="7">
        <v>0.75860000000000005</v>
      </c>
      <c r="BU7" s="7">
        <v>0.51870000000000005</v>
      </c>
      <c r="BV7" s="7">
        <v>0.64570000000000005</v>
      </c>
      <c r="BW7" s="7">
        <v>0.54869999999999997</v>
      </c>
      <c r="BX7" s="7">
        <v>0.64549999999999996</v>
      </c>
      <c r="BY7" s="7">
        <v>0.65410000000000001</v>
      </c>
      <c r="BZ7" s="7">
        <v>0.86699999999999999</v>
      </c>
      <c r="CA7" s="7">
        <v>0.73950000000000005</v>
      </c>
      <c r="CB7" s="7">
        <v>0.84560000000000002</v>
      </c>
      <c r="CC7" s="7">
        <v>0.73540000000000005</v>
      </c>
      <c r="CD7" s="7">
        <v>1.0109999999999999</v>
      </c>
      <c r="CE7" s="7">
        <v>0.88090000000000002</v>
      </c>
      <c r="CF7" s="7">
        <v>0.94310000000000005</v>
      </c>
      <c r="CG7" s="7">
        <v>0.89959999999999996</v>
      </c>
      <c r="CH7" s="7">
        <v>1.1887000000000001</v>
      </c>
      <c r="CI7" s="7" t="s">
        <v>72</v>
      </c>
      <c r="CK7" s="7">
        <v>9983.4082999999991</v>
      </c>
      <c r="CL7" s="7">
        <v>10935.147000000001</v>
      </c>
      <c r="CM7" s="7">
        <v>10764.016600000001</v>
      </c>
      <c r="CN7" s="7">
        <v>11425.205099999999</v>
      </c>
      <c r="CO7" s="7">
        <v>9874.2513999999992</v>
      </c>
      <c r="CP7" s="7">
        <v>10311.903</v>
      </c>
      <c r="CQ7" s="7">
        <v>10268.724899999999</v>
      </c>
      <c r="CR7" s="7">
        <v>9355.6465000000007</v>
      </c>
      <c r="CS7" s="7">
        <v>9540.8073999999997</v>
      </c>
      <c r="CT7" s="7">
        <v>9773.49</v>
      </c>
      <c r="CU7" s="7">
        <v>9669.3544000000002</v>
      </c>
      <c r="CV7" s="7">
        <v>9864.5</v>
      </c>
      <c r="CW7" s="7">
        <v>8971.3325999999997</v>
      </c>
      <c r="CX7" s="7">
        <v>8358.51</v>
      </c>
      <c r="CY7" s="7">
        <v>8095.8631999999998</v>
      </c>
      <c r="CZ7" s="7" t="s">
        <v>72</v>
      </c>
      <c r="DB7" s="7">
        <v>4.2572999999999999</v>
      </c>
      <c r="DC7" s="7">
        <v>3.9279000000000002</v>
      </c>
      <c r="DD7" s="7">
        <v>3.8635999999999999</v>
      </c>
      <c r="DE7" s="7">
        <v>4.1054000000000004</v>
      </c>
      <c r="DF7" s="7">
        <v>4.0803000000000003</v>
      </c>
      <c r="DG7" s="7">
        <v>5.2370999999999999</v>
      </c>
      <c r="DH7" s="7">
        <v>5.1914999999999996</v>
      </c>
      <c r="DI7" s="7">
        <v>4.7782</v>
      </c>
      <c r="DJ7" s="7">
        <v>4.9926000000000004</v>
      </c>
      <c r="DK7" s="7">
        <v>5.1411999999999995</v>
      </c>
      <c r="DL7" s="7">
        <v>5.2953999999999999</v>
      </c>
      <c r="DM7" s="7">
        <v>5.4379999999999997</v>
      </c>
      <c r="DN7" s="7">
        <v>5.0034999999999998</v>
      </c>
      <c r="DO7" s="7">
        <v>4.7411000000000003</v>
      </c>
      <c r="DP7" s="7">
        <v>4.6157000000000004</v>
      </c>
      <c r="DQ7" s="7" t="s">
        <v>72</v>
      </c>
      <c r="DS7" s="7">
        <v>1.6858</v>
      </c>
      <c r="DT7" s="7">
        <v>1.8006</v>
      </c>
      <c r="DU7" s="7">
        <v>1.7244000000000002</v>
      </c>
      <c r="DV7" s="7">
        <v>1.7829999999999999</v>
      </c>
      <c r="DW7" s="7">
        <v>1.5070999999999999</v>
      </c>
      <c r="DX7" s="7">
        <v>1.5867</v>
      </c>
      <c r="DY7" s="7">
        <v>1.5928</v>
      </c>
      <c r="DZ7" s="7">
        <v>1.4611000000000001</v>
      </c>
      <c r="EA7" s="7">
        <v>1.4997</v>
      </c>
      <c r="EB7" s="7">
        <v>1.5354999999999999</v>
      </c>
      <c r="EC7" s="7">
        <v>1.5194000000000001</v>
      </c>
      <c r="ED7" s="7">
        <v>1.5432999999999999</v>
      </c>
      <c r="EE7" s="7">
        <v>1.3985000000000001</v>
      </c>
      <c r="EF7" s="7">
        <v>1.3054000000000001</v>
      </c>
      <c r="EG7" s="7">
        <v>1.2703</v>
      </c>
      <c r="EH7" s="7" t="s">
        <v>72</v>
      </c>
      <c r="EJ7" s="7">
        <v>8.8588000000000005</v>
      </c>
      <c r="EK7" s="7">
        <v>6.8734999999999999</v>
      </c>
      <c r="EL7" s="7">
        <v>6.0885999999999996</v>
      </c>
      <c r="EM7" s="7">
        <v>6.8436000000000003</v>
      </c>
      <c r="EN7" s="7">
        <v>6.2857000000000003</v>
      </c>
      <c r="EO7" s="7">
        <v>10.5663</v>
      </c>
      <c r="EP7" s="7">
        <v>9.5445999999999991</v>
      </c>
      <c r="EQ7" s="7">
        <v>8.7935999999999996</v>
      </c>
      <c r="ER7" s="7" t="s">
        <v>72</v>
      </c>
      <c r="ES7" s="7" t="s">
        <v>72</v>
      </c>
      <c r="ET7" s="7" t="s">
        <v>72</v>
      </c>
      <c r="EU7" s="7" t="s">
        <v>72</v>
      </c>
      <c r="EV7" s="7">
        <v>9.8689</v>
      </c>
      <c r="EW7" s="7" t="s">
        <v>72</v>
      </c>
      <c r="EX7" s="7" t="s">
        <v>72</v>
      </c>
      <c r="EY7" s="7" t="s">
        <v>72</v>
      </c>
      <c r="FA7" s="7">
        <v>3.2101999999999999</v>
      </c>
      <c r="FB7" s="7">
        <v>2.8860999999999999</v>
      </c>
      <c r="FC7" s="7">
        <v>3.0366</v>
      </c>
      <c r="FD7" s="7">
        <v>3.1372</v>
      </c>
      <c r="FE7" s="7">
        <v>2.5625</v>
      </c>
      <c r="FF7" s="7">
        <v>2.6233</v>
      </c>
      <c r="FG7" s="7">
        <v>2.7930000000000001</v>
      </c>
      <c r="FH7" s="7">
        <v>2.4649000000000001</v>
      </c>
      <c r="FI7" s="7" t="s">
        <v>72</v>
      </c>
      <c r="FJ7" s="7" t="s">
        <v>72</v>
      </c>
      <c r="FK7" s="7" t="s">
        <v>72</v>
      </c>
      <c r="FL7" s="7" t="s">
        <v>72</v>
      </c>
      <c r="FM7" s="7">
        <v>2.3443999999999998</v>
      </c>
      <c r="FN7" s="7" t="s">
        <v>72</v>
      </c>
      <c r="FO7" s="7" t="s">
        <v>72</v>
      </c>
      <c r="FP7" s="7">
        <v>2.4775</v>
      </c>
      <c r="FR7" s="727">
        <v>332</v>
      </c>
      <c r="FS7" s="727">
        <v>639</v>
      </c>
      <c r="FT7" s="727">
        <v>357</v>
      </c>
      <c r="FU7" s="727">
        <v>615</v>
      </c>
      <c r="FV7" s="727">
        <v>584</v>
      </c>
      <c r="FW7" s="727">
        <v>921</v>
      </c>
      <c r="FX7" s="727">
        <v>495</v>
      </c>
      <c r="FY7" s="727">
        <v>815</v>
      </c>
      <c r="FZ7" s="727">
        <v>320</v>
      </c>
      <c r="GA7" s="727">
        <v>515</v>
      </c>
      <c r="GB7" s="727">
        <v>261</v>
      </c>
      <c r="GC7" s="727">
        <v>365</v>
      </c>
      <c r="GD7" s="727">
        <v>202</v>
      </c>
      <c r="GE7" s="727">
        <v>365</v>
      </c>
      <c r="GF7" s="727">
        <v>219</v>
      </c>
      <c r="GG7" s="727" t="s">
        <v>72</v>
      </c>
      <c r="GI7" s="7">
        <v>2524</v>
      </c>
      <c r="GJ7" s="7">
        <v>3391</v>
      </c>
      <c r="GK7" s="7">
        <v>3060</v>
      </c>
      <c r="GL7" s="7">
        <v>3267</v>
      </c>
      <c r="GM7" s="7">
        <v>3342</v>
      </c>
      <c r="GN7" s="7">
        <v>3538</v>
      </c>
      <c r="GO7" s="7">
        <v>3174</v>
      </c>
      <c r="GP7" s="7">
        <v>3311</v>
      </c>
      <c r="GQ7" s="7">
        <v>3302</v>
      </c>
      <c r="GR7" s="7">
        <v>3510</v>
      </c>
      <c r="GS7" s="7">
        <v>3148</v>
      </c>
      <c r="GT7" s="7">
        <v>3344</v>
      </c>
      <c r="GU7" s="7">
        <v>3227</v>
      </c>
      <c r="GV7" s="7">
        <v>3275</v>
      </c>
      <c r="GW7" s="7">
        <v>2866</v>
      </c>
      <c r="GX7" s="7" t="s">
        <v>72</v>
      </c>
      <c r="GZ7" s="7">
        <v>856</v>
      </c>
      <c r="HA7" s="7">
        <v>931</v>
      </c>
      <c r="HB7" s="7">
        <v>504</v>
      </c>
      <c r="HC7" s="7">
        <v>492</v>
      </c>
      <c r="HD7" s="7">
        <v>493</v>
      </c>
      <c r="HE7" s="7">
        <v>480</v>
      </c>
      <c r="HF7" s="7">
        <v>513</v>
      </c>
      <c r="HG7" s="7">
        <v>472</v>
      </c>
      <c r="HH7" s="7">
        <v>446</v>
      </c>
      <c r="HI7" s="7">
        <v>470</v>
      </c>
      <c r="HJ7" s="7">
        <v>438</v>
      </c>
      <c r="HK7" s="7">
        <v>460</v>
      </c>
      <c r="HL7" s="7">
        <v>425</v>
      </c>
      <c r="HM7" s="7">
        <v>440</v>
      </c>
      <c r="HN7" s="7">
        <v>429</v>
      </c>
      <c r="HO7" s="7" t="s">
        <v>72</v>
      </c>
      <c r="HQ7" s="228">
        <v>6.6604999999999999</v>
      </c>
      <c r="HR7" s="228">
        <v>6.1635</v>
      </c>
      <c r="HS7" s="228">
        <v>7.3255999999999997</v>
      </c>
      <c r="HT7" s="228">
        <v>6.8700999999999999</v>
      </c>
      <c r="HU7" s="228">
        <v>7.0331000000000001</v>
      </c>
      <c r="HV7" s="228">
        <v>7.5785</v>
      </c>
      <c r="HW7" s="228">
        <v>8.8399000000000001</v>
      </c>
      <c r="HX7" s="228">
        <v>9.2369000000000003</v>
      </c>
      <c r="HY7" s="228">
        <v>8.2431999999999999</v>
      </c>
      <c r="HZ7" s="228">
        <v>8.3777000000000008</v>
      </c>
      <c r="IA7" s="228">
        <v>7.2497999999999996</v>
      </c>
      <c r="IB7" s="228">
        <v>7.9025999999999996</v>
      </c>
      <c r="IC7" s="228">
        <v>7.1531000000000002</v>
      </c>
      <c r="ID7" s="228">
        <v>6.5510000000000002</v>
      </c>
      <c r="IE7" s="228">
        <v>6.0462999999999996</v>
      </c>
      <c r="IF7" s="228" t="s">
        <v>72</v>
      </c>
    </row>
    <row r="8" spans="1:242">
      <c r="A8" s="11" t="s">
        <v>323</v>
      </c>
      <c r="B8" s="7" t="s">
        <v>2</v>
      </c>
      <c r="D8" s="7">
        <v>2874.3904000000002</v>
      </c>
      <c r="E8" s="7" t="s">
        <v>72</v>
      </c>
      <c r="F8" s="7">
        <v>2618.6714999999999</v>
      </c>
      <c r="G8" s="7" t="s">
        <v>72</v>
      </c>
      <c r="H8" s="7">
        <v>2911.2991999999999</v>
      </c>
      <c r="I8" s="7" t="s">
        <v>72</v>
      </c>
      <c r="J8" s="7">
        <v>3143.5549999999998</v>
      </c>
      <c r="K8" s="7" t="s">
        <v>72</v>
      </c>
      <c r="L8" s="7">
        <v>2429.9836</v>
      </c>
      <c r="M8" s="7" t="s">
        <v>72</v>
      </c>
      <c r="N8" s="7">
        <v>1622.7898</v>
      </c>
      <c r="O8" s="7" t="s">
        <v>72</v>
      </c>
      <c r="P8" s="7">
        <v>1163.6795</v>
      </c>
      <c r="Q8" s="7" t="s">
        <v>72</v>
      </c>
      <c r="R8" s="7">
        <v>960.23059999999998</v>
      </c>
      <c r="S8" s="7" t="s">
        <v>72</v>
      </c>
      <c r="U8" s="7">
        <v>287.92700000000002</v>
      </c>
      <c r="V8" s="7" t="s">
        <v>72</v>
      </c>
      <c r="W8" s="7">
        <v>323</v>
      </c>
      <c r="X8" s="7" t="s">
        <v>72</v>
      </c>
      <c r="Y8" s="7">
        <v>287.84500000000003</v>
      </c>
      <c r="Z8" s="7" t="s">
        <v>72</v>
      </c>
      <c r="AA8" s="7">
        <v>322.39999999999998</v>
      </c>
      <c r="AB8" s="7" t="s">
        <v>72</v>
      </c>
      <c r="AC8" s="7">
        <v>304.52499999999998</v>
      </c>
      <c r="AD8" s="7" t="s">
        <v>72</v>
      </c>
      <c r="AE8" s="7">
        <v>409.1</v>
      </c>
      <c r="AF8" s="7" t="s">
        <v>72</v>
      </c>
      <c r="AG8" s="7">
        <v>393.964</v>
      </c>
      <c r="AH8" s="7" t="s">
        <v>72</v>
      </c>
      <c r="AI8" s="7">
        <v>472.7</v>
      </c>
      <c r="AJ8" s="7" t="s">
        <v>72</v>
      </c>
      <c r="AL8" s="7">
        <v>420.51799999999997</v>
      </c>
      <c r="AM8" s="7" t="s">
        <v>72</v>
      </c>
      <c r="AN8" s="7" t="s">
        <v>72</v>
      </c>
      <c r="AO8" s="7" t="s">
        <v>72</v>
      </c>
      <c r="AP8" s="7">
        <v>474.03199999999998</v>
      </c>
      <c r="AQ8" s="7" t="s">
        <v>72</v>
      </c>
      <c r="AR8" s="7" t="s">
        <v>72</v>
      </c>
      <c r="AS8" s="7" t="s">
        <v>72</v>
      </c>
      <c r="AT8" s="7">
        <v>446.65600000000001</v>
      </c>
      <c r="AU8" s="7" t="s">
        <v>72</v>
      </c>
      <c r="AV8" s="7">
        <v>445</v>
      </c>
      <c r="AW8" s="7" t="s">
        <v>72</v>
      </c>
      <c r="AX8" s="7">
        <v>441.06900000000002</v>
      </c>
      <c r="AY8" s="7" t="s">
        <v>72</v>
      </c>
      <c r="AZ8" s="7">
        <v>443</v>
      </c>
      <c r="BA8" s="7" t="s">
        <v>72</v>
      </c>
      <c r="BC8" s="7" t="s">
        <v>72</v>
      </c>
      <c r="BD8" s="7" t="s">
        <v>72</v>
      </c>
      <c r="BE8" s="7" t="s">
        <v>72</v>
      </c>
      <c r="BF8" s="7" t="s">
        <v>72</v>
      </c>
      <c r="BG8" s="7">
        <v>63.034700000000001</v>
      </c>
      <c r="BH8" s="7" t="s">
        <v>72</v>
      </c>
      <c r="BI8" s="7" t="s">
        <v>72</v>
      </c>
      <c r="BJ8" s="7" t="s">
        <v>72</v>
      </c>
      <c r="BK8" s="7" t="s">
        <v>72</v>
      </c>
      <c r="BL8" s="7" t="s">
        <v>72</v>
      </c>
      <c r="BM8" s="7" t="s">
        <v>72</v>
      </c>
      <c r="BN8" s="7" t="s">
        <v>72</v>
      </c>
      <c r="BO8" s="7" t="s">
        <v>72</v>
      </c>
      <c r="BP8" s="7" t="s">
        <v>72</v>
      </c>
      <c r="BQ8" s="7" t="s">
        <v>72</v>
      </c>
      <c r="BR8" s="7" t="s">
        <v>72</v>
      </c>
      <c r="BT8" s="7">
        <v>0.50780000000000003</v>
      </c>
      <c r="BU8" s="7" t="s">
        <v>72</v>
      </c>
      <c r="BV8" s="7">
        <v>0.5665</v>
      </c>
      <c r="BW8" s="7" t="s">
        <v>72</v>
      </c>
      <c r="BX8" s="7">
        <v>0.52459999999999996</v>
      </c>
      <c r="BY8" s="7" t="s">
        <v>72</v>
      </c>
      <c r="BZ8" s="7">
        <v>0.59950000000000003</v>
      </c>
      <c r="CA8" s="7" t="s">
        <v>72</v>
      </c>
      <c r="CB8" s="7">
        <v>0.57450000000000001</v>
      </c>
      <c r="CC8" s="7" t="s">
        <v>72</v>
      </c>
      <c r="CD8" s="7">
        <v>0.8034</v>
      </c>
      <c r="CE8" s="7" t="s">
        <v>72</v>
      </c>
      <c r="CF8" s="7">
        <v>0.7974</v>
      </c>
      <c r="CG8" s="7" t="s">
        <v>72</v>
      </c>
      <c r="CH8" s="7">
        <v>1.1117999999999999</v>
      </c>
      <c r="CI8" s="7" t="s">
        <v>72</v>
      </c>
      <c r="CK8" s="7">
        <v>3162.3173999999999</v>
      </c>
      <c r="CL8" s="7" t="s">
        <v>72</v>
      </c>
      <c r="CM8" s="7">
        <v>2941.6714999999999</v>
      </c>
      <c r="CN8" s="7" t="s">
        <v>72</v>
      </c>
      <c r="CO8" s="7">
        <v>3199.1442000000002</v>
      </c>
      <c r="CP8" s="7" t="s">
        <v>72</v>
      </c>
      <c r="CQ8" s="7">
        <v>3465.9549999999999</v>
      </c>
      <c r="CR8" s="7" t="s">
        <v>72</v>
      </c>
      <c r="CS8" s="7">
        <v>2734.5086000000001</v>
      </c>
      <c r="CT8" s="7" t="s">
        <v>72</v>
      </c>
      <c r="CU8" s="7">
        <v>2031.8897999999999</v>
      </c>
      <c r="CV8" s="7" t="s">
        <v>72</v>
      </c>
      <c r="CW8" s="7">
        <v>1557.6434999999999</v>
      </c>
      <c r="CX8" s="7" t="s">
        <v>72</v>
      </c>
      <c r="CY8" s="7">
        <v>1432.9305999999999</v>
      </c>
      <c r="CZ8" s="7" t="s">
        <v>72</v>
      </c>
      <c r="DB8" s="7">
        <v>5.5773000000000001</v>
      </c>
      <c r="DC8" s="7" t="s">
        <v>72</v>
      </c>
      <c r="DD8" s="7">
        <v>5.1589999999999998</v>
      </c>
      <c r="DE8" s="7" t="s">
        <v>72</v>
      </c>
      <c r="DF8" s="7">
        <v>5.8304999999999998</v>
      </c>
      <c r="DG8" s="7" t="s">
        <v>72</v>
      </c>
      <c r="DH8" s="7">
        <v>6.4447999999999999</v>
      </c>
      <c r="DI8" s="7" t="s">
        <v>72</v>
      </c>
      <c r="DJ8" s="7">
        <v>5.1585999999999999</v>
      </c>
      <c r="DK8" s="7" t="s">
        <v>72</v>
      </c>
      <c r="DL8" s="7">
        <v>3.9904999999999999</v>
      </c>
      <c r="DM8" s="7" t="s">
        <v>72</v>
      </c>
      <c r="DN8" s="7">
        <v>3.1528</v>
      </c>
      <c r="DO8" s="7" t="s">
        <v>72</v>
      </c>
      <c r="DP8" s="7">
        <v>3.3704000000000001</v>
      </c>
      <c r="DQ8" s="7" t="s">
        <v>72</v>
      </c>
      <c r="DS8" s="7">
        <v>2.0177999999999998</v>
      </c>
      <c r="DT8" s="7" t="s">
        <v>72</v>
      </c>
      <c r="DU8" s="7">
        <v>1.8109999999999999</v>
      </c>
      <c r="DV8" s="7" t="s">
        <v>72</v>
      </c>
      <c r="DW8" s="7">
        <v>1.9218</v>
      </c>
      <c r="DX8" s="7" t="s">
        <v>72</v>
      </c>
      <c r="DY8" s="7">
        <v>2.0808</v>
      </c>
      <c r="DZ8" s="7" t="s">
        <v>72</v>
      </c>
      <c r="EA8" s="7">
        <v>1.6497000000000002</v>
      </c>
      <c r="EB8" s="7" t="s">
        <v>72</v>
      </c>
      <c r="EC8" s="7">
        <v>1.2387999999999999</v>
      </c>
      <c r="ED8" s="7" t="s">
        <v>72</v>
      </c>
      <c r="EE8" s="7">
        <v>0.94379999999999997</v>
      </c>
      <c r="EF8" s="7" t="s">
        <v>72</v>
      </c>
      <c r="EG8" s="7">
        <v>0.89280000000000004</v>
      </c>
      <c r="EH8" s="7" t="s">
        <v>72</v>
      </c>
      <c r="EJ8" s="7">
        <v>9.9933999999999994</v>
      </c>
      <c r="EK8" s="7">
        <v>9.5071999999999992</v>
      </c>
      <c r="EL8" s="7">
        <v>8.9600000000000009</v>
      </c>
      <c r="EM8" s="7">
        <v>9.5785999999999998</v>
      </c>
      <c r="EN8" s="7">
        <v>10.3786</v>
      </c>
      <c r="EO8" s="7">
        <v>10.4664</v>
      </c>
      <c r="EP8" s="7">
        <v>11.940099999999999</v>
      </c>
      <c r="EQ8" s="7">
        <v>10.089</v>
      </c>
      <c r="ER8" s="7" t="s">
        <v>72</v>
      </c>
      <c r="ES8" s="7" t="s">
        <v>72</v>
      </c>
      <c r="ET8" s="7" t="s">
        <v>72</v>
      </c>
      <c r="EU8" s="7" t="s">
        <v>72</v>
      </c>
      <c r="EV8" s="7">
        <v>6.2751000000000001</v>
      </c>
      <c r="EW8" s="7" t="s">
        <v>72</v>
      </c>
      <c r="EX8" s="7" t="s">
        <v>72</v>
      </c>
      <c r="EY8" s="7" t="s">
        <v>72</v>
      </c>
      <c r="FA8" s="7">
        <v>5.9046000000000003</v>
      </c>
      <c r="FB8" s="7">
        <v>5.6173000000000002</v>
      </c>
      <c r="FC8" s="7">
        <v>7.9043999999999999</v>
      </c>
      <c r="FD8" s="7">
        <v>8.4502000000000006</v>
      </c>
      <c r="FE8" s="7">
        <v>6.3494999999999999</v>
      </c>
      <c r="FF8" s="7">
        <v>6.4032</v>
      </c>
      <c r="FG8" s="7">
        <v>10.2217</v>
      </c>
      <c r="FH8" s="7">
        <v>8.6370000000000005</v>
      </c>
      <c r="FI8" s="7" t="s">
        <v>72</v>
      </c>
      <c r="FJ8" s="7" t="s">
        <v>72</v>
      </c>
      <c r="FK8" s="7" t="s">
        <v>72</v>
      </c>
      <c r="FL8" s="7" t="s">
        <v>72</v>
      </c>
      <c r="FM8" s="7">
        <v>3.2523</v>
      </c>
      <c r="FN8" s="7" t="s">
        <v>72</v>
      </c>
      <c r="FO8" s="7" t="s">
        <v>72</v>
      </c>
      <c r="FP8" s="7">
        <v>2.4584000000000001</v>
      </c>
      <c r="FR8" s="727">
        <v>10.009</v>
      </c>
      <c r="FS8" s="727" t="s">
        <v>72</v>
      </c>
      <c r="FT8" s="727">
        <v>5.6</v>
      </c>
      <c r="FU8" s="727" t="s">
        <v>72</v>
      </c>
      <c r="FV8" s="727">
        <v>12.959</v>
      </c>
      <c r="FW8" s="727" t="s">
        <v>72</v>
      </c>
      <c r="FX8" s="727">
        <v>8.1</v>
      </c>
      <c r="FY8" s="727" t="s">
        <v>72</v>
      </c>
      <c r="FZ8" s="727">
        <v>7.1189999999999998</v>
      </c>
      <c r="GA8" s="727" t="s">
        <v>72</v>
      </c>
      <c r="GB8" s="727">
        <v>6.7</v>
      </c>
      <c r="GC8" s="727" t="s">
        <v>72</v>
      </c>
      <c r="GD8" s="727">
        <v>12.266</v>
      </c>
      <c r="GE8" s="727" t="s">
        <v>72</v>
      </c>
      <c r="GF8" s="727">
        <v>11.7</v>
      </c>
      <c r="GG8" s="727" t="s">
        <v>72</v>
      </c>
      <c r="GI8" s="7">
        <v>440.827</v>
      </c>
      <c r="GJ8" s="7" t="s">
        <v>72</v>
      </c>
      <c r="GK8" s="7">
        <v>300</v>
      </c>
      <c r="GL8" s="7" t="s">
        <v>72</v>
      </c>
      <c r="GM8" s="7">
        <v>431.17</v>
      </c>
      <c r="GN8" s="7" t="s">
        <v>72</v>
      </c>
      <c r="GO8" s="7">
        <v>289.2</v>
      </c>
      <c r="GP8" s="7" t="s">
        <v>72</v>
      </c>
      <c r="GQ8" s="7">
        <v>393.97199999999998</v>
      </c>
      <c r="GR8" s="7" t="s">
        <v>72</v>
      </c>
      <c r="GS8" s="7">
        <v>265</v>
      </c>
      <c r="GT8" s="7" t="s">
        <v>72</v>
      </c>
      <c r="GU8" s="7">
        <v>357.79899999999998</v>
      </c>
      <c r="GV8" s="7" t="s">
        <v>72</v>
      </c>
      <c r="GW8" s="7">
        <v>307.10000000000002</v>
      </c>
      <c r="GX8" s="7" t="s">
        <v>72</v>
      </c>
      <c r="GZ8" s="7">
        <v>288.59800000000001</v>
      </c>
      <c r="HA8" s="7" t="s">
        <v>72</v>
      </c>
      <c r="HB8" s="7">
        <v>281.60000000000002</v>
      </c>
      <c r="HC8" s="7" t="s">
        <v>72</v>
      </c>
      <c r="HD8" s="7">
        <v>267.08999999999997</v>
      </c>
      <c r="HE8" s="7" t="s">
        <v>72</v>
      </c>
      <c r="HF8" s="7">
        <v>270.7</v>
      </c>
      <c r="HG8" s="7" t="s">
        <v>72</v>
      </c>
      <c r="HH8" s="7">
        <v>259.38400000000001</v>
      </c>
      <c r="HI8" s="7" t="s">
        <v>72</v>
      </c>
      <c r="HJ8" s="7">
        <v>249.8</v>
      </c>
      <c r="HK8" s="7" t="s">
        <v>72</v>
      </c>
      <c r="HL8" s="7">
        <v>244.25299999999999</v>
      </c>
      <c r="HM8" s="7" t="s">
        <v>72</v>
      </c>
      <c r="HN8" s="7">
        <v>180.9</v>
      </c>
      <c r="HO8" s="7" t="s">
        <v>72</v>
      </c>
      <c r="HQ8" s="228">
        <v>6.6317000000000004</v>
      </c>
      <c r="HR8" s="228" t="s">
        <v>72</v>
      </c>
      <c r="HS8" s="228">
        <v>7.3647999999999998</v>
      </c>
      <c r="HT8" s="228" t="s">
        <v>72</v>
      </c>
      <c r="HU8" s="228">
        <v>7.7533000000000003</v>
      </c>
      <c r="HV8" s="228" t="s">
        <v>72</v>
      </c>
      <c r="HW8" s="228">
        <v>8.8666</v>
      </c>
      <c r="HX8" s="228" t="s">
        <v>72</v>
      </c>
      <c r="HY8" s="228">
        <v>8.4725000000000001</v>
      </c>
      <c r="HZ8" s="228" t="s">
        <v>72</v>
      </c>
      <c r="IA8" s="228">
        <v>7.3662999999999998</v>
      </c>
      <c r="IB8" s="228" t="s">
        <v>72</v>
      </c>
      <c r="IC8" s="228">
        <v>6.8852000000000002</v>
      </c>
      <c r="ID8" s="228" t="s">
        <v>72</v>
      </c>
      <c r="IE8" s="228">
        <v>6.2527999999999997</v>
      </c>
      <c r="IF8" s="228" t="s">
        <v>72</v>
      </c>
    </row>
    <row r="9" spans="1:242">
      <c r="A9" s="11" t="s">
        <v>323</v>
      </c>
      <c r="B9" s="7" t="s">
        <v>18</v>
      </c>
      <c r="D9" s="7">
        <v>2227.41</v>
      </c>
      <c r="E9" s="7">
        <v>2498.4149000000002</v>
      </c>
      <c r="F9" s="7">
        <v>2419.8022999999998</v>
      </c>
      <c r="G9" s="7">
        <v>2755.9508000000001</v>
      </c>
      <c r="H9" s="7">
        <v>3314.3786</v>
      </c>
      <c r="I9" s="7">
        <v>3738.9902000000002</v>
      </c>
      <c r="J9" s="7">
        <v>3698.5880000000002</v>
      </c>
      <c r="K9" s="7">
        <v>3123.0653000000002</v>
      </c>
      <c r="L9" s="7">
        <v>3347.6120999999998</v>
      </c>
      <c r="M9" s="7">
        <v>3527.7561999999998</v>
      </c>
      <c r="N9" s="7">
        <v>3918.9821999999999</v>
      </c>
      <c r="O9" s="7">
        <v>3947.5209</v>
      </c>
      <c r="P9" s="7">
        <v>4043.0142999999998</v>
      </c>
      <c r="Q9" s="7">
        <v>4387.1509999999998</v>
      </c>
      <c r="R9" s="7">
        <v>4048.9897999999998</v>
      </c>
      <c r="S9" s="7" t="s">
        <v>72</v>
      </c>
      <c r="U9" s="7">
        <v>2223.8649999999998</v>
      </c>
      <c r="V9" s="7">
        <v>2123.8000000000002</v>
      </c>
      <c r="W9" s="7">
        <v>2064.527</v>
      </c>
      <c r="X9" s="7">
        <v>2242.5</v>
      </c>
      <c r="Y9" s="7">
        <v>2238.1149999999998</v>
      </c>
      <c r="Z9" s="7">
        <v>2178.8000000000002</v>
      </c>
      <c r="AA9" s="7">
        <v>2119.502</v>
      </c>
      <c r="AB9" s="7">
        <v>2686.6</v>
      </c>
      <c r="AC9" s="7">
        <v>2612.9360000000001</v>
      </c>
      <c r="AD9" s="7">
        <v>2585.4</v>
      </c>
      <c r="AE9" s="7">
        <v>2666</v>
      </c>
      <c r="AF9" s="7">
        <v>3027.5</v>
      </c>
      <c r="AG9" s="7">
        <v>2936.732</v>
      </c>
      <c r="AH9" s="7">
        <v>2955.2</v>
      </c>
      <c r="AI9" s="7">
        <v>3759.248</v>
      </c>
      <c r="AJ9" s="7" t="s">
        <v>72</v>
      </c>
      <c r="AL9" s="7">
        <v>39.396000000000001</v>
      </c>
      <c r="AM9" s="7" t="s">
        <v>72</v>
      </c>
      <c r="AN9" s="7" t="s">
        <v>72</v>
      </c>
      <c r="AO9" s="7" t="s">
        <v>72</v>
      </c>
      <c r="AP9" s="7">
        <v>50.572000000000003</v>
      </c>
      <c r="AQ9" s="7" t="s">
        <v>72</v>
      </c>
      <c r="AR9" s="7" t="s">
        <v>72</v>
      </c>
      <c r="AS9" s="7" t="s">
        <v>72</v>
      </c>
      <c r="AT9" s="7">
        <v>46.893999999999998</v>
      </c>
      <c r="AU9" s="7" t="s">
        <v>72</v>
      </c>
      <c r="AV9" s="7" t="s">
        <v>72</v>
      </c>
      <c r="AW9" s="7" t="s">
        <v>72</v>
      </c>
      <c r="AX9" s="7">
        <v>42.057000000000002</v>
      </c>
      <c r="AY9" s="7" t="s">
        <v>72</v>
      </c>
      <c r="AZ9" s="7" t="s">
        <v>72</v>
      </c>
      <c r="BA9" s="7" t="s">
        <v>72</v>
      </c>
      <c r="BC9" s="7" t="s">
        <v>72</v>
      </c>
      <c r="BD9" s="7" t="s">
        <v>72</v>
      </c>
      <c r="BE9" s="7" t="s">
        <v>72</v>
      </c>
      <c r="BF9" s="7" t="s">
        <v>72</v>
      </c>
      <c r="BG9" s="7" t="s">
        <v>72</v>
      </c>
      <c r="BH9" s="7" t="s">
        <v>72</v>
      </c>
      <c r="BI9" s="7" t="s">
        <v>72</v>
      </c>
      <c r="BJ9" s="7" t="s">
        <v>72</v>
      </c>
      <c r="BK9" s="7" t="s">
        <v>72</v>
      </c>
      <c r="BL9" s="7" t="s">
        <v>72</v>
      </c>
      <c r="BM9" s="7" t="s">
        <v>72</v>
      </c>
      <c r="BN9" s="7" t="s">
        <v>72</v>
      </c>
      <c r="BO9" s="7" t="s">
        <v>72</v>
      </c>
      <c r="BP9" s="7" t="s">
        <v>72</v>
      </c>
      <c r="BQ9" s="7">
        <v>2.1177999999999999</v>
      </c>
      <c r="BR9" s="7" t="s">
        <v>72</v>
      </c>
      <c r="BT9" s="7">
        <v>3.7033</v>
      </c>
      <c r="BU9" s="7">
        <v>3.4622999999999999</v>
      </c>
      <c r="BV9" s="7">
        <v>3.3102</v>
      </c>
      <c r="BW9" s="7">
        <v>3.4672000000000001</v>
      </c>
      <c r="BX9" s="7">
        <v>3.3997000000000002</v>
      </c>
      <c r="BY9" s="7">
        <v>3.2797000000000001</v>
      </c>
      <c r="BZ9" s="7">
        <v>3.1349</v>
      </c>
      <c r="CA9" s="7">
        <v>4.1029999999999998</v>
      </c>
      <c r="CB9" s="7">
        <v>3.8485</v>
      </c>
      <c r="CC9" s="7">
        <v>3.6936999999999998</v>
      </c>
      <c r="CD9" s="7">
        <v>3.7281</v>
      </c>
      <c r="CE9" s="7">
        <v>3.9750999999999999</v>
      </c>
      <c r="CF9" s="7">
        <v>3.8224</v>
      </c>
      <c r="CG9" s="7">
        <v>3.8087</v>
      </c>
      <c r="CH9" s="7">
        <v>4.3651999999999997</v>
      </c>
      <c r="CI9" s="7" t="e">
        <v>#NAME?</v>
      </c>
      <c r="CK9" s="7">
        <v>4451.2749999999996</v>
      </c>
      <c r="CL9" s="7">
        <v>4622.2148999999999</v>
      </c>
      <c r="CM9" s="7">
        <v>4484.3293000000003</v>
      </c>
      <c r="CN9" s="7">
        <v>4998.4508999999998</v>
      </c>
      <c r="CO9" s="7">
        <v>5552.4935999999998</v>
      </c>
      <c r="CP9" s="7">
        <v>5917.7902000000004</v>
      </c>
      <c r="CQ9" s="7">
        <v>5818.09</v>
      </c>
      <c r="CR9" s="7">
        <v>5809.6652999999997</v>
      </c>
      <c r="CS9" s="7">
        <v>5960.5571</v>
      </c>
      <c r="CT9" s="7">
        <v>6116.8562000000002</v>
      </c>
      <c r="CU9" s="7">
        <v>6588.7061999999996</v>
      </c>
      <c r="CV9" s="7">
        <v>6978.7209000000003</v>
      </c>
      <c r="CW9" s="7">
        <v>6985.9123</v>
      </c>
      <c r="CX9" s="7">
        <v>7348.451</v>
      </c>
      <c r="CY9" s="7">
        <v>7814.3378000000002</v>
      </c>
      <c r="CZ9" s="7" t="s">
        <v>72</v>
      </c>
      <c r="DB9" s="7">
        <v>7.4126000000000003</v>
      </c>
      <c r="DC9" s="7">
        <v>7.5354000000000001</v>
      </c>
      <c r="DD9" s="7">
        <v>7.1901000000000002</v>
      </c>
      <c r="DE9" s="7">
        <v>7.7282000000000002</v>
      </c>
      <c r="DF9" s="7">
        <v>8.4344000000000001</v>
      </c>
      <c r="DG9" s="7">
        <v>8.9080999999999992</v>
      </c>
      <c r="DH9" s="7">
        <v>8.6053999999999995</v>
      </c>
      <c r="DI9" s="7">
        <v>8.8725000000000005</v>
      </c>
      <c r="DJ9" s="7">
        <v>8.7789999999999999</v>
      </c>
      <c r="DK9" s="7">
        <v>8.7388999999999992</v>
      </c>
      <c r="DL9" s="7">
        <v>9.2135999999999996</v>
      </c>
      <c r="DM9" s="7">
        <v>9.1631999999999998</v>
      </c>
      <c r="DN9" s="7">
        <v>9.0927000000000007</v>
      </c>
      <c r="DO9" s="7">
        <v>9.4709000000000003</v>
      </c>
      <c r="DP9" s="7">
        <v>9.0739999999999998</v>
      </c>
      <c r="DQ9" s="7" t="s">
        <v>72</v>
      </c>
      <c r="DS9" s="7">
        <v>3.7174</v>
      </c>
      <c r="DT9" s="7">
        <v>3.7635999999999998</v>
      </c>
      <c r="DU9" s="7">
        <v>3.5629</v>
      </c>
      <c r="DV9" s="7">
        <v>3.8973</v>
      </c>
      <c r="DW9" s="7">
        <v>4.2744999999999997</v>
      </c>
      <c r="DX9" s="7">
        <v>4.5049999999999999</v>
      </c>
      <c r="DY9" s="7">
        <v>4.3735999999999997</v>
      </c>
      <c r="DZ9" s="7">
        <v>4.3137999999999996</v>
      </c>
      <c r="EA9" s="7">
        <v>4.3310000000000004</v>
      </c>
      <c r="EB9" s="7">
        <v>4.3422999999999998</v>
      </c>
      <c r="EC9" s="7">
        <v>4.5966000000000005</v>
      </c>
      <c r="ED9" s="7">
        <v>4.7938000000000001</v>
      </c>
      <c r="EE9" s="7">
        <v>4.6923000000000004</v>
      </c>
      <c r="EF9" s="7">
        <v>4.8017000000000003</v>
      </c>
      <c r="EG9" s="7">
        <v>4.9602000000000004</v>
      </c>
      <c r="EH9" s="7" t="s">
        <v>72</v>
      </c>
      <c r="EJ9" s="7">
        <v>5.4764999999999997</v>
      </c>
      <c r="EK9" s="7">
        <v>6.0327999999999999</v>
      </c>
      <c r="EL9" s="7">
        <v>6.7022000000000004</v>
      </c>
      <c r="EM9" s="7">
        <v>8.3765000000000001</v>
      </c>
      <c r="EN9" s="7">
        <v>23.3293</v>
      </c>
      <c r="EO9" s="7">
        <v>19.748200000000001</v>
      </c>
      <c r="EP9" s="7">
        <v>18.382000000000001</v>
      </c>
      <c r="EQ9" s="7">
        <v>42.266300000000001</v>
      </c>
      <c r="ER9" s="7" t="s">
        <v>72</v>
      </c>
      <c r="ES9" s="7" t="s">
        <v>72</v>
      </c>
      <c r="ET9" s="7" t="s">
        <v>72</v>
      </c>
      <c r="EU9" s="7" t="s">
        <v>72</v>
      </c>
      <c r="EV9" s="7">
        <v>96.481399999999994</v>
      </c>
      <c r="EW9" s="7" t="s">
        <v>72</v>
      </c>
      <c r="EX9" s="7" t="s">
        <v>72</v>
      </c>
      <c r="EY9" s="7" t="s">
        <v>72</v>
      </c>
      <c r="FA9" s="7">
        <v>3.5528</v>
      </c>
      <c r="FB9" s="7">
        <v>3.8120000000000003</v>
      </c>
      <c r="FC9" s="7">
        <v>10.048500000000001</v>
      </c>
      <c r="FD9" s="7">
        <v>10.6</v>
      </c>
      <c r="FE9" s="7">
        <v>9.6486000000000001</v>
      </c>
      <c r="FF9" s="7">
        <v>8.5795999999999992</v>
      </c>
      <c r="FG9" s="7" t="s">
        <v>72</v>
      </c>
      <c r="FH9" s="7" t="s">
        <v>72</v>
      </c>
      <c r="FI9" s="7" t="s">
        <v>72</v>
      </c>
      <c r="FJ9" s="7" t="s">
        <v>72</v>
      </c>
      <c r="FK9" s="7" t="s">
        <v>72</v>
      </c>
      <c r="FL9" s="7" t="s">
        <v>72</v>
      </c>
      <c r="FM9" s="7" t="s">
        <v>72</v>
      </c>
      <c r="FN9" s="7" t="s">
        <v>72</v>
      </c>
      <c r="FO9" s="7" t="s">
        <v>72</v>
      </c>
      <c r="FP9" s="7" t="s">
        <v>72</v>
      </c>
      <c r="FR9" s="727">
        <v>40.203000000000003</v>
      </c>
      <c r="FS9" s="727">
        <v>199.9</v>
      </c>
      <c r="FT9" s="727">
        <v>74.486000000000004</v>
      </c>
      <c r="FU9" s="727">
        <v>217.2</v>
      </c>
      <c r="FV9" s="727">
        <v>97.641000000000005</v>
      </c>
      <c r="FW9" s="727">
        <v>725.5</v>
      </c>
      <c r="FX9" s="727">
        <v>125.925</v>
      </c>
      <c r="FY9" s="727">
        <v>283.10000000000002</v>
      </c>
      <c r="FZ9" s="727">
        <v>65.355000000000004</v>
      </c>
      <c r="GA9" s="727">
        <v>432.2</v>
      </c>
      <c r="GB9" s="727">
        <v>204.721</v>
      </c>
      <c r="GC9" s="727">
        <v>813.2</v>
      </c>
      <c r="GD9" s="727">
        <v>906.3</v>
      </c>
      <c r="GE9" s="727">
        <v>898.8</v>
      </c>
      <c r="GF9" s="727">
        <v>114.05200000000001</v>
      </c>
      <c r="GG9" s="727" t="s">
        <v>72</v>
      </c>
      <c r="GI9" s="7">
        <v>360.05599999999998</v>
      </c>
      <c r="GJ9" s="7">
        <v>376.4</v>
      </c>
      <c r="GK9" s="7">
        <v>138.29900000000001</v>
      </c>
      <c r="GL9" s="7">
        <v>164.6</v>
      </c>
      <c r="GM9" s="7">
        <v>217.47200000000001</v>
      </c>
      <c r="GN9" s="7">
        <v>275.89999999999998</v>
      </c>
      <c r="GO9" s="7">
        <v>-210</v>
      </c>
      <c r="GP9" s="7">
        <v>-258</v>
      </c>
      <c r="GQ9" s="7">
        <v>-248.233</v>
      </c>
      <c r="GR9" s="7">
        <v>-280</v>
      </c>
      <c r="GS9" s="7">
        <v>-740.82799999999997</v>
      </c>
      <c r="GT9" s="7">
        <v>-721.3</v>
      </c>
      <c r="GU9" s="7">
        <v>-714.21600000000001</v>
      </c>
      <c r="GV9" s="7">
        <v>-671.4</v>
      </c>
      <c r="GW9" s="7">
        <v>-1491.5</v>
      </c>
      <c r="GX9" s="7" t="s">
        <v>72</v>
      </c>
      <c r="GZ9" s="7">
        <v>144.81399999999999</v>
      </c>
      <c r="HA9" s="7">
        <v>161.6</v>
      </c>
      <c r="HB9" s="7">
        <v>165.17</v>
      </c>
      <c r="HC9" s="7">
        <v>175.2</v>
      </c>
      <c r="HD9" s="7">
        <v>156.34899999999999</v>
      </c>
      <c r="HE9" s="7">
        <v>167.6</v>
      </c>
      <c r="HF9" s="7">
        <v>176.947</v>
      </c>
      <c r="HG9" s="7">
        <v>153.9</v>
      </c>
      <c r="HH9" s="7">
        <v>180.50700000000001</v>
      </c>
      <c r="HI9" s="7">
        <v>188.6</v>
      </c>
      <c r="HJ9" s="7">
        <v>192.1</v>
      </c>
      <c r="HK9" s="7">
        <v>200.4</v>
      </c>
      <c r="HL9" s="7">
        <v>187.2</v>
      </c>
      <c r="HM9" s="7">
        <v>196.2</v>
      </c>
      <c r="HN9" s="7">
        <v>277.38200000000001</v>
      </c>
      <c r="HO9" s="7" t="s">
        <v>72</v>
      </c>
      <c r="HQ9" s="228">
        <v>6.7294</v>
      </c>
      <c r="HR9" s="228">
        <v>5.7431000000000001</v>
      </c>
      <c r="HS9" s="228">
        <v>5.7416999999999998</v>
      </c>
      <c r="HT9" s="228">
        <v>5.7271000000000001</v>
      </c>
      <c r="HU9" s="228">
        <v>5.5990000000000002</v>
      </c>
      <c r="HV9" s="228">
        <v>6.3922999999999996</v>
      </c>
      <c r="HW9" s="228">
        <v>6.8342999999999998</v>
      </c>
      <c r="HX9" s="228">
        <v>7.4036999999999997</v>
      </c>
      <c r="HY9" s="228">
        <v>6.3003</v>
      </c>
      <c r="HZ9" s="228">
        <v>6.3733000000000004</v>
      </c>
      <c r="IA9" s="228">
        <v>5.8521999999999998</v>
      </c>
      <c r="IB9" s="228">
        <v>5.6871999999999998</v>
      </c>
      <c r="IC9" s="228">
        <v>5.2569999999999997</v>
      </c>
      <c r="ID9" s="228">
        <v>5.3704999999999998</v>
      </c>
      <c r="IE9" s="228">
        <v>5.3070000000000004</v>
      </c>
      <c r="IF9" s="228" t="s">
        <v>72</v>
      </c>
    </row>
    <row r="10" spans="1:242">
      <c r="A10" s="11" t="s">
        <v>545</v>
      </c>
      <c r="B10" s="7" t="s">
        <v>13</v>
      </c>
      <c r="D10" s="7">
        <v>48433.336499999998</v>
      </c>
      <c r="E10" s="7">
        <v>48336.4</v>
      </c>
      <c r="F10" s="7">
        <v>43503.676299999999</v>
      </c>
      <c r="G10" s="7">
        <v>45364.9</v>
      </c>
      <c r="H10" s="7">
        <v>39571.942900000002</v>
      </c>
      <c r="I10" s="7">
        <v>35194.5</v>
      </c>
      <c r="J10" s="7">
        <v>38725.5</v>
      </c>
      <c r="K10" s="7">
        <v>37562.25</v>
      </c>
      <c r="L10" s="7">
        <v>37614.110399999998</v>
      </c>
      <c r="M10" s="7">
        <v>33478.5</v>
      </c>
      <c r="N10" s="7">
        <v>33660</v>
      </c>
      <c r="O10" s="7">
        <v>34864.5</v>
      </c>
      <c r="P10" s="7">
        <v>33033</v>
      </c>
      <c r="Q10" s="7">
        <v>36869.25</v>
      </c>
      <c r="R10" s="7">
        <v>37709.279999999999</v>
      </c>
      <c r="S10" s="7" t="s">
        <v>72</v>
      </c>
      <c r="U10" s="7">
        <v>33635</v>
      </c>
      <c r="V10" s="7">
        <v>33669</v>
      </c>
      <c r="W10" s="7">
        <v>32963</v>
      </c>
      <c r="X10" s="7">
        <v>31227</v>
      </c>
      <c r="Y10" s="7">
        <v>22813</v>
      </c>
      <c r="Z10" s="7">
        <v>21766</v>
      </c>
      <c r="AA10" s="7">
        <v>21303</v>
      </c>
      <c r="AB10" s="7">
        <v>21761</v>
      </c>
      <c r="AC10" s="7">
        <v>21731</v>
      </c>
      <c r="AD10" s="7">
        <v>22553</v>
      </c>
      <c r="AE10" s="7">
        <v>23061</v>
      </c>
      <c r="AF10" s="7">
        <v>23764</v>
      </c>
      <c r="AG10" s="7">
        <v>22971</v>
      </c>
      <c r="AH10" s="7">
        <v>23624</v>
      </c>
      <c r="AI10" s="7">
        <v>23058</v>
      </c>
      <c r="AJ10" s="7" t="s">
        <v>72</v>
      </c>
      <c r="AL10" s="7">
        <v>8817</v>
      </c>
      <c r="AM10" s="7" t="s">
        <v>72</v>
      </c>
      <c r="AN10" s="7" t="s">
        <v>72</v>
      </c>
      <c r="AO10" s="7" t="s">
        <v>72</v>
      </c>
      <c r="AP10" s="7">
        <v>8613</v>
      </c>
      <c r="AQ10" s="7" t="s">
        <v>72</v>
      </c>
      <c r="AR10" s="7" t="s">
        <v>72</v>
      </c>
      <c r="AS10" s="7" t="s">
        <v>72</v>
      </c>
      <c r="AT10" s="7">
        <v>8438</v>
      </c>
      <c r="AU10" s="7" t="s">
        <v>72</v>
      </c>
      <c r="AV10" s="7" t="s">
        <v>72</v>
      </c>
      <c r="AW10" s="7" t="s">
        <v>72</v>
      </c>
      <c r="AX10" s="7">
        <v>7978</v>
      </c>
      <c r="AY10" s="7" t="s">
        <v>72</v>
      </c>
      <c r="AZ10" s="7" t="s">
        <v>72</v>
      </c>
      <c r="BA10" s="7" t="s">
        <v>72</v>
      </c>
      <c r="BC10" s="7" t="s">
        <v>72</v>
      </c>
      <c r="BD10" s="7" t="s">
        <v>72</v>
      </c>
      <c r="BE10" s="7" t="s">
        <v>72</v>
      </c>
      <c r="BF10" s="7" t="s">
        <v>72</v>
      </c>
      <c r="BG10" s="7" t="s">
        <v>72</v>
      </c>
      <c r="BH10" s="7" t="s">
        <v>72</v>
      </c>
      <c r="BI10" s="7" t="s">
        <v>72</v>
      </c>
      <c r="BJ10" s="7" t="s">
        <v>72</v>
      </c>
      <c r="BK10" s="7" t="s">
        <v>72</v>
      </c>
      <c r="BL10" s="7" t="s">
        <v>72</v>
      </c>
      <c r="BM10" s="7" t="s">
        <v>72</v>
      </c>
      <c r="BN10" s="7" t="s">
        <v>72</v>
      </c>
      <c r="BO10" s="7" t="s">
        <v>72</v>
      </c>
      <c r="BP10" s="7" t="s">
        <v>72</v>
      </c>
      <c r="BQ10" s="7" t="s">
        <v>72</v>
      </c>
      <c r="BR10" s="7" t="s">
        <v>72</v>
      </c>
      <c r="BT10" s="7">
        <v>3.1884999999999999</v>
      </c>
      <c r="BU10" s="7">
        <v>3.3224</v>
      </c>
      <c r="BV10" s="7">
        <v>3.2050000000000001</v>
      </c>
      <c r="BW10" s="7">
        <v>3.0272999999999999</v>
      </c>
      <c r="BX10" s="7">
        <v>2.117</v>
      </c>
      <c r="BY10" s="7">
        <v>2.0137</v>
      </c>
      <c r="BZ10" s="7">
        <v>2.1109</v>
      </c>
      <c r="CA10" s="7">
        <v>2.1484000000000001</v>
      </c>
      <c r="CB10" s="7">
        <v>1.9864000000000002</v>
      </c>
      <c r="CC10" s="7">
        <v>2.0720999999999998</v>
      </c>
      <c r="CD10" s="7">
        <v>2.1252</v>
      </c>
      <c r="CE10" s="7">
        <v>2.2174</v>
      </c>
      <c r="CF10" s="7">
        <v>2.1798000000000002</v>
      </c>
      <c r="CG10" s="7">
        <v>2.2622</v>
      </c>
      <c r="CH10" s="7">
        <v>2.2195</v>
      </c>
      <c r="CI10" s="7" t="s">
        <v>72</v>
      </c>
      <c r="CK10" s="7">
        <v>82068.336500000005</v>
      </c>
      <c r="CL10" s="7">
        <v>82005.399999999994</v>
      </c>
      <c r="CM10" s="7">
        <v>76466.676300000006</v>
      </c>
      <c r="CN10" s="7">
        <v>76591.899999999994</v>
      </c>
      <c r="CO10" s="7">
        <v>62384.942900000002</v>
      </c>
      <c r="CP10" s="7">
        <v>56960.5</v>
      </c>
      <c r="CQ10" s="7">
        <v>60028.5</v>
      </c>
      <c r="CR10" s="7">
        <v>59323.25</v>
      </c>
      <c r="CS10" s="7">
        <v>59345.110399999998</v>
      </c>
      <c r="CT10" s="7">
        <v>56031.5</v>
      </c>
      <c r="CU10" s="7">
        <v>56721</v>
      </c>
      <c r="CV10" s="7">
        <v>58628.5</v>
      </c>
      <c r="CW10" s="7">
        <v>56004</v>
      </c>
      <c r="CX10" s="7">
        <v>60493.25</v>
      </c>
      <c r="CY10" s="7">
        <v>60767.28</v>
      </c>
      <c r="CZ10" s="7" t="s">
        <v>72</v>
      </c>
      <c r="DB10" s="7">
        <v>7.7797000000000001</v>
      </c>
      <c r="DC10" s="7">
        <v>8.0921000000000003</v>
      </c>
      <c r="DD10" s="7">
        <v>7.4348000000000001</v>
      </c>
      <c r="DE10" s="7">
        <v>7.4253</v>
      </c>
      <c r="DF10" s="7">
        <v>5.7892000000000001</v>
      </c>
      <c r="DG10" s="7">
        <v>5.2697000000000003</v>
      </c>
      <c r="DH10" s="7">
        <v>5.9481000000000002</v>
      </c>
      <c r="DI10" s="7">
        <v>5.8567999999999998</v>
      </c>
      <c r="DJ10" s="7">
        <v>5.4245999999999999</v>
      </c>
      <c r="DK10" s="7">
        <v>5.1481000000000003</v>
      </c>
      <c r="DL10" s="7">
        <v>5.2272999999999996</v>
      </c>
      <c r="DM10" s="7">
        <v>5.4706000000000001</v>
      </c>
      <c r="DN10" s="7">
        <v>5.3144999999999998</v>
      </c>
      <c r="DO10" s="7">
        <v>5.7927</v>
      </c>
      <c r="DP10" s="7">
        <v>5.8491999999999997</v>
      </c>
      <c r="DQ10" s="7" t="s">
        <v>72</v>
      </c>
      <c r="DS10" s="7">
        <v>3.1469</v>
      </c>
      <c r="DT10" s="7">
        <v>3.4558</v>
      </c>
      <c r="DU10" s="7">
        <v>3.1909000000000001</v>
      </c>
      <c r="DV10" s="7">
        <v>3.2008999999999999</v>
      </c>
      <c r="DW10" s="7">
        <v>2.1667000000000001</v>
      </c>
      <c r="DX10" s="7">
        <v>1.9742</v>
      </c>
      <c r="DY10" s="7">
        <v>2.2894000000000001</v>
      </c>
      <c r="DZ10" s="7">
        <v>2.2618</v>
      </c>
      <c r="EA10" s="7">
        <v>2.2561</v>
      </c>
      <c r="EB10" s="7">
        <v>2.0871</v>
      </c>
      <c r="EC10" s="7">
        <v>2.1507000000000001</v>
      </c>
      <c r="ED10" s="7">
        <v>2.2332000000000001</v>
      </c>
      <c r="EE10" s="7">
        <v>2.1444000000000001</v>
      </c>
      <c r="EF10" s="7">
        <v>2.3525999999999998</v>
      </c>
      <c r="EG10" s="7">
        <v>2.4035000000000002</v>
      </c>
      <c r="EH10" s="7" t="s">
        <v>72</v>
      </c>
      <c r="EJ10" s="7" t="s">
        <v>72</v>
      </c>
      <c r="EK10" s="7" t="s">
        <v>72</v>
      </c>
      <c r="EL10" s="7" t="s">
        <v>72</v>
      </c>
      <c r="EM10" s="7" t="s">
        <v>72</v>
      </c>
      <c r="EN10" s="7" t="s">
        <v>72</v>
      </c>
      <c r="EO10" s="7">
        <v>19.610199999999999</v>
      </c>
      <c r="EP10" s="7">
        <v>21.346900000000002</v>
      </c>
      <c r="EQ10" s="7">
        <v>15.940099999999999</v>
      </c>
      <c r="ER10" s="7" t="s">
        <v>72</v>
      </c>
      <c r="ES10" s="7" t="s">
        <v>72</v>
      </c>
      <c r="ET10" s="7" t="s">
        <v>72</v>
      </c>
      <c r="EU10" s="7" t="s">
        <v>72</v>
      </c>
      <c r="EV10" s="7" t="s">
        <v>72</v>
      </c>
      <c r="EW10" s="7" t="s">
        <v>72</v>
      </c>
      <c r="EX10" s="7" t="s">
        <v>72</v>
      </c>
      <c r="EY10" s="7" t="s">
        <v>72</v>
      </c>
      <c r="FA10" s="7" t="s">
        <v>72</v>
      </c>
      <c r="FB10" s="7">
        <v>1.7650999999999999</v>
      </c>
      <c r="FC10" s="7">
        <v>1.4973000000000001</v>
      </c>
      <c r="FD10" s="7">
        <v>1.5802</v>
      </c>
      <c r="FE10" s="7" t="s">
        <v>72</v>
      </c>
      <c r="FF10" s="7">
        <v>1.5804</v>
      </c>
      <c r="FG10" s="7">
        <v>1.8797000000000001</v>
      </c>
      <c r="FH10" s="7">
        <v>1.8462000000000001</v>
      </c>
      <c r="FI10" s="7" t="s">
        <v>72</v>
      </c>
      <c r="FJ10" s="7" t="s">
        <v>72</v>
      </c>
      <c r="FK10" s="7" t="s">
        <v>72</v>
      </c>
      <c r="FL10" s="7" t="s">
        <v>72</v>
      </c>
      <c r="FM10" s="7" t="s">
        <v>72</v>
      </c>
      <c r="FN10" s="7" t="s">
        <v>72</v>
      </c>
      <c r="FO10" s="7" t="s">
        <v>72</v>
      </c>
      <c r="FP10" s="7">
        <v>1.7783</v>
      </c>
      <c r="FR10" s="7">
        <v>763</v>
      </c>
      <c r="FS10" s="7">
        <v>545</v>
      </c>
      <c r="FT10" s="7">
        <v>411</v>
      </c>
      <c r="FU10" s="7">
        <v>594</v>
      </c>
      <c r="FV10" s="7">
        <v>831</v>
      </c>
      <c r="FW10" s="7">
        <v>507</v>
      </c>
      <c r="FX10" s="7">
        <v>1067</v>
      </c>
      <c r="FY10" s="7">
        <v>910</v>
      </c>
      <c r="FZ10" s="7">
        <v>1489</v>
      </c>
      <c r="GA10" s="7">
        <v>4051</v>
      </c>
      <c r="GB10" s="7">
        <v>911</v>
      </c>
      <c r="GC10" s="7">
        <v>262</v>
      </c>
      <c r="GD10" s="7">
        <v>973</v>
      </c>
      <c r="GE10" s="7">
        <v>221</v>
      </c>
      <c r="GF10" s="7">
        <v>431</v>
      </c>
      <c r="GG10" s="7" t="s">
        <v>72</v>
      </c>
      <c r="GI10" s="7">
        <v>27078</v>
      </c>
      <c r="GJ10" s="7">
        <v>27384</v>
      </c>
      <c r="GK10" s="7">
        <v>29055</v>
      </c>
      <c r="GL10" s="7">
        <v>28708</v>
      </c>
      <c r="GM10" s="7">
        <v>20855</v>
      </c>
      <c r="GN10" s="7">
        <v>22269</v>
      </c>
      <c r="GO10" s="7">
        <v>20602</v>
      </c>
      <c r="GP10" s="7">
        <v>20346</v>
      </c>
      <c r="GQ10" s="7">
        <v>22244</v>
      </c>
      <c r="GR10" s="7">
        <v>20625</v>
      </c>
      <c r="GS10" s="7">
        <v>21268</v>
      </c>
      <c r="GT10" s="7">
        <v>21346</v>
      </c>
      <c r="GU10" s="7">
        <v>21513</v>
      </c>
      <c r="GV10" s="7">
        <v>20494</v>
      </c>
      <c r="GW10" s="7">
        <v>21301</v>
      </c>
      <c r="GX10" s="7" t="s">
        <v>72</v>
      </c>
      <c r="GZ10" s="7">
        <v>1502</v>
      </c>
      <c r="HA10" s="7">
        <v>2679</v>
      </c>
      <c r="HB10" s="7">
        <v>3350</v>
      </c>
      <c r="HC10" s="7">
        <v>2784</v>
      </c>
      <c r="HD10" s="7">
        <v>1963</v>
      </c>
      <c r="HE10" s="7">
        <v>2712</v>
      </c>
      <c r="HF10" s="7">
        <v>2633</v>
      </c>
      <c r="HG10" s="7">
        <v>2821</v>
      </c>
      <c r="HH10" s="7">
        <v>2774</v>
      </c>
      <c r="HI10" s="7">
        <v>2656</v>
      </c>
      <c r="HJ10" s="7">
        <v>2600</v>
      </c>
      <c r="HK10" s="7">
        <v>2687</v>
      </c>
      <c r="HL10" s="7">
        <v>2595</v>
      </c>
      <c r="HM10" s="7">
        <v>2561</v>
      </c>
      <c r="HN10" s="7">
        <v>2546</v>
      </c>
      <c r="HO10" s="7" t="s">
        <v>72</v>
      </c>
      <c r="HQ10" s="228">
        <v>5.8493000000000004</v>
      </c>
      <c r="HR10" s="228">
        <v>6.3597999999999999</v>
      </c>
      <c r="HS10" s="228">
        <v>6.1060999999999996</v>
      </c>
      <c r="HT10" s="228">
        <v>6.2808999999999999</v>
      </c>
      <c r="HU10" s="228">
        <v>6.1692</v>
      </c>
      <c r="HV10" s="228">
        <v>6.2121000000000004</v>
      </c>
      <c r="HW10" s="228">
        <v>6.5754000000000001</v>
      </c>
      <c r="HX10" s="228">
        <v>6.4329999999999998</v>
      </c>
      <c r="HY10" s="228">
        <v>5.2751000000000001</v>
      </c>
      <c r="HZ10" s="228">
        <v>6.8921000000000001</v>
      </c>
      <c r="IA10" s="228">
        <v>6.2957999999999998</v>
      </c>
      <c r="IB10" s="228">
        <v>6.5667999999999997</v>
      </c>
      <c r="IC10" s="228">
        <v>5.7587000000000002</v>
      </c>
      <c r="ID10" s="228">
        <v>5.9950999999999999</v>
      </c>
      <c r="IE10" s="228">
        <v>6.0989000000000004</v>
      </c>
      <c r="IF10" s="228" t="s">
        <v>72</v>
      </c>
    </row>
    <row r="11" spans="1:242">
      <c r="A11" s="12" t="s">
        <v>219</v>
      </c>
      <c r="B11" s="7" t="s">
        <v>9</v>
      </c>
      <c r="D11" s="7">
        <v>88965.659</v>
      </c>
      <c r="E11" s="7">
        <v>80052.489799999996</v>
      </c>
      <c r="F11" s="7">
        <v>69623.667400000006</v>
      </c>
      <c r="G11" s="7">
        <v>82904.987299999993</v>
      </c>
      <c r="H11" s="7">
        <v>76491.648499999996</v>
      </c>
      <c r="I11" s="7">
        <v>80622.989300000001</v>
      </c>
      <c r="J11" s="7">
        <v>76948.972599999994</v>
      </c>
      <c r="K11" s="7">
        <v>65835.642300000007</v>
      </c>
      <c r="L11" s="7">
        <v>59961.950599999996</v>
      </c>
      <c r="M11" s="7">
        <v>54950.805</v>
      </c>
      <c r="N11" s="7">
        <v>46913.88</v>
      </c>
      <c r="O11" s="7">
        <v>47216.625</v>
      </c>
      <c r="P11" s="7">
        <v>45887.371299999999</v>
      </c>
      <c r="Q11" s="7">
        <v>47740.247900000002</v>
      </c>
      <c r="R11" s="7">
        <v>44430.485000000001</v>
      </c>
      <c r="S11" s="7" t="s">
        <v>72</v>
      </c>
      <c r="U11" s="7">
        <v>45772</v>
      </c>
      <c r="V11" s="7">
        <v>48411</v>
      </c>
      <c r="W11" s="7">
        <v>52897</v>
      </c>
      <c r="X11" s="7">
        <v>54502</v>
      </c>
      <c r="Y11" s="7">
        <v>55306</v>
      </c>
      <c r="Z11" s="7">
        <v>53185</v>
      </c>
      <c r="AA11" s="7">
        <v>54652.654999999999</v>
      </c>
      <c r="AB11" s="7">
        <v>55568</v>
      </c>
      <c r="AC11" s="7">
        <v>59551</v>
      </c>
      <c r="AD11" s="7">
        <v>59505</v>
      </c>
      <c r="AE11" s="7">
        <v>62058</v>
      </c>
      <c r="AF11" s="7">
        <v>59435</v>
      </c>
      <c r="AG11" s="7">
        <v>55134</v>
      </c>
      <c r="AH11" s="7">
        <v>55359</v>
      </c>
      <c r="AI11" s="7">
        <v>52965</v>
      </c>
      <c r="AJ11" s="7" t="s">
        <v>72</v>
      </c>
      <c r="AL11" s="7">
        <v>6547</v>
      </c>
      <c r="AM11" s="7" t="s">
        <v>72</v>
      </c>
      <c r="AN11" s="7" t="s">
        <v>72</v>
      </c>
      <c r="AO11" s="7" t="s">
        <v>72</v>
      </c>
      <c r="AP11" s="7">
        <v>8842</v>
      </c>
      <c r="AQ11" s="7" t="s">
        <v>72</v>
      </c>
      <c r="AR11" s="7" t="s">
        <v>72</v>
      </c>
      <c r="AS11" s="7" t="s">
        <v>72</v>
      </c>
      <c r="AT11" s="7">
        <v>9613</v>
      </c>
      <c r="AU11" s="7" t="s">
        <v>72</v>
      </c>
      <c r="AV11" s="7" t="s">
        <v>72</v>
      </c>
      <c r="AW11" s="7" t="s">
        <v>72</v>
      </c>
      <c r="AX11" s="7">
        <v>10128</v>
      </c>
      <c r="AY11" s="7" t="s">
        <v>72</v>
      </c>
      <c r="AZ11" s="7" t="s">
        <v>72</v>
      </c>
      <c r="BA11" s="7" t="s">
        <v>72</v>
      </c>
      <c r="BC11" s="7" t="s">
        <v>72</v>
      </c>
      <c r="BD11" s="7" t="s">
        <v>72</v>
      </c>
      <c r="BE11" s="7">
        <v>5.0190999999999999</v>
      </c>
      <c r="BF11" s="7" t="s">
        <v>72</v>
      </c>
      <c r="BG11" s="7" t="s">
        <v>72</v>
      </c>
      <c r="BH11" s="7" t="s">
        <v>72</v>
      </c>
      <c r="BI11" s="7" t="s">
        <v>72</v>
      </c>
      <c r="BJ11" s="7" t="s">
        <v>72</v>
      </c>
      <c r="BK11" s="7" t="s">
        <v>72</v>
      </c>
      <c r="BL11" s="7" t="s">
        <v>72</v>
      </c>
      <c r="BM11" s="7" t="s">
        <v>72</v>
      </c>
      <c r="BN11" s="7" t="s">
        <v>72</v>
      </c>
      <c r="BO11" s="7" t="s">
        <v>72</v>
      </c>
      <c r="BP11" s="7" t="s">
        <v>72</v>
      </c>
      <c r="BQ11" s="7" t="s">
        <v>72</v>
      </c>
      <c r="BR11" s="7" t="s">
        <v>72</v>
      </c>
      <c r="BT11" s="7">
        <v>2.0251000000000001</v>
      </c>
      <c r="BU11" s="7">
        <v>2.1671999999999998</v>
      </c>
      <c r="BV11" s="7">
        <v>2.3589000000000002</v>
      </c>
      <c r="BW11" s="7">
        <v>2.4390000000000001</v>
      </c>
      <c r="BX11" s="7">
        <v>2.1456</v>
      </c>
      <c r="BY11" s="7">
        <v>2.0360999999999998</v>
      </c>
      <c r="BZ11" s="7">
        <v>2.0962999999999998</v>
      </c>
      <c r="CA11" s="7">
        <v>2.379</v>
      </c>
      <c r="CB11" s="7">
        <v>3.0708000000000002</v>
      </c>
      <c r="CC11" s="7">
        <v>3.1507000000000001</v>
      </c>
      <c r="CD11" s="7">
        <v>3.3624999999999998</v>
      </c>
      <c r="CE11" s="7">
        <v>2.8433999999999999</v>
      </c>
      <c r="CF11" s="7">
        <v>2.5998000000000001</v>
      </c>
      <c r="CG11" s="7">
        <v>2.6635999999999997</v>
      </c>
      <c r="CH11" s="7">
        <v>2.6076000000000001</v>
      </c>
      <c r="CI11" s="7" t="s">
        <v>72</v>
      </c>
      <c r="CK11" s="7">
        <v>137277.65900000001</v>
      </c>
      <c r="CL11" s="7">
        <v>131144.48980000001</v>
      </c>
      <c r="CM11" s="7">
        <v>125135.6675</v>
      </c>
      <c r="CN11" s="7">
        <v>146819.98730000001</v>
      </c>
      <c r="CO11" s="7">
        <v>139029.64850000001</v>
      </c>
      <c r="CP11" s="7">
        <v>140089.98929999999</v>
      </c>
      <c r="CQ11" s="7">
        <v>137325.4656</v>
      </c>
      <c r="CR11" s="7">
        <v>126630.64230000001</v>
      </c>
      <c r="CS11" s="7">
        <v>125259.9506</v>
      </c>
      <c r="CT11" s="7">
        <v>120343.80499999999</v>
      </c>
      <c r="CU11" s="7">
        <v>114297.88</v>
      </c>
      <c r="CV11" s="7">
        <v>111955.625</v>
      </c>
      <c r="CW11" s="7">
        <v>108221.3713</v>
      </c>
      <c r="CX11" s="7">
        <v>110361.2479</v>
      </c>
      <c r="CY11" s="7">
        <v>103853.485</v>
      </c>
      <c r="CZ11" s="7" t="s">
        <v>72</v>
      </c>
      <c r="DB11" s="7">
        <v>6.0735000000000001</v>
      </c>
      <c r="DC11" s="7">
        <v>5.8710000000000004</v>
      </c>
      <c r="DD11" s="7">
        <v>5.5803000000000003</v>
      </c>
      <c r="DE11" s="7">
        <v>6.5702999999999996</v>
      </c>
      <c r="DF11" s="7">
        <v>5.3936000000000002</v>
      </c>
      <c r="DG11" s="7">
        <v>5.3631000000000002</v>
      </c>
      <c r="DH11" s="7">
        <v>5.2674000000000003</v>
      </c>
      <c r="DI11" s="7">
        <v>5.4214000000000002</v>
      </c>
      <c r="DJ11" s="7">
        <v>6.4592000000000001</v>
      </c>
      <c r="DK11" s="7">
        <v>6.3719000000000001</v>
      </c>
      <c r="DL11" s="7">
        <v>6.1929999999999996</v>
      </c>
      <c r="DM11" s="7">
        <v>5.3559999999999999</v>
      </c>
      <c r="DN11" s="7">
        <v>5.1032000000000002</v>
      </c>
      <c r="DO11" s="7">
        <v>5.31</v>
      </c>
      <c r="DP11" s="7">
        <v>5.1130000000000004</v>
      </c>
      <c r="DQ11" s="7" t="s">
        <v>72</v>
      </c>
      <c r="DS11" s="7">
        <v>2.4198</v>
      </c>
      <c r="DT11" s="7">
        <v>2.3024</v>
      </c>
      <c r="DU11" s="7">
        <v>2.1501999999999999</v>
      </c>
      <c r="DV11" s="7">
        <v>2.4763000000000002</v>
      </c>
      <c r="DW11" s="7">
        <v>2.2890000000000001</v>
      </c>
      <c r="DX11" s="7">
        <v>2.2507999999999999</v>
      </c>
      <c r="DY11" s="7">
        <v>2.1947000000000001</v>
      </c>
      <c r="DZ11" s="7">
        <v>2.0059</v>
      </c>
      <c r="EA11" s="7">
        <v>1.9933999999999998</v>
      </c>
      <c r="EB11" s="7">
        <v>1.9129</v>
      </c>
      <c r="EC11" s="7">
        <v>1.8162</v>
      </c>
      <c r="ED11" s="7">
        <v>1.786</v>
      </c>
      <c r="EE11" s="7">
        <v>1.7355</v>
      </c>
      <c r="EF11" s="7">
        <v>1.8096000000000001</v>
      </c>
      <c r="EG11" s="7">
        <v>1.7326999999999999</v>
      </c>
      <c r="EH11" s="7" t="s">
        <v>72</v>
      </c>
      <c r="EJ11" s="7" t="s">
        <v>72</v>
      </c>
      <c r="EK11" s="7">
        <v>10.051</v>
      </c>
      <c r="EL11" s="7">
        <v>8.5030999999999999</v>
      </c>
      <c r="EM11" s="7">
        <v>7.2839</v>
      </c>
      <c r="EN11" s="7" t="s">
        <v>72</v>
      </c>
      <c r="EO11" s="7">
        <v>7.6563999999999997</v>
      </c>
      <c r="EP11" s="7">
        <v>7.7541000000000002</v>
      </c>
      <c r="EQ11" s="7">
        <v>15.699199999999999</v>
      </c>
      <c r="ER11" s="7" t="s">
        <v>72</v>
      </c>
      <c r="ES11" s="7" t="s">
        <v>72</v>
      </c>
      <c r="ET11" s="7" t="s">
        <v>72</v>
      </c>
      <c r="EU11" s="7" t="s">
        <v>72</v>
      </c>
      <c r="EV11" s="7">
        <v>11.6455</v>
      </c>
      <c r="EW11" s="7" t="s">
        <v>72</v>
      </c>
      <c r="EX11" s="7" t="s">
        <v>72</v>
      </c>
      <c r="EY11" s="7" t="s">
        <v>72</v>
      </c>
      <c r="FA11" s="7" t="s">
        <v>72</v>
      </c>
      <c r="FB11" s="7">
        <v>3.6615000000000002</v>
      </c>
      <c r="FC11" s="7">
        <v>3.4919000000000002</v>
      </c>
      <c r="FD11" s="7">
        <v>3.6089000000000002</v>
      </c>
      <c r="FE11" s="7" t="s">
        <v>72</v>
      </c>
      <c r="FF11" s="7">
        <v>3.1139000000000001</v>
      </c>
      <c r="FG11" s="7">
        <v>3.6791</v>
      </c>
      <c r="FH11" s="7">
        <v>3.5662000000000003</v>
      </c>
      <c r="FI11" s="7" t="s">
        <v>72</v>
      </c>
      <c r="FJ11" s="7" t="s">
        <v>72</v>
      </c>
      <c r="FK11" s="7" t="s">
        <v>72</v>
      </c>
      <c r="FL11" s="7" t="s">
        <v>72</v>
      </c>
      <c r="FM11" s="7">
        <v>2.2427000000000001</v>
      </c>
      <c r="FN11" s="7" t="s">
        <v>72</v>
      </c>
      <c r="FO11" s="7" t="s">
        <v>72</v>
      </c>
      <c r="FP11" s="7">
        <v>2.7896000000000001</v>
      </c>
      <c r="FR11" s="7">
        <v>9113</v>
      </c>
      <c r="FS11" s="7">
        <v>7882</v>
      </c>
      <c r="FT11" s="7">
        <v>6654</v>
      </c>
      <c r="FU11" s="7">
        <v>4359</v>
      </c>
      <c r="FV11" s="7">
        <v>4220</v>
      </c>
      <c r="FW11" s="7">
        <v>5507</v>
      </c>
      <c r="FX11" s="7">
        <v>3193.5169999999998</v>
      </c>
      <c r="FY11" s="7">
        <v>3354</v>
      </c>
      <c r="FZ11" s="7">
        <v>4135</v>
      </c>
      <c r="GA11" s="7">
        <v>5729</v>
      </c>
      <c r="GB11" s="7">
        <v>4003</v>
      </c>
      <c r="GC11" s="7">
        <v>7123</v>
      </c>
      <c r="GD11" s="7">
        <v>9847</v>
      </c>
      <c r="GE11" s="7">
        <v>6167</v>
      </c>
      <c r="GF11" s="7">
        <v>7740</v>
      </c>
      <c r="GG11" s="7" t="s">
        <v>72</v>
      </c>
      <c r="GI11" s="7">
        <v>24274</v>
      </c>
      <c r="GJ11" s="7">
        <v>23926</v>
      </c>
      <c r="GK11" s="7">
        <v>21990</v>
      </c>
      <c r="GL11" s="7">
        <v>31736</v>
      </c>
      <c r="GM11" s="7">
        <v>31684</v>
      </c>
      <c r="GN11" s="7">
        <v>31441</v>
      </c>
      <c r="GO11" s="7">
        <v>26047.917000000001</v>
      </c>
      <c r="GP11" s="7">
        <v>23166</v>
      </c>
      <c r="GQ11" s="7">
        <v>27383</v>
      </c>
      <c r="GR11" s="7">
        <v>27551</v>
      </c>
      <c r="GS11" s="7">
        <v>26026</v>
      </c>
      <c r="GT11" s="7">
        <v>26194</v>
      </c>
      <c r="GU11" s="7">
        <v>27661</v>
      </c>
      <c r="GV11" s="7">
        <v>28667</v>
      </c>
      <c r="GW11" s="7">
        <v>25079</v>
      </c>
      <c r="GX11" s="7" t="s">
        <v>72</v>
      </c>
      <c r="GZ11" s="7">
        <v>5964</v>
      </c>
      <c r="HA11" s="7">
        <v>5085</v>
      </c>
      <c r="HB11" s="7">
        <v>5683</v>
      </c>
      <c r="HC11" s="7">
        <v>5614</v>
      </c>
      <c r="HD11" s="7">
        <v>9395</v>
      </c>
      <c r="HE11" s="7">
        <v>5429</v>
      </c>
      <c r="HF11" s="7">
        <v>5632.6379999999999</v>
      </c>
      <c r="HG11" s="7">
        <v>2900.8989999999999</v>
      </c>
      <c r="HH11" s="7">
        <v>5430</v>
      </c>
      <c r="HI11" s="7">
        <v>4923</v>
      </c>
      <c r="HJ11" s="7">
        <v>5202</v>
      </c>
      <c r="HK11" s="7">
        <v>5347.7309999999998</v>
      </c>
      <c r="HL11" s="7">
        <v>5734</v>
      </c>
      <c r="HM11" s="7">
        <v>4500</v>
      </c>
      <c r="HN11" s="7">
        <v>4730</v>
      </c>
      <c r="HO11" s="7" t="s">
        <v>72</v>
      </c>
      <c r="HQ11" s="228">
        <v>6.9020000000000001</v>
      </c>
      <c r="HR11" s="228">
        <v>6.9068000000000005</v>
      </c>
      <c r="HS11" s="228">
        <v>7.7519</v>
      </c>
      <c r="HT11" s="228">
        <v>7.3968999999999996</v>
      </c>
      <c r="HU11" s="228">
        <v>7.2126999999999999</v>
      </c>
      <c r="HV11" s="228">
        <v>7.7008000000000001</v>
      </c>
      <c r="HW11" s="228">
        <v>7.7841000000000005</v>
      </c>
      <c r="HX11" s="228">
        <v>7.9416000000000002</v>
      </c>
      <c r="HY11" s="228">
        <v>7.7706999999999997</v>
      </c>
      <c r="HZ11" s="228">
        <v>7.2561</v>
      </c>
      <c r="IA11" s="228">
        <v>7.1321000000000003</v>
      </c>
      <c r="IB11" s="228">
        <v>6.9469000000000003</v>
      </c>
      <c r="IC11" s="228">
        <v>6.4795999999999996</v>
      </c>
      <c r="ID11" s="228">
        <v>8.1409000000000002</v>
      </c>
      <c r="IE11" s="228">
        <v>7.5750999999999999</v>
      </c>
      <c r="IF11" s="228" t="s">
        <v>72</v>
      </c>
    </row>
    <row r="12" spans="1:242">
      <c r="A12" s="11" t="s">
        <v>73</v>
      </c>
      <c r="B12" s="11" t="s">
        <v>84</v>
      </c>
      <c r="D12" s="7">
        <v>2483.6786000000002</v>
      </c>
      <c r="E12" s="7">
        <v>2378.6932999999999</v>
      </c>
      <c r="F12" s="7">
        <v>2215.0933</v>
      </c>
      <c r="G12" s="7">
        <v>2624.7764000000002</v>
      </c>
      <c r="H12" s="7">
        <v>2705.8244</v>
      </c>
      <c r="I12" s="7">
        <v>2420.9623999999999</v>
      </c>
      <c r="J12" s="7">
        <v>2313.2302</v>
      </c>
      <c r="K12" s="7">
        <v>2556.6212</v>
      </c>
      <c r="L12" s="7">
        <v>2519.9494</v>
      </c>
      <c r="M12" s="7">
        <v>2810.1484</v>
      </c>
      <c r="N12" s="7">
        <v>2487.5765000000001</v>
      </c>
      <c r="O12" s="7">
        <v>2755.4386</v>
      </c>
      <c r="P12" s="7">
        <v>2624.5967999999998</v>
      </c>
      <c r="Q12" s="7">
        <v>2273.2725999999998</v>
      </c>
      <c r="R12" s="7">
        <v>2364.3629999999998</v>
      </c>
      <c r="S12" s="7" t="s">
        <v>72</v>
      </c>
      <c r="U12" s="7">
        <v>718.5</v>
      </c>
      <c r="V12" s="7">
        <v>817.3</v>
      </c>
      <c r="W12" s="7">
        <v>752.5</v>
      </c>
      <c r="X12" s="7">
        <v>724.8</v>
      </c>
      <c r="Y12" s="7">
        <v>776.3</v>
      </c>
      <c r="Z12" s="7">
        <v>751.6</v>
      </c>
      <c r="AA12" s="7">
        <v>845.4</v>
      </c>
      <c r="AB12" s="7">
        <v>556.70000000000005</v>
      </c>
      <c r="AC12" s="7">
        <v>788.1</v>
      </c>
      <c r="AD12" s="7">
        <v>753.8</v>
      </c>
      <c r="AE12" s="7">
        <v>909.1</v>
      </c>
      <c r="AF12" s="7">
        <v>874.2</v>
      </c>
      <c r="AG12" s="7">
        <v>838.6</v>
      </c>
      <c r="AH12" s="7">
        <v>807.4</v>
      </c>
      <c r="AI12" s="7">
        <v>1042.4000000000001</v>
      </c>
      <c r="AJ12" s="7" t="s">
        <v>72</v>
      </c>
      <c r="AL12" s="7">
        <v>67.5</v>
      </c>
      <c r="AM12" s="7">
        <v>68.3</v>
      </c>
      <c r="AN12" s="7">
        <v>65.099999999999994</v>
      </c>
      <c r="AO12" s="7">
        <v>62.9</v>
      </c>
      <c r="AP12" s="7">
        <v>61.7</v>
      </c>
      <c r="AQ12" s="7">
        <v>81.2</v>
      </c>
      <c r="AR12" s="7">
        <v>75.5</v>
      </c>
      <c r="AS12" s="7">
        <v>84</v>
      </c>
      <c r="AT12" s="7">
        <v>182.6</v>
      </c>
      <c r="AU12" s="7">
        <v>90.6</v>
      </c>
      <c r="AV12" s="7">
        <v>88.9</v>
      </c>
      <c r="AW12" s="7">
        <v>91.5</v>
      </c>
      <c r="AX12" s="7">
        <v>90.5</v>
      </c>
      <c r="AY12" s="7">
        <v>73.5</v>
      </c>
      <c r="AZ12" s="7">
        <v>72.400000000000006</v>
      </c>
      <c r="BA12" s="7" t="s">
        <v>72</v>
      </c>
      <c r="BC12" s="7" t="s">
        <v>72</v>
      </c>
      <c r="BD12" s="7" t="s">
        <v>72</v>
      </c>
      <c r="BE12" s="7" t="s">
        <v>72</v>
      </c>
      <c r="BF12" s="7" t="s">
        <v>72</v>
      </c>
      <c r="BG12" s="7" t="s">
        <v>72</v>
      </c>
      <c r="BH12" s="7" t="s">
        <v>72</v>
      </c>
      <c r="BI12" s="7" t="s">
        <v>72</v>
      </c>
      <c r="BJ12" s="7" t="s">
        <v>72</v>
      </c>
      <c r="BK12" s="7" t="s">
        <v>72</v>
      </c>
      <c r="BL12" s="7" t="s">
        <v>72</v>
      </c>
      <c r="BM12" s="7" t="s">
        <v>72</v>
      </c>
      <c r="BN12" s="7" t="s">
        <v>72</v>
      </c>
      <c r="BO12" s="7" t="s">
        <v>72</v>
      </c>
      <c r="BP12" s="7" t="s">
        <v>72</v>
      </c>
      <c r="BQ12" s="7" t="s">
        <v>72</v>
      </c>
      <c r="BR12" s="7" t="s">
        <v>72</v>
      </c>
      <c r="BT12" s="7">
        <v>1.4876</v>
      </c>
      <c r="BU12" s="7">
        <v>1.6893</v>
      </c>
      <c r="BV12" s="7">
        <v>1.5487</v>
      </c>
      <c r="BW12" s="7">
        <v>1.504</v>
      </c>
      <c r="BX12" s="7">
        <v>1.6015999999999999</v>
      </c>
      <c r="BY12" s="7">
        <v>1.5446</v>
      </c>
      <c r="BZ12" s="7">
        <v>1.7278</v>
      </c>
      <c r="CA12" s="7">
        <v>1.1203000000000001</v>
      </c>
      <c r="CB12" s="7">
        <v>1.5655999999999999</v>
      </c>
      <c r="CC12" s="7">
        <v>1.4870999999999999</v>
      </c>
      <c r="CD12" s="7">
        <v>1.7909999999999999</v>
      </c>
      <c r="CE12" s="7">
        <v>1.7246000000000001</v>
      </c>
      <c r="CF12" s="7">
        <v>1.6739000000000002</v>
      </c>
      <c r="CG12" s="7">
        <v>1.6518000000000002</v>
      </c>
      <c r="CH12" s="7">
        <v>2.1326000000000001</v>
      </c>
      <c r="CI12" s="7" t="s">
        <v>72</v>
      </c>
      <c r="CK12" s="7">
        <v>3202.9785999999999</v>
      </c>
      <c r="CL12" s="7">
        <v>3196.9933000000001</v>
      </c>
      <c r="CM12" s="7">
        <v>2970.8933000000002</v>
      </c>
      <c r="CN12" s="7">
        <v>3352.2764000000002</v>
      </c>
      <c r="CO12" s="7">
        <v>3485.2244000000001</v>
      </c>
      <c r="CP12" s="7">
        <v>3175.6624000000002</v>
      </c>
      <c r="CQ12" s="7">
        <v>3162.5302000000001</v>
      </c>
      <c r="CR12" s="7">
        <v>3116.7212</v>
      </c>
      <c r="CS12" s="7">
        <v>3311.5493999999999</v>
      </c>
      <c r="CT12" s="7">
        <v>3567.2483999999999</v>
      </c>
      <c r="CU12" s="7">
        <v>3399.2764999999999</v>
      </c>
      <c r="CV12" s="7">
        <v>3632.1386000000002</v>
      </c>
      <c r="CW12" s="7">
        <v>3465.9967999999999</v>
      </c>
      <c r="CX12" s="7">
        <v>3083.4726000000001</v>
      </c>
      <c r="CY12" s="7">
        <v>3433.7629999999999</v>
      </c>
      <c r="CZ12" s="7" t="s">
        <v>72</v>
      </c>
      <c r="DB12" s="7">
        <v>6.6314000000000002</v>
      </c>
      <c r="DC12" s="7">
        <v>6.6081000000000003</v>
      </c>
      <c r="DD12" s="7">
        <v>6.1142000000000003</v>
      </c>
      <c r="DE12" s="7">
        <v>6.9564000000000004</v>
      </c>
      <c r="DF12" s="7">
        <v>7.1905000000000001</v>
      </c>
      <c r="DG12" s="7">
        <v>6.5262000000000002</v>
      </c>
      <c r="DH12" s="7">
        <v>6.4634</v>
      </c>
      <c r="DI12" s="7">
        <v>6.2722999999999995</v>
      </c>
      <c r="DJ12" s="7">
        <v>6.5784000000000002</v>
      </c>
      <c r="DK12" s="7">
        <v>7.0373999999999999</v>
      </c>
      <c r="DL12" s="7">
        <v>6.6967999999999996</v>
      </c>
      <c r="DM12" s="7">
        <v>7.1654</v>
      </c>
      <c r="DN12" s="7">
        <v>6.9181999999999997</v>
      </c>
      <c r="DO12" s="7">
        <v>6.3083</v>
      </c>
      <c r="DP12" s="7">
        <v>7.0248999999999997</v>
      </c>
      <c r="DQ12" s="7" t="s">
        <v>72</v>
      </c>
      <c r="DS12" s="7">
        <v>2.2391999999999999</v>
      </c>
      <c r="DT12" s="7">
        <v>2.2319</v>
      </c>
      <c r="DU12" s="7">
        <v>2.0605000000000002</v>
      </c>
      <c r="DV12" s="7">
        <v>2.3191000000000002</v>
      </c>
      <c r="DW12" s="7">
        <v>2.3818999999999999</v>
      </c>
      <c r="DX12" s="7">
        <v>2.1398999999999999</v>
      </c>
      <c r="DY12" s="7">
        <v>2.1118999999999999</v>
      </c>
      <c r="DZ12" s="7">
        <v>2.0615000000000001</v>
      </c>
      <c r="EA12" s="7">
        <v>2.1644000000000001</v>
      </c>
      <c r="EB12" s="7">
        <v>2.3199000000000001</v>
      </c>
      <c r="EC12" s="7">
        <v>2.1941000000000002</v>
      </c>
      <c r="ED12" s="7">
        <v>2.3308</v>
      </c>
      <c r="EE12" s="7">
        <v>2.2311999999999999</v>
      </c>
      <c r="EF12" s="7">
        <v>2.0110999999999999</v>
      </c>
      <c r="EG12" s="7">
        <v>2.2385999999999999</v>
      </c>
      <c r="EH12" s="7" t="s">
        <v>72</v>
      </c>
      <c r="EJ12" s="7" t="s">
        <v>72</v>
      </c>
      <c r="EK12" s="7">
        <v>15.650600000000001</v>
      </c>
      <c r="EL12" s="7">
        <v>14.8477</v>
      </c>
      <c r="EM12" s="7">
        <v>17.815300000000001</v>
      </c>
      <c r="EN12" s="7" t="s">
        <v>72</v>
      </c>
      <c r="EO12" s="7">
        <v>12.794599999999999</v>
      </c>
      <c r="EP12" s="7">
        <v>11.863</v>
      </c>
      <c r="EQ12" s="7">
        <v>11.8933</v>
      </c>
      <c r="ER12" s="7" t="s">
        <v>72</v>
      </c>
      <c r="ES12" s="7" t="s">
        <v>72</v>
      </c>
      <c r="ET12" s="7" t="s">
        <v>72</v>
      </c>
      <c r="EU12" s="7" t="s">
        <v>72</v>
      </c>
      <c r="EV12" s="7" t="s">
        <v>72</v>
      </c>
      <c r="EW12" s="7" t="s">
        <v>72</v>
      </c>
      <c r="EX12" s="7" t="s">
        <v>72</v>
      </c>
      <c r="EY12" s="7" t="s">
        <v>72</v>
      </c>
      <c r="FA12" s="7" t="s">
        <v>72</v>
      </c>
      <c r="FB12" s="7">
        <v>2.9316</v>
      </c>
      <c r="FC12" s="7">
        <v>2.6013000000000002</v>
      </c>
      <c r="FD12" s="7">
        <v>2.8885000000000001</v>
      </c>
      <c r="FE12" s="7" t="s">
        <v>72</v>
      </c>
      <c r="FF12" s="7">
        <v>3.2160000000000002</v>
      </c>
      <c r="FG12" s="7">
        <v>2.8923000000000001</v>
      </c>
      <c r="FH12" s="7">
        <v>2.9748000000000001</v>
      </c>
      <c r="FI12" s="7" t="s">
        <v>72</v>
      </c>
      <c r="FJ12" s="7" t="s">
        <v>72</v>
      </c>
      <c r="FK12" s="7" t="s">
        <v>72</v>
      </c>
      <c r="FL12" s="7" t="s">
        <v>72</v>
      </c>
      <c r="FM12" s="7" t="s">
        <v>72</v>
      </c>
      <c r="FN12" s="7" t="s">
        <v>72</v>
      </c>
      <c r="FO12" s="7" t="s">
        <v>72</v>
      </c>
      <c r="FP12" s="7">
        <v>3.7721</v>
      </c>
      <c r="FR12" s="7">
        <v>31</v>
      </c>
      <c r="FS12" s="7">
        <v>26.2</v>
      </c>
      <c r="FT12" s="7">
        <v>31.6</v>
      </c>
      <c r="FU12" s="7">
        <v>17.100000000000001</v>
      </c>
      <c r="FV12" s="7">
        <v>31.8</v>
      </c>
      <c r="FW12" s="7">
        <v>43.8</v>
      </c>
      <c r="FX12" s="7">
        <v>41.5</v>
      </c>
      <c r="FY12" s="7">
        <v>19.399999999999999</v>
      </c>
      <c r="FZ12" s="7">
        <v>59</v>
      </c>
      <c r="GA12" s="7">
        <v>64</v>
      </c>
      <c r="GB12" s="7">
        <v>37.1</v>
      </c>
      <c r="GC12" s="7">
        <v>17.7</v>
      </c>
      <c r="GD12" s="7">
        <v>39.799999999999997</v>
      </c>
      <c r="GE12" s="7">
        <v>83.3</v>
      </c>
      <c r="GF12" s="7">
        <v>48.1</v>
      </c>
      <c r="GG12" s="7" t="s">
        <v>72</v>
      </c>
      <c r="GI12" s="7">
        <v>900</v>
      </c>
      <c r="GJ12" s="7">
        <v>767.3</v>
      </c>
      <c r="GK12" s="7">
        <v>807.5</v>
      </c>
      <c r="GL12" s="7">
        <v>860.9</v>
      </c>
      <c r="GM12" s="7">
        <v>832.9</v>
      </c>
      <c r="GN12" s="7">
        <v>736.5</v>
      </c>
      <c r="GO12" s="7">
        <v>783.1</v>
      </c>
      <c r="GP12" s="7">
        <v>840.7</v>
      </c>
      <c r="GQ12" s="7">
        <v>840.3</v>
      </c>
      <c r="GR12" s="7">
        <v>891.1</v>
      </c>
      <c r="GS12" s="7">
        <v>737.4</v>
      </c>
      <c r="GT12" s="7">
        <v>798.2</v>
      </c>
      <c r="GU12" s="7">
        <v>851.4</v>
      </c>
      <c r="GV12" s="7">
        <v>681.9</v>
      </c>
      <c r="GW12" s="7">
        <v>762.8</v>
      </c>
      <c r="GX12" s="7" t="s">
        <v>72</v>
      </c>
      <c r="GZ12" s="7">
        <v>120.4</v>
      </c>
      <c r="HA12" s="7">
        <v>115.7</v>
      </c>
      <c r="HB12" s="7">
        <v>118.5</v>
      </c>
      <c r="HC12" s="7">
        <v>127.3</v>
      </c>
      <c r="HD12" s="7">
        <v>123.2</v>
      </c>
      <c r="HE12" s="7">
        <v>117.6</v>
      </c>
      <c r="HF12" s="7">
        <v>121.2</v>
      </c>
      <c r="HG12" s="7">
        <v>134.9</v>
      </c>
      <c r="HH12" s="7">
        <v>129.69999999999999</v>
      </c>
      <c r="HI12" s="7">
        <v>121.1</v>
      </c>
      <c r="HJ12" s="7">
        <v>121.9</v>
      </c>
      <c r="HK12" s="7">
        <v>134.19999999999999</v>
      </c>
      <c r="HL12" s="7">
        <v>123.8</v>
      </c>
      <c r="HM12" s="7">
        <v>108.9</v>
      </c>
      <c r="HN12" s="7">
        <v>121.9</v>
      </c>
      <c r="HO12" s="7" t="s">
        <v>72</v>
      </c>
      <c r="HQ12" s="228">
        <v>8.0693000000000001</v>
      </c>
      <c r="HR12" s="228">
        <v>6.9188000000000001</v>
      </c>
      <c r="HS12" s="228">
        <v>8.6876999999999995</v>
      </c>
      <c r="HT12" s="228">
        <v>8.0861999999999998</v>
      </c>
      <c r="HU12" s="228">
        <v>8.1341999999999999</v>
      </c>
      <c r="HV12" s="228">
        <v>7.7977999999999996</v>
      </c>
      <c r="HW12" s="228">
        <v>8.2479999999999993</v>
      </c>
      <c r="HX12" s="228">
        <v>8.8902999999999999</v>
      </c>
      <c r="HY12" s="228">
        <v>8.1969999999999992</v>
      </c>
      <c r="HZ12" s="228">
        <v>7.0986000000000002</v>
      </c>
      <c r="IA12" s="228">
        <v>6.5967000000000002</v>
      </c>
      <c r="IB12" s="228">
        <v>6.2721999999999998</v>
      </c>
      <c r="IC12" s="228">
        <v>7.3335999999999997</v>
      </c>
      <c r="ID12" s="228">
        <v>6.2622999999999998</v>
      </c>
      <c r="IE12" s="228">
        <v>5.6490999999999998</v>
      </c>
      <c r="IF12" s="228" t="s">
        <v>72</v>
      </c>
    </row>
    <row r="13" spans="1:242">
      <c r="A13" s="11" t="s">
        <v>19</v>
      </c>
      <c r="B13" s="7" t="s">
        <v>33</v>
      </c>
      <c r="D13" s="7">
        <v>4553.7582000000002</v>
      </c>
      <c r="E13" s="7" t="s">
        <v>72</v>
      </c>
      <c r="F13" s="7">
        <v>3484.5257000000001</v>
      </c>
      <c r="G13" s="7" t="s">
        <v>72</v>
      </c>
      <c r="H13" s="7">
        <v>4447.6911</v>
      </c>
      <c r="I13" s="7" t="s">
        <v>72</v>
      </c>
      <c r="J13" s="7">
        <v>5063.3341</v>
      </c>
      <c r="K13" s="7" t="s">
        <v>72</v>
      </c>
      <c r="L13" s="7">
        <v>5436.7160000000003</v>
      </c>
      <c r="M13" s="7" t="s">
        <v>72</v>
      </c>
      <c r="N13" s="7">
        <v>6523.6750000000002</v>
      </c>
      <c r="O13" s="7" t="s">
        <v>72</v>
      </c>
      <c r="P13" s="7">
        <v>7491.8858</v>
      </c>
      <c r="Q13" s="7" t="s">
        <v>72</v>
      </c>
      <c r="R13" s="7" t="s">
        <v>72</v>
      </c>
      <c r="S13" s="7" t="s">
        <v>72</v>
      </c>
      <c r="U13" s="7">
        <v>664.87699999999995</v>
      </c>
      <c r="V13" s="7" t="s">
        <v>72</v>
      </c>
      <c r="W13" s="7">
        <v>717.22699999999998</v>
      </c>
      <c r="X13" s="7" t="s">
        <v>72</v>
      </c>
      <c r="Y13" s="7">
        <v>691.31100000000004</v>
      </c>
      <c r="Z13" s="7" t="s">
        <v>72</v>
      </c>
      <c r="AA13" s="7">
        <v>683.428</v>
      </c>
      <c r="AB13" s="7" t="s">
        <v>72</v>
      </c>
      <c r="AC13" s="7">
        <v>969.42</v>
      </c>
      <c r="AD13" s="7" t="s">
        <v>72</v>
      </c>
      <c r="AE13" s="7">
        <v>1126.3589999999999</v>
      </c>
      <c r="AF13" s="7" t="s">
        <v>72</v>
      </c>
      <c r="AG13" s="7">
        <v>1064.251</v>
      </c>
      <c r="AH13" s="7" t="s">
        <v>72</v>
      </c>
      <c r="AI13" s="7">
        <v>1038.81</v>
      </c>
      <c r="AJ13" s="7" t="s">
        <v>72</v>
      </c>
      <c r="AL13" s="7">
        <v>14.516999999999999</v>
      </c>
      <c r="AM13" s="7" t="s">
        <v>72</v>
      </c>
      <c r="AN13" s="7" t="s">
        <v>72</v>
      </c>
      <c r="AO13" s="7" t="s">
        <v>72</v>
      </c>
      <c r="AP13" s="7">
        <v>0.311</v>
      </c>
      <c r="AQ13" s="7" t="s">
        <v>72</v>
      </c>
      <c r="AR13" s="7">
        <v>0</v>
      </c>
      <c r="AS13" s="7" t="s">
        <v>72</v>
      </c>
      <c r="AT13" s="7">
        <v>402</v>
      </c>
      <c r="AU13" s="7" t="s">
        <v>72</v>
      </c>
      <c r="AV13" s="7" t="s">
        <v>72</v>
      </c>
      <c r="AW13" s="7" t="s">
        <v>72</v>
      </c>
      <c r="AX13" s="7">
        <v>448</v>
      </c>
      <c r="AY13" s="7" t="s">
        <v>72</v>
      </c>
      <c r="AZ13" s="7">
        <v>467</v>
      </c>
      <c r="BA13" s="7" t="s">
        <v>72</v>
      </c>
      <c r="BC13" s="7">
        <v>7.8322000000000003</v>
      </c>
      <c r="BD13" s="7" t="s">
        <v>72</v>
      </c>
      <c r="BE13" s="7">
        <v>11.5579</v>
      </c>
      <c r="BF13" s="7" t="s">
        <v>72</v>
      </c>
      <c r="BG13" s="7">
        <v>10.258800000000001</v>
      </c>
      <c r="BH13" s="7" t="s">
        <v>72</v>
      </c>
      <c r="BI13" s="7">
        <v>10.3817</v>
      </c>
      <c r="BJ13" s="7" t="s">
        <v>72</v>
      </c>
      <c r="BK13" s="7">
        <v>8.4728999999999992</v>
      </c>
      <c r="BL13" s="7" t="s">
        <v>72</v>
      </c>
      <c r="BM13" s="7">
        <v>6.3269000000000002</v>
      </c>
      <c r="BN13" s="7" t="s">
        <v>72</v>
      </c>
      <c r="BO13" s="7">
        <v>7.6231999999999998</v>
      </c>
      <c r="BP13" s="7" t="s">
        <v>72</v>
      </c>
      <c r="BQ13" s="7">
        <v>9.2612000000000005</v>
      </c>
      <c r="BR13" s="7" t="s">
        <v>72</v>
      </c>
      <c r="BT13" s="7">
        <v>1.0165</v>
      </c>
      <c r="BU13" s="7" t="s">
        <v>72</v>
      </c>
      <c r="BV13" s="7">
        <v>0.89380000000000004</v>
      </c>
      <c r="BW13" s="7" t="s">
        <v>72</v>
      </c>
      <c r="BX13" s="7">
        <v>0.87509999999999999</v>
      </c>
      <c r="BY13" s="7" t="s">
        <v>72</v>
      </c>
      <c r="BZ13" s="7">
        <v>0.90820000000000001</v>
      </c>
      <c r="CA13" s="7" t="s">
        <v>72</v>
      </c>
      <c r="CB13" s="7">
        <v>1.1774</v>
      </c>
      <c r="CC13" s="7" t="s">
        <v>72</v>
      </c>
      <c r="CD13" s="7">
        <v>1.3679999999999999</v>
      </c>
      <c r="CE13" s="7" t="s">
        <v>72</v>
      </c>
      <c r="CF13" s="7">
        <v>1.1681999999999999</v>
      </c>
      <c r="CG13" s="7" t="s">
        <v>72</v>
      </c>
      <c r="CH13" s="7">
        <v>0.96079999999999999</v>
      </c>
      <c r="CI13" s="7" t="s">
        <v>72</v>
      </c>
      <c r="CK13" s="7">
        <v>5219.1722</v>
      </c>
      <c r="CL13" s="7" t="s">
        <v>72</v>
      </c>
      <c r="CM13" s="7">
        <v>4202.4426999999996</v>
      </c>
      <c r="CN13" s="7" t="s">
        <v>72</v>
      </c>
      <c r="CO13" s="7">
        <v>5139.4741000000004</v>
      </c>
      <c r="CP13" s="7" t="s">
        <v>72</v>
      </c>
      <c r="CQ13" s="7">
        <v>5747.0621000000001</v>
      </c>
      <c r="CR13" s="7" t="s">
        <v>72</v>
      </c>
      <c r="CS13" s="7">
        <v>6406.9359999999997</v>
      </c>
      <c r="CT13" s="7" t="s">
        <v>72</v>
      </c>
      <c r="CU13" s="7">
        <v>7650.0339999999997</v>
      </c>
      <c r="CV13" s="7" t="s">
        <v>72</v>
      </c>
      <c r="CW13" s="7">
        <v>8556.1368000000002</v>
      </c>
      <c r="CX13" s="7" t="s">
        <v>72</v>
      </c>
      <c r="CY13" s="7" t="s">
        <v>72</v>
      </c>
      <c r="CZ13" s="7" t="s">
        <v>72</v>
      </c>
      <c r="DB13" s="7">
        <v>7.9791999999999996</v>
      </c>
      <c r="DC13" s="7" t="s">
        <v>72</v>
      </c>
      <c r="DD13" s="7">
        <v>5.2373000000000003</v>
      </c>
      <c r="DE13" s="7" t="s">
        <v>72</v>
      </c>
      <c r="DF13" s="7">
        <v>6.5057</v>
      </c>
      <c r="DG13" s="7" t="s">
        <v>72</v>
      </c>
      <c r="DH13" s="7">
        <v>7.6375000000000002</v>
      </c>
      <c r="DI13" s="7" t="s">
        <v>72</v>
      </c>
      <c r="DJ13" s="7">
        <v>7.7813999999999997</v>
      </c>
      <c r="DK13" s="7" t="s">
        <v>72</v>
      </c>
      <c r="DL13" s="7">
        <v>9.2914999999999992</v>
      </c>
      <c r="DM13" s="7" t="s">
        <v>72</v>
      </c>
      <c r="DN13" s="7">
        <v>9.3917000000000002</v>
      </c>
      <c r="DO13" s="7" t="s">
        <v>72</v>
      </c>
      <c r="DP13" s="7" t="s">
        <v>72</v>
      </c>
      <c r="DQ13" s="7" t="s">
        <v>72</v>
      </c>
      <c r="DS13" s="7">
        <v>2.6703000000000001</v>
      </c>
      <c r="DT13" s="7" t="s">
        <v>72</v>
      </c>
      <c r="DU13" s="7">
        <v>2.1015999999999999</v>
      </c>
      <c r="DV13" s="7" t="s">
        <v>72</v>
      </c>
      <c r="DW13" s="7">
        <v>2.5215000000000001</v>
      </c>
      <c r="DX13" s="7" t="s">
        <v>72</v>
      </c>
      <c r="DY13" s="7">
        <v>2.7833000000000001</v>
      </c>
      <c r="DZ13" s="7" t="s">
        <v>72</v>
      </c>
      <c r="EA13" s="7">
        <v>3.0192000000000001</v>
      </c>
      <c r="EB13" s="7" t="s">
        <v>72</v>
      </c>
      <c r="EC13" s="7">
        <v>3.0299</v>
      </c>
      <c r="ED13" s="7" t="s">
        <v>72</v>
      </c>
      <c r="EE13" s="7">
        <v>2.7134</v>
      </c>
      <c r="EF13" s="7" t="s">
        <v>72</v>
      </c>
      <c r="EG13" s="7">
        <v>3.0099</v>
      </c>
      <c r="EH13" s="7" t="s">
        <v>72</v>
      </c>
      <c r="EJ13" s="7">
        <v>18.4313</v>
      </c>
      <c r="EK13" s="7">
        <v>16.849</v>
      </c>
      <c r="EL13" s="7">
        <v>10.015700000000001</v>
      </c>
      <c r="EM13" s="7">
        <v>11.9984</v>
      </c>
      <c r="EN13" s="7">
        <v>14.1812</v>
      </c>
      <c r="EO13" s="7">
        <v>14.7387</v>
      </c>
      <c r="EP13" s="7">
        <v>17.592400000000001</v>
      </c>
      <c r="EQ13" s="7">
        <v>15.970599999999999</v>
      </c>
      <c r="ER13" s="7" t="s">
        <v>72</v>
      </c>
      <c r="ES13" s="7" t="s">
        <v>72</v>
      </c>
      <c r="ET13" s="7" t="s">
        <v>72</v>
      </c>
      <c r="EU13" s="7" t="s">
        <v>72</v>
      </c>
      <c r="EV13" s="7">
        <v>39.737299999999998</v>
      </c>
      <c r="EW13" s="7" t="s">
        <v>72</v>
      </c>
      <c r="EX13" s="7" t="s">
        <v>72</v>
      </c>
      <c r="EY13" s="7" t="s">
        <v>72</v>
      </c>
      <c r="FA13" s="7">
        <v>5.9614000000000003</v>
      </c>
      <c r="FB13" s="7">
        <v>5.4496000000000002</v>
      </c>
      <c r="FC13" s="7">
        <v>3.7848000000000002</v>
      </c>
      <c r="FD13" s="7">
        <v>4.5341000000000005</v>
      </c>
      <c r="FE13" s="7">
        <v>4.1264000000000003</v>
      </c>
      <c r="FF13" s="7">
        <v>4.2885999999999997</v>
      </c>
      <c r="FG13" s="7">
        <v>4.1718000000000002</v>
      </c>
      <c r="FH13" s="7">
        <v>3.7871999999999999</v>
      </c>
      <c r="FI13" s="7" t="s">
        <v>72</v>
      </c>
      <c r="FJ13" s="7" t="s">
        <v>72</v>
      </c>
      <c r="FK13" s="7" t="s">
        <v>72</v>
      </c>
      <c r="FL13" s="7" t="s">
        <v>72</v>
      </c>
      <c r="FM13" s="7">
        <v>4.3388999999999998</v>
      </c>
      <c r="FN13" s="7" t="s">
        <v>72</v>
      </c>
      <c r="FO13" s="7" t="s">
        <v>72</v>
      </c>
      <c r="FP13" s="7">
        <v>5.343</v>
      </c>
      <c r="FR13" s="7">
        <v>9.5359999999999996</v>
      </c>
      <c r="FS13" s="7" t="s">
        <v>72</v>
      </c>
      <c r="FT13" s="7">
        <v>404.88400000000001</v>
      </c>
      <c r="FU13" s="7" t="s">
        <v>72</v>
      </c>
      <c r="FV13" s="7">
        <v>77.430000000000007</v>
      </c>
      <c r="FW13" s="7" t="s">
        <v>72</v>
      </c>
      <c r="FX13" s="7">
        <v>6.5060000000000002</v>
      </c>
      <c r="FY13" s="7" t="s">
        <v>72</v>
      </c>
      <c r="FZ13" s="7">
        <v>80.849000000000004</v>
      </c>
      <c r="GA13" s="7" t="s">
        <v>72</v>
      </c>
      <c r="GB13" s="7">
        <v>8.6630000000000003</v>
      </c>
      <c r="GC13" s="7" t="s">
        <v>72</v>
      </c>
      <c r="GD13" s="7">
        <v>384.15600000000001</v>
      </c>
      <c r="GE13" s="7" t="s">
        <v>72</v>
      </c>
      <c r="GF13" s="7">
        <v>52.652000000000001</v>
      </c>
      <c r="GG13" s="7" t="s">
        <v>72</v>
      </c>
      <c r="GI13" s="7">
        <v>764.41</v>
      </c>
      <c r="GJ13" s="7" t="s">
        <v>72</v>
      </c>
      <c r="GK13" s="7">
        <v>921.34900000000005</v>
      </c>
      <c r="GL13" s="7" t="s">
        <v>72</v>
      </c>
      <c r="GM13" s="7">
        <v>1078.3389999999999</v>
      </c>
      <c r="GN13" s="7" t="s">
        <v>72</v>
      </c>
      <c r="GO13" s="7">
        <v>1213.999</v>
      </c>
      <c r="GP13" s="7" t="s">
        <v>72</v>
      </c>
      <c r="GQ13" s="7">
        <v>1524.721</v>
      </c>
      <c r="GR13" s="7" t="s">
        <v>72</v>
      </c>
      <c r="GS13" s="7">
        <v>1589.9010000000001</v>
      </c>
      <c r="GT13" s="7" t="s">
        <v>72</v>
      </c>
      <c r="GU13" s="7">
        <v>1726.693</v>
      </c>
      <c r="GV13" s="7" t="s">
        <v>72</v>
      </c>
      <c r="GW13" s="7">
        <v>1874.0119999999999</v>
      </c>
      <c r="GX13" s="7" t="s">
        <v>72</v>
      </c>
      <c r="GZ13" s="7">
        <v>353.31799999999998</v>
      </c>
      <c r="HA13" s="7" t="s">
        <v>72</v>
      </c>
      <c r="HB13" s="7">
        <v>449.08499999999998</v>
      </c>
      <c r="HC13" s="7" t="s">
        <v>72</v>
      </c>
      <c r="HD13" s="7">
        <v>340.91300000000001</v>
      </c>
      <c r="HE13" s="7" t="s">
        <v>72</v>
      </c>
      <c r="HF13" s="7">
        <v>411.56599999999997</v>
      </c>
      <c r="HG13" s="7" t="s">
        <v>72</v>
      </c>
      <c r="HH13" s="7">
        <v>411.79700000000003</v>
      </c>
      <c r="HI13" s="7" t="s">
        <v>72</v>
      </c>
      <c r="HJ13" s="7">
        <v>411.53699999999998</v>
      </c>
      <c r="HK13" s="7" t="s">
        <v>72</v>
      </c>
      <c r="HL13" s="7">
        <v>499.49099999999999</v>
      </c>
      <c r="HM13" s="7" t="s">
        <v>72</v>
      </c>
      <c r="HN13" s="7">
        <v>581.75300000000004</v>
      </c>
      <c r="HO13" s="7" t="s">
        <v>72</v>
      </c>
      <c r="HQ13" s="228">
        <v>8.2020999999999997</v>
      </c>
      <c r="HR13" s="228" t="s">
        <v>72</v>
      </c>
      <c r="HS13" s="228">
        <v>10.888999999999999</v>
      </c>
      <c r="HT13" s="228" t="s">
        <v>72</v>
      </c>
      <c r="HU13" s="228">
        <v>9.4448000000000008</v>
      </c>
      <c r="HV13" s="228" t="s">
        <v>72</v>
      </c>
      <c r="HW13" s="228">
        <v>8.5463000000000005</v>
      </c>
      <c r="HX13" s="228" t="s">
        <v>72</v>
      </c>
      <c r="HY13" s="228">
        <v>7.4016000000000002</v>
      </c>
      <c r="HZ13" s="228" t="s">
        <v>72</v>
      </c>
      <c r="IA13" s="228">
        <v>7.1273</v>
      </c>
      <c r="IB13" s="228" t="s">
        <v>72</v>
      </c>
      <c r="IC13" s="228">
        <v>5.6982999999999997</v>
      </c>
      <c r="ID13" s="228" t="s">
        <v>72</v>
      </c>
      <c r="IE13" s="228">
        <v>7.2253999999999996</v>
      </c>
      <c r="IF13" s="228" t="s">
        <v>72</v>
      </c>
    </row>
    <row r="14" spans="1:242">
      <c r="A14" s="11" t="s">
        <v>19</v>
      </c>
      <c r="B14" s="7" t="s">
        <v>74</v>
      </c>
      <c r="D14" s="7">
        <v>46131.404699999999</v>
      </c>
      <c r="E14" s="7" t="s">
        <v>72</v>
      </c>
      <c r="F14" s="7">
        <v>37808.283300000003</v>
      </c>
      <c r="G14" s="7" t="s">
        <v>72</v>
      </c>
      <c r="H14" s="7">
        <v>41308.878100000002</v>
      </c>
      <c r="I14" s="7" t="s">
        <v>72</v>
      </c>
      <c r="J14" s="7">
        <v>38824.5723</v>
      </c>
      <c r="K14" s="7" t="s">
        <v>72</v>
      </c>
      <c r="L14" s="7">
        <v>31956.665000000001</v>
      </c>
      <c r="M14" s="7" t="s">
        <v>72</v>
      </c>
      <c r="N14" s="7">
        <v>27291.271499999999</v>
      </c>
      <c r="O14" s="7" t="s">
        <v>72</v>
      </c>
      <c r="P14" s="7">
        <v>21909.9231</v>
      </c>
      <c r="Q14" s="7" t="s">
        <v>72</v>
      </c>
      <c r="R14" s="7">
        <v>19124.593099999998</v>
      </c>
      <c r="S14" s="7" t="s">
        <v>72</v>
      </c>
      <c r="U14" s="7">
        <v>32909</v>
      </c>
      <c r="V14" s="7" t="s">
        <v>72</v>
      </c>
      <c r="W14" s="7">
        <v>34908</v>
      </c>
      <c r="X14" s="7" t="s">
        <v>72</v>
      </c>
      <c r="Y14" s="7">
        <v>30956</v>
      </c>
      <c r="Z14" s="7" t="s">
        <v>72</v>
      </c>
      <c r="AA14" s="7">
        <v>31715</v>
      </c>
      <c r="AB14" s="7" t="s">
        <v>72</v>
      </c>
      <c r="AC14" s="7">
        <v>30381</v>
      </c>
      <c r="AD14" s="7" t="s">
        <v>72</v>
      </c>
      <c r="AE14" s="7">
        <v>31753</v>
      </c>
      <c r="AF14" s="7" t="s">
        <v>72</v>
      </c>
      <c r="AG14" s="7">
        <v>30752</v>
      </c>
      <c r="AH14" s="7" t="s">
        <v>72</v>
      </c>
      <c r="AI14" s="7">
        <v>30161</v>
      </c>
      <c r="AJ14" s="7" t="s">
        <v>72</v>
      </c>
      <c r="AL14" s="7" t="s">
        <v>72</v>
      </c>
      <c r="AM14" s="7" t="s">
        <v>72</v>
      </c>
      <c r="AN14" s="7" t="s">
        <v>72</v>
      </c>
      <c r="AO14" s="7" t="s">
        <v>72</v>
      </c>
      <c r="AP14" s="7">
        <v>6685</v>
      </c>
      <c r="AQ14" s="7" t="s">
        <v>72</v>
      </c>
      <c r="AR14" s="7" t="s">
        <v>72</v>
      </c>
      <c r="AS14" s="7" t="s">
        <v>72</v>
      </c>
      <c r="AT14" s="7">
        <v>6255</v>
      </c>
      <c r="AU14" s="7" t="s">
        <v>72</v>
      </c>
      <c r="AV14" s="7" t="s">
        <v>72</v>
      </c>
      <c r="AW14" s="7" t="s">
        <v>72</v>
      </c>
      <c r="AX14" s="7">
        <v>7453</v>
      </c>
      <c r="AY14" s="7" t="s">
        <v>72</v>
      </c>
      <c r="AZ14" s="7" t="s">
        <v>72</v>
      </c>
      <c r="BA14" s="7" t="s">
        <v>72</v>
      </c>
      <c r="BC14" s="7">
        <v>2.4908999999999999</v>
      </c>
      <c r="BD14" s="7" t="s">
        <v>72</v>
      </c>
      <c r="BE14" s="7">
        <v>4.7474999999999996</v>
      </c>
      <c r="BF14" s="7" t="s">
        <v>72</v>
      </c>
      <c r="BG14" s="7">
        <v>3.1964000000000001</v>
      </c>
      <c r="BH14" s="7" t="s">
        <v>72</v>
      </c>
      <c r="BI14" s="7">
        <v>4.2553999999999998</v>
      </c>
      <c r="BJ14" s="7" t="s">
        <v>72</v>
      </c>
      <c r="BK14" s="7">
        <v>3.7934000000000001</v>
      </c>
      <c r="BL14" s="7" t="s">
        <v>72</v>
      </c>
      <c r="BM14" s="7">
        <v>4.7816999999999998</v>
      </c>
      <c r="BN14" s="7" t="s">
        <v>72</v>
      </c>
      <c r="BO14" s="7">
        <v>2.3988</v>
      </c>
      <c r="BP14" s="7" t="s">
        <v>72</v>
      </c>
      <c r="BQ14" s="7">
        <v>3.8917999999999999</v>
      </c>
      <c r="BR14" s="7" t="s">
        <v>72</v>
      </c>
      <c r="BT14" s="7">
        <v>2.3454000000000002</v>
      </c>
      <c r="BU14" s="7" t="s">
        <v>72</v>
      </c>
      <c r="BV14" s="7">
        <v>2.5525000000000002</v>
      </c>
      <c r="BW14" s="7" t="s">
        <v>72</v>
      </c>
      <c r="BX14" s="7">
        <v>2.0941999999999998</v>
      </c>
      <c r="BY14" s="7" t="s">
        <v>72</v>
      </c>
      <c r="BZ14" s="7">
        <v>2.1877</v>
      </c>
      <c r="CA14" s="7" t="s">
        <v>72</v>
      </c>
      <c r="CB14" s="7">
        <v>2.0228000000000002</v>
      </c>
      <c r="CC14" s="7" t="s">
        <v>72</v>
      </c>
      <c r="CD14" s="7">
        <v>2.2307999999999999</v>
      </c>
      <c r="CE14" s="7" t="s">
        <v>72</v>
      </c>
      <c r="CF14" s="7">
        <v>2.4851999999999999</v>
      </c>
      <c r="CG14" s="7" t="s">
        <v>72</v>
      </c>
      <c r="CH14" s="7">
        <v>2.5156999999999998</v>
      </c>
      <c r="CI14" s="7" t="s">
        <v>72</v>
      </c>
      <c r="CK14" s="7">
        <v>81753.404699999999</v>
      </c>
      <c r="CL14" s="7" t="s">
        <v>72</v>
      </c>
      <c r="CM14" s="7">
        <v>75098.283299999996</v>
      </c>
      <c r="CN14" s="7" t="s">
        <v>72</v>
      </c>
      <c r="CO14" s="7">
        <v>74712.878100000002</v>
      </c>
      <c r="CP14" s="7" t="s">
        <v>72</v>
      </c>
      <c r="CQ14" s="7">
        <v>72569.5723</v>
      </c>
      <c r="CR14" s="7" t="s">
        <v>72</v>
      </c>
      <c r="CS14" s="7">
        <v>64356.665000000001</v>
      </c>
      <c r="CT14" s="7" t="s">
        <v>72</v>
      </c>
      <c r="CU14" s="7">
        <v>60696.271500000003</v>
      </c>
      <c r="CV14" s="7" t="s">
        <v>72</v>
      </c>
      <c r="CW14" s="7">
        <v>54739.9231</v>
      </c>
      <c r="CX14" s="7" t="s">
        <v>72</v>
      </c>
      <c r="CY14" s="7">
        <v>51152.593099999998</v>
      </c>
      <c r="CZ14" s="7" t="s">
        <v>72</v>
      </c>
      <c r="DB14" s="7">
        <v>5.8266</v>
      </c>
      <c r="DC14" s="7" t="s">
        <v>72</v>
      </c>
      <c r="DD14" s="7">
        <v>5.4912000000000001</v>
      </c>
      <c r="DE14" s="7" t="s">
        <v>72</v>
      </c>
      <c r="DF14" s="7">
        <v>5.0542999999999996</v>
      </c>
      <c r="DG14" s="7" t="s">
        <v>72</v>
      </c>
      <c r="DH14" s="7">
        <v>5.0057999999999998</v>
      </c>
      <c r="DI14" s="7" t="s">
        <v>72</v>
      </c>
      <c r="DJ14" s="7">
        <v>4.2850000000000001</v>
      </c>
      <c r="DK14" s="7" t="s">
        <v>72</v>
      </c>
      <c r="DL14" s="7">
        <v>4.2641999999999998</v>
      </c>
      <c r="DM14" s="7" t="s">
        <v>72</v>
      </c>
      <c r="DN14" s="7">
        <v>4.4238</v>
      </c>
      <c r="DO14" s="7" t="s">
        <v>72</v>
      </c>
      <c r="DP14" s="7">
        <v>4.2666000000000004</v>
      </c>
      <c r="DQ14" s="7" t="s">
        <v>72</v>
      </c>
      <c r="DS14" s="7">
        <v>1.823</v>
      </c>
      <c r="DT14" s="7" t="s">
        <v>72</v>
      </c>
      <c r="DU14" s="7">
        <v>1.6848999999999998</v>
      </c>
      <c r="DV14" s="7" t="s">
        <v>72</v>
      </c>
      <c r="DW14" s="7">
        <v>1.6419000000000001</v>
      </c>
      <c r="DX14" s="7" t="s">
        <v>72</v>
      </c>
      <c r="DY14" s="7">
        <v>1.5800999999999998</v>
      </c>
      <c r="DZ14" s="7" t="s">
        <v>72</v>
      </c>
      <c r="EA14" s="7">
        <v>1.4214</v>
      </c>
      <c r="EB14" s="7" t="s">
        <v>72</v>
      </c>
      <c r="EC14" s="7">
        <v>1.3624000000000001</v>
      </c>
      <c r="ED14" s="7" t="s">
        <v>72</v>
      </c>
      <c r="EE14" s="7">
        <v>1.258</v>
      </c>
      <c r="EF14" s="7" t="s">
        <v>72</v>
      </c>
      <c r="EG14" s="7">
        <v>1.21</v>
      </c>
      <c r="EH14" s="7" t="s">
        <v>72</v>
      </c>
      <c r="EJ14" s="7">
        <v>16.374300000000002</v>
      </c>
      <c r="EK14" s="7">
        <v>16.642099999999999</v>
      </c>
      <c r="EL14" s="7">
        <v>12.815200000000001</v>
      </c>
      <c r="EM14" s="7">
        <v>14.219099999999999</v>
      </c>
      <c r="EN14" s="7">
        <v>10.861800000000001</v>
      </c>
      <c r="EO14" s="7">
        <v>11.0115</v>
      </c>
      <c r="EP14" s="7">
        <v>12.4</v>
      </c>
      <c r="EQ14" s="7">
        <v>10.4003</v>
      </c>
      <c r="ER14" s="7" t="s">
        <v>72</v>
      </c>
      <c r="ES14" s="7" t="s">
        <v>72</v>
      </c>
      <c r="ET14" s="7" t="s">
        <v>72</v>
      </c>
      <c r="EU14" s="7" t="s">
        <v>72</v>
      </c>
      <c r="EV14" s="7">
        <v>26.9</v>
      </c>
      <c r="EW14" s="7" t="s">
        <v>72</v>
      </c>
      <c r="EX14" s="7" t="s">
        <v>72</v>
      </c>
      <c r="EY14" s="7" t="s">
        <v>72</v>
      </c>
      <c r="FA14" s="7">
        <v>1.7172000000000001</v>
      </c>
      <c r="FB14" s="7">
        <v>1.7452999999999999</v>
      </c>
      <c r="FC14" s="7">
        <v>1.2374000000000001</v>
      </c>
      <c r="FD14" s="7">
        <v>1.3729</v>
      </c>
      <c r="FE14" s="7">
        <v>1.4195</v>
      </c>
      <c r="FF14" s="7">
        <v>1.4391</v>
      </c>
      <c r="FG14" s="7">
        <v>1.3783000000000001</v>
      </c>
      <c r="FH14" s="7">
        <v>1.1559999999999999</v>
      </c>
      <c r="FI14" s="7" t="s">
        <v>72</v>
      </c>
      <c r="FJ14" s="7" t="s">
        <v>72</v>
      </c>
      <c r="FK14" s="7" t="s">
        <v>72</v>
      </c>
      <c r="FL14" s="7" t="s">
        <v>72</v>
      </c>
      <c r="FM14" s="7">
        <v>0.90139999999999998</v>
      </c>
      <c r="FN14" s="7" t="s">
        <v>72</v>
      </c>
      <c r="FO14" s="7" t="s">
        <v>72</v>
      </c>
      <c r="FP14" s="7">
        <v>1.0023</v>
      </c>
      <c r="FR14" s="7">
        <v>894</v>
      </c>
      <c r="FS14" s="7" t="s">
        <v>72</v>
      </c>
      <c r="FT14" s="7">
        <v>7495</v>
      </c>
      <c r="FU14" s="7" t="s">
        <v>72</v>
      </c>
      <c r="FV14" s="7">
        <v>1227</v>
      </c>
      <c r="FW14" s="7" t="s">
        <v>72</v>
      </c>
      <c r="FX14" s="7">
        <v>1048</v>
      </c>
      <c r="FY14" s="7" t="s">
        <v>72</v>
      </c>
      <c r="FZ14" s="7">
        <v>1311</v>
      </c>
      <c r="GA14" s="7" t="s">
        <v>72</v>
      </c>
      <c r="GB14" s="7">
        <v>7162</v>
      </c>
      <c r="GC14" s="7" t="s">
        <v>72</v>
      </c>
      <c r="GD14" s="7">
        <v>8321</v>
      </c>
      <c r="GE14" s="7" t="s">
        <v>72</v>
      </c>
      <c r="GF14" s="7">
        <v>5795</v>
      </c>
      <c r="GG14" s="7" t="s">
        <v>72</v>
      </c>
      <c r="GI14" s="7">
        <v>29577</v>
      </c>
      <c r="GJ14" s="7" t="s">
        <v>72</v>
      </c>
      <c r="GK14" s="7">
        <v>32937</v>
      </c>
      <c r="GL14" s="7" t="s">
        <v>72</v>
      </c>
      <c r="GM14" s="7">
        <v>31549</v>
      </c>
      <c r="GN14" s="7" t="s">
        <v>72</v>
      </c>
      <c r="GO14" s="7">
        <v>30199</v>
      </c>
      <c r="GP14" s="7" t="s">
        <v>72</v>
      </c>
      <c r="GQ14" s="7">
        <v>29592</v>
      </c>
      <c r="GR14" s="7" t="s">
        <v>72</v>
      </c>
      <c r="GS14" s="7">
        <v>29033</v>
      </c>
      <c r="GT14" s="7" t="s">
        <v>72</v>
      </c>
      <c r="GU14" s="7">
        <v>26384</v>
      </c>
      <c r="GV14" s="7" t="s">
        <v>72</v>
      </c>
      <c r="GW14" s="7">
        <v>26202</v>
      </c>
      <c r="GX14" s="7" t="s">
        <v>72</v>
      </c>
      <c r="GZ14" s="7">
        <v>5877</v>
      </c>
      <c r="HA14" s="7" t="s">
        <v>72</v>
      </c>
      <c r="HB14" s="7">
        <v>7799</v>
      </c>
      <c r="HC14" s="7" t="s">
        <v>72</v>
      </c>
      <c r="HD14" s="7">
        <v>6983</v>
      </c>
      <c r="HE14" s="7" t="s">
        <v>72</v>
      </c>
      <c r="HF14" s="7">
        <v>7514</v>
      </c>
      <c r="HG14" s="7" t="s">
        <v>72</v>
      </c>
      <c r="HH14" s="7">
        <v>7505</v>
      </c>
      <c r="HI14" s="7" t="s">
        <v>72</v>
      </c>
      <c r="HJ14" s="7">
        <v>6729</v>
      </c>
      <c r="HK14" s="7" t="s">
        <v>72</v>
      </c>
      <c r="HL14" s="7">
        <v>5645</v>
      </c>
      <c r="HM14" s="7" t="s">
        <v>72</v>
      </c>
      <c r="HN14" s="7">
        <v>6344</v>
      </c>
      <c r="HO14" s="7" t="s">
        <v>72</v>
      </c>
      <c r="HQ14" s="228">
        <v>5.7671000000000001</v>
      </c>
      <c r="HR14" s="228" t="s">
        <v>72</v>
      </c>
      <c r="HS14" s="228">
        <v>6.7777000000000003</v>
      </c>
      <c r="HT14" s="228" t="s">
        <v>72</v>
      </c>
      <c r="HU14" s="228">
        <v>6.2988999999999997</v>
      </c>
      <c r="HV14" s="228" t="s">
        <v>72</v>
      </c>
      <c r="HW14" s="228">
        <v>6.7922000000000002</v>
      </c>
      <c r="HX14" s="228" t="s">
        <v>72</v>
      </c>
      <c r="HY14" s="228">
        <v>5.6759000000000004</v>
      </c>
      <c r="HZ14" s="228" t="s">
        <v>72</v>
      </c>
      <c r="IA14" s="228">
        <v>5.5506000000000002</v>
      </c>
      <c r="IB14" s="228" t="s">
        <v>72</v>
      </c>
      <c r="IC14" s="228">
        <v>3.911</v>
      </c>
      <c r="ID14" s="228" t="s">
        <v>72</v>
      </c>
      <c r="IE14" s="228">
        <v>4.4536999999999995</v>
      </c>
      <c r="IF14" s="228" t="s">
        <v>72</v>
      </c>
    </row>
    <row r="15" spans="1:242">
      <c r="A15" s="11" t="s">
        <v>378</v>
      </c>
      <c r="B15" s="7" t="s">
        <v>5</v>
      </c>
      <c r="D15" s="7">
        <v>5043.6475</v>
      </c>
      <c r="E15" s="7">
        <v>4504.4821000000002</v>
      </c>
      <c r="F15" s="7">
        <v>3038.9324000000001</v>
      </c>
      <c r="G15" s="7">
        <v>2587.9940999999999</v>
      </c>
      <c r="H15" s="7">
        <v>3004.6219000000001</v>
      </c>
      <c r="I15" s="7">
        <v>3862.3851</v>
      </c>
      <c r="J15" s="7">
        <v>3151.6669999999999</v>
      </c>
      <c r="K15" s="7">
        <v>1568.4811999999999</v>
      </c>
      <c r="L15" s="7">
        <v>1411.6331</v>
      </c>
      <c r="M15" s="7">
        <v>1563.5797</v>
      </c>
      <c r="N15" s="7">
        <v>980.30079999999998</v>
      </c>
      <c r="O15" s="7">
        <v>1426.3376000000001</v>
      </c>
      <c r="P15" s="7">
        <v>2499.7669999999998</v>
      </c>
      <c r="Q15" s="7">
        <v>2313.5097999999998</v>
      </c>
      <c r="R15" s="7">
        <v>2940.9023000000002</v>
      </c>
      <c r="S15" s="7" t="s">
        <v>72</v>
      </c>
      <c r="U15" s="7">
        <v>4517.7</v>
      </c>
      <c r="V15" s="7">
        <v>4506.4998999999998</v>
      </c>
      <c r="W15" s="7">
        <v>4571.1000999999997</v>
      </c>
      <c r="X15" s="7">
        <v>4526.5</v>
      </c>
      <c r="Y15" s="7">
        <v>4283</v>
      </c>
      <c r="Z15" s="7">
        <v>4303.3</v>
      </c>
      <c r="AA15" s="7">
        <v>4120.8</v>
      </c>
      <c r="AB15" s="7">
        <v>4016.7</v>
      </c>
      <c r="AC15" s="7">
        <v>3485.1</v>
      </c>
      <c r="AD15" s="7">
        <v>3350.6</v>
      </c>
      <c r="AE15" s="7">
        <v>3199.8</v>
      </c>
      <c r="AF15" s="7">
        <v>2951.1</v>
      </c>
      <c r="AG15" s="7">
        <v>2817.4</v>
      </c>
      <c r="AH15" s="7">
        <v>2697.2</v>
      </c>
      <c r="AI15" s="7">
        <v>1776.6</v>
      </c>
      <c r="AJ15" s="7" t="s">
        <v>72</v>
      </c>
      <c r="AL15" s="7">
        <v>0</v>
      </c>
      <c r="AM15" s="7" t="s">
        <v>72</v>
      </c>
      <c r="AN15" s="7" t="s">
        <v>72</v>
      </c>
      <c r="AO15" s="7">
        <v>0</v>
      </c>
      <c r="AP15" s="7">
        <v>0</v>
      </c>
      <c r="AQ15" s="7" t="s">
        <v>72</v>
      </c>
      <c r="AR15" s="7">
        <v>0</v>
      </c>
      <c r="AS15" s="7">
        <v>0</v>
      </c>
      <c r="AT15" s="7">
        <v>826.7</v>
      </c>
      <c r="AU15" s="7" t="s">
        <v>72</v>
      </c>
      <c r="AV15" s="7" t="s">
        <v>72</v>
      </c>
      <c r="AW15" s="7" t="s">
        <v>72</v>
      </c>
      <c r="AX15" s="7">
        <v>953.7</v>
      </c>
      <c r="AY15" s="7" t="s">
        <v>72</v>
      </c>
      <c r="AZ15" s="7" t="s">
        <v>72</v>
      </c>
      <c r="BA15" s="7" t="s">
        <v>72</v>
      </c>
      <c r="BC15" s="7">
        <v>4.2929000000000004</v>
      </c>
      <c r="BD15" s="7">
        <v>2.7644000000000002</v>
      </c>
      <c r="BE15" s="7">
        <v>1.8372999999999999</v>
      </c>
      <c r="BF15" s="7">
        <v>3.5535000000000001</v>
      </c>
      <c r="BG15" s="7">
        <v>-2.6909000000000001</v>
      </c>
      <c r="BH15" s="7">
        <v>2.0889000000000002</v>
      </c>
      <c r="BI15" s="7">
        <v>2.0714999999999999</v>
      </c>
      <c r="BJ15" s="7">
        <v>2.9079000000000002</v>
      </c>
      <c r="BK15" s="7">
        <v>-1.2839</v>
      </c>
      <c r="BL15" s="7">
        <v>2.8128000000000002</v>
      </c>
      <c r="BM15" s="7">
        <v>3.5548999999999999</v>
      </c>
      <c r="BN15" s="7">
        <v>3.2147999999999999</v>
      </c>
      <c r="BO15" s="7">
        <v>0.38800000000000001</v>
      </c>
      <c r="BP15" s="7">
        <v>2.2157999999999998</v>
      </c>
      <c r="BQ15" s="7">
        <v>2.2277</v>
      </c>
      <c r="BR15" s="7" t="s">
        <v>72</v>
      </c>
      <c r="BT15" s="7">
        <v>1.9875</v>
      </c>
      <c r="BU15" s="7">
        <v>2.0310999999999999</v>
      </c>
      <c r="BV15" s="7">
        <v>1.9903</v>
      </c>
      <c r="BW15" s="7">
        <v>2.0438999999999998</v>
      </c>
      <c r="BX15" s="7">
        <v>2.3746</v>
      </c>
      <c r="BY15" s="7">
        <v>2.4922</v>
      </c>
      <c r="BZ15" s="7">
        <v>2.4661</v>
      </c>
      <c r="CA15" s="7">
        <v>2.4581</v>
      </c>
      <c r="CB15" s="7">
        <v>2.0434000000000001</v>
      </c>
      <c r="CC15" s="7">
        <v>1.9392</v>
      </c>
      <c r="CD15" s="7">
        <v>1.9060999999999999</v>
      </c>
      <c r="CE15" s="7">
        <v>1.7988</v>
      </c>
      <c r="CF15" s="7">
        <v>1.8974</v>
      </c>
      <c r="CG15" s="7">
        <v>1.8827</v>
      </c>
      <c r="CH15" s="7">
        <v>1.2671000000000001</v>
      </c>
      <c r="CI15" s="7" t="s">
        <v>72</v>
      </c>
      <c r="CK15" s="7">
        <v>10319.047500000001</v>
      </c>
      <c r="CL15" s="7">
        <v>9792.482</v>
      </c>
      <c r="CM15" s="7">
        <v>8313.5324999999993</v>
      </c>
      <c r="CN15" s="7">
        <v>7832.9940999999999</v>
      </c>
      <c r="CO15" s="7">
        <v>7840.6219000000001</v>
      </c>
      <c r="CP15" s="7">
        <v>8689.7850999999991</v>
      </c>
      <c r="CQ15" s="7">
        <v>7775.8670000000002</v>
      </c>
      <c r="CR15" s="7">
        <v>6075.2812000000004</v>
      </c>
      <c r="CS15" s="7">
        <v>5270.5330999999996</v>
      </c>
      <c r="CT15" s="7">
        <v>5289.9796999999999</v>
      </c>
      <c r="CU15" s="7">
        <v>4556.3008</v>
      </c>
      <c r="CV15" s="7">
        <v>4756.2376000000004</v>
      </c>
      <c r="CW15" s="7">
        <v>5707.1670000000004</v>
      </c>
      <c r="CX15" s="7">
        <v>5405.4098000000004</v>
      </c>
      <c r="CY15" s="7">
        <v>5111.6022999999996</v>
      </c>
      <c r="CZ15" s="7" t="s">
        <v>72</v>
      </c>
      <c r="DB15" s="7">
        <v>4.5397999999999996</v>
      </c>
      <c r="DC15" s="7">
        <v>4.4135999999999997</v>
      </c>
      <c r="DD15" s="7">
        <v>3.6198000000000001</v>
      </c>
      <c r="DE15" s="7">
        <v>3.5369999999999999</v>
      </c>
      <c r="DF15" s="7">
        <v>4.3469999999999995</v>
      </c>
      <c r="DG15" s="7">
        <v>5.0326000000000004</v>
      </c>
      <c r="DH15" s="7">
        <v>4.6533999999999995</v>
      </c>
      <c r="DI15" s="7">
        <v>3.7178</v>
      </c>
      <c r="DJ15" s="7">
        <v>3.0903</v>
      </c>
      <c r="DK15" s="7">
        <v>3.0617000000000001</v>
      </c>
      <c r="DL15" s="7">
        <v>2.7141999999999999</v>
      </c>
      <c r="DM15" s="7">
        <v>2.8990999999999998</v>
      </c>
      <c r="DN15" s="7">
        <v>3.8435000000000001</v>
      </c>
      <c r="DO15" s="7">
        <v>3.7730999999999999</v>
      </c>
      <c r="DP15" s="7">
        <v>3.6457000000000002</v>
      </c>
      <c r="DQ15" s="7" t="s">
        <v>72</v>
      </c>
      <c r="DS15" s="7">
        <v>1.7317</v>
      </c>
      <c r="DT15" s="7">
        <v>1.7845</v>
      </c>
      <c r="DU15" s="7">
        <v>1.5479000000000001</v>
      </c>
      <c r="DV15" s="7">
        <v>1.4929999999999999</v>
      </c>
      <c r="DW15" s="7">
        <v>1.43</v>
      </c>
      <c r="DX15" s="7">
        <v>1.518</v>
      </c>
      <c r="DY15" s="7">
        <v>1.2915000000000001</v>
      </c>
      <c r="DZ15" s="7">
        <v>1.0226999999999999</v>
      </c>
      <c r="EA15" s="7">
        <v>0.96930000000000005</v>
      </c>
      <c r="EB15" s="7">
        <v>0.98089999999999999</v>
      </c>
      <c r="EC15" s="7">
        <v>0.87039999999999995</v>
      </c>
      <c r="ED15" s="7">
        <v>0.93240000000000001</v>
      </c>
      <c r="EE15" s="7">
        <v>1.2439</v>
      </c>
      <c r="EF15" s="7">
        <v>1.2138</v>
      </c>
      <c r="EG15" s="7">
        <v>1.1727000000000001</v>
      </c>
      <c r="EH15" s="7" t="s">
        <v>72</v>
      </c>
      <c r="EJ15" s="7">
        <v>12.274000000000001</v>
      </c>
      <c r="EK15" s="7">
        <v>21.447700000000001</v>
      </c>
      <c r="EL15" s="7">
        <v>21.0275</v>
      </c>
      <c r="EM15" s="7">
        <v>24.029699999999998</v>
      </c>
      <c r="EN15" s="7">
        <v>75.873900000000006</v>
      </c>
      <c r="EO15" s="7">
        <v>967.22730000000001</v>
      </c>
      <c r="EP15" s="7">
        <v>24.817499999999999</v>
      </c>
      <c r="EQ15" s="7">
        <v>14.924300000000001</v>
      </c>
      <c r="ER15" s="7" t="s">
        <v>72</v>
      </c>
      <c r="ES15" s="7" t="s">
        <v>72</v>
      </c>
      <c r="ET15" s="7" t="s">
        <v>72</v>
      </c>
      <c r="EU15" s="7" t="s">
        <v>72</v>
      </c>
      <c r="EV15" s="7">
        <v>5.3414000000000001</v>
      </c>
      <c r="EW15" s="7" t="s">
        <v>72</v>
      </c>
      <c r="EX15" s="7" t="s">
        <v>72</v>
      </c>
      <c r="EY15" s="7" t="s">
        <v>72</v>
      </c>
      <c r="FA15" s="7">
        <v>4.4777000000000005</v>
      </c>
      <c r="FB15" s="7">
        <v>3.6223999999999998</v>
      </c>
      <c r="FC15" s="7">
        <v>3.0564</v>
      </c>
      <c r="FD15" s="7">
        <v>2.2770000000000001</v>
      </c>
      <c r="FE15" s="7">
        <v>2.7324999999999999</v>
      </c>
      <c r="FF15" s="7">
        <v>3.2467999999999999</v>
      </c>
      <c r="FG15" s="7">
        <v>2.7231000000000001</v>
      </c>
      <c r="FH15" s="7">
        <v>1.1045</v>
      </c>
      <c r="FI15" s="7" t="s">
        <v>72</v>
      </c>
      <c r="FJ15" s="7" t="s">
        <v>72</v>
      </c>
      <c r="FK15" s="7" t="s">
        <v>72</v>
      </c>
      <c r="FL15" s="7" t="s">
        <v>72</v>
      </c>
      <c r="FM15" s="7">
        <v>1.5394999999999999</v>
      </c>
      <c r="FN15" s="7" t="s">
        <v>72</v>
      </c>
      <c r="FO15" s="7" t="s">
        <v>72</v>
      </c>
      <c r="FP15" s="7">
        <v>2.0434999999999999</v>
      </c>
      <c r="FR15" s="7">
        <v>868.8</v>
      </c>
      <c r="FS15" s="7">
        <v>878.5</v>
      </c>
      <c r="FT15" s="7">
        <v>761.1</v>
      </c>
      <c r="FU15" s="7">
        <v>794.9</v>
      </c>
      <c r="FV15" s="7">
        <v>1004.3</v>
      </c>
      <c r="FW15" s="7">
        <v>469.1</v>
      </c>
      <c r="FX15" s="7">
        <v>867.4</v>
      </c>
      <c r="FY15" s="7">
        <v>1072</v>
      </c>
      <c r="FZ15" s="7">
        <v>683.4</v>
      </c>
      <c r="GA15" s="7">
        <v>849</v>
      </c>
      <c r="GB15" s="7">
        <v>1310.2</v>
      </c>
      <c r="GC15" s="7">
        <v>1040.8</v>
      </c>
      <c r="GD15" s="7">
        <v>1226.7</v>
      </c>
      <c r="GE15" s="7">
        <v>1430.9</v>
      </c>
      <c r="GF15" s="7">
        <v>1235</v>
      </c>
      <c r="GG15" s="7" t="s">
        <v>72</v>
      </c>
      <c r="GI15" s="7">
        <v>1884.1</v>
      </c>
      <c r="GJ15" s="7">
        <v>2025</v>
      </c>
      <c r="GK15" s="7">
        <v>1697.8</v>
      </c>
      <c r="GL15" s="7">
        <v>1855.1</v>
      </c>
      <c r="GM15" s="7">
        <v>1652.6</v>
      </c>
      <c r="GN15" s="7">
        <v>1713.7</v>
      </c>
      <c r="GO15" s="7">
        <v>1660.8</v>
      </c>
      <c r="GP15" s="7">
        <v>1910.2</v>
      </c>
      <c r="GQ15" s="7">
        <v>1757.3</v>
      </c>
      <c r="GR15" s="7">
        <v>1823.1</v>
      </c>
      <c r="GS15" s="7">
        <v>1897.2</v>
      </c>
      <c r="GT15" s="7">
        <v>1968.9</v>
      </c>
      <c r="GU15" s="7">
        <v>2013.8</v>
      </c>
      <c r="GV15" s="7">
        <v>2172.1999999999998</v>
      </c>
      <c r="GW15" s="7">
        <v>2241</v>
      </c>
      <c r="GX15" s="7" t="s">
        <v>72</v>
      </c>
      <c r="GZ15" s="7">
        <v>760.7</v>
      </c>
      <c r="HA15" s="7">
        <v>478.7</v>
      </c>
      <c r="HB15" s="7">
        <v>463.2</v>
      </c>
      <c r="HC15" s="7">
        <v>512</v>
      </c>
      <c r="HD15" s="7">
        <v>349.8</v>
      </c>
      <c r="HE15" s="7">
        <v>401.7</v>
      </c>
      <c r="HF15" s="7">
        <v>407.5</v>
      </c>
      <c r="HG15" s="7">
        <v>475.1</v>
      </c>
      <c r="HH15" s="7">
        <v>421.2</v>
      </c>
      <c r="HI15" s="7">
        <v>424</v>
      </c>
      <c r="HJ15" s="7">
        <v>358.4</v>
      </c>
      <c r="HK15" s="7">
        <v>437</v>
      </c>
      <c r="HL15" s="7">
        <v>265.5</v>
      </c>
      <c r="HM15" s="7">
        <v>371.7</v>
      </c>
      <c r="HN15" s="7">
        <v>327.9</v>
      </c>
      <c r="HO15" s="7" t="s">
        <v>72</v>
      </c>
      <c r="HQ15" s="228">
        <v>5.6951000000000001</v>
      </c>
      <c r="HR15" s="228">
        <v>5.4276999999999997</v>
      </c>
      <c r="HS15" s="228">
        <v>5.7199</v>
      </c>
      <c r="HT15" s="228">
        <v>4.8768000000000002</v>
      </c>
      <c r="HU15" s="228">
        <v>4.8898999999999999</v>
      </c>
      <c r="HV15" s="228">
        <v>6.6874000000000002</v>
      </c>
      <c r="HW15" s="228">
        <v>6</v>
      </c>
      <c r="HX15" s="228">
        <v>5.2976999999999999</v>
      </c>
      <c r="HY15" s="228">
        <v>3.6024000000000003</v>
      </c>
      <c r="HZ15" s="228">
        <v>4.4120999999999997</v>
      </c>
      <c r="IA15" s="228">
        <v>3.7010000000000001</v>
      </c>
      <c r="IB15" s="228">
        <v>4.4615999999999998</v>
      </c>
      <c r="IC15" s="228">
        <v>6.1590999999999996</v>
      </c>
      <c r="ID15" s="228">
        <v>6.2649999999999997</v>
      </c>
      <c r="IE15" s="228">
        <v>7.5407999999999999</v>
      </c>
      <c r="IF15" s="228" t="s">
        <v>72</v>
      </c>
    </row>
    <row r="16" spans="1:242">
      <c r="A16" s="11" t="s">
        <v>503</v>
      </c>
      <c r="B16" s="7" t="s">
        <v>6</v>
      </c>
      <c r="D16" s="7">
        <v>20938.354599999999</v>
      </c>
      <c r="E16" s="7">
        <v>20514.968799999999</v>
      </c>
      <c r="F16" s="7">
        <v>17512.778200000001</v>
      </c>
      <c r="G16" s="7">
        <v>19753.664000000001</v>
      </c>
      <c r="H16" s="7">
        <v>18635.895700000001</v>
      </c>
      <c r="I16" s="7">
        <v>20909.9761</v>
      </c>
      <c r="J16" s="7">
        <v>18491.3567</v>
      </c>
      <c r="K16" s="7">
        <v>15800.5694</v>
      </c>
      <c r="L16" s="7">
        <v>16022.298000000001</v>
      </c>
      <c r="M16" s="7">
        <v>17188.782999999999</v>
      </c>
      <c r="N16" s="7">
        <v>15048.6204</v>
      </c>
      <c r="O16" s="7">
        <v>15038.98</v>
      </c>
      <c r="P16" s="7">
        <v>13168.7479</v>
      </c>
      <c r="Q16" s="7">
        <v>10623.6898</v>
      </c>
      <c r="R16" s="7">
        <v>10295.917100000001</v>
      </c>
      <c r="S16" s="7" t="s">
        <v>72</v>
      </c>
      <c r="U16" s="7">
        <v>36391</v>
      </c>
      <c r="V16" s="7">
        <v>36002</v>
      </c>
      <c r="W16" s="7">
        <v>37251</v>
      </c>
      <c r="X16" s="7">
        <v>36679</v>
      </c>
      <c r="Y16" s="7">
        <v>34388</v>
      </c>
      <c r="Z16" s="7">
        <v>32791</v>
      </c>
      <c r="AA16" s="7">
        <v>33433</v>
      </c>
      <c r="AB16" s="7">
        <v>33558</v>
      </c>
      <c r="AC16" s="7">
        <v>33768</v>
      </c>
      <c r="AD16" s="7">
        <v>33395</v>
      </c>
      <c r="AE16" s="7">
        <v>34003</v>
      </c>
      <c r="AF16" s="7">
        <v>32976</v>
      </c>
      <c r="AG16" s="7">
        <v>31549</v>
      </c>
      <c r="AH16" s="7">
        <v>31870</v>
      </c>
      <c r="AI16" s="7">
        <v>31339</v>
      </c>
      <c r="AJ16" s="7" t="s">
        <v>72</v>
      </c>
      <c r="AL16" s="7">
        <v>1082</v>
      </c>
      <c r="AM16" s="7" t="s">
        <v>72</v>
      </c>
      <c r="AN16" s="7" t="s">
        <v>72</v>
      </c>
      <c r="AO16" s="7" t="s">
        <v>72</v>
      </c>
      <c r="AP16" s="7">
        <v>872</v>
      </c>
      <c r="AQ16" s="7" t="s">
        <v>72</v>
      </c>
      <c r="AR16" s="7" t="s">
        <v>72</v>
      </c>
      <c r="AS16" s="7" t="s">
        <v>72</v>
      </c>
      <c r="AT16" s="7">
        <v>975</v>
      </c>
      <c r="AU16" s="7" t="s">
        <v>72</v>
      </c>
      <c r="AV16" s="7" t="s">
        <v>72</v>
      </c>
      <c r="AW16" s="7" t="s">
        <v>72</v>
      </c>
      <c r="AX16" s="7">
        <v>865</v>
      </c>
      <c r="AY16" s="7" t="s">
        <v>72</v>
      </c>
      <c r="AZ16" s="7" t="s">
        <v>72</v>
      </c>
      <c r="BA16" s="7" t="s">
        <v>72</v>
      </c>
      <c r="BC16" s="7" t="s">
        <v>72</v>
      </c>
      <c r="BD16" s="7" t="s">
        <v>72</v>
      </c>
      <c r="BE16" s="7" t="s">
        <v>72</v>
      </c>
      <c r="BF16" s="7" t="s">
        <v>72</v>
      </c>
      <c r="BG16" s="7" t="s">
        <v>72</v>
      </c>
      <c r="BH16" s="7" t="s">
        <v>72</v>
      </c>
      <c r="BI16" s="7" t="s">
        <v>72</v>
      </c>
      <c r="BJ16" s="7" t="s">
        <v>72</v>
      </c>
      <c r="BK16" s="7">
        <v>1.6449</v>
      </c>
      <c r="BL16" s="7" t="s">
        <v>72</v>
      </c>
      <c r="BM16" s="7" t="s">
        <v>72</v>
      </c>
      <c r="BN16" s="7" t="s">
        <v>72</v>
      </c>
      <c r="BO16" s="7">
        <v>1.3711</v>
      </c>
      <c r="BP16" s="7" t="s">
        <v>72</v>
      </c>
      <c r="BQ16" s="7" t="s">
        <v>72</v>
      </c>
      <c r="BR16" s="7" t="s">
        <v>72</v>
      </c>
      <c r="BT16" s="7">
        <v>3.2726000000000002</v>
      </c>
      <c r="BU16" s="7">
        <v>3.2124999999999999</v>
      </c>
      <c r="BV16" s="7">
        <v>3.2948</v>
      </c>
      <c r="BW16" s="7">
        <v>3.3136999999999999</v>
      </c>
      <c r="BX16" s="7">
        <v>3.0133000000000001</v>
      </c>
      <c r="BY16" s="7">
        <v>2.8477000000000001</v>
      </c>
      <c r="BZ16" s="7">
        <v>2.8734999999999999</v>
      </c>
      <c r="CA16" s="7">
        <v>2.7778</v>
      </c>
      <c r="CB16" s="7">
        <v>2.7744999999999997</v>
      </c>
      <c r="CC16" s="7">
        <v>2.7362000000000002</v>
      </c>
      <c r="CD16" s="7">
        <v>2.8162000000000003</v>
      </c>
      <c r="CE16" s="7">
        <v>2.7747999999999999</v>
      </c>
      <c r="CF16" s="7">
        <v>2.673</v>
      </c>
      <c r="CG16" s="7">
        <v>2.7683999999999997</v>
      </c>
      <c r="CH16" s="7">
        <v>2.8031000000000001</v>
      </c>
      <c r="CI16" s="7" t="s">
        <v>72</v>
      </c>
      <c r="CK16" s="7">
        <v>58497.354599999999</v>
      </c>
      <c r="CL16" s="7">
        <v>57738.968800000002</v>
      </c>
      <c r="CM16" s="7">
        <v>56127.778200000001</v>
      </c>
      <c r="CN16" s="7">
        <v>57779.663999999997</v>
      </c>
      <c r="CO16" s="7">
        <v>56814.895700000001</v>
      </c>
      <c r="CP16" s="7">
        <v>57262.9761</v>
      </c>
      <c r="CQ16" s="7">
        <v>55517.356699999997</v>
      </c>
      <c r="CR16" s="7">
        <v>52908.5694</v>
      </c>
      <c r="CS16" s="7">
        <v>53694.298000000003</v>
      </c>
      <c r="CT16" s="7">
        <v>54501.783000000003</v>
      </c>
      <c r="CU16" s="7">
        <v>52961.6204</v>
      </c>
      <c r="CV16" s="7">
        <v>51828.98</v>
      </c>
      <c r="CW16" s="7">
        <v>48351.747900000002</v>
      </c>
      <c r="CX16" s="7">
        <v>46308.6898</v>
      </c>
      <c r="CY16" s="7">
        <v>45150.917099999999</v>
      </c>
      <c r="CZ16" s="7" t="s">
        <v>72</v>
      </c>
      <c r="DB16" s="7">
        <v>5.2606000000000002</v>
      </c>
      <c r="DC16" s="7">
        <v>5.1520000000000001</v>
      </c>
      <c r="DD16" s="7">
        <v>4.9644000000000004</v>
      </c>
      <c r="DE16" s="7">
        <v>5.22</v>
      </c>
      <c r="DF16" s="7">
        <v>4.9785000000000004</v>
      </c>
      <c r="DG16" s="7">
        <v>4.9729000000000001</v>
      </c>
      <c r="DH16" s="7">
        <v>4.7716000000000003</v>
      </c>
      <c r="DI16" s="7">
        <v>4.3795000000000002</v>
      </c>
      <c r="DJ16" s="7">
        <v>4.4116999999999997</v>
      </c>
      <c r="DK16" s="7">
        <v>4.4655000000000005</v>
      </c>
      <c r="DL16" s="7">
        <v>4.3864000000000001</v>
      </c>
      <c r="DM16" s="7">
        <v>4.3612000000000002</v>
      </c>
      <c r="DN16" s="7">
        <v>4.0965999999999996</v>
      </c>
      <c r="DO16" s="7">
        <v>4.0225999999999997</v>
      </c>
      <c r="DP16" s="7">
        <v>4.0385</v>
      </c>
      <c r="DQ16" s="7" t="s">
        <v>72</v>
      </c>
      <c r="DS16" s="7">
        <v>2.2124000000000001</v>
      </c>
      <c r="DT16" s="7">
        <v>2.1873</v>
      </c>
      <c r="DU16" s="7">
        <v>2.1307</v>
      </c>
      <c r="DV16" s="7">
        <v>2.1932</v>
      </c>
      <c r="DW16" s="7">
        <v>2.0607000000000002</v>
      </c>
      <c r="DX16" s="7">
        <v>2.0333999999999999</v>
      </c>
      <c r="DY16" s="7">
        <v>1.9216</v>
      </c>
      <c r="DZ16" s="7">
        <v>1.7795999999999998</v>
      </c>
      <c r="EA16" s="7">
        <v>1.7924</v>
      </c>
      <c r="EB16" s="7">
        <v>1.8002</v>
      </c>
      <c r="EC16" s="7">
        <v>1.7532999999999999</v>
      </c>
      <c r="ED16" s="7">
        <v>1.73</v>
      </c>
      <c r="EE16" s="7">
        <v>1.6389</v>
      </c>
      <c r="EF16" s="7">
        <v>1.6019999999999999</v>
      </c>
      <c r="EG16" s="7">
        <v>1.5859000000000001</v>
      </c>
      <c r="EH16" s="7" t="s">
        <v>72</v>
      </c>
      <c r="EJ16" s="7" t="s">
        <v>72</v>
      </c>
      <c r="EK16" s="7">
        <v>8.9060000000000006</v>
      </c>
      <c r="EL16" s="7">
        <v>7.2773000000000003</v>
      </c>
      <c r="EM16" s="7">
        <v>8.6682000000000006</v>
      </c>
      <c r="EN16" s="7" t="s">
        <v>72</v>
      </c>
      <c r="EO16" s="7">
        <v>6.8076999999999996</v>
      </c>
      <c r="EP16" s="7" t="s">
        <v>72</v>
      </c>
      <c r="EQ16" s="7">
        <v>206.11170000000001</v>
      </c>
      <c r="ER16" s="7" t="s">
        <v>72</v>
      </c>
      <c r="ES16" s="7" t="s">
        <v>72</v>
      </c>
      <c r="ET16" s="7" t="s">
        <v>72</v>
      </c>
      <c r="EU16" s="7" t="s">
        <v>72</v>
      </c>
      <c r="EV16" s="7" t="s">
        <v>72</v>
      </c>
      <c r="EW16" s="7" t="s">
        <v>72</v>
      </c>
      <c r="EX16" s="7" t="s">
        <v>72</v>
      </c>
      <c r="EY16" s="7" t="s">
        <v>72</v>
      </c>
      <c r="FA16" s="7" t="s">
        <v>72</v>
      </c>
      <c r="FB16" s="7">
        <v>0.76880000000000004</v>
      </c>
      <c r="FC16" s="7">
        <v>0.65180000000000005</v>
      </c>
      <c r="FD16" s="7">
        <v>0.72699999999999998</v>
      </c>
      <c r="FE16" s="7" t="s">
        <v>72</v>
      </c>
      <c r="FF16" s="7">
        <v>0.71089999999999998</v>
      </c>
      <c r="FG16" s="7">
        <v>0.71779999999999999</v>
      </c>
      <c r="FH16" s="7">
        <v>0.60150000000000003</v>
      </c>
      <c r="FI16" s="7" t="s">
        <v>72</v>
      </c>
      <c r="FJ16" s="7" t="s">
        <v>72</v>
      </c>
      <c r="FK16" s="7" t="s">
        <v>72</v>
      </c>
      <c r="FL16" s="7" t="s">
        <v>72</v>
      </c>
      <c r="FM16" s="7" t="s">
        <v>72</v>
      </c>
      <c r="FN16" s="7" t="s">
        <v>72</v>
      </c>
      <c r="FO16" s="7" t="s">
        <v>72</v>
      </c>
      <c r="FP16" s="7">
        <v>0.69340000000000002</v>
      </c>
      <c r="FR16" s="7">
        <v>5504</v>
      </c>
      <c r="FS16" s="7">
        <v>4560</v>
      </c>
      <c r="FT16" s="7">
        <v>3507</v>
      </c>
      <c r="FU16" s="7">
        <v>3818</v>
      </c>
      <c r="FV16" s="7">
        <v>5526</v>
      </c>
      <c r="FW16" s="7">
        <v>5487</v>
      </c>
      <c r="FX16" s="7">
        <v>3760</v>
      </c>
      <c r="FY16" s="7">
        <v>4142</v>
      </c>
      <c r="FZ16" s="7">
        <v>6714</v>
      </c>
      <c r="GA16" s="7">
        <v>5492</v>
      </c>
      <c r="GB16" s="7">
        <v>6029</v>
      </c>
      <c r="GC16" s="7">
        <v>6754</v>
      </c>
      <c r="GD16" s="7">
        <v>7436</v>
      </c>
      <c r="GE16" s="7">
        <v>6476</v>
      </c>
      <c r="GF16" s="7">
        <v>4793</v>
      </c>
      <c r="GG16" s="7" t="s">
        <v>72</v>
      </c>
      <c r="GI16" s="7">
        <v>27120</v>
      </c>
      <c r="GJ16" s="7">
        <v>27907</v>
      </c>
      <c r="GK16" s="7">
        <v>28234</v>
      </c>
      <c r="GL16" s="7">
        <v>28518</v>
      </c>
      <c r="GM16" s="7">
        <v>32610</v>
      </c>
      <c r="GN16" s="7">
        <v>32975</v>
      </c>
      <c r="GO16" s="7">
        <v>29354</v>
      </c>
      <c r="GP16" s="7">
        <v>29818</v>
      </c>
      <c r="GQ16" s="7">
        <v>26694</v>
      </c>
      <c r="GR16" s="7">
        <v>27074</v>
      </c>
      <c r="GS16" s="7">
        <v>26828</v>
      </c>
      <c r="GT16" s="7">
        <v>27150</v>
      </c>
      <c r="GU16" s="7">
        <v>23012</v>
      </c>
      <c r="GV16" s="7">
        <v>23758</v>
      </c>
      <c r="GW16" s="7">
        <v>20478</v>
      </c>
      <c r="GX16" s="7" t="s">
        <v>72</v>
      </c>
      <c r="GZ16" s="7">
        <v>2594</v>
      </c>
      <c r="HA16" s="7">
        <v>2826</v>
      </c>
      <c r="HB16" s="7">
        <v>2907</v>
      </c>
      <c r="HC16" s="7">
        <v>2742</v>
      </c>
      <c r="HD16" s="7">
        <v>2937</v>
      </c>
      <c r="HE16" s="7">
        <v>2929</v>
      </c>
      <c r="HF16" s="7">
        <v>3027</v>
      </c>
      <c r="HG16" s="7">
        <v>3188</v>
      </c>
      <c r="HH16" s="7">
        <v>3027</v>
      </c>
      <c r="HI16" s="7">
        <v>2963</v>
      </c>
      <c r="HJ16" s="7">
        <v>2896</v>
      </c>
      <c r="HK16" s="7">
        <v>2998</v>
      </c>
      <c r="HL16" s="7">
        <v>2946</v>
      </c>
      <c r="HM16" s="7">
        <v>2672</v>
      </c>
      <c r="HN16" s="7">
        <v>2564</v>
      </c>
      <c r="HO16" s="7" t="s">
        <v>72</v>
      </c>
      <c r="HQ16" s="228">
        <v>5.7655000000000003</v>
      </c>
      <c r="HR16" s="228">
        <v>5.6718999999999999</v>
      </c>
      <c r="HS16" s="228">
        <v>6.5477999999999996</v>
      </c>
      <c r="HT16" s="228">
        <v>6.1421000000000001</v>
      </c>
      <c r="HU16" s="228">
        <v>6.2971000000000004</v>
      </c>
      <c r="HV16" s="228">
        <v>6.2187999999999999</v>
      </c>
      <c r="HW16" s="228">
        <v>5.3169000000000004</v>
      </c>
      <c r="HX16" s="228">
        <v>5.34</v>
      </c>
      <c r="HY16" s="228">
        <v>6.4840999999999998</v>
      </c>
      <c r="HZ16" s="228">
        <v>5.0316999999999998</v>
      </c>
      <c r="IA16" s="228">
        <v>4.4500999999999999</v>
      </c>
      <c r="IB16" s="228">
        <v>4.1136999999999997</v>
      </c>
      <c r="IC16" s="228">
        <v>4.9843000000000002</v>
      </c>
      <c r="ID16" s="228">
        <v>3.7029999999999998</v>
      </c>
      <c r="IE16" s="228">
        <v>5.3293999999999997</v>
      </c>
      <c r="IF16" s="228" t="s">
        <v>72</v>
      </c>
    </row>
    <row r="17" spans="1:240">
      <c r="A17" s="11" t="s">
        <v>504</v>
      </c>
      <c r="B17" s="7" t="s">
        <v>14</v>
      </c>
      <c r="D17" s="7">
        <v>134221.14689999999</v>
      </c>
      <c r="E17" s="7">
        <v>133625.93400000001</v>
      </c>
      <c r="F17" s="7">
        <v>137024.6085</v>
      </c>
      <c r="G17" s="7">
        <v>152691.57689999999</v>
      </c>
      <c r="H17" s="7">
        <v>154691.94409999999</v>
      </c>
      <c r="I17" s="7">
        <v>150867.99</v>
      </c>
      <c r="J17" s="7">
        <v>146474.49309999999</v>
      </c>
      <c r="K17" s="7">
        <v>146828.1122</v>
      </c>
      <c r="L17" s="7">
        <v>155413.82939999999</v>
      </c>
      <c r="M17" s="7">
        <v>164730.50880000001</v>
      </c>
      <c r="N17" s="7">
        <v>159050.3866</v>
      </c>
      <c r="O17" s="7">
        <v>174246.19159999999</v>
      </c>
      <c r="P17" s="7">
        <v>173259.02970000001</v>
      </c>
      <c r="Q17" s="7">
        <v>199205.3596</v>
      </c>
      <c r="R17" s="7">
        <v>187817.73920000001</v>
      </c>
      <c r="S17" s="7" t="s">
        <v>72</v>
      </c>
      <c r="U17" s="7">
        <v>27863</v>
      </c>
      <c r="V17" s="7">
        <v>22692</v>
      </c>
      <c r="W17" s="7">
        <v>26981</v>
      </c>
      <c r="X17" s="7">
        <v>21442</v>
      </c>
      <c r="Y17" s="7">
        <v>20846</v>
      </c>
      <c r="Z17" s="7">
        <v>20069</v>
      </c>
      <c r="AA17" s="7">
        <v>25984</v>
      </c>
      <c r="AB17" s="7">
        <v>21577</v>
      </c>
      <c r="AC17" s="7">
        <v>21025</v>
      </c>
      <c r="AD17" s="7">
        <v>25289</v>
      </c>
      <c r="AE17" s="7">
        <v>33768</v>
      </c>
      <c r="AF17" s="7">
        <v>33193</v>
      </c>
      <c r="AG17" s="7">
        <v>41296</v>
      </c>
      <c r="AH17" s="7">
        <v>37747</v>
      </c>
      <c r="AI17" s="7">
        <v>39215</v>
      </c>
      <c r="AJ17" s="7" t="s">
        <v>72</v>
      </c>
      <c r="AL17" s="7">
        <v>10953</v>
      </c>
      <c r="AM17" s="7" t="s">
        <v>72</v>
      </c>
      <c r="AN17" s="7" t="s">
        <v>72</v>
      </c>
      <c r="AO17" s="7" t="s">
        <v>72</v>
      </c>
      <c r="AP17" s="7">
        <v>11843</v>
      </c>
      <c r="AQ17" s="7" t="s">
        <v>72</v>
      </c>
      <c r="AR17" s="7" t="s">
        <v>72</v>
      </c>
      <c r="AS17" s="7" t="s">
        <v>72</v>
      </c>
      <c r="AT17" s="7">
        <v>10054</v>
      </c>
      <c r="AU17" s="7" t="s">
        <v>72</v>
      </c>
      <c r="AV17" s="7" t="s">
        <v>72</v>
      </c>
      <c r="AW17" s="7" t="s">
        <v>72</v>
      </c>
      <c r="AX17" s="7">
        <v>8646</v>
      </c>
      <c r="AY17" s="7" t="s">
        <v>72</v>
      </c>
      <c r="AZ17" s="7" t="s">
        <v>72</v>
      </c>
      <c r="BA17" s="7" t="s">
        <v>72</v>
      </c>
      <c r="BC17" s="7" t="s">
        <v>72</v>
      </c>
      <c r="BD17" s="7" t="s">
        <v>72</v>
      </c>
      <c r="BE17" s="7">
        <v>7.7995000000000001</v>
      </c>
      <c r="BF17" s="7" t="s">
        <v>72</v>
      </c>
      <c r="BG17" s="7" t="s">
        <v>72</v>
      </c>
      <c r="BH17" s="7" t="s">
        <v>72</v>
      </c>
      <c r="BI17" s="7">
        <v>5.9074999999999998</v>
      </c>
      <c r="BJ17" s="7">
        <v>7.9965000000000002</v>
      </c>
      <c r="BK17" s="7">
        <v>5.4036999999999997</v>
      </c>
      <c r="BL17" s="7">
        <v>5.8254000000000001</v>
      </c>
      <c r="BM17" s="7">
        <v>5.4282000000000004</v>
      </c>
      <c r="BN17" s="7">
        <v>6.8220000000000001</v>
      </c>
      <c r="BO17" s="7">
        <v>6.5747999999999998</v>
      </c>
      <c r="BP17" s="7">
        <v>8.3156999999999996</v>
      </c>
      <c r="BQ17" s="7">
        <v>8.8516999999999992</v>
      </c>
      <c r="BR17" s="7" t="s">
        <v>72</v>
      </c>
      <c r="BT17" s="7">
        <v>0.84250000000000003</v>
      </c>
      <c r="BU17" s="7">
        <v>0.7016</v>
      </c>
      <c r="BV17" s="7">
        <v>0.91379999999999995</v>
      </c>
      <c r="BW17" s="7">
        <v>0.73880000000000001</v>
      </c>
      <c r="BX17" s="7">
        <v>0.70840000000000003</v>
      </c>
      <c r="BY17" s="7">
        <v>0.67659999999999998</v>
      </c>
      <c r="BZ17" s="7">
        <v>0.86660000000000004</v>
      </c>
      <c r="CA17" s="7">
        <v>0.71230000000000004</v>
      </c>
      <c r="CB17" s="7">
        <v>0.61150000000000004</v>
      </c>
      <c r="CC17" s="7">
        <v>0.65720000000000001</v>
      </c>
      <c r="CD17" s="7">
        <v>0.86480000000000001</v>
      </c>
      <c r="CE17" s="7">
        <v>0.84570000000000001</v>
      </c>
      <c r="CF17" s="7">
        <v>1.0387999999999999</v>
      </c>
      <c r="CG17" s="7">
        <v>1.0367</v>
      </c>
      <c r="CH17" s="7">
        <v>1.0510999999999999</v>
      </c>
      <c r="CI17" s="7" t="s">
        <v>72</v>
      </c>
      <c r="CK17" s="7">
        <v>171173.14689999999</v>
      </c>
      <c r="CL17" s="7">
        <v>166746.93400000001</v>
      </c>
      <c r="CM17" s="7">
        <v>174427.6085</v>
      </c>
      <c r="CN17" s="7">
        <v>182859.57689999999</v>
      </c>
      <c r="CO17" s="7">
        <v>183888.94409999999</v>
      </c>
      <c r="CP17" s="7">
        <v>178639.99</v>
      </c>
      <c r="CQ17" s="7">
        <v>178863.49309999999</v>
      </c>
      <c r="CR17" s="7">
        <v>174551.1122</v>
      </c>
      <c r="CS17" s="7">
        <v>179348.82939999999</v>
      </c>
      <c r="CT17" s="7">
        <v>191187.50880000001</v>
      </c>
      <c r="CU17" s="7">
        <v>197002.3866</v>
      </c>
      <c r="CV17" s="7">
        <v>211076.19159999999</v>
      </c>
      <c r="CW17" s="7">
        <v>217612.02970000001</v>
      </c>
      <c r="CX17" s="7">
        <v>240506.3596</v>
      </c>
      <c r="CY17" s="7">
        <v>230589.73920000001</v>
      </c>
      <c r="CZ17" s="7" t="s">
        <v>72</v>
      </c>
      <c r="DB17" s="7">
        <v>5.1759000000000004</v>
      </c>
      <c r="DC17" s="7">
        <v>5.1558999999999999</v>
      </c>
      <c r="DD17" s="7">
        <v>5.9076000000000004</v>
      </c>
      <c r="DE17" s="7">
        <v>6.3009000000000004</v>
      </c>
      <c r="DF17" s="7">
        <v>6.2493999999999996</v>
      </c>
      <c r="DG17" s="7">
        <v>6.0228999999999999</v>
      </c>
      <c r="DH17" s="7">
        <v>5.9653</v>
      </c>
      <c r="DI17" s="7">
        <v>5.7625000000000002</v>
      </c>
      <c r="DJ17" s="7">
        <v>5.2164000000000001</v>
      </c>
      <c r="DK17" s="7">
        <v>4.9681999999999995</v>
      </c>
      <c r="DL17" s="7">
        <v>5.0453000000000001</v>
      </c>
      <c r="DM17" s="7">
        <v>5.3780999999999999</v>
      </c>
      <c r="DN17" s="7">
        <v>5.4737999999999998</v>
      </c>
      <c r="DO17" s="7">
        <v>6.6056999999999997</v>
      </c>
      <c r="DP17" s="7">
        <v>6.1806999999999999</v>
      </c>
      <c r="DQ17" s="7" t="s">
        <v>72</v>
      </c>
      <c r="DS17" s="7">
        <v>1.8862000000000001</v>
      </c>
      <c r="DT17" s="7">
        <v>1.8847</v>
      </c>
      <c r="DU17" s="7">
        <v>1.9931000000000001</v>
      </c>
      <c r="DV17" s="7">
        <v>2.0581999999999998</v>
      </c>
      <c r="DW17" s="7">
        <v>2.0074999999999998</v>
      </c>
      <c r="DX17" s="7">
        <v>1.9135</v>
      </c>
      <c r="DY17" s="7">
        <v>1.8995</v>
      </c>
      <c r="DZ17" s="7">
        <v>1.8431999999999999</v>
      </c>
      <c r="EA17" s="7">
        <v>1.8205</v>
      </c>
      <c r="EB17" s="7">
        <v>1.9207000000000001</v>
      </c>
      <c r="EC17" s="7">
        <v>1.9594</v>
      </c>
      <c r="ED17" s="7">
        <v>2.0865</v>
      </c>
      <c r="EE17" s="7">
        <v>2.1393</v>
      </c>
      <c r="EF17" s="7">
        <v>2.3738000000000001</v>
      </c>
      <c r="EG17" s="7">
        <v>2.2671999999999999</v>
      </c>
      <c r="EH17" s="7" t="s">
        <v>72</v>
      </c>
      <c r="EJ17" s="7" t="s">
        <v>72</v>
      </c>
      <c r="EK17" s="7">
        <v>15.087999999999999</v>
      </c>
      <c r="EL17" s="7">
        <v>8.0397999999999996</v>
      </c>
      <c r="EM17" s="7">
        <v>10.1319</v>
      </c>
      <c r="EN17" s="7" t="s">
        <v>72</v>
      </c>
      <c r="EO17" s="7">
        <v>9.0411999999999999</v>
      </c>
      <c r="EP17" s="7">
        <v>12.5586</v>
      </c>
      <c r="EQ17" s="7">
        <v>12.2468</v>
      </c>
      <c r="ER17" s="7" t="s">
        <v>72</v>
      </c>
      <c r="ES17" s="7" t="s">
        <v>72</v>
      </c>
      <c r="ET17" s="7" t="s">
        <v>72</v>
      </c>
      <c r="EU17" s="7" t="s">
        <v>72</v>
      </c>
      <c r="EV17" s="7" t="s">
        <v>72</v>
      </c>
      <c r="EW17" s="7" t="s">
        <v>72</v>
      </c>
      <c r="EX17" s="7" t="s">
        <v>72</v>
      </c>
      <c r="EY17" s="7" t="s">
        <v>72</v>
      </c>
      <c r="FA17" s="7" t="s">
        <v>72</v>
      </c>
      <c r="FB17" s="7">
        <v>1.7093</v>
      </c>
      <c r="FC17" s="7">
        <v>1.5470000000000002</v>
      </c>
      <c r="FD17" s="7">
        <v>1.7583</v>
      </c>
      <c r="FE17" s="7" t="s">
        <v>72</v>
      </c>
      <c r="FF17" s="7">
        <v>1.6901000000000002</v>
      </c>
      <c r="FG17" s="7">
        <v>1.7549999999999999</v>
      </c>
      <c r="FH17" s="7">
        <v>1.6785999999999999</v>
      </c>
      <c r="FI17" s="7" t="s">
        <v>72</v>
      </c>
      <c r="FJ17" s="7" t="s">
        <v>72</v>
      </c>
      <c r="FK17" s="7" t="s">
        <v>72</v>
      </c>
      <c r="FL17" s="7" t="s">
        <v>72</v>
      </c>
      <c r="FM17" s="7" t="s">
        <v>72</v>
      </c>
      <c r="FN17" s="7" t="s">
        <v>72</v>
      </c>
      <c r="FO17" s="7" t="s">
        <v>72</v>
      </c>
      <c r="FP17" s="7">
        <v>3.0063</v>
      </c>
      <c r="FR17" s="7">
        <v>11479</v>
      </c>
      <c r="FS17" s="7">
        <v>16439</v>
      </c>
      <c r="FT17" s="7">
        <v>14628</v>
      </c>
      <c r="FU17" s="7">
        <v>13361</v>
      </c>
      <c r="FV17" s="7">
        <v>13606</v>
      </c>
      <c r="FW17" s="7">
        <v>15207</v>
      </c>
      <c r="FX17" s="7">
        <v>11082</v>
      </c>
      <c r="FY17" s="7">
        <v>11728</v>
      </c>
      <c r="FZ17" s="7">
        <v>12899</v>
      </c>
      <c r="GA17" s="7">
        <v>12687</v>
      </c>
      <c r="GB17" s="7">
        <v>13945</v>
      </c>
      <c r="GC17" s="7">
        <v>8908</v>
      </c>
      <c r="GD17" s="7">
        <v>8805</v>
      </c>
      <c r="GE17" s="7">
        <v>9838</v>
      </c>
      <c r="GF17" s="7">
        <v>16944</v>
      </c>
      <c r="GG17" s="7" t="s">
        <v>72</v>
      </c>
      <c r="GI17" s="7">
        <v>85065</v>
      </c>
      <c r="GJ17" s="7">
        <v>88603</v>
      </c>
      <c r="GK17" s="7">
        <v>98999</v>
      </c>
      <c r="GL17" s="7">
        <v>95565</v>
      </c>
      <c r="GM17" s="7">
        <v>96218</v>
      </c>
      <c r="GN17" s="7">
        <v>96969</v>
      </c>
      <c r="GO17" s="7">
        <v>89868</v>
      </c>
      <c r="GP17" s="7">
        <v>93616</v>
      </c>
      <c r="GQ17" s="7">
        <v>86902</v>
      </c>
      <c r="GR17" s="7">
        <v>82771</v>
      </c>
      <c r="GS17" s="7">
        <v>75487</v>
      </c>
      <c r="GT17" s="7">
        <v>76652</v>
      </c>
      <c r="GU17" s="7">
        <v>77237</v>
      </c>
      <c r="GV17" s="7">
        <v>81899</v>
      </c>
      <c r="GW17" s="7">
        <v>74853</v>
      </c>
      <c r="GX17" s="7" t="s">
        <v>72</v>
      </c>
      <c r="GZ17" s="7">
        <v>6859</v>
      </c>
      <c r="HA17" s="7">
        <v>7166</v>
      </c>
      <c r="HB17" s="7">
        <v>6976</v>
      </c>
      <c r="HC17" s="7">
        <v>8020</v>
      </c>
      <c r="HD17" s="7">
        <v>7263</v>
      </c>
      <c r="HE17" s="7">
        <v>7401</v>
      </c>
      <c r="HF17" s="7">
        <v>7300</v>
      </c>
      <c r="HG17" s="7">
        <v>8327</v>
      </c>
      <c r="HH17" s="7">
        <v>11354</v>
      </c>
      <c r="HI17" s="7">
        <v>11501</v>
      </c>
      <c r="HJ17" s="7">
        <v>7865</v>
      </c>
      <c r="HK17" s="7">
        <v>8527</v>
      </c>
      <c r="HL17" s="7">
        <v>11862</v>
      </c>
      <c r="HM17" s="7">
        <v>8155</v>
      </c>
      <c r="HN17" s="7">
        <v>8764</v>
      </c>
      <c r="HO17" s="7" t="s">
        <v>72</v>
      </c>
      <c r="HQ17" s="228">
        <v>9.3628</v>
      </c>
      <c r="HR17" s="228">
        <v>8.4243000000000006</v>
      </c>
      <c r="HS17" s="228">
        <v>10.4986</v>
      </c>
      <c r="HT17" s="228">
        <v>9.3257999999999992</v>
      </c>
      <c r="HU17" s="228">
        <v>11.4527</v>
      </c>
      <c r="HV17" s="228">
        <v>12.677300000000001</v>
      </c>
      <c r="HW17" s="228">
        <v>12.357900000000001</v>
      </c>
      <c r="HX17" s="228">
        <v>9.7513000000000005</v>
      </c>
      <c r="HY17" s="228">
        <v>9.9550999999999998</v>
      </c>
      <c r="HZ17" s="228">
        <v>9.8854000000000006</v>
      </c>
      <c r="IA17" s="228">
        <v>10.507</v>
      </c>
      <c r="IB17" s="228">
        <v>9.8899000000000008</v>
      </c>
      <c r="IC17" s="228">
        <v>9.41</v>
      </c>
      <c r="ID17" s="228">
        <v>8.8734000000000002</v>
      </c>
      <c r="IE17" s="228">
        <v>9.6113</v>
      </c>
      <c r="IF17" s="228" t="s">
        <v>72</v>
      </c>
    </row>
    <row r="18" spans="1:240">
      <c r="A18" s="11" t="s">
        <v>505</v>
      </c>
      <c r="B18" s="7" t="s">
        <v>7</v>
      </c>
      <c r="D18" s="7">
        <v>19285.647000000001</v>
      </c>
      <c r="E18" s="7">
        <v>18980.8253</v>
      </c>
      <c r="F18" s="7">
        <v>16950.055</v>
      </c>
      <c r="G18" s="7">
        <v>17841.259099999999</v>
      </c>
      <c r="H18" s="7">
        <v>17172.8999</v>
      </c>
      <c r="I18" s="7">
        <v>18369.581900000001</v>
      </c>
      <c r="J18" s="7">
        <v>15328.3616</v>
      </c>
      <c r="K18" s="7">
        <v>14628.9877</v>
      </c>
      <c r="L18" s="7">
        <v>13234.425300000001</v>
      </c>
      <c r="M18" s="7">
        <v>11807.197399999999</v>
      </c>
      <c r="N18" s="7">
        <v>10816.5839</v>
      </c>
      <c r="O18" s="7">
        <v>8511.8327000000008</v>
      </c>
      <c r="P18" s="7">
        <v>5319.5375000000004</v>
      </c>
      <c r="Q18" s="7">
        <v>3756.3150000000001</v>
      </c>
      <c r="R18" s="7">
        <v>6819.5967000000001</v>
      </c>
      <c r="S18" s="7" t="s">
        <v>72</v>
      </c>
      <c r="U18" s="7">
        <v>10679</v>
      </c>
      <c r="V18" s="7">
        <v>11148</v>
      </c>
      <c r="W18" s="7">
        <v>12336</v>
      </c>
      <c r="X18" s="7">
        <v>12182</v>
      </c>
      <c r="Y18" s="7">
        <v>11714</v>
      </c>
      <c r="Z18" s="7">
        <v>11651</v>
      </c>
      <c r="AA18" s="7" t="e">
        <v>#NAME?</v>
      </c>
      <c r="AB18" s="7">
        <v>12895</v>
      </c>
      <c r="AC18" s="7">
        <v>12109</v>
      </c>
      <c r="AD18" s="7">
        <v>12222</v>
      </c>
      <c r="AE18" s="7">
        <v>12961</v>
      </c>
      <c r="AF18" s="7">
        <v>13016</v>
      </c>
      <c r="AG18" s="7">
        <v>12610</v>
      </c>
      <c r="AH18" s="7">
        <v>12899</v>
      </c>
      <c r="AI18" s="7">
        <v>9803</v>
      </c>
      <c r="AJ18" s="7" t="s">
        <v>72</v>
      </c>
      <c r="AL18" s="7">
        <v>2078</v>
      </c>
      <c r="AM18" s="7" t="s">
        <v>72</v>
      </c>
      <c r="AN18" s="7" t="s">
        <v>72</v>
      </c>
      <c r="AO18" s="7" t="s">
        <v>72</v>
      </c>
      <c r="AP18" s="7">
        <v>1820</v>
      </c>
      <c r="AQ18" s="7" t="s">
        <v>72</v>
      </c>
      <c r="AR18" s="7" t="s">
        <v>72</v>
      </c>
      <c r="AS18" s="7" t="s">
        <v>72</v>
      </c>
      <c r="AT18" s="7">
        <v>2222</v>
      </c>
      <c r="AU18" s="7" t="s">
        <v>72</v>
      </c>
      <c r="AV18" s="7" t="s">
        <v>72</v>
      </c>
      <c r="AW18" s="7" t="s">
        <v>72</v>
      </c>
      <c r="AX18" s="7">
        <v>2484</v>
      </c>
      <c r="AY18" s="7" t="s">
        <v>72</v>
      </c>
      <c r="AZ18" s="7" t="s">
        <v>72</v>
      </c>
      <c r="BA18" s="7" t="s">
        <v>72</v>
      </c>
      <c r="BC18" s="7">
        <v>2.8845000000000001</v>
      </c>
      <c r="BD18" s="7">
        <v>4.0667</v>
      </c>
      <c r="BE18" s="7">
        <v>4.1741000000000001</v>
      </c>
      <c r="BF18" s="7">
        <v>2.8614999999999999</v>
      </c>
      <c r="BG18" s="7">
        <v>5.2808000000000002</v>
      </c>
      <c r="BH18" s="7">
        <v>4.2130000000000001</v>
      </c>
      <c r="BI18" s="7">
        <v>3.7959000000000001</v>
      </c>
      <c r="BJ18" s="7">
        <v>3.8197999999999999</v>
      </c>
      <c r="BK18" s="7">
        <v>1.7509999999999999</v>
      </c>
      <c r="BL18" s="7">
        <v>3.1827999999999999</v>
      </c>
      <c r="BM18" s="7">
        <v>3.2355999999999998</v>
      </c>
      <c r="BN18" s="7">
        <v>2.8210999999999999</v>
      </c>
      <c r="BO18" s="7">
        <v>0.70489999999999997</v>
      </c>
      <c r="BP18" s="7">
        <v>1.9211</v>
      </c>
      <c r="BQ18" s="7">
        <v>1.2907999999999999</v>
      </c>
      <c r="BR18" s="7" t="s">
        <v>72</v>
      </c>
      <c r="BT18" s="7">
        <v>2.0568</v>
      </c>
      <c r="BU18" s="7">
        <v>2.1110000000000002</v>
      </c>
      <c r="BV18" s="7">
        <v>2.3079999999999998</v>
      </c>
      <c r="BW18" s="7">
        <v>2.2458999999999998</v>
      </c>
      <c r="BX18" s="7">
        <v>2.1391999999999998</v>
      </c>
      <c r="BY18" s="7">
        <v>2.1488</v>
      </c>
      <c r="BZ18" s="7">
        <v>2.2951000000000001</v>
      </c>
      <c r="CA18" s="7">
        <v>2.4889000000000001</v>
      </c>
      <c r="CB18" s="7">
        <v>2.3567999999999998</v>
      </c>
      <c r="CC18" s="7">
        <v>2.4443999999999999</v>
      </c>
      <c r="CD18" s="7">
        <v>2.6673999999999998</v>
      </c>
      <c r="CE18" s="7">
        <v>2.7241999999999997</v>
      </c>
      <c r="CF18" s="7">
        <v>2.7515000000000001</v>
      </c>
      <c r="CG18" s="7">
        <v>2.9013</v>
      </c>
      <c r="CH18" s="7">
        <v>2.2728999999999999</v>
      </c>
      <c r="CI18" s="7" t="s">
        <v>72</v>
      </c>
      <c r="CK18" s="7">
        <v>29967.647000000001</v>
      </c>
      <c r="CL18" s="7">
        <v>30132.8253</v>
      </c>
      <c r="CM18" s="7">
        <v>29292.055</v>
      </c>
      <c r="CN18" s="7">
        <v>30023.259099999999</v>
      </c>
      <c r="CO18" s="7">
        <v>28886.8999</v>
      </c>
      <c r="CP18" s="7">
        <v>30020.581900000001</v>
      </c>
      <c r="CQ18" s="7">
        <v>27593.3616</v>
      </c>
      <c r="CR18" s="7">
        <v>27523.987700000001</v>
      </c>
      <c r="CS18" s="7">
        <v>25343.425299999999</v>
      </c>
      <c r="CT18" s="7">
        <v>24029.197400000001</v>
      </c>
      <c r="CU18" s="7">
        <v>23777.583900000001</v>
      </c>
      <c r="CV18" s="7">
        <v>21527.832699999999</v>
      </c>
      <c r="CW18" s="7">
        <v>17980.537499999999</v>
      </c>
      <c r="CX18" s="7">
        <v>16704.314999999999</v>
      </c>
      <c r="CY18" s="7">
        <v>16672.596699999998</v>
      </c>
      <c r="CZ18" s="7" t="s">
        <v>72</v>
      </c>
      <c r="DB18" s="7">
        <v>5.7719000000000005</v>
      </c>
      <c r="DC18" s="7">
        <v>5.7058999999999997</v>
      </c>
      <c r="DD18" s="7">
        <v>5.4802999999999997</v>
      </c>
      <c r="DE18" s="7">
        <v>5.5353000000000003</v>
      </c>
      <c r="DF18" s="7">
        <v>5.2751999999999999</v>
      </c>
      <c r="DG18" s="7">
        <v>5.5368000000000004</v>
      </c>
      <c r="DH18" s="7">
        <v>5.1634000000000002</v>
      </c>
      <c r="DI18" s="7">
        <v>5.3125</v>
      </c>
      <c r="DJ18" s="7">
        <v>4.9325000000000001</v>
      </c>
      <c r="DK18" s="7">
        <v>4.8057999999999996</v>
      </c>
      <c r="DL18" s="7">
        <v>4.8934999999999995</v>
      </c>
      <c r="DM18" s="7">
        <v>4.5056000000000003</v>
      </c>
      <c r="DN18" s="7">
        <v>3.9233000000000002</v>
      </c>
      <c r="DO18" s="7">
        <v>3.7572000000000001</v>
      </c>
      <c r="DP18" s="7">
        <v>3.8656999999999999</v>
      </c>
      <c r="DQ18" s="7" t="s">
        <v>72</v>
      </c>
      <c r="DS18" s="7">
        <v>2.2279</v>
      </c>
      <c r="DT18" s="7">
        <v>2.2597999999999998</v>
      </c>
      <c r="DU18" s="7">
        <v>2.2067000000000001</v>
      </c>
      <c r="DV18" s="7">
        <v>2.2570000000000001</v>
      </c>
      <c r="DW18" s="7">
        <v>2.1680000000000001</v>
      </c>
      <c r="DX18" s="7">
        <v>2.266</v>
      </c>
      <c r="DY18" s="7">
        <v>2.0941999999999998</v>
      </c>
      <c r="DZ18" s="7">
        <v>2.1015000000000001</v>
      </c>
      <c r="EA18" s="7">
        <v>1.9462000000000002</v>
      </c>
      <c r="EB18" s="7">
        <v>1.8505</v>
      </c>
      <c r="EC18" s="7">
        <v>1.8485</v>
      </c>
      <c r="ED18" s="7">
        <v>1.7017</v>
      </c>
      <c r="EE18" s="7">
        <v>1.4490000000000001</v>
      </c>
      <c r="EF18" s="7">
        <v>1.3745000000000001</v>
      </c>
      <c r="EG18" s="7">
        <v>1.3995</v>
      </c>
      <c r="EH18" s="7" t="s">
        <v>72</v>
      </c>
      <c r="EJ18" s="7">
        <v>9.0381999999999998</v>
      </c>
      <c r="EK18" s="7">
        <v>8.3786000000000005</v>
      </c>
      <c r="EL18" s="7">
        <v>7.1258999999999997</v>
      </c>
      <c r="EM18" s="7">
        <v>7.6140999999999996</v>
      </c>
      <c r="EN18" s="7">
        <v>9.4956999999999994</v>
      </c>
      <c r="EO18" s="7">
        <v>9.5396999999999998</v>
      </c>
      <c r="EP18" s="7">
        <v>8.0239999999999991</v>
      </c>
      <c r="EQ18" s="7">
        <v>7.9847000000000001</v>
      </c>
      <c r="ER18" s="7" t="s">
        <v>72</v>
      </c>
      <c r="ES18" s="7" t="s">
        <v>72</v>
      </c>
      <c r="ET18" s="7" t="s">
        <v>72</v>
      </c>
      <c r="EU18" s="7" t="s">
        <v>72</v>
      </c>
      <c r="EV18" s="7">
        <v>8.8475999999999999</v>
      </c>
      <c r="EW18" s="7" t="s">
        <v>72</v>
      </c>
      <c r="EX18" s="7" t="s">
        <v>72</v>
      </c>
      <c r="EY18" s="7" t="s">
        <v>72</v>
      </c>
      <c r="FA18" s="7">
        <v>5.0248999999999997</v>
      </c>
      <c r="FB18" s="7">
        <v>4.5419999999999998</v>
      </c>
      <c r="FC18" s="7">
        <v>4.8776999999999999</v>
      </c>
      <c r="FD18" s="7">
        <v>5.3723000000000001</v>
      </c>
      <c r="FE18" s="7">
        <v>4.9065000000000003</v>
      </c>
      <c r="FF18" s="7">
        <v>4.6873000000000005</v>
      </c>
      <c r="FG18" s="7">
        <v>5.0109000000000004</v>
      </c>
      <c r="FH18" s="7">
        <v>5.4667000000000003</v>
      </c>
      <c r="FI18" s="7" t="s">
        <v>72</v>
      </c>
      <c r="FJ18" s="7" t="s">
        <v>72</v>
      </c>
      <c r="FK18" s="7" t="s">
        <v>72</v>
      </c>
      <c r="FL18" s="7" t="s">
        <v>72</v>
      </c>
      <c r="FM18" s="7">
        <v>2.2073</v>
      </c>
      <c r="FN18" s="7" t="s">
        <v>72</v>
      </c>
      <c r="FO18" s="7" t="s">
        <v>72</v>
      </c>
      <c r="FP18" s="7">
        <v>1.8115999999999999</v>
      </c>
      <c r="FR18" s="7">
        <v>2690</v>
      </c>
      <c r="FS18" s="7">
        <v>2365</v>
      </c>
      <c r="FT18" s="7">
        <v>1622</v>
      </c>
      <c r="FU18" s="7">
        <v>1335</v>
      </c>
      <c r="FV18" s="7">
        <v>823</v>
      </c>
      <c r="FW18" s="7">
        <v>944</v>
      </c>
      <c r="FX18" s="7">
        <v>1124</v>
      </c>
      <c r="FY18" s="7">
        <v>645</v>
      </c>
      <c r="FZ18" s="7">
        <v>990</v>
      </c>
      <c r="GA18" s="7">
        <v>1267</v>
      </c>
      <c r="GB18" s="7">
        <v>878</v>
      </c>
      <c r="GC18" s="7">
        <v>1495</v>
      </c>
      <c r="GD18" s="7">
        <v>1286</v>
      </c>
      <c r="GE18" s="7">
        <v>1213</v>
      </c>
      <c r="GF18" s="7">
        <v>4345</v>
      </c>
      <c r="GG18" s="7" t="s">
        <v>72</v>
      </c>
      <c r="GI18" s="7">
        <v>3841</v>
      </c>
      <c r="GJ18" s="7">
        <v>4183</v>
      </c>
      <c r="GK18" s="7">
        <v>3481</v>
      </c>
      <c r="GL18" s="7">
        <v>3321</v>
      </c>
      <c r="GM18" s="7">
        <v>3500</v>
      </c>
      <c r="GN18" s="7">
        <v>3919</v>
      </c>
      <c r="GO18" s="7">
        <v>3059</v>
      </c>
      <c r="GP18" s="7">
        <v>2676</v>
      </c>
      <c r="GQ18" s="7">
        <v>2930</v>
      </c>
      <c r="GR18" s="7">
        <v>3007</v>
      </c>
      <c r="GS18" s="7">
        <v>2564</v>
      </c>
      <c r="GT18" s="7">
        <v>2656</v>
      </c>
      <c r="GU18" s="7">
        <v>2461</v>
      </c>
      <c r="GV18" s="7">
        <v>2463</v>
      </c>
      <c r="GW18" s="7">
        <v>5601</v>
      </c>
      <c r="GX18" s="7" t="s">
        <v>72</v>
      </c>
      <c r="GZ18" s="7">
        <v>1307</v>
      </c>
      <c r="HA18" s="7">
        <v>1323</v>
      </c>
      <c r="HB18" s="7">
        <v>1386</v>
      </c>
      <c r="HC18" s="7">
        <v>1408</v>
      </c>
      <c r="HD18" s="7">
        <v>1359</v>
      </c>
      <c r="HE18" s="7">
        <v>1269</v>
      </c>
      <c r="HF18" s="7">
        <v>1308</v>
      </c>
      <c r="HG18" s="7">
        <v>1245</v>
      </c>
      <c r="HH18" s="7">
        <v>1316</v>
      </c>
      <c r="HI18" s="7">
        <v>1131</v>
      </c>
      <c r="HJ18" s="7">
        <v>1167</v>
      </c>
      <c r="HK18" s="7">
        <v>1164</v>
      </c>
      <c r="HL18" s="7">
        <v>1121</v>
      </c>
      <c r="HM18" s="7">
        <v>994</v>
      </c>
      <c r="HN18" s="7">
        <v>1034</v>
      </c>
      <c r="HO18" s="7" t="s">
        <v>72</v>
      </c>
      <c r="HQ18" s="228">
        <v>6.1471999999999998</v>
      </c>
      <c r="HR18" s="228">
        <v>6.0168999999999997</v>
      </c>
      <c r="HS18" s="228">
        <v>7.3795999999999999</v>
      </c>
      <c r="HT18" s="228">
        <v>7.3327999999999998</v>
      </c>
      <c r="HU18" s="228">
        <v>5.5989000000000004</v>
      </c>
      <c r="HV18" s="228">
        <v>6.9703999999999997</v>
      </c>
      <c r="HW18" s="228">
        <v>6.1379000000000001</v>
      </c>
      <c r="HX18" s="228">
        <v>5.7445000000000004</v>
      </c>
      <c r="HY18" s="228">
        <v>5.5202999999999998</v>
      </c>
      <c r="HZ18" s="228">
        <v>5.5236999999999998</v>
      </c>
      <c r="IA18" s="228">
        <v>5.6215999999999999</v>
      </c>
      <c r="IB18" s="228">
        <v>4.3598999999999997</v>
      </c>
      <c r="IC18" s="228">
        <v>3.7601</v>
      </c>
      <c r="ID18" s="228">
        <v>4.0572999999999997</v>
      </c>
      <c r="IE18" s="228">
        <v>4.806</v>
      </c>
      <c r="IF18" s="228" t="s">
        <v>72</v>
      </c>
    </row>
    <row r="19" spans="1:240">
      <c r="A19" s="11" t="s">
        <v>506</v>
      </c>
      <c r="B19" s="7" t="s">
        <v>76</v>
      </c>
      <c r="D19" s="7">
        <v>21202.32</v>
      </c>
      <c r="E19" s="7">
        <v>21650.870599999998</v>
      </c>
      <c r="F19" s="7">
        <v>19099.780999999999</v>
      </c>
      <c r="G19" s="7">
        <v>24014.969400000002</v>
      </c>
      <c r="H19" s="7">
        <v>21843.599999999999</v>
      </c>
      <c r="I19" s="7">
        <v>23507.4228</v>
      </c>
      <c r="J19" s="7">
        <v>22251.912700000001</v>
      </c>
      <c r="K19" s="7">
        <v>23240.293000000001</v>
      </c>
      <c r="L19" s="7">
        <v>22818.302599999999</v>
      </c>
      <c r="M19" s="7">
        <v>22826.2418</v>
      </c>
      <c r="N19" s="7">
        <v>20796.0553</v>
      </c>
      <c r="O19" s="7">
        <v>21971.4264</v>
      </c>
      <c r="P19" s="7">
        <v>16334.987499999999</v>
      </c>
      <c r="Q19" s="7">
        <v>8908.7790000000005</v>
      </c>
      <c r="R19" s="7">
        <v>10039.5347</v>
      </c>
      <c r="S19" s="7" t="s">
        <v>72</v>
      </c>
      <c r="U19" s="7">
        <v>4160</v>
      </c>
      <c r="V19" s="7">
        <v>3497</v>
      </c>
      <c r="W19" s="7">
        <v>2969</v>
      </c>
      <c r="X19" s="7">
        <v>3973</v>
      </c>
      <c r="Y19" s="7">
        <v>3510</v>
      </c>
      <c r="Z19" s="7">
        <v>3277</v>
      </c>
      <c r="AA19" s="7">
        <v>812</v>
      </c>
      <c r="AB19" s="7">
        <v>2444</v>
      </c>
      <c r="AC19" s="7">
        <v>1843</v>
      </c>
      <c r="AD19" s="7">
        <v>4076</v>
      </c>
      <c r="AE19" s="7">
        <v>3721</v>
      </c>
      <c r="AF19" s="7">
        <v>5299</v>
      </c>
      <c r="AG19" s="7">
        <v>4763</v>
      </c>
      <c r="AH19" s="7">
        <v>4686</v>
      </c>
      <c r="AI19" s="7">
        <v>4500</v>
      </c>
      <c r="AJ19" s="7" t="s">
        <v>72</v>
      </c>
      <c r="AL19" s="7">
        <v>595</v>
      </c>
      <c r="AM19" s="7" t="s">
        <v>72</v>
      </c>
      <c r="AN19" s="7" t="s">
        <v>72</v>
      </c>
      <c r="AO19" s="7" t="s">
        <v>72</v>
      </c>
      <c r="AP19" s="7">
        <v>499</v>
      </c>
      <c r="AQ19" s="7" t="s">
        <v>72</v>
      </c>
      <c r="AR19" s="7" t="s">
        <v>72</v>
      </c>
      <c r="AS19" s="7" t="s">
        <v>72</v>
      </c>
      <c r="AT19" s="7">
        <v>920</v>
      </c>
      <c r="AU19" s="7" t="s">
        <v>72</v>
      </c>
      <c r="AV19" s="7" t="s">
        <v>72</v>
      </c>
      <c r="AW19" s="7" t="s">
        <v>72</v>
      </c>
      <c r="AX19" s="7">
        <v>870</v>
      </c>
      <c r="AY19" s="7" t="s">
        <v>72</v>
      </c>
      <c r="AZ19" s="7" t="s">
        <v>72</v>
      </c>
      <c r="BA19" s="7" t="s">
        <v>72</v>
      </c>
      <c r="BC19" s="7">
        <v>3.6212</v>
      </c>
      <c r="BD19" s="7">
        <v>3.5338000000000003</v>
      </c>
      <c r="BE19" s="7">
        <v>5.3978000000000002</v>
      </c>
      <c r="BF19" s="7">
        <v>4.0526</v>
      </c>
      <c r="BG19" s="7">
        <v>4.5280000000000005</v>
      </c>
      <c r="BH19" s="7">
        <v>2.5857000000000001</v>
      </c>
      <c r="BI19" s="7">
        <v>-0.3644</v>
      </c>
      <c r="BJ19" s="7">
        <v>6.0488</v>
      </c>
      <c r="BK19" s="7">
        <v>7.7908999999999997</v>
      </c>
      <c r="BL19" s="7">
        <v>3.6364000000000001</v>
      </c>
      <c r="BM19" s="7">
        <v>4.1467999999999998</v>
      </c>
      <c r="BN19" s="7">
        <v>3.6808999999999998</v>
      </c>
      <c r="BO19" s="7">
        <v>1.1529</v>
      </c>
      <c r="BP19" s="7">
        <v>2.1284000000000001</v>
      </c>
      <c r="BQ19" s="7">
        <v>2.6922999999999999</v>
      </c>
      <c r="BR19" s="7" t="s">
        <v>72</v>
      </c>
      <c r="BT19" s="7">
        <v>0.66369999999999996</v>
      </c>
      <c r="BU19" s="7">
        <v>0.57950000000000002</v>
      </c>
      <c r="BV19" s="7">
        <v>0.49930000000000002</v>
      </c>
      <c r="BW19" s="7">
        <v>0.68210000000000004</v>
      </c>
      <c r="BX19" s="7">
        <v>0.59809999999999997</v>
      </c>
      <c r="BY19" s="7">
        <v>0.56520000000000004</v>
      </c>
      <c r="BZ19" s="7">
        <v>0.15390000000000001</v>
      </c>
      <c r="CA19" s="7">
        <v>0.47060000000000002</v>
      </c>
      <c r="CB19" s="7">
        <v>0.34289999999999998</v>
      </c>
      <c r="CC19" s="7">
        <v>0.77580000000000005</v>
      </c>
      <c r="CD19" s="7">
        <v>0.66520000000000001</v>
      </c>
      <c r="CE19" s="7">
        <v>0.96030000000000004</v>
      </c>
      <c r="CF19" s="7">
        <v>0.98899999999999999</v>
      </c>
      <c r="CG19" s="7">
        <v>1.0143</v>
      </c>
      <c r="CH19" s="7">
        <v>1.04</v>
      </c>
      <c r="CI19" s="7" t="s">
        <v>72</v>
      </c>
      <c r="CK19" s="7">
        <v>25376.32</v>
      </c>
      <c r="CL19" s="7">
        <v>25161.870599999998</v>
      </c>
      <c r="CM19" s="7">
        <v>22082.780999999999</v>
      </c>
      <c r="CN19" s="7">
        <v>28001.969400000002</v>
      </c>
      <c r="CO19" s="7">
        <v>25367.599999999999</v>
      </c>
      <c r="CP19" s="7">
        <v>26797.4228</v>
      </c>
      <c r="CQ19" s="7">
        <v>23077.912700000001</v>
      </c>
      <c r="CR19" s="7">
        <v>25698.293000000001</v>
      </c>
      <c r="CS19" s="7">
        <v>24664.302599999999</v>
      </c>
      <c r="CT19" s="7">
        <v>26904.2418</v>
      </c>
      <c r="CU19" s="7">
        <v>24519.0553</v>
      </c>
      <c r="CV19" s="7">
        <v>27272.4264</v>
      </c>
      <c r="CW19" s="7">
        <v>21099.987499999999</v>
      </c>
      <c r="CX19" s="7">
        <v>13596.779</v>
      </c>
      <c r="CY19" s="7">
        <v>14541.5347</v>
      </c>
      <c r="CZ19" s="7" t="s">
        <v>72</v>
      </c>
      <c r="DB19" s="7">
        <v>4.0486000000000004</v>
      </c>
      <c r="DC19" s="7">
        <v>4.1692999999999998</v>
      </c>
      <c r="DD19" s="7">
        <v>3.7138999999999998</v>
      </c>
      <c r="DE19" s="7">
        <v>4.8071999999999999</v>
      </c>
      <c r="DF19" s="7">
        <v>4.3223000000000003</v>
      </c>
      <c r="DG19" s="7">
        <v>4.6218000000000004</v>
      </c>
      <c r="DH19" s="7">
        <v>4.3733000000000004</v>
      </c>
      <c r="DI19" s="7">
        <v>4.9485999999999999</v>
      </c>
      <c r="DJ19" s="7">
        <v>4.5887000000000002</v>
      </c>
      <c r="DK19" s="7">
        <v>5.1207000000000003</v>
      </c>
      <c r="DL19" s="7">
        <v>4.3830999999999998</v>
      </c>
      <c r="DM19" s="7">
        <v>4.9424000000000001</v>
      </c>
      <c r="DN19" s="7">
        <v>4.3811999999999998</v>
      </c>
      <c r="DO19" s="7">
        <v>2.9430000000000001</v>
      </c>
      <c r="DP19" s="7">
        <v>3.3607</v>
      </c>
      <c r="DQ19" s="7" t="s">
        <v>72</v>
      </c>
      <c r="DS19" s="7">
        <v>1.5324</v>
      </c>
      <c r="DT19" s="7">
        <v>1.5608</v>
      </c>
      <c r="DU19" s="7">
        <v>1.3868</v>
      </c>
      <c r="DV19" s="7">
        <v>1.7764</v>
      </c>
      <c r="DW19" s="7">
        <v>1.6141999999999999</v>
      </c>
      <c r="DX19" s="7">
        <v>1.7210000000000001</v>
      </c>
      <c r="DY19" s="7">
        <v>1.5011000000000001</v>
      </c>
      <c r="DZ19" s="7">
        <v>1.6957</v>
      </c>
      <c r="EA19" s="7">
        <v>1.6529</v>
      </c>
      <c r="EB19" s="7">
        <v>1.8286</v>
      </c>
      <c r="EC19" s="7">
        <v>1.6804999999999999</v>
      </c>
      <c r="ED19" s="7">
        <v>1.8959999999999999</v>
      </c>
      <c r="EE19" s="7">
        <v>1.4918</v>
      </c>
      <c r="EF19" s="7">
        <v>0.9788</v>
      </c>
      <c r="EG19" s="7">
        <v>1.075</v>
      </c>
      <c r="EH19" s="7" t="s">
        <v>72</v>
      </c>
      <c r="EJ19" s="7">
        <v>16.551400000000001</v>
      </c>
      <c r="EK19" s="7">
        <v>17.493200000000002</v>
      </c>
      <c r="EL19" s="7">
        <v>16.094999999999999</v>
      </c>
      <c r="EM19" s="7">
        <v>171.5813</v>
      </c>
      <c r="EN19" s="7">
        <v>204.14529999999999</v>
      </c>
      <c r="EO19" s="7">
        <v>2137.4787000000001</v>
      </c>
      <c r="EP19" s="7">
        <v>32.683900000000001</v>
      </c>
      <c r="EQ19" s="7">
        <v>13.081799999999999</v>
      </c>
      <c r="ER19" s="7" t="s">
        <v>72</v>
      </c>
      <c r="ES19" s="7" t="s">
        <v>72</v>
      </c>
      <c r="ET19" s="7" t="s">
        <v>72</v>
      </c>
      <c r="EU19" s="7" t="s">
        <v>72</v>
      </c>
      <c r="EV19" s="7" t="s">
        <v>72</v>
      </c>
      <c r="EW19" s="7" t="s">
        <v>72</v>
      </c>
      <c r="EX19" s="7" t="s">
        <v>72</v>
      </c>
      <c r="EY19" s="7" t="s">
        <v>72</v>
      </c>
      <c r="FA19" s="7">
        <v>1.282</v>
      </c>
      <c r="FB19" s="7">
        <v>1.2852999999999999</v>
      </c>
      <c r="FC19" s="7">
        <v>1.2598</v>
      </c>
      <c r="FD19" s="7">
        <v>1.6675</v>
      </c>
      <c r="FE19" s="7">
        <v>1.4941</v>
      </c>
      <c r="FF19" s="7">
        <v>1.5880000000000001</v>
      </c>
      <c r="FG19" s="7">
        <v>1.6133</v>
      </c>
      <c r="FH19" s="7">
        <v>1.6366000000000001</v>
      </c>
      <c r="FI19" s="7" t="s">
        <v>72</v>
      </c>
      <c r="FJ19" s="7" t="s">
        <v>72</v>
      </c>
      <c r="FK19" s="7" t="s">
        <v>72</v>
      </c>
      <c r="FL19" s="7" t="s">
        <v>72</v>
      </c>
      <c r="FM19" s="7" t="s">
        <v>72</v>
      </c>
      <c r="FN19" s="7" t="s">
        <v>72</v>
      </c>
      <c r="FO19" s="7" t="s">
        <v>72</v>
      </c>
      <c r="FP19" s="7">
        <v>0.87429999999999997</v>
      </c>
      <c r="FR19" s="7">
        <v>2218</v>
      </c>
      <c r="FS19" s="7">
        <v>2654</v>
      </c>
      <c r="FT19" s="7">
        <v>3218</v>
      </c>
      <c r="FU19" s="7">
        <v>2089</v>
      </c>
      <c r="FV19" s="7">
        <v>2447</v>
      </c>
      <c r="FW19" s="7">
        <v>2825</v>
      </c>
      <c r="FX19" s="7">
        <v>4993</v>
      </c>
      <c r="FY19" s="7">
        <v>2246</v>
      </c>
      <c r="FZ19" s="7">
        <v>2860</v>
      </c>
      <c r="GA19" s="7">
        <v>630</v>
      </c>
      <c r="GB19" s="7">
        <v>869</v>
      </c>
      <c r="GC19" s="7">
        <v>473</v>
      </c>
      <c r="GD19" s="7">
        <v>390</v>
      </c>
      <c r="GE19" s="7">
        <v>261</v>
      </c>
      <c r="GF19" s="7">
        <v>308</v>
      </c>
      <c r="GG19" s="7" t="s">
        <v>72</v>
      </c>
      <c r="GI19" s="7">
        <v>16553</v>
      </c>
      <c r="GJ19" s="7">
        <v>16859</v>
      </c>
      <c r="GK19" s="7">
        <v>15175</v>
      </c>
      <c r="GL19" s="7">
        <v>14416</v>
      </c>
      <c r="GM19" s="7">
        <v>14634</v>
      </c>
      <c r="GN19" s="7">
        <v>14816</v>
      </c>
      <c r="GO19" s="7">
        <v>13807</v>
      </c>
      <c r="GP19" s="7">
        <v>14214</v>
      </c>
      <c r="GQ19" s="7">
        <v>14334</v>
      </c>
      <c r="GR19" s="7">
        <v>14494</v>
      </c>
      <c r="GS19" s="7">
        <v>12672</v>
      </c>
      <c r="GT19" s="7">
        <v>12947</v>
      </c>
      <c r="GU19" s="7">
        <v>12958</v>
      </c>
      <c r="GV19" s="7">
        <v>13045</v>
      </c>
      <c r="GW19" s="7">
        <v>12461</v>
      </c>
      <c r="GX19" s="7" t="s">
        <v>72</v>
      </c>
      <c r="GZ19" s="7">
        <v>1467</v>
      </c>
      <c r="HA19" s="7">
        <v>1411</v>
      </c>
      <c r="HB19" s="7">
        <v>1467</v>
      </c>
      <c r="HC19" s="7">
        <v>1480</v>
      </c>
      <c r="HD19" s="7">
        <v>1511</v>
      </c>
      <c r="HE19" s="7">
        <v>1340</v>
      </c>
      <c r="HF19" s="7">
        <v>946</v>
      </c>
      <c r="HG19" s="7">
        <v>1396</v>
      </c>
      <c r="HH19" s="7">
        <v>1693</v>
      </c>
      <c r="HI19" s="7">
        <v>1219</v>
      </c>
      <c r="HJ19" s="7">
        <v>1286</v>
      </c>
      <c r="HK19" s="7">
        <v>1320</v>
      </c>
      <c r="HL19" s="7">
        <v>991</v>
      </c>
      <c r="HM19" s="7">
        <v>1023</v>
      </c>
      <c r="HN19" s="7">
        <v>993</v>
      </c>
      <c r="HO19" s="7" t="s">
        <v>72</v>
      </c>
      <c r="HQ19" s="228">
        <v>10.122400000000001</v>
      </c>
      <c r="HR19" s="228">
        <v>8.0076999999999998</v>
      </c>
      <c r="HS19" s="228">
        <v>8.6042000000000005</v>
      </c>
      <c r="HT19" s="228">
        <v>7.1349999999999998</v>
      </c>
      <c r="HU19" s="228">
        <v>8.3999000000000006</v>
      </c>
      <c r="HV19" s="228">
        <v>9.0390999999999995</v>
      </c>
      <c r="HW19" s="228">
        <v>8.1005000000000003</v>
      </c>
      <c r="HX19" s="228">
        <v>10.4245</v>
      </c>
      <c r="HY19" s="228">
        <v>10.604800000000001</v>
      </c>
      <c r="HZ19" s="228">
        <v>9.3407</v>
      </c>
      <c r="IA19" s="228">
        <v>10.1852</v>
      </c>
      <c r="IB19" s="228">
        <v>10.2643</v>
      </c>
      <c r="IC19" s="228">
        <v>6.3807</v>
      </c>
      <c r="ID19" s="228">
        <v>6.5594000000000001</v>
      </c>
      <c r="IE19" s="228">
        <v>5.6787999999999998</v>
      </c>
      <c r="IF19" s="228" t="s">
        <v>72</v>
      </c>
    </row>
    <row r="20" spans="1:240">
      <c r="A20" s="11" t="s">
        <v>27</v>
      </c>
      <c r="B20" s="7" t="s">
        <v>8</v>
      </c>
      <c r="D20" s="7">
        <v>7462.4336999999996</v>
      </c>
      <c r="E20" s="7">
        <v>7421.3262999999997</v>
      </c>
      <c r="F20" s="7">
        <v>7333.4517999999998</v>
      </c>
      <c r="G20" s="7">
        <v>8776.8525000000009</v>
      </c>
      <c r="H20" s="7">
        <v>7339.8116</v>
      </c>
      <c r="I20" s="7">
        <v>7301.1936999999998</v>
      </c>
      <c r="J20" s="7">
        <v>6129.4525000000003</v>
      </c>
      <c r="K20" s="7">
        <v>4930.8159999999998</v>
      </c>
      <c r="L20" s="7">
        <v>3610.3515000000002</v>
      </c>
      <c r="M20" s="7">
        <v>3658.8629999999998</v>
      </c>
      <c r="N20" s="7">
        <v>3097.4506999999999</v>
      </c>
      <c r="O20" s="7">
        <v>3448.8816999999999</v>
      </c>
      <c r="P20" s="7">
        <v>3024.9229999999998</v>
      </c>
      <c r="Q20" s="7">
        <v>3438.96</v>
      </c>
      <c r="R20" s="7">
        <v>2680.5724</v>
      </c>
      <c r="S20" s="7" t="s">
        <v>72</v>
      </c>
      <c r="U20" s="7">
        <v>5569.6642000000002</v>
      </c>
      <c r="V20" s="7">
        <v>5659.8</v>
      </c>
      <c r="W20" s="7">
        <v>6092.8</v>
      </c>
      <c r="X20" s="7">
        <v>781.5</v>
      </c>
      <c r="Y20" s="7">
        <v>2099.7964000000002</v>
      </c>
      <c r="Z20" s="7">
        <v>7428.5</v>
      </c>
      <c r="AA20" s="7">
        <v>8874.7999999999993</v>
      </c>
      <c r="AB20" s="7">
        <v>8540.6131999999998</v>
      </c>
      <c r="AC20" s="7">
        <v>6612.8339999999998</v>
      </c>
      <c r="AD20" s="7">
        <v>7073</v>
      </c>
      <c r="AE20" s="7">
        <v>7937.5</v>
      </c>
      <c r="AF20" s="7">
        <v>7764.6</v>
      </c>
      <c r="AG20" s="7">
        <v>7711.2119000000002</v>
      </c>
      <c r="AH20" s="7">
        <v>8100.6</v>
      </c>
      <c r="AI20" s="7">
        <v>7937.5</v>
      </c>
      <c r="AJ20" s="7" t="s">
        <v>72</v>
      </c>
      <c r="AL20" s="7">
        <v>951.67439999999999</v>
      </c>
      <c r="AM20" s="7" t="s">
        <v>72</v>
      </c>
      <c r="AN20" s="7" t="s">
        <v>72</v>
      </c>
      <c r="AO20" s="7" t="s">
        <v>72</v>
      </c>
      <c r="AP20" s="7">
        <v>210.5</v>
      </c>
      <c r="AQ20" s="7" t="s">
        <v>72</v>
      </c>
      <c r="AR20" s="7" t="s">
        <v>72</v>
      </c>
      <c r="AS20" s="7" t="s">
        <v>72</v>
      </c>
      <c r="AT20" s="7">
        <v>168.44800000000001</v>
      </c>
      <c r="AU20" s="7" t="s">
        <v>72</v>
      </c>
      <c r="AV20" s="7" t="s">
        <v>72</v>
      </c>
      <c r="AW20" s="7" t="s">
        <v>72</v>
      </c>
      <c r="AX20" s="7">
        <v>167.4632</v>
      </c>
      <c r="AY20" s="7" t="s">
        <v>72</v>
      </c>
      <c r="AZ20" s="7" t="s">
        <v>72</v>
      </c>
      <c r="BA20" s="7" t="s">
        <v>72</v>
      </c>
      <c r="BC20" s="7">
        <v>-4.1829999999999998</v>
      </c>
      <c r="BD20" s="7">
        <v>3.1640999999999999</v>
      </c>
      <c r="BE20" s="7">
        <v>3.2294</v>
      </c>
      <c r="BF20" s="7">
        <v>2.8893</v>
      </c>
      <c r="BG20" s="7">
        <v>0.2127</v>
      </c>
      <c r="BH20" s="7" t="s">
        <v>72</v>
      </c>
      <c r="BI20" s="7">
        <v>2.4858000000000002</v>
      </c>
      <c r="BJ20" s="7">
        <v>2.3290999999999999</v>
      </c>
      <c r="BK20" s="7">
        <v>1.3796999999999999</v>
      </c>
      <c r="BL20" s="7">
        <v>1.9352</v>
      </c>
      <c r="BM20" s="7">
        <v>1.6928999999999998</v>
      </c>
      <c r="BN20" s="7">
        <v>1.6564000000000001</v>
      </c>
      <c r="BO20" s="7">
        <v>1.3139000000000001</v>
      </c>
      <c r="BP20" s="7">
        <v>1.1894</v>
      </c>
      <c r="BQ20" s="7">
        <v>0.90610000000000002</v>
      </c>
      <c r="BR20" s="7" t="s">
        <v>72</v>
      </c>
      <c r="BT20" s="7" t="s">
        <v>72</v>
      </c>
      <c r="BU20" s="7" t="s">
        <v>72</v>
      </c>
      <c r="BV20" s="7" t="s">
        <v>72</v>
      </c>
      <c r="BW20" s="7" t="s">
        <v>72</v>
      </c>
      <c r="BX20" s="7">
        <v>1.3110999999999999</v>
      </c>
      <c r="BY20" s="7">
        <v>4.6794000000000002</v>
      </c>
      <c r="BZ20" s="7">
        <v>5.6532</v>
      </c>
      <c r="CA20" s="7">
        <v>4.6271000000000004</v>
      </c>
      <c r="CB20" s="7">
        <v>3.1051000000000002</v>
      </c>
      <c r="CC20" s="7">
        <v>3.0222000000000002</v>
      </c>
      <c r="CD20" s="7">
        <v>3.5028000000000001</v>
      </c>
      <c r="CE20" s="7">
        <v>3.5291000000000001</v>
      </c>
      <c r="CF20" s="7">
        <v>3.4925000000000002</v>
      </c>
      <c r="CG20" s="7">
        <v>3.7404999999999999</v>
      </c>
      <c r="CH20" s="7">
        <v>3.7978000000000001</v>
      </c>
      <c r="CI20" s="7" t="s">
        <v>72</v>
      </c>
      <c r="CK20" s="7">
        <v>14101.233099999999</v>
      </c>
      <c r="CL20" s="7">
        <v>14228.6263</v>
      </c>
      <c r="CM20" s="7">
        <v>14702.051799999999</v>
      </c>
      <c r="CN20" s="7">
        <v>9762.9524999999994</v>
      </c>
      <c r="CO20" s="7">
        <v>9656.3045000000002</v>
      </c>
      <c r="CP20" s="7">
        <v>15658.493700000001</v>
      </c>
      <c r="CQ20" s="7">
        <v>15824.1525</v>
      </c>
      <c r="CR20" s="7">
        <v>14259.033100000001</v>
      </c>
      <c r="CS20" s="7">
        <v>11137.288500000001</v>
      </c>
      <c r="CT20" s="7">
        <v>11356.862999999999</v>
      </c>
      <c r="CU20" s="7">
        <v>11550.1507</v>
      </c>
      <c r="CV20" s="7">
        <v>11793.2817</v>
      </c>
      <c r="CW20" s="7">
        <v>11296.8127</v>
      </c>
      <c r="CX20" s="7">
        <v>12121.16</v>
      </c>
      <c r="CY20" s="7">
        <v>11133.2724</v>
      </c>
      <c r="CZ20" s="7" t="s">
        <v>72</v>
      </c>
      <c r="DB20" s="7" t="s">
        <v>72</v>
      </c>
      <c r="DC20" s="7" t="s">
        <v>72</v>
      </c>
      <c r="DD20" s="7" t="s">
        <v>72</v>
      </c>
      <c r="DE20" s="7" t="s">
        <v>72</v>
      </c>
      <c r="DF20" s="7">
        <v>6.0293000000000001</v>
      </c>
      <c r="DG20" s="7">
        <v>9.8637999999999995</v>
      </c>
      <c r="DH20" s="7">
        <v>10.0799</v>
      </c>
      <c r="DI20" s="7">
        <v>7.7252000000000001</v>
      </c>
      <c r="DJ20" s="7">
        <v>5.2295999999999996</v>
      </c>
      <c r="DK20" s="7">
        <v>4.8525999999999998</v>
      </c>
      <c r="DL20" s="7">
        <v>5.0970000000000004</v>
      </c>
      <c r="DM20" s="7">
        <v>5.3601999999999999</v>
      </c>
      <c r="DN20" s="7">
        <v>5.1165000000000003</v>
      </c>
      <c r="DO20" s="7">
        <v>5.5971000000000002</v>
      </c>
      <c r="DP20" s="7">
        <v>5.3268000000000004</v>
      </c>
      <c r="DQ20" s="7" t="s">
        <v>72</v>
      </c>
      <c r="DS20" s="7">
        <v>2.4291</v>
      </c>
      <c r="DT20" s="7">
        <v>2.8045999999999998</v>
      </c>
      <c r="DU20" s="7">
        <v>2.7625000000000002</v>
      </c>
      <c r="DV20" s="7">
        <v>2.1886999999999999</v>
      </c>
      <c r="DW20" s="7">
        <v>2.0619999999999998</v>
      </c>
      <c r="DX20" s="7">
        <v>3.3980000000000001</v>
      </c>
      <c r="DY20" s="7">
        <v>3.6478000000000002</v>
      </c>
      <c r="DZ20" s="7">
        <v>2.8332000000000002</v>
      </c>
      <c r="EA20" s="7">
        <v>1.8431</v>
      </c>
      <c r="EB20" s="7">
        <v>1.6821000000000002</v>
      </c>
      <c r="EC20" s="7">
        <v>1.7433000000000001</v>
      </c>
      <c r="ED20" s="7">
        <v>1.8065</v>
      </c>
      <c r="EE20" s="7">
        <v>1.7673999999999999</v>
      </c>
      <c r="EF20" s="7">
        <v>1.9295</v>
      </c>
      <c r="EG20" s="7">
        <v>1.7985</v>
      </c>
      <c r="EH20" s="7" t="s">
        <v>72</v>
      </c>
      <c r="EJ20" s="7">
        <v>10.4527</v>
      </c>
      <c r="EK20" s="7">
        <v>11.8301</v>
      </c>
      <c r="EL20" s="7">
        <v>10.243399999999999</v>
      </c>
      <c r="EM20" s="7">
        <v>20.2746</v>
      </c>
      <c r="EN20" s="7">
        <v>40.817900000000002</v>
      </c>
      <c r="EO20" s="7">
        <v>30.596299999999999</v>
      </c>
      <c r="EP20" s="7">
        <v>43.723199999999999</v>
      </c>
      <c r="EQ20" s="7">
        <v>14.0304</v>
      </c>
      <c r="ER20" s="7" t="s">
        <v>72</v>
      </c>
      <c r="ES20" s="7" t="s">
        <v>72</v>
      </c>
      <c r="ET20" s="7" t="s">
        <v>72</v>
      </c>
      <c r="EU20" s="7" t="s">
        <v>72</v>
      </c>
      <c r="EV20" s="7">
        <v>12.9276</v>
      </c>
      <c r="EW20" s="7" t="s">
        <v>72</v>
      </c>
      <c r="EX20" s="7" t="s">
        <v>72</v>
      </c>
      <c r="EY20" s="7" t="s">
        <v>72</v>
      </c>
      <c r="FA20" s="7">
        <v>4.7629999999999999</v>
      </c>
      <c r="FB20" s="7">
        <v>4.0254000000000003</v>
      </c>
      <c r="FC20" s="7">
        <v>4.4351000000000003</v>
      </c>
      <c r="FD20" s="7">
        <v>1.3452999999999999</v>
      </c>
      <c r="FE20" s="7">
        <v>1.5665</v>
      </c>
      <c r="FF20" s="7">
        <v>1.5859999999999999</v>
      </c>
      <c r="FG20" s="7">
        <v>1.8681999999999999</v>
      </c>
      <c r="FH20" s="7">
        <v>1.6476999999999999</v>
      </c>
      <c r="FI20" s="7" t="s">
        <v>72</v>
      </c>
      <c r="FJ20" s="7" t="s">
        <v>72</v>
      </c>
      <c r="FK20" s="7" t="s">
        <v>72</v>
      </c>
      <c r="FL20" s="7" t="s">
        <v>72</v>
      </c>
      <c r="FM20" s="7">
        <v>1.319</v>
      </c>
      <c r="FN20" s="7" t="s">
        <v>72</v>
      </c>
      <c r="FO20" s="7" t="s">
        <v>72</v>
      </c>
      <c r="FP20" s="7">
        <v>1.4363000000000001</v>
      </c>
      <c r="FR20" s="7">
        <v>1449.5165</v>
      </c>
      <c r="FS20" s="7">
        <v>2137</v>
      </c>
      <c r="FT20" s="7">
        <v>2001.6</v>
      </c>
      <c r="FU20" s="7">
        <v>6247.3</v>
      </c>
      <c r="FV20" s="7">
        <v>4764.7326999999996</v>
      </c>
      <c r="FW20" s="7">
        <v>4493.7</v>
      </c>
      <c r="FX20" s="7">
        <v>3505.1</v>
      </c>
      <c r="FY20" s="7">
        <v>3203.5178999999998</v>
      </c>
      <c r="FZ20" s="7">
        <v>4930.0123999999996</v>
      </c>
      <c r="GA20" s="7">
        <v>4060</v>
      </c>
      <c r="GB20" s="7">
        <v>2979.7</v>
      </c>
      <c r="GC20" s="7">
        <v>3487.4</v>
      </c>
      <c r="GD20" s="7">
        <v>2507.0992000000001</v>
      </c>
      <c r="GE20" s="7">
        <v>2936</v>
      </c>
      <c r="GF20" s="7">
        <v>2979.7</v>
      </c>
      <c r="GG20" s="7" t="s">
        <v>72</v>
      </c>
      <c r="GI20" s="7">
        <v>2387.4465</v>
      </c>
      <c r="GJ20" s="7">
        <v>2698.8</v>
      </c>
      <c r="GK20" s="7">
        <v>2667.1</v>
      </c>
      <c r="GL20" s="7">
        <v>5694.3</v>
      </c>
      <c r="GM20" s="7">
        <v>4609.1450999999997</v>
      </c>
      <c r="GN20" s="7">
        <v>5244.3</v>
      </c>
      <c r="GO20" s="7">
        <v>4100.8</v>
      </c>
      <c r="GP20" s="7">
        <v>3780.0949999999998</v>
      </c>
      <c r="GQ20" s="7">
        <v>3742.1727999999998</v>
      </c>
      <c r="GR20" s="7">
        <v>3530</v>
      </c>
      <c r="GS20" s="7">
        <v>2594.3000000000002</v>
      </c>
      <c r="GT20" s="7">
        <v>2990.5</v>
      </c>
      <c r="GU20" s="7">
        <v>2854.0443</v>
      </c>
      <c r="GV20" s="7">
        <v>3058.2</v>
      </c>
      <c r="GW20" s="7">
        <v>2594.3000000000002</v>
      </c>
      <c r="GX20" s="7" t="s">
        <v>72</v>
      </c>
      <c r="GZ20" s="7" t="s">
        <v>72</v>
      </c>
      <c r="HA20" s="7">
        <v>359.4</v>
      </c>
      <c r="HB20" s="7">
        <v>645.79999999999995</v>
      </c>
      <c r="HC20" s="7">
        <v>364</v>
      </c>
      <c r="HD20" s="7">
        <v>232.37540000000001</v>
      </c>
      <c r="HE20" s="7">
        <v>345.3</v>
      </c>
      <c r="HF20" s="7">
        <v>628.20000000000005</v>
      </c>
      <c r="HG20" s="7">
        <v>639.9</v>
      </c>
      <c r="HH20" s="7">
        <v>516.26620000000003</v>
      </c>
      <c r="HI20" s="7">
        <v>556</v>
      </c>
      <c r="HJ20" s="7">
        <v>553.9</v>
      </c>
      <c r="HK20" s="7">
        <v>574</v>
      </c>
      <c r="HL20" s="7">
        <v>524.03210000000001</v>
      </c>
      <c r="HM20" s="7">
        <v>513.70000000000005</v>
      </c>
      <c r="HN20" s="7">
        <v>478.3</v>
      </c>
      <c r="HO20" s="7" t="s">
        <v>72</v>
      </c>
      <c r="HQ20" s="228">
        <v>7.4585999999999997</v>
      </c>
      <c r="HR20" s="228">
        <v>7.2892999999999999</v>
      </c>
      <c r="HS20" s="228">
        <v>8.7288999999999994</v>
      </c>
      <c r="HT20" s="228">
        <v>8.5761000000000003</v>
      </c>
      <c r="HU20" s="228">
        <v>7.1652000000000005</v>
      </c>
      <c r="HV20" s="228">
        <v>6.6730999999999998</v>
      </c>
      <c r="HW20" s="228">
        <v>6.5318000000000005</v>
      </c>
      <c r="HX20" s="228">
        <v>5.6299000000000001</v>
      </c>
      <c r="HY20" s="228">
        <v>6.4733000000000001</v>
      </c>
      <c r="HZ20" s="228">
        <v>6.7033000000000005</v>
      </c>
      <c r="IA20" s="228">
        <v>6.7747999999999999</v>
      </c>
      <c r="IB20" s="228">
        <v>6.3288000000000002</v>
      </c>
      <c r="IC20" s="228">
        <v>6.0407000000000002</v>
      </c>
      <c r="ID20" s="228">
        <v>6.0693000000000001</v>
      </c>
      <c r="IE20" s="228">
        <v>7.3448000000000002</v>
      </c>
      <c r="IF20" s="228" t="s">
        <v>72</v>
      </c>
    </row>
    <row r="21" spans="1:240">
      <c r="A21" s="11" t="s">
        <v>32</v>
      </c>
      <c r="B21" s="7" t="s">
        <v>11</v>
      </c>
      <c r="D21" s="7">
        <v>10465.753500000001</v>
      </c>
      <c r="E21" s="7">
        <v>10099.3703</v>
      </c>
      <c r="F21" s="7">
        <v>10604.7464</v>
      </c>
      <c r="G21" s="7">
        <v>10863.397999999999</v>
      </c>
      <c r="H21" s="7">
        <v>14030.8213</v>
      </c>
      <c r="I21" s="7">
        <v>15128.6774</v>
      </c>
      <c r="J21" s="7">
        <v>16424.7225</v>
      </c>
      <c r="K21" s="7">
        <v>13502.830099999999</v>
      </c>
      <c r="L21" s="7">
        <v>14841.9691</v>
      </c>
      <c r="M21" s="7">
        <v>17623.490000000002</v>
      </c>
      <c r="N21" s="7">
        <v>16467.780999999999</v>
      </c>
      <c r="O21" s="7">
        <v>18168.755399999998</v>
      </c>
      <c r="P21" s="7">
        <v>18194.743299999998</v>
      </c>
      <c r="Q21" s="7">
        <v>21907.0311</v>
      </c>
      <c r="R21" s="7">
        <v>24369.8577</v>
      </c>
      <c r="S21" s="7" t="s">
        <v>72</v>
      </c>
      <c r="U21" s="7">
        <v>11412</v>
      </c>
      <c r="V21" s="7">
        <v>10933</v>
      </c>
      <c r="W21" s="7">
        <v>10229</v>
      </c>
      <c r="X21" s="7">
        <v>10110</v>
      </c>
      <c r="Y21" s="7">
        <v>9542</v>
      </c>
      <c r="Z21" s="7">
        <v>9486</v>
      </c>
      <c r="AA21" s="7" t="e">
        <v>#NAME?</v>
      </c>
      <c r="AB21" s="7">
        <v>9028</v>
      </c>
      <c r="AC21" s="7">
        <v>8362</v>
      </c>
      <c r="AD21" s="7">
        <v>9642</v>
      </c>
      <c r="AE21" s="7">
        <v>9666</v>
      </c>
      <c r="AF21" s="7">
        <v>9415</v>
      </c>
      <c r="AG21" s="7">
        <v>8515</v>
      </c>
      <c r="AH21" s="7">
        <v>8558</v>
      </c>
      <c r="AI21" s="7">
        <v>8743</v>
      </c>
      <c r="AJ21" s="7" t="s">
        <v>72</v>
      </c>
      <c r="AL21" s="7" t="s">
        <v>72</v>
      </c>
      <c r="AM21" s="7">
        <v>7687</v>
      </c>
      <c r="AN21" s="7" t="s">
        <v>72</v>
      </c>
      <c r="AO21" s="7" t="s">
        <v>72</v>
      </c>
      <c r="AP21" s="7" t="s">
        <v>72</v>
      </c>
      <c r="AQ21" s="7">
        <v>7192</v>
      </c>
      <c r="AR21" s="7" t="s">
        <v>72</v>
      </c>
      <c r="AS21" s="7" t="s">
        <v>72</v>
      </c>
      <c r="AT21" s="7" t="s">
        <v>72</v>
      </c>
      <c r="AU21" s="7">
        <v>7593</v>
      </c>
      <c r="AV21" s="7" t="s">
        <v>72</v>
      </c>
      <c r="AW21" s="7" t="s">
        <v>72</v>
      </c>
      <c r="AX21" s="7" t="s">
        <v>72</v>
      </c>
      <c r="AY21" s="7">
        <v>7182</v>
      </c>
      <c r="AZ21" s="7" t="s">
        <v>72</v>
      </c>
      <c r="BA21" s="7" t="s">
        <v>72</v>
      </c>
      <c r="BC21" s="7">
        <v>0.80820000000000003</v>
      </c>
      <c r="BD21" s="7">
        <v>0.98980000000000001</v>
      </c>
      <c r="BE21" s="7">
        <v>2.9003999999999999</v>
      </c>
      <c r="BF21" s="7">
        <v>3.1497999999999999</v>
      </c>
      <c r="BG21" s="7">
        <v>3.1324999999999998</v>
      </c>
      <c r="BH21" s="7">
        <v>4.1967999999999996</v>
      </c>
      <c r="BI21" s="7">
        <v>4.0759999999999996</v>
      </c>
      <c r="BJ21" s="7">
        <v>4.24</v>
      </c>
      <c r="BK21" s="7">
        <v>4.6745999999999999</v>
      </c>
      <c r="BL21" s="7">
        <v>2.4355000000000002</v>
      </c>
      <c r="BM21" s="7">
        <v>4.2384000000000004</v>
      </c>
      <c r="BN21" s="7">
        <v>3.9655</v>
      </c>
      <c r="BO21" s="7">
        <v>4.0888</v>
      </c>
      <c r="BP21" s="7">
        <v>6.4966999999999997</v>
      </c>
      <c r="BQ21" s="7">
        <v>4.9866000000000001</v>
      </c>
      <c r="BR21" s="7" t="s">
        <v>72</v>
      </c>
      <c r="BT21" s="7">
        <v>2.8452000000000002</v>
      </c>
      <c r="BU21" s="7">
        <v>1.9569000000000001</v>
      </c>
      <c r="BV21" s="7">
        <v>1.8071999999999999</v>
      </c>
      <c r="BW21" s="7">
        <v>1.7422</v>
      </c>
      <c r="BX21" s="7">
        <v>1.617</v>
      </c>
      <c r="BY21" s="7">
        <v>1.6116000000000001</v>
      </c>
      <c r="BZ21" s="7">
        <v>1.5663</v>
      </c>
      <c r="CA21" s="7">
        <v>1.5131999999999999</v>
      </c>
      <c r="CB21" s="7">
        <v>1.3923000000000001</v>
      </c>
      <c r="CC21" s="7">
        <v>1.7053</v>
      </c>
      <c r="CD21" s="7">
        <v>1.7048000000000001</v>
      </c>
      <c r="CE21" s="7">
        <v>1.6852</v>
      </c>
      <c r="CF21" s="7">
        <v>1.5594999999999999</v>
      </c>
      <c r="CG21" s="7">
        <v>1.4421999999999999</v>
      </c>
      <c r="CH21" s="7">
        <v>1.4763999999999999</v>
      </c>
      <c r="CI21" s="7" t="s">
        <v>72</v>
      </c>
      <c r="CK21" s="7">
        <v>21900.753499999999</v>
      </c>
      <c r="CL21" s="7">
        <v>21056.370299999999</v>
      </c>
      <c r="CM21" s="7">
        <v>20852.7464</v>
      </c>
      <c r="CN21" s="7">
        <v>20997.398000000001</v>
      </c>
      <c r="CO21" s="7">
        <v>23596.8213</v>
      </c>
      <c r="CP21" s="7">
        <v>24640.6774</v>
      </c>
      <c r="CQ21" s="7">
        <v>25728.7225</v>
      </c>
      <c r="CR21" s="7">
        <v>22542.830099999999</v>
      </c>
      <c r="CS21" s="7">
        <v>23213.969099999998</v>
      </c>
      <c r="CT21" s="7">
        <v>27265.49</v>
      </c>
      <c r="CU21" s="7">
        <v>26133.780999999999</v>
      </c>
      <c r="CV21" s="7">
        <v>27593.755399999998</v>
      </c>
      <c r="CW21" s="7">
        <v>26719.743299999998</v>
      </c>
      <c r="CX21" s="7">
        <v>30465.0311</v>
      </c>
      <c r="CY21" s="7">
        <v>33112.8577</v>
      </c>
      <c r="CZ21" s="7" t="s">
        <v>72</v>
      </c>
      <c r="DB21" s="7">
        <v>5.4602000000000004</v>
      </c>
      <c r="DC21" s="7">
        <v>3.7688000000000001</v>
      </c>
      <c r="DD21" s="7">
        <v>3.6842000000000001</v>
      </c>
      <c r="DE21" s="7">
        <v>3.6183999999999998</v>
      </c>
      <c r="DF21" s="7">
        <v>3.9988000000000001</v>
      </c>
      <c r="DG21" s="7">
        <v>4.1863000000000001</v>
      </c>
      <c r="DH21" s="7">
        <v>4.3438999999999997</v>
      </c>
      <c r="DI21" s="7">
        <v>3.7786</v>
      </c>
      <c r="DJ21" s="7">
        <v>3.8651</v>
      </c>
      <c r="DK21" s="7">
        <v>4.8223000000000003</v>
      </c>
      <c r="DL21" s="7">
        <v>4.6090999999999998</v>
      </c>
      <c r="DM21" s="7">
        <v>4.9389000000000003</v>
      </c>
      <c r="DN21" s="7">
        <v>4.8936999999999999</v>
      </c>
      <c r="DO21" s="7">
        <v>5.1340000000000003</v>
      </c>
      <c r="DP21" s="7">
        <v>5.5914999999999999</v>
      </c>
      <c r="DQ21" s="7" t="s">
        <v>72</v>
      </c>
      <c r="DS21" s="7">
        <v>1.0441</v>
      </c>
      <c r="DT21" s="7">
        <v>1.0069999999999999</v>
      </c>
      <c r="DU21" s="7">
        <v>1.0083</v>
      </c>
      <c r="DV21" s="7">
        <v>1.0198</v>
      </c>
      <c r="DW21" s="7">
        <v>1.1551</v>
      </c>
      <c r="DX21" s="7">
        <v>1.2274</v>
      </c>
      <c r="DY21" s="7">
        <v>1.2972000000000001</v>
      </c>
      <c r="DZ21" s="7">
        <v>1.1414</v>
      </c>
      <c r="EA21" s="7">
        <v>1.1913</v>
      </c>
      <c r="EB21" s="7">
        <v>1.4121999999999999</v>
      </c>
      <c r="EC21" s="7">
        <v>1.3721000000000001</v>
      </c>
      <c r="ED21" s="7">
        <v>1.4882</v>
      </c>
      <c r="EE21" s="7">
        <v>1.474</v>
      </c>
      <c r="EF21" s="7">
        <v>1.6890000000000001</v>
      </c>
      <c r="EG21" s="7">
        <v>1.8414000000000001</v>
      </c>
      <c r="EH21" s="7" t="s">
        <v>72</v>
      </c>
      <c r="EJ21" s="7" t="s">
        <v>72</v>
      </c>
      <c r="EK21" s="7">
        <v>9.3285999999999998</v>
      </c>
      <c r="EL21" s="7">
        <v>9.1522000000000006</v>
      </c>
      <c r="EM21" s="7">
        <v>10.1562</v>
      </c>
      <c r="EN21" s="7">
        <v>11.3108</v>
      </c>
      <c r="EO21" s="7">
        <v>9.5765999999999991</v>
      </c>
      <c r="EP21" s="7">
        <v>9.7433999999999994</v>
      </c>
      <c r="EQ21" s="7">
        <v>7.9024000000000001</v>
      </c>
      <c r="ER21" s="7" t="s">
        <v>72</v>
      </c>
      <c r="ES21" s="7" t="s">
        <v>72</v>
      </c>
      <c r="ET21" s="7" t="s">
        <v>72</v>
      </c>
      <c r="EU21" s="7" t="s">
        <v>72</v>
      </c>
      <c r="EV21" s="7">
        <v>8.6373999999999995</v>
      </c>
      <c r="EW21" s="7" t="s">
        <v>72</v>
      </c>
      <c r="EX21" s="7" t="s">
        <v>72</v>
      </c>
      <c r="EY21" s="7" t="s">
        <v>72</v>
      </c>
      <c r="FA21" s="7" t="s">
        <v>72</v>
      </c>
      <c r="FB21" s="7" t="s">
        <v>72</v>
      </c>
      <c r="FC21" s="7" t="s">
        <v>72</v>
      </c>
      <c r="FD21" s="7" t="s">
        <v>72</v>
      </c>
      <c r="FE21" s="7">
        <v>26.523299999999999</v>
      </c>
      <c r="FF21" s="7">
        <v>7.8590999999999998</v>
      </c>
      <c r="FG21" s="7">
        <v>8.3459000000000003</v>
      </c>
      <c r="FH21" s="7">
        <v>9.1793999999999993</v>
      </c>
      <c r="FI21" s="7" t="s">
        <v>72</v>
      </c>
      <c r="FJ21" s="7" t="s">
        <v>72</v>
      </c>
      <c r="FK21" s="7" t="s">
        <v>72</v>
      </c>
      <c r="FL21" s="7" t="s">
        <v>72</v>
      </c>
      <c r="FM21" s="7" t="s">
        <v>72</v>
      </c>
      <c r="FN21" s="7" t="s">
        <v>72</v>
      </c>
      <c r="FO21" s="7" t="s">
        <v>72</v>
      </c>
      <c r="FP21" s="7">
        <v>43.880600000000001</v>
      </c>
      <c r="FR21" s="7">
        <v>305</v>
      </c>
      <c r="FS21" s="7">
        <v>1452</v>
      </c>
      <c r="FT21" s="7">
        <v>242</v>
      </c>
      <c r="FU21" s="7">
        <v>274</v>
      </c>
      <c r="FV21" s="7">
        <v>266</v>
      </c>
      <c r="FW21" s="7">
        <v>351</v>
      </c>
      <c r="FX21" s="7">
        <v>231</v>
      </c>
      <c r="FY21" s="7">
        <v>350</v>
      </c>
      <c r="FZ21" s="7">
        <v>283</v>
      </c>
      <c r="GA21" s="7">
        <v>331</v>
      </c>
      <c r="GB21" s="7">
        <v>334</v>
      </c>
      <c r="GC21" s="7">
        <v>311</v>
      </c>
      <c r="GD21" s="7">
        <v>540</v>
      </c>
      <c r="GE21" s="7">
        <v>924</v>
      </c>
      <c r="GF21" s="7">
        <v>353</v>
      </c>
      <c r="GG21" s="7" t="s">
        <v>72</v>
      </c>
      <c r="GI21" s="7">
        <v>-3594</v>
      </c>
      <c r="GJ21" s="7">
        <v>-2626</v>
      </c>
      <c r="GK21" s="7">
        <v>-2258</v>
      </c>
      <c r="GL21" s="7">
        <v>-318</v>
      </c>
      <c r="GM21" s="7">
        <v>553</v>
      </c>
      <c r="GN21" s="7">
        <v>1951</v>
      </c>
      <c r="GO21" s="7">
        <v>1995</v>
      </c>
      <c r="GP21" s="7">
        <v>1483</v>
      </c>
      <c r="GQ21" s="7">
        <v>323</v>
      </c>
      <c r="GR21" s="7">
        <v>1308</v>
      </c>
      <c r="GS21" s="7">
        <v>1718</v>
      </c>
      <c r="GT21" s="7">
        <v>577</v>
      </c>
      <c r="GU21" s="7">
        <v>-228</v>
      </c>
      <c r="GV21" s="7">
        <v>-262</v>
      </c>
      <c r="GW21" s="7">
        <v>615</v>
      </c>
      <c r="GX21" s="7" t="s">
        <v>72</v>
      </c>
      <c r="GZ21" s="7">
        <v>1386</v>
      </c>
      <c r="HA21" s="7">
        <v>1566</v>
      </c>
      <c r="HB21" s="7">
        <v>1399</v>
      </c>
      <c r="HC21" s="7">
        <v>1452</v>
      </c>
      <c r="HD21" s="7">
        <v>1484</v>
      </c>
      <c r="HE21" s="7">
        <v>1551</v>
      </c>
      <c r="HF21" s="7">
        <v>1436</v>
      </c>
      <c r="HG21" s="7">
        <v>1495</v>
      </c>
      <c r="HH21" s="7">
        <v>1524</v>
      </c>
      <c r="HI21" s="7">
        <v>1199</v>
      </c>
      <c r="HJ21" s="7">
        <v>1452</v>
      </c>
      <c r="HK21" s="7">
        <v>1412</v>
      </c>
      <c r="HL21" s="7">
        <v>1397</v>
      </c>
      <c r="HM21" s="7">
        <v>1673</v>
      </c>
      <c r="HN21" s="7">
        <v>1440</v>
      </c>
      <c r="HO21" s="7" t="s">
        <v>72</v>
      </c>
      <c r="HQ21" s="228">
        <v>6.2939999999999996</v>
      </c>
      <c r="HR21" s="228">
        <v>7.6182999999999996</v>
      </c>
      <c r="HS21" s="228">
        <v>9.3204999999999991</v>
      </c>
      <c r="HT21" s="228">
        <v>8.7264999999999997</v>
      </c>
      <c r="HU21" s="228">
        <v>12.158099999999999</v>
      </c>
      <c r="HV21" s="228">
        <v>11.8354</v>
      </c>
      <c r="HW21" s="228">
        <v>10.957000000000001</v>
      </c>
      <c r="HX21" s="228">
        <v>9.4048999999999996</v>
      </c>
      <c r="HY21" s="228">
        <v>7.9688999999999997</v>
      </c>
      <c r="HZ21" s="228">
        <v>8.4113000000000007</v>
      </c>
      <c r="IA21" s="228">
        <v>7.0164</v>
      </c>
      <c r="IB21" s="228">
        <v>7.1776</v>
      </c>
      <c r="IC21" s="228">
        <v>7.0678999999999998</v>
      </c>
      <c r="ID21" s="228">
        <v>7.6516000000000002</v>
      </c>
      <c r="IE21" s="228">
        <v>8.2772000000000006</v>
      </c>
      <c r="IF21" s="228" t="s">
        <v>72</v>
      </c>
    </row>
    <row r="22" spans="1:240">
      <c r="A22" s="11" t="s">
        <v>32</v>
      </c>
      <c r="B22" s="7" t="s">
        <v>17</v>
      </c>
      <c r="D22" s="7" t="s">
        <v>72</v>
      </c>
      <c r="E22" s="7">
        <v>80047.964600000007</v>
      </c>
      <c r="F22" s="7" t="s">
        <v>72</v>
      </c>
      <c r="G22" s="7">
        <v>82452.159799999994</v>
      </c>
      <c r="H22" s="7" t="s">
        <v>72</v>
      </c>
      <c r="I22" s="7">
        <v>91034.333100000003</v>
      </c>
      <c r="J22" s="7" t="s">
        <v>72</v>
      </c>
      <c r="K22" s="7">
        <v>83849.051999999996</v>
      </c>
      <c r="L22" s="7" t="s">
        <v>72</v>
      </c>
      <c r="M22" s="7">
        <v>85490.308999999994</v>
      </c>
      <c r="N22" s="7" t="s">
        <v>72</v>
      </c>
      <c r="O22" s="7">
        <v>86431.844700000001</v>
      </c>
      <c r="P22" s="7" t="s">
        <v>72</v>
      </c>
      <c r="Q22" s="7">
        <v>91282.142099999997</v>
      </c>
      <c r="R22" s="7" t="s">
        <v>72</v>
      </c>
      <c r="S22" s="7" t="s">
        <v>72</v>
      </c>
      <c r="U22" s="7" t="s">
        <v>72</v>
      </c>
      <c r="V22" s="7">
        <v>32421</v>
      </c>
      <c r="W22" s="7" t="s">
        <v>72</v>
      </c>
      <c r="X22" s="7">
        <v>32473</v>
      </c>
      <c r="Y22" s="7" t="s">
        <v>72</v>
      </c>
      <c r="Z22" s="7">
        <v>31420</v>
      </c>
      <c r="AA22" s="7" t="s">
        <v>72</v>
      </c>
      <c r="AB22" s="7">
        <v>28390</v>
      </c>
      <c r="AC22" s="7" t="s">
        <v>72</v>
      </c>
      <c r="AD22" s="7">
        <v>26245</v>
      </c>
      <c r="AE22" s="7" t="s">
        <v>72</v>
      </c>
      <c r="AF22" s="7">
        <v>21017</v>
      </c>
      <c r="AG22" s="7" t="s">
        <v>72</v>
      </c>
      <c r="AH22" s="7">
        <v>28556</v>
      </c>
      <c r="AI22" s="7" t="s">
        <v>72</v>
      </c>
      <c r="AJ22" s="7" t="s">
        <v>72</v>
      </c>
      <c r="AL22" s="7" t="s">
        <v>72</v>
      </c>
      <c r="AM22" s="7">
        <v>6243</v>
      </c>
      <c r="AN22" s="7" t="s">
        <v>72</v>
      </c>
      <c r="AO22" s="7" t="s">
        <v>72</v>
      </c>
      <c r="AP22" s="7" t="s">
        <v>72</v>
      </c>
      <c r="AQ22" s="7">
        <v>6513</v>
      </c>
      <c r="AR22" s="7" t="s">
        <v>72</v>
      </c>
      <c r="AS22" s="7" t="s">
        <v>72</v>
      </c>
      <c r="AT22" s="7" t="s">
        <v>72</v>
      </c>
      <c r="AU22" s="7">
        <v>6141</v>
      </c>
      <c r="AV22" s="7" t="s">
        <v>72</v>
      </c>
      <c r="AW22" s="7" t="s">
        <v>72</v>
      </c>
      <c r="AX22" s="7" t="s">
        <v>72</v>
      </c>
      <c r="AY22" s="7">
        <v>6640</v>
      </c>
      <c r="AZ22" s="7" t="s">
        <v>72</v>
      </c>
      <c r="BA22" s="7" t="s">
        <v>72</v>
      </c>
      <c r="BC22" s="7" t="s">
        <v>72</v>
      </c>
      <c r="BD22" s="7">
        <v>5.6098999999999997</v>
      </c>
      <c r="BE22" s="7" t="s">
        <v>72</v>
      </c>
      <c r="BF22" s="7">
        <v>4.4699</v>
      </c>
      <c r="BG22" s="7" t="s">
        <v>72</v>
      </c>
      <c r="BH22" s="7" t="s">
        <v>72</v>
      </c>
      <c r="BI22" s="7" t="s">
        <v>72</v>
      </c>
      <c r="BJ22" s="7">
        <v>6.5792999999999999</v>
      </c>
      <c r="BK22" s="7" t="s">
        <v>72</v>
      </c>
      <c r="BL22" s="7">
        <v>3.8986999999999998</v>
      </c>
      <c r="BM22" s="7" t="s">
        <v>72</v>
      </c>
      <c r="BN22" s="7">
        <v>3.0954000000000002</v>
      </c>
      <c r="BO22" s="7" t="s">
        <v>72</v>
      </c>
      <c r="BP22" s="7">
        <v>3.7313999999999998</v>
      </c>
      <c r="BQ22" s="7" t="s">
        <v>72</v>
      </c>
      <c r="BR22" s="7" t="s">
        <v>72</v>
      </c>
      <c r="BT22" s="7" t="s">
        <v>72</v>
      </c>
      <c r="BU22" s="7">
        <v>2.1877</v>
      </c>
      <c r="BV22" s="7" t="s">
        <v>72</v>
      </c>
      <c r="BW22" s="7">
        <v>2.2252000000000001</v>
      </c>
      <c r="BX22" s="7" t="s">
        <v>72</v>
      </c>
      <c r="BY22" s="7">
        <v>2.1421000000000001</v>
      </c>
      <c r="BZ22" s="7" t="s">
        <v>72</v>
      </c>
      <c r="CA22" s="7">
        <v>1.5554999999999999</v>
      </c>
      <c r="CB22" s="7" t="s">
        <v>72</v>
      </c>
      <c r="CC22" s="7">
        <v>1.4409000000000001</v>
      </c>
      <c r="CD22" s="7" t="s">
        <v>72</v>
      </c>
      <c r="CE22" s="7">
        <v>1.5112999999999999</v>
      </c>
      <c r="CF22" s="7" t="s">
        <v>72</v>
      </c>
      <c r="CG22" s="7">
        <v>2.0745</v>
      </c>
      <c r="CH22" s="7" t="s">
        <v>72</v>
      </c>
      <c r="CI22" s="7" t="s">
        <v>72</v>
      </c>
      <c r="CK22" s="7" t="s">
        <v>72</v>
      </c>
      <c r="CL22" s="7">
        <v>112897.96460000001</v>
      </c>
      <c r="CM22" s="7" t="s">
        <v>72</v>
      </c>
      <c r="CN22" s="7">
        <v>115101.15979999999</v>
      </c>
      <c r="CO22" s="7" t="s">
        <v>72</v>
      </c>
      <c r="CP22" s="7">
        <v>122460.3331</v>
      </c>
      <c r="CQ22" s="7" t="s">
        <v>72</v>
      </c>
      <c r="CR22" s="7">
        <v>113603.052</v>
      </c>
      <c r="CS22" s="7" t="s">
        <v>72</v>
      </c>
      <c r="CT22" s="7">
        <v>113002.30899999999</v>
      </c>
      <c r="CU22" s="7" t="s">
        <v>72</v>
      </c>
      <c r="CV22" s="7">
        <v>108485.8447</v>
      </c>
      <c r="CW22" s="7" t="s">
        <v>72</v>
      </c>
      <c r="CX22" s="7">
        <v>120849.1421</v>
      </c>
      <c r="CY22" s="7" t="s">
        <v>72</v>
      </c>
      <c r="CZ22" s="7" t="s">
        <v>72</v>
      </c>
      <c r="DB22" s="7" t="s">
        <v>72</v>
      </c>
      <c r="DC22" s="7">
        <v>7.6178999999999997</v>
      </c>
      <c r="DD22" s="7" t="s">
        <v>72</v>
      </c>
      <c r="DE22" s="7">
        <v>7.8873999999999995</v>
      </c>
      <c r="DF22" s="7" t="s">
        <v>72</v>
      </c>
      <c r="DG22" s="7">
        <v>8.3488000000000007</v>
      </c>
      <c r="DH22" s="7" t="s">
        <v>72</v>
      </c>
      <c r="DI22" s="7">
        <v>6.2244999999999999</v>
      </c>
      <c r="DJ22" s="7" t="s">
        <v>72</v>
      </c>
      <c r="DK22" s="7">
        <v>6.2041000000000004</v>
      </c>
      <c r="DL22" s="7" t="s">
        <v>72</v>
      </c>
      <c r="DM22" s="7">
        <v>7.8007999999999997</v>
      </c>
      <c r="DN22" s="7" t="s">
        <v>72</v>
      </c>
      <c r="DO22" s="7">
        <v>8.7795000000000005</v>
      </c>
      <c r="DP22" s="7" t="s">
        <v>72</v>
      </c>
      <c r="DQ22" s="7" t="s">
        <v>72</v>
      </c>
      <c r="DS22" s="7" t="s">
        <v>72</v>
      </c>
      <c r="DT22" s="7">
        <v>2.5385999999999997</v>
      </c>
      <c r="DU22" s="7" t="s">
        <v>72</v>
      </c>
      <c r="DV22" s="7">
        <v>2.5400999999999998</v>
      </c>
      <c r="DW22" s="7" t="s">
        <v>72</v>
      </c>
      <c r="DX22" s="7">
        <v>2.6688999999999998</v>
      </c>
      <c r="DY22" s="7" t="s">
        <v>72</v>
      </c>
      <c r="DZ22" s="7">
        <v>2.4274</v>
      </c>
      <c r="EA22" s="7" t="s">
        <v>72</v>
      </c>
      <c r="EB22" s="7">
        <v>2.4344999999999999</v>
      </c>
      <c r="EC22" s="7" t="s">
        <v>72</v>
      </c>
      <c r="ED22" s="7">
        <v>2.4281999999999999</v>
      </c>
      <c r="EE22" s="7" t="s">
        <v>72</v>
      </c>
      <c r="EF22" s="7">
        <v>2.7191000000000001</v>
      </c>
      <c r="EG22" s="7" t="s">
        <v>72</v>
      </c>
      <c r="EH22" s="7" t="s">
        <v>72</v>
      </c>
      <c r="EJ22" s="7">
        <v>12.8028</v>
      </c>
      <c r="EK22" s="7">
        <v>9.0373999999999999</v>
      </c>
      <c r="EL22" s="7">
        <v>8.2734000000000005</v>
      </c>
      <c r="EM22" s="7">
        <v>7.1159999999999997</v>
      </c>
      <c r="EN22" s="7">
        <v>7.5100999999999996</v>
      </c>
      <c r="EO22" s="7">
        <v>11.3474</v>
      </c>
      <c r="EP22" s="7">
        <v>10.6273</v>
      </c>
      <c r="EQ22" s="7">
        <v>11.6447</v>
      </c>
      <c r="ER22" s="7" t="s">
        <v>72</v>
      </c>
      <c r="ES22" s="7" t="s">
        <v>72</v>
      </c>
      <c r="ET22" s="7" t="s">
        <v>72</v>
      </c>
      <c r="EU22" s="7" t="s">
        <v>72</v>
      </c>
      <c r="EV22" s="7" t="s">
        <v>72</v>
      </c>
      <c r="EW22" s="7" t="s">
        <v>72</v>
      </c>
      <c r="EX22" s="7" t="s">
        <v>72</v>
      </c>
      <c r="EY22" s="7" t="s">
        <v>72</v>
      </c>
      <c r="FA22" s="7">
        <v>0.84160000000000001</v>
      </c>
      <c r="FB22" s="7">
        <v>0.86570000000000003</v>
      </c>
      <c r="FC22" s="7">
        <v>0.79249999999999998</v>
      </c>
      <c r="FD22" s="7">
        <v>0.89190000000000003</v>
      </c>
      <c r="FE22" s="7">
        <v>0.94120000000000004</v>
      </c>
      <c r="FF22" s="7">
        <v>1.0163</v>
      </c>
      <c r="FG22" s="7">
        <v>0.95179999999999998</v>
      </c>
      <c r="FH22" s="7">
        <v>0.9768</v>
      </c>
      <c r="FI22" s="7" t="s">
        <v>72</v>
      </c>
      <c r="FJ22" s="7" t="s">
        <v>72</v>
      </c>
      <c r="FK22" s="7" t="s">
        <v>72</v>
      </c>
      <c r="FL22" s="7" t="s">
        <v>72</v>
      </c>
      <c r="FM22" s="7">
        <v>1.0939000000000001</v>
      </c>
      <c r="FN22" s="7" t="s">
        <v>72</v>
      </c>
      <c r="FO22" s="7" t="s">
        <v>72</v>
      </c>
      <c r="FP22" s="7">
        <v>1.4782999999999999</v>
      </c>
      <c r="FR22" s="7" t="s">
        <v>72</v>
      </c>
      <c r="FS22" s="7">
        <v>4423</v>
      </c>
      <c r="FT22" s="7" t="s">
        <v>72</v>
      </c>
      <c r="FU22" s="7">
        <v>9113</v>
      </c>
      <c r="FV22" s="7" t="s">
        <v>72</v>
      </c>
      <c r="FW22" s="7">
        <v>6252</v>
      </c>
      <c r="FX22" s="7" t="s">
        <v>72</v>
      </c>
      <c r="FY22" s="7">
        <v>6975</v>
      </c>
      <c r="FZ22" s="7" t="s">
        <v>72</v>
      </c>
      <c r="GA22" s="7">
        <v>7138</v>
      </c>
      <c r="GB22" s="7" t="s">
        <v>72</v>
      </c>
      <c r="GC22" s="7">
        <v>4293</v>
      </c>
      <c r="GD22" s="7" t="s">
        <v>72</v>
      </c>
      <c r="GE22" s="7">
        <v>7623</v>
      </c>
      <c r="GF22" s="7" t="s">
        <v>72</v>
      </c>
      <c r="GG22" s="7" t="s">
        <v>72</v>
      </c>
      <c r="GI22" s="7" t="s">
        <v>72</v>
      </c>
      <c r="GJ22" s="7">
        <v>90810</v>
      </c>
      <c r="GK22" s="7" t="s">
        <v>72</v>
      </c>
      <c r="GL22" s="7">
        <v>90543</v>
      </c>
      <c r="GM22" s="7" t="s">
        <v>72</v>
      </c>
      <c r="GN22" s="7">
        <v>87561</v>
      </c>
      <c r="GO22" s="7" t="s">
        <v>72</v>
      </c>
      <c r="GP22" s="7">
        <v>85272</v>
      </c>
      <c r="GQ22" s="7" t="s">
        <v>72</v>
      </c>
      <c r="GR22" s="7">
        <v>78202</v>
      </c>
      <c r="GS22" s="7" t="s">
        <v>72</v>
      </c>
      <c r="GT22" s="7">
        <v>70472</v>
      </c>
      <c r="GU22" s="7" t="s">
        <v>72</v>
      </c>
      <c r="GV22" s="7">
        <v>72488</v>
      </c>
      <c r="GW22" s="7" t="s">
        <v>72</v>
      </c>
      <c r="GX22" s="7" t="s">
        <v>72</v>
      </c>
      <c r="GZ22" s="7" t="s">
        <v>72</v>
      </c>
      <c r="HA22" s="7">
        <v>7248</v>
      </c>
      <c r="HB22" s="7" t="s">
        <v>72</v>
      </c>
      <c r="HC22" s="7">
        <v>7345</v>
      </c>
      <c r="HD22" s="7" t="s">
        <v>72</v>
      </c>
      <c r="HE22" s="7">
        <v>7323</v>
      </c>
      <c r="HF22" s="7" t="s">
        <v>72</v>
      </c>
      <c r="HG22" s="7">
        <v>10928</v>
      </c>
      <c r="HH22" s="7" t="s">
        <v>72</v>
      </c>
      <c r="HI22" s="7">
        <v>7286</v>
      </c>
      <c r="HJ22" s="7" t="s">
        <v>72</v>
      </c>
      <c r="HK22" s="7">
        <v>6621</v>
      </c>
      <c r="HL22" s="7" t="s">
        <v>72</v>
      </c>
      <c r="HM22" s="7">
        <v>7144</v>
      </c>
      <c r="HN22" s="7" t="s">
        <v>72</v>
      </c>
      <c r="HO22" s="7" t="s">
        <v>72</v>
      </c>
      <c r="HQ22" s="228" t="s">
        <v>72</v>
      </c>
      <c r="HR22" s="228">
        <v>9.7568999999999999</v>
      </c>
      <c r="HS22" s="228" t="s">
        <v>72</v>
      </c>
      <c r="HT22" s="228">
        <v>10.6075</v>
      </c>
      <c r="HU22" s="228" t="s">
        <v>72</v>
      </c>
      <c r="HV22" s="228">
        <v>9.4242000000000008</v>
      </c>
      <c r="HW22" s="228" t="s">
        <v>72</v>
      </c>
      <c r="HX22" s="228">
        <v>8.0288000000000004</v>
      </c>
      <c r="HY22" s="228" t="s">
        <v>72</v>
      </c>
      <c r="HZ22" s="228">
        <v>7.2835999999999999</v>
      </c>
      <c r="IA22" s="228" t="s">
        <v>72</v>
      </c>
      <c r="IB22" s="228">
        <v>6.5715000000000003</v>
      </c>
      <c r="IC22" s="228" t="s">
        <v>72</v>
      </c>
      <c r="ID22" s="228">
        <v>6.1025999999999998</v>
      </c>
      <c r="IE22" s="228" t="s">
        <v>72</v>
      </c>
      <c r="IF22" s="228" t="s">
        <v>72</v>
      </c>
    </row>
    <row r="23" spans="1:240">
      <c r="A23" s="11" t="s">
        <v>507</v>
      </c>
      <c r="B23" s="7" t="s">
        <v>10</v>
      </c>
      <c r="D23" s="7">
        <v>232830.2065</v>
      </c>
      <c r="E23" s="7">
        <v>230135.92129999999</v>
      </c>
      <c r="F23" s="7">
        <v>226094.51</v>
      </c>
      <c r="G23" s="7">
        <v>245178.9522</v>
      </c>
      <c r="H23" s="7">
        <v>239341.3695</v>
      </c>
      <c r="I23" s="7">
        <v>236206.1367</v>
      </c>
      <c r="J23" s="7">
        <v>200915.94399999999</v>
      </c>
      <c r="K23" s="7">
        <v>197625.07939999999</v>
      </c>
      <c r="L23" s="7">
        <v>202518.06520000001</v>
      </c>
      <c r="M23" s="7">
        <v>199790.1219</v>
      </c>
      <c r="N23" s="7">
        <v>191043.35019999999</v>
      </c>
      <c r="O23" s="7">
        <v>204726.41880000001</v>
      </c>
      <c r="P23" s="7">
        <v>190783.5355</v>
      </c>
      <c r="Q23" s="7">
        <v>201478.85509999999</v>
      </c>
      <c r="R23" s="7">
        <v>189354.6171</v>
      </c>
      <c r="S23" s="7" t="s">
        <v>72</v>
      </c>
      <c r="U23" s="7">
        <v>49345</v>
      </c>
      <c r="V23" s="7">
        <v>47789</v>
      </c>
      <c r="W23" s="7">
        <v>54688</v>
      </c>
      <c r="X23" s="7">
        <v>49670</v>
      </c>
      <c r="Y23" s="7">
        <v>50092</v>
      </c>
      <c r="Z23" s="7">
        <v>46397</v>
      </c>
      <c r="AA23" s="7">
        <v>69633</v>
      </c>
      <c r="AB23" s="7">
        <v>67997</v>
      </c>
      <c r="AC23" s="7">
        <v>67211</v>
      </c>
      <c r="AD23" s="7">
        <v>76173</v>
      </c>
      <c r="AE23" s="7">
        <v>75552</v>
      </c>
      <c r="AF23" s="7">
        <v>73064</v>
      </c>
      <c r="AG23" s="7">
        <v>61782</v>
      </c>
      <c r="AH23" s="7">
        <v>57715</v>
      </c>
      <c r="AI23" s="7">
        <v>68359</v>
      </c>
      <c r="AJ23" s="7" t="s">
        <v>72</v>
      </c>
      <c r="AL23" s="7">
        <v>8924</v>
      </c>
      <c r="AM23" s="7" t="s">
        <v>72</v>
      </c>
      <c r="AN23" s="7" t="s">
        <v>72</v>
      </c>
      <c r="AO23" s="7" t="s">
        <v>72</v>
      </c>
      <c r="AP23" s="7">
        <v>7985</v>
      </c>
      <c r="AQ23" s="7" t="s">
        <v>72</v>
      </c>
      <c r="AR23" s="7" t="s">
        <v>72</v>
      </c>
      <c r="AS23" s="7" t="s">
        <v>72</v>
      </c>
      <c r="AT23" s="7" t="s">
        <v>72</v>
      </c>
      <c r="AU23" s="7" t="s">
        <v>72</v>
      </c>
      <c r="AV23" s="7" t="s">
        <v>72</v>
      </c>
      <c r="AW23" s="7" t="s">
        <v>72</v>
      </c>
      <c r="AX23" s="7">
        <v>7618</v>
      </c>
      <c r="AY23" s="7" t="s">
        <v>72</v>
      </c>
      <c r="AZ23" s="7" t="s">
        <v>72</v>
      </c>
      <c r="BA23" s="7" t="s">
        <v>72</v>
      </c>
      <c r="BC23" s="7" t="s">
        <v>72</v>
      </c>
      <c r="BD23" s="7" t="s">
        <v>72</v>
      </c>
      <c r="BE23" s="7" t="s">
        <v>72</v>
      </c>
      <c r="BF23" s="7" t="s">
        <v>72</v>
      </c>
      <c r="BG23" s="7" t="s">
        <v>72</v>
      </c>
      <c r="BH23" s="7" t="s">
        <v>72</v>
      </c>
      <c r="BI23" s="7" t="s">
        <v>72</v>
      </c>
      <c r="BJ23" s="7" t="s">
        <v>72</v>
      </c>
      <c r="BK23" s="7" t="s">
        <v>72</v>
      </c>
      <c r="BL23" s="7" t="s">
        <v>72</v>
      </c>
      <c r="BM23" s="7" t="s">
        <v>72</v>
      </c>
      <c r="BN23" s="7" t="s">
        <v>72</v>
      </c>
      <c r="BO23" s="7" t="s">
        <v>72</v>
      </c>
      <c r="BP23" s="7" t="s">
        <v>72</v>
      </c>
      <c r="BQ23" s="7" t="s">
        <v>72</v>
      </c>
      <c r="BR23" s="7" t="s">
        <v>72</v>
      </c>
      <c r="BT23" s="7">
        <v>1.3336000000000001</v>
      </c>
      <c r="BU23" s="7">
        <v>1.2883</v>
      </c>
      <c r="BV23" s="7">
        <v>1.4367000000000001</v>
      </c>
      <c r="BW23" s="7">
        <v>1.2676000000000001</v>
      </c>
      <c r="BX23" s="7">
        <v>1.3294999999999999</v>
      </c>
      <c r="BY23" s="7">
        <v>1.2270000000000001</v>
      </c>
      <c r="BZ23" s="7">
        <v>1.8675999999999999</v>
      </c>
      <c r="CA23" s="7">
        <v>1.8538999999999999</v>
      </c>
      <c r="CB23" s="7">
        <v>1.8115000000000001</v>
      </c>
      <c r="CC23" s="7">
        <v>2.0587</v>
      </c>
      <c r="CD23" s="7">
        <v>2.0291000000000001</v>
      </c>
      <c r="CE23" s="7">
        <v>2.0057</v>
      </c>
      <c r="CF23" s="7">
        <v>1.7643</v>
      </c>
      <c r="CG23" s="7">
        <v>1.6646000000000001</v>
      </c>
      <c r="CH23" s="7">
        <v>2.0158</v>
      </c>
      <c r="CI23" s="7" t="s">
        <v>72</v>
      </c>
      <c r="CK23" s="7">
        <v>289302.20649999997</v>
      </c>
      <c r="CL23" s="7">
        <v>285527.92129999999</v>
      </c>
      <c r="CM23" s="7">
        <v>288184.51</v>
      </c>
      <c r="CN23" s="7">
        <v>302050.9522</v>
      </c>
      <c r="CO23" s="7">
        <v>296191.36949999997</v>
      </c>
      <c r="CP23" s="7">
        <v>289051.13669999997</v>
      </c>
      <c r="CQ23" s="7">
        <v>277424.94400000002</v>
      </c>
      <c r="CR23" s="7">
        <v>273475.07939999999</v>
      </c>
      <c r="CS23" s="7">
        <v>277082.06520000001</v>
      </c>
      <c r="CT23" s="7">
        <v>280641.12190000003</v>
      </c>
      <c r="CU23" s="7">
        <v>270718.35019999999</v>
      </c>
      <c r="CV23" s="7">
        <v>281597.41879999998</v>
      </c>
      <c r="CW23" s="7">
        <v>256521.5355</v>
      </c>
      <c r="CX23" s="7">
        <v>263536.85509999999</v>
      </c>
      <c r="CY23" s="7">
        <v>261752.6171</v>
      </c>
      <c r="CZ23" s="7" t="s">
        <v>72</v>
      </c>
      <c r="DB23" s="7">
        <v>7.819</v>
      </c>
      <c r="DC23" s="7">
        <v>7.6972000000000005</v>
      </c>
      <c r="DD23" s="7">
        <v>7.5711000000000004</v>
      </c>
      <c r="DE23" s="7">
        <v>7.7084999999999999</v>
      </c>
      <c r="DF23" s="7">
        <v>7.8613</v>
      </c>
      <c r="DG23" s="7">
        <v>7.6444000000000001</v>
      </c>
      <c r="DH23" s="7">
        <v>7.4409000000000001</v>
      </c>
      <c r="DI23" s="7">
        <v>7.4561000000000002</v>
      </c>
      <c r="DJ23" s="7">
        <v>7.4679000000000002</v>
      </c>
      <c r="DK23" s="7">
        <v>7.5846999999999998</v>
      </c>
      <c r="DL23" s="7">
        <v>7.2706999999999997</v>
      </c>
      <c r="DM23" s="7">
        <v>7.73</v>
      </c>
      <c r="DN23" s="7">
        <v>7.3254000000000001</v>
      </c>
      <c r="DO23" s="7">
        <v>7.6009000000000002</v>
      </c>
      <c r="DP23" s="7">
        <v>7.7187999999999999</v>
      </c>
      <c r="DQ23" s="7" t="s">
        <v>72</v>
      </c>
      <c r="DS23" s="7">
        <v>2.6501999999999999</v>
      </c>
      <c r="DT23" s="7">
        <v>2.6402000000000001</v>
      </c>
      <c r="DU23" s="7">
        <v>2.6749999999999998</v>
      </c>
      <c r="DV23" s="7">
        <v>2.8087999999999997</v>
      </c>
      <c r="DW23" s="7">
        <v>2.7686999999999999</v>
      </c>
      <c r="DX23" s="7">
        <v>2.7395</v>
      </c>
      <c r="DY23" s="7">
        <v>2.6560000000000001</v>
      </c>
      <c r="DZ23" s="7">
        <v>2.6223999999999998</v>
      </c>
      <c r="EA23" s="7">
        <v>2.6465999999999998</v>
      </c>
      <c r="EB23" s="7">
        <v>2.6560000000000001</v>
      </c>
      <c r="EC23" s="7">
        <v>2.5550999999999999</v>
      </c>
      <c r="ED23" s="7">
        <v>2.6795999999999998</v>
      </c>
      <c r="EE23" s="7">
        <v>2.4454000000000002</v>
      </c>
      <c r="EF23" s="7">
        <v>2.5402</v>
      </c>
      <c r="EG23" s="7">
        <v>2.548</v>
      </c>
      <c r="EH23" s="7" t="s">
        <v>72</v>
      </c>
      <c r="EJ23" s="7" t="s">
        <v>72</v>
      </c>
      <c r="EK23" s="7">
        <v>11.6625</v>
      </c>
      <c r="EL23" s="7">
        <v>11.027900000000001</v>
      </c>
      <c r="EM23" s="7">
        <v>11.431900000000001</v>
      </c>
      <c r="EN23" s="7" t="s">
        <v>72</v>
      </c>
      <c r="EO23" s="7">
        <v>11.608499999999999</v>
      </c>
      <c r="EP23" s="7">
        <v>10.5486</v>
      </c>
      <c r="EQ23" s="7">
        <v>10.8781</v>
      </c>
      <c r="ER23" s="7" t="s">
        <v>72</v>
      </c>
      <c r="ES23" s="7" t="s">
        <v>72</v>
      </c>
      <c r="ET23" s="7" t="s">
        <v>72</v>
      </c>
      <c r="EU23" s="7" t="s">
        <v>72</v>
      </c>
      <c r="EV23" s="7" t="s">
        <v>72</v>
      </c>
      <c r="EW23" s="7" t="s">
        <v>72</v>
      </c>
      <c r="EX23" s="7" t="s">
        <v>72</v>
      </c>
      <c r="EY23" s="7" t="s">
        <v>72</v>
      </c>
      <c r="FA23" s="7" t="s">
        <v>72</v>
      </c>
      <c r="FB23" s="7">
        <v>1.7153</v>
      </c>
      <c r="FC23" s="7">
        <v>1.7587999999999999</v>
      </c>
      <c r="FD23" s="7">
        <v>1.9713000000000001</v>
      </c>
      <c r="FE23" s="7" t="s">
        <v>72</v>
      </c>
      <c r="FF23" s="7">
        <v>2.0173999999999999</v>
      </c>
      <c r="FG23" s="7">
        <v>1.8243</v>
      </c>
      <c r="FH23" s="7">
        <v>1.7238</v>
      </c>
      <c r="FI23" s="7" t="s">
        <v>72</v>
      </c>
      <c r="FJ23" s="7" t="s">
        <v>72</v>
      </c>
      <c r="FK23" s="7" t="s">
        <v>72</v>
      </c>
      <c r="FL23" s="7" t="s">
        <v>72</v>
      </c>
      <c r="FM23" s="7" t="s">
        <v>72</v>
      </c>
      <c r="FN23" s="7" t="s">
        <v>72</v>
      </c>
      <c r="FO23" s="7" t="s">
        <v>72</v>
      </c>
      <c r="FP23" s="7">
        <v>2.0817999999999999</v>
      </c>
      <c r="FR23" s="7">
        <v>11584</v>
      </c>
      <c r="FS23" s="7">
        <v>16928</v>
      </c>
      <c r="FT23" s="7">
        <v>11373</v>
      </c>
      <c r="FU23" s="7">
        <v>12787</v>
      </c>
      <c r="FV23" s="7">
        <v>15344</v>
      </c>
      <c r="FW23" s="7">
        <v>25660</v>
      </c>
      <c r="FX23" s="7">
        <v>5669</v>
      </c>
      <c r="FY23" s="7">
        <v>14912</v>
      </c>
      <c r="FZ23" s="7">
        <v>5035</v>
      </c>
      <c r="GA23" s="7">
        <v>18884</v>
      </c>
      <c r="GB23" s="7">
        <v>10110</v>
      </c>
      <c r="GC23" s="7">
        <v>11289</v>
      </c>
      <c r="GD23" s="7">
        <v>4043</v>
      </c>
      <c r="GE23" s="7">
        <v>25900</v>
      </c>
      <c r="GF23" s="7">
        <v>18128</v>
      </c>
      <c r="GG23" s="7" t="s">
        <v>72</v>
      </c>
      <c r="GI23" s="7">
        <v>142499</v>
      </c>
      <c r="GJ23" s="7">
        <v>141772</v>
      </c>
      <c r="GK23" s="7">
        <v>135952</v>
      </c>
      <c r="GL23" s="7">
        <v>131577</v>
      </c>
      <c r="GM23" s="7">
        <v>132665</v>
      </c>
      <c r="GN23" s="7">
        <v>123530</v>
      </c>
      <c r="GO23" s="7">
        <v>117010</v>
      </c>
      <c r="GP23" s="7">
        <v>122498</v>
      </c>
      <c r="GQ23" s="7">
        <v>122942</v>
      </c>
      <c r="GR23" s="7">
        <v>116086</v>
      </c>
      <c r="GS23" s="7">
        <v>106011</v>
      </c>
      <c r="GT23" s="7">
        <v>105817</v>
      </c>
      <c r="GU23" s="7">
        <v>113396</v>
      </c>
      <c r="GV23" s="7">
        <v>111816</v>
      </c>
      <c r="GW23" s="7">
        <v>106459</v>
      </c>
      <c r="GX23" s="7" t="s">
        <v>72</v>
      </c>
      <c r="GZ23" s="7">
        <v>10745</v>
      </c>
      <c r="HA23" s="7">
        <v>8706</v>
      </c>
      <c r="HB23" s="7">
        <v>9182</v>
      </c>
      <c r="HC23" s="7">
        <v>10551</v>
      </c>
      <c r="HD23" s="7">
        <v>9238</v>
      </c>
      <c r="HE23" s="7">
        <v>8841</v>
      </c>
      <c r="HF23" s="7">
        <v>8654</v>
      </c>
      <c r="HG23" s="7">
        <v>9945</v>
      </c>
      <c r="HH23" s="7">
        <v>9663</v>
      </c>
      <c r="HI23" s="7">
        <v>8739</v>
      </c>
      <c r="HJ23" s="7">
        <v>8887</v>
      </c>
      <c r="HK23" s="7">
        <v>9140</v>
      </c>
      <c r="HL23" s="7">
        <v>8252</v>
      </c>
      <c r="HM23" s="7">
        <v>8393</v>
      </c>
      <c r="HN23" s="7">
        <v>8126</v>
      </c>
      <c r="HO23" s="7" t="s">
        <v>72</v>
      </c>
      <c r="HQ23" s="228">
        <v>6.8726000000000003</v>
      </c>
      <c r="HR23" s="228">
        <v>7.2943999999999996</v>
      </c>
      <c r="HS23" s="228">
        <v>8.4779</v>
      </c>
      <c r="HT23" s="228">
        <v>8.6692999999999998</v>
      </c>
      <c r="HU23" s="228">
        <v>9.4322999999999997</v>
      </c>
      <c r="HV23" s="228">
        <v>9.8923000000000005</v>
      </c>
      <c r="HW23" s="228">
        <v>9.0198</v>
      </c>
      <c r="HX23" s="228">
        <v>7.8665000000000003</v>
      </c>
      <c r="HY23" s="228">
        <v>6.7896999999999998</v>
      </c>
      <c r="HZ23" s="228">
        <v>6.6597999999999997</v>
      </c>
      <c r="IA23" s="228">
        <v>6.8837000000000002</v>
      </c>
      <c r="IB23" s="228">
        <v>6.6165000000000003</v>
      </c>
      <c r="IC23" s="228">
        <v>6.4081999999999999</v>
      </c>
      <c r="ID23" s="228">
        <v>7.3038999999999996</v>
      </c>
      <c r="IE23" s="228">
        <v>7.8311999999999999</v>
      </c>
      <c r="IF23" s="228" t="s">
        <v>72</v>
      </c>
    </row>
    <row r="24" spans="1:240">
      <c r="A24" s="11" t="s">
        <v>507</v>
      </c>
      <c r="B24" s="7" t="s">
        <v>15</v>
      </c>
      <c r="D24" s="7">
        <v>48530.0245</v>
      </c>
      <c r="E24" s="7">
        <v>52369.7016</v>
      </c>
      <c r="F24" s="7">
        <v>51000.791700000002</v>
      </c>
      <c r="G24" s="7">
        <v>61871.630499999999</v>
      </c>
      <c r="H24" s="7">
        <v>61362.762900000002</v>
      </c>
      <c r="I24" s="7">
        <v>65371.185700000002</v>
      </c>
      <c r="J24" s="7">
        <v>55514.744899999998</v>
      </c>
      <c r="K24" s="7">
        <v>55673.455499999996</v>
      </c>
      <c r="L24" s="7">
        <v>59471.679499999998</v>
      </c>
      <c r="M24" s="7">
        <v>59344.728199999998</v>
      </c>
      <c r="N24" s="7">
        <v>47489.817300000002</v>
      </c>
      <c r="O24" s="7">
        <v>52512.258699999998</v>
      </c>
      <c r="P24" s="7">
        <v>52069.827799999999</v>
      </c>
      <c r="Q24" s="7">
        <v>49957.131999999998</v>
      </c>
      <c r="R24" s="7">
        <v>35082.936000000002</v>
      </c>
      <c r="S24" s="7" t="s">
        <v>72</v>
      </c>
      <c r="U24" s="7">
        <v>1823</v>
      </c>
      <c r="V24" s="7">
        <v>3232</v>
      </c>
      <c r="W24" s="7">
        <v>4251</v>
      </c>
      <c r="X24" s="7">
        <v>2342</v>
      </c>
      <c r="Y24" s="7">
        <v>1680</v>
      </c>
      <c r="Z24" s="7">
        <v>789</v>
      </c>
      <c r="AA24" s="7">
        <v>13587</v>
      </c>
      <c r="AB24" s="7">
        <v>12187</v>
      </c>
      <c r="AC24" s="7">
        <v>13099</v>
      </c>
      <c r="AD24" s="7">
        <v>12741</v>
      </c>
      <c r="AE24" s="7">
        <v>17647</v>
      </c>
      <c r="AF24" s="7">
        <v>16006</v>
      </c>
      <c r="AG24" s="7">
        <v>15221</v>
      </c>
      <c r="AH24" s="7">
        <v>10937</v>
      </c>
      <c r="AI24" s="7">
        <v>8893</v>
      </c>
      <c r="AJ24" s="7" t="s">
        <v>72</v>
      </c>
      <c r="AL24" s="7">
        <v>6451</v>
      </c>
      <c r="AM24" s="7" t="s">
        <v>72</v>
      </c>
      <c r="AN24" s="7" t="s">
        <v>72</v>
      </c>
      <c r="AO24" s="7" t="s">
        <v>72</v>
      </c>
      <c r="AP24" s="7">
        <v>5452</v>
      </c>
      <c r="AQ24" s="7">
        <v>0</v>
      </c>
      <c r="AR24" s="7" t="s">
        <v>72</v>
      </c>
      <c r="AS24" s="7" t="s">
        <v>72</v>
      </c>
      <c r="AT24" s="7">
        <v>4534</v>
      </c>
      <c r="AU24" s="7" t="s">
        <v>72</v>
      </c>
      <c r="AV24" s="7" t="s">
        <v>72</v>
      </c>
      <c r="AW24" s="7" t="s">
        <v>72</v>
      </c>
      <c r="AX24" s="7">
        <v>5980</v>
      </c>
      <c r="AY24" s="7" t="s">
        <v>72</v>
      </c>
      <c r="AZ24" s="7" t="s">
        <v>72</v>
      </c>
      <c r="BA24" s="7" t="s">
        <v>72</v>
      </c>
      <c r="BC24" s="7">
        <v>5.6833</v>
      </c>
      <c r="BD24" s="7">
        <v>19.896100000000001</v>
      </c>
      <c r="BE24" s="7">
        <v>16.1206</v>
      </c>
      <c r="BF24" s="7">
        <v>20.809000000000001</v>
      </c>
      <c r="BG24" s="7">
        <v>7.3872999999999998</v>
      </c>
      <c r="BH24" s="7">
        <v>56.862099999999998</v>
      </c>
      <c r="BI24" s="7">
        <v>19.965499999999999</v>
      </c>
      <c r="BJ24" s="7">
        <v>10.9833</v>
      </c>
      <c r="BK24" s="7">
        <v>7.8056000000000001</v>
      </c>
      <c r="BL24" s="7">
        <v>5.6978999999999997</v>
      </c>
      <c r="BM24" s="7">
        <v>3.4459</v>
      </c>
      <c r="BN24" s="7">
        <v>5.0849000000000002</v>
      </c>
      <c r="BO24" s="7">
        <v>6.17</v>
      </c>
      <c r="BP24" s="7">
        <v>5.2077</v>
      </c>
      <c r="BQ24" s="7">
        <v>14.895799999999999</v>
      </c>
      <c r="BR24" s="7" t="s">
        <v>72</v>
      </c>
      <c r="BT24" s="7">
        <v>0.19839999999999999</v>
      </c>
      <c r="BU24" s="7">
        <v>0.34749999999999998</v>
      </c>
      <c r="BV24" s="7">
        <v>0.41970000000000002</v>
      </c>
      <c r="BW24" s="7">
        <v>0.22489999999999999</v>
      </c>
      <c r="BX24" s="7">
        <v>0.15609999999999999</v>
      </c>
      <c r="BY24" s="7">
        <v>7.1999999999999995E-2</v>
      </c>
      <c r="BZ24" s="7">
        <v>1.2939000000000001</v>
      </c>
      <c r="CA24" s="7">
        <v>1.1357999999999999</v>
      </c>
      <c r="CB24" s="7">
        <v>1.1818</v>
      </c>
      <c r="CC24" s="7">
        <v>1.2697000000000001</v>
      </c>
      <c r="CD24" s="7">
        <v>2.0091999999999999</v>
      </c>
      <c r="CE24" s="7">
        <v>1.9338</v>
      </c>
      <c r="CF24" s="7">
        <v>1.8782000000000001</v>
      </c>
      <c r="CG24" s="7">
        <v>1.3524</v>
      </c>
      <c r="CH24" s="7">
        <v>1.097</v>
      </c>
      <c r="CI24" s="7" t="s">
        <v>72</v>
      </c>
      <c r="CK24" s="7">
        <v>50416.0245</v>
      </c>
      <c r="CL24" s="7">
        <v>55604.7016</v>
      </c>
      <c r="CM24" s="7">
        <v>55255.791700000002</v>
      </c>
      <c r="CN24" s="7">
        <v>64217.630499999999</v>
      </c>
      <c r="CO24" s="7">
        <v>63045.762900000002</v>
      </c>
      <c r="CP24" s="7">
        <v>66163.185700000002</v>
      </c>
      <c r="CQ24" s="7">
        <v>69104.744900000005</v>
      </c>
      <c r="CR24" s="7">
        <v>67863.455499999996</v>
      </c>
      <c r="CS24" s="7">
        <v>72573.679499999998</v>
      </c>
      <c r="CT24" s="7">
        <v>72088.728199999998</v>
      </c>
      <c r="CU24" s="7">
        <v>65139.817300000002</v>
      </c>
      <c r="CV24" s="7">
        <v>68521.258700000006</v>
      </c>
      <c r="CW24" s="7">
        <v>67293.827799999999</v>
      </c>
      <c r="CX24" s="7">
        <v>60896.131999999998</v>
      </c>
      <c r="CY24" s="7">
        <v>43977.936000000002</v>
      </c>
      <c r="CZ24" s="7" t="s">
        <v>72</v>
      </c>
      <c r="DB24" s="7">
        <v>5.4878</v>
      </c>
      <c r="DC24" s="7">
        <v>5.9777000000000005</v>
      </c>
      <c r="DD24" s="7">
        <v>5.4551999999999996</v>
      </c>
      <c r="DE24" s="7">
        <v>6.1658999999999997</v>
      </c>
      <c r="DF24" s="7">
        <v>5.8586999999999998</v>
      </c>
      <c r="DG24" s="7">
        <v>6.0357000000000003</v>
      </c>
      <c r="DH24" s="7">
        <v>6.5808</v>
      </c>
      <c r="DI24" s="7">
        <v>6.3246000000000002</v>
      </c>
      <c r="DJ24" s="7">
        <v>6.5476000000000001</v>
      </c>
      <c r="DK24" s="7">
        <v>7.1837</v>
      </c>
      <c r="DL24" s="7">
        <v>7.4165999999999999</v>
      </c>
      <c r="DM24" s="7">
        <v>8.2784999999999993</v>
      </c>
      <c r="DN24" s="7">
        <v>8.3038000000000007</v>
      </c>
      <c r="DO24" s="7">
        <v>7.5301</v>
      </c>
      <c r="DP24" s="7">
        <v>5.4246999999999996</v>
      </c>
      <c r="DQ24" s="7" t="s">
        <v>72</v>
      </c>
      <c r="DS24" s="7">
        <v>1.3028999999999999</v>
      </c>
      <c r="DT24" s="7">
        <v>1.4479</v>
      </c>
      <c r="DU24" s="7">
        <v>1.413</v>
      </c>
      <c r="DV24" s="7">
        <v>1.6324000000000001</v>
      </c>
      <c r="DW24" s="7">
        <v>1.5697000000000001</v>
      </c>
      <c r="DX24" s="7">
        <v>1.6457999999999999</v>
      </c>
      <c r="DY24" s="7">
        <v>1.7396</v>
      </c>
      <c r="DZ24" s="7">
        <v>1.69</v>
      </c>
      <c r="EA24" s="7">
        <v>1.77</v>
      </c>
      <c r="EB24" s="7">
        <v>1.855</v>
      </c>
      <c r="EC24" s="7">
        <v>1.7812000000000001</v>
      </c>
      <c r="ED24" s="7">
        <v>1.8496000000000001</v>
      </c>
      <c r="EE24" s="7">
        <v>1.7993000000000001</v>
      </c>
      <c r="EF24" s="7">
        <v>1.6341000000000001</v>
      </c>
      <c r="EG24" s="7">
        <v>1.19</v>
      </c>
      <c r="EH24" s="7" t="s">
        <v>72</v>
      </c>
      <c r="EJ24" s="7" t="s">
        <v>72</v>
      </c>
      <c r="EK24" s="7">
        <v>5.8739999999999997</v>
      </c>
      <c r="EL24" s="7">
        <v>5.2869000000000002</v>
      </c>
      <c r="EM24" s="7">
        <v>6.0690999999999997</v>
      </c>
      <c r="EN24" s="7" t="s">
        <v>72</v>
      </c>
      <c r="EO24" s="7">
        <v>6.0021000000000004</v>
      </c>
      <c r="EP24" s="7">
        <v>6.5640000000000001</v>
      </c>
      <c r="EQ24" s="7">
        <v>8.3751999999999995</v>
      </c>
      <c r="ER24" s="7" t="s">
        <v>72</v>
      </c>
      <c r="ES24" s="7" t="s">
        <v>72</v>
      </c>
      <c r="ET24" s="7" t="s">
        <v>72</v>
      </c>
      <c r="EU24" s="7" t="s">
        <v>72</v>
      </c>
      <c r="EV24" s="7" t="s">
        <v>72</v>
      </c>
      <c r="EW24" s="7" t="s">
        <v>72</v>
      </c>
      <c r="EX24" s="7" t="s">
        <v>72</v>
      </c>
      <c r="EY24" s="7" t="s">
        <v>72</v>
      </c>
      <c r="FA24" s="7" t="s">
        <v>72</v>
      </c>
      <c r="FB24" s="7">
        <v>1.0947</v>
      </c>
      <c r="FC24" s="7">
        <v>1.1429</v>
      </c>
      <c r="FD24" s="7">
        <v>1.3481000000000001</v>
      </c>
      <c r="FE24" s="7" t="s">
        <v>72</v>
      </c>
      <c r="FF24" s="7">
        <v>1.2877000000000001</v>
      </c>
      <c r="FG24" s="7">
        <v>1.9668000000000001</v>
      </c>
      <c r="FH24" s="7">
        <v>1.8469</v>
      </c>
      <c r="FI24" s="7" t="s">
        <v>72</v>
      </c>
      <c r="FJ24" s="7" t="s">
        <v>72</v>
      </c>
      <c r="FK24" s="7" t="s">
        <v>72</v>
      </c>
      <c r="FL24" s="7" t="s">
        <v>72</v>
      </c>
      <c r="FM24" s="7" t="s">
        <v>72</v>
      </c>
      <c r="FN24" s="7" t="s">
        <v>72</v>
      </c>
      <c r="FO24" s="7" t="s">
        <v>72</v>
      </c>
      <c r="FP24" s="7">
        <v>1.72</v>
      </c>
      <c r="FR24" s="7">
        <v>1312</v>
      </c>
      <c r="FS24" s="7">
        <v>993</v>
      </c>
      <c r="FT24" s="7">
        <v>1072</v>
      </c>
      <c r="FU24" s="7">
        <v>1513</v>
      </c>
      <c r="FV24" s="7">
        <v>834</v>
      </c>
      <c r="FW24" s="7">
        <v>1443</v>
      </c>
      <c r="FX24" s="7">
        <v>1978</v>
      </c>
      <c r="FY24" s="7">
        <v>2812</v>
      </c>
      <c r="FZ24" s="7">
        <v>1026</v>
      </c>
      <c r="GA24" s="7">
        <v>546</v>
      </c>
      <c r="GB24" s="7">
        <v>1147</v>
      </c>
      <c r="GC24" s="7">
        <v>632</v>
      </c>
      <c r="GD24" s="7">
        <v>1673</v>
      </c>
      <c r="GE24" s="7">
        <v>386</v>
      </c>
      <c r="GF24" s="7">
        <v>740</v>
      </c>
      <c r="GG24" s="7" t="s">
        <v>72</v>
      </c>
      <c r="GI24" s="7">
        <v>28465</v>
      </c>
      <c r="GJ24" s="7">
        <v>28317</v>
      </c>
      <c r="GK24" s="7">
        <v>26859</v>
      </c>
      <c r="GL24" s="7">
        <v>27624</v>
      </c>
      <c r="GM24" s="7">
        <v>28875</v>
      </c>
      <c r="GN24" s="7">
        <v>29988</v>
      </c>
      <c r="GO24" s="7">
        <v>19830</v>
      </c>
      <c r="GP24" s="7">
        <v>21178</v>
      </c>
      <c r="GQ24" s="7">
        <v>21452</v>
      </c>
      <c r="GR24" s="7">
        <v>22271</v>
      </c>
      <c r="GS24" s="7">
        <v>16986</v>
      </c>
      <c r="GT24" s="7">
        <v>16930</v>
      </c>
      <c r="GU24" s="7">
        <v>20429</v>
      </c>
      <c r="GV24" s="7">
        <v>20825</v>
      </c>
      <c r="GW24" s="7">
        <v>21293</v>
      </c>
      <c r="GX24" s="7" t="s">
        <v>72</v>
      </c>
      <c r="GZ24" s="7">
        <v>2109</v>
      </c>
      <c r="HA24" s="7">
        <v>2355</v>
      </c>
      <c r="HB24" s="7">
        <v>3214</v>
      </c>
      <c r="HC24" s="7">
        <v>2737</v>
      </c>
      <c r="HD24" s="7">
        <v>2455</v>
      </c>
      <c r="HE24" s="7">
        <v>2556</v>
      </c>
      <c r="HF24" s="7">
        <v>2753</v>
      </c>
      <c r="HG24" s="7">
        <v>2966</v>
      </c>
      <c r="HH24" s="7">
        <v>2809</v>
      </c>
      <c r="HI24" s="7">
        <v>1507</v>
      </c>
      <c r="HJ24" s="7">
        <v>1501</v>
      </c>
      <c r="HK24" s="7">
        <v>2460</v>
      </c>
      <c r="HL24" s="7">
        <v>2636</v>
      </c>
      <c r="HM24" s="7">
        <v>1490</v>
      </c>
      <c r="HN24" s="7">
        <v>1521</v>
      </c>
      <c r="HO24" s="7" t="s">
        <v>72</v>
      </c>
      <c r="HQ24" s="228">
        <v>8.3986999999999998</v>
      </c>
      <c r="HR24" s="228">
        <v>9.0451999999999995</v>
      </c>
      <c r="HS24" s="228">
        <v>10.833600000000001</v>
      </c>
      <c r="HT24" s="228">
        <v>11.3103</v>
      </c>
      <c r="HU24" s="228">
        <v>12.945600000000001</v>
      </c>
      <c r="HV24" s="228">
        <v>12.838699999999999</v>
      </c>
      <c r="HW24" s="228">
        <v>10.1486</v>
      </c>
      <c r="HX24" s="228">
        <v>7.8585000000000003</v>
      </c>
      <c r="HY24" s="228">
        <v>6.5148999999999999</v>
      </c>
      <c r="HZ24" s="228">
        <v>6.5583</v>
      </c>
      <c r="IA24" s="228">
        <v>5.6955</v>
      </c>
      <c r="IB24" s="228">
        <v>5.7134</v>
      </c>
      <c r="IC24" s="228">
        <v>5.6101999999999999</v>
      </c>
      <c r="ID24" s="228">
        <v>6.6901999999999999</v>
      </c>
      <c r="IE24" s="228">
        <v>6.7249999999999996</v>
      </c>
      <c r="IF24" s="228" t="s">
        <v>72</v>
      </c>
    </row>
    <row r="25" spans="1:240">
      <c r="A25" s="11" t="s">
        <v>508</v>
      </c>
      <c r="B25" s="7" t="s">
        <v>12</v>
      </c>
      <c r="D25" s="7">
        <v>20491.332699999999</v>
      </c>
      <c r="E25" s="7">
        <v>19933.409599999999</v>
      </c>
      <c r="F25" s="7">
        <v>19006.132900000001</v>
      </c>
      <c r="G25" s="7" t="e">
        <v>#NAME?</v>
      </c>
      <c r="H25" s="7">
        <v>21294.192299999999</v>
      </c>
      <c r="I25" s="7">
        <v>21208.824000000001</v>
      </c>
      <c r="J25" s="7">
        <v>19969.649000000001</v>
      </c>
      <c r="K25" s="7">
        <v>19208.160500000002</v>
      </c>
      <c r="L25" s="7">
        <v>18436.1567</v>
      </c>
      <c r="M25" s="7">
        <v>18902.549800000001</v>
      </c>
      <c r="N25" s="7">
        <v>19746.922399999999</v>
      </c>
      <c r="O25" s="7">
        <v>19581.155999999999</v>
      </c>
      <c r="P25" s="7">
        <v>20399.429499999998</v>
      </c>
      <c r="Q25" s="7">
        <v>22751.413400000001</v>
      </c>
      <c r="R25" s="7">
        <v>21425.307199999999</v>
      </c>
      <c r="S25" s="7" t="s">
        <v>72</v>
      </c>
      <c r="U25" s="7">
        <v>9509</v>
      </c>
      <c r="V25" s="7">
        <v>8919</v>
      </c>
      <c r="W25" s="7">
        <v>9615</v>
      </c>
      <c r="X25" s="7">
        <v>9139</v>
      </c>
      <c r="Y25" s="7">
        <v>9167</v>
      </c>
      <c r="Z25" s="7">
        <v>8869</v>
      </c>
      <c r="AA25" s="7">
        <v>9638</v>
      </c>
      <c r="AB25" s="7">
        <v>9091</v>
      </c>
      <c r="AC25" s="7">
        <v>8444</v>
      </c>
      <c r="AD25" s="7">
        <v>8444</v>
      </c>
      <c r="AE25" s="7">
        <v>8924</v>
      </c>
      <c r="AF25" s="7">
        <v>8758</v>
      </c>
      <c r="AG25" s="7">
        <v>8205</v>
      </c>
      <c r="AH25" s="7">
        <v>8070</v>
      </c>
      <c r="AI25" s="7">
        <v>8759</v>
      </c>
      <c r="AJ25" s="7" t="s">
        <v>72</v>
      </c>
      <c r="AL25" s="7">
        <v>852</v>
      </c>
      <c r="AM25" s="7" t="s">
        <v>72</v>
      </c>
      <c r="AN25" s="7" t="s">
        <v>72</v>
      </c>
      <c r="AO25" s="7" t="s">
        <v>72</v>
      </c>
      <c r="AP25" s="7">
        <v>732</v>
      </c>
      <c r="AQ25" s="7" t="s">
        <v>72</v>
      </c>
      <c r="AR25" s="7" t="s">
        <v>72</v>
      </c>
      <c r="AS25" s="7" t="s">
        <v>72</v>
      </c>
      <c r="AT25" s="7">
        <v>627</v>
      </c>
      <c r="AU25" s="7" t="s">
        <v>72</v>
      </c>
      <c r="AV25" s="7" t="s">
        <v>72</v>
      </c>
      <c r="AW25" s="7" t="s">
        <v>72</v>
      </c>
      <c r="AX25" s="7">
        <v>695</v>
      </c>
      <c r="AY25" s="7" t="s">
        <v>72</v>
      </c>
      <c r="AZ25" s="7" t="s">
        <v>72</v>
      </c>
      <c r="BA25" s="7" t="s">
        <v>72</v>
      </c>
      <c r="BC25" s="7">
        <v>1.2405999999999999</v>
      </c>
      <c r="BD25" s="7">
        <v>7.5270000000000001</v>
      </c>
      <c r="BE25" s="7">
        <v>9.75</v>
      </c>
      <c r="BF25" s="7">
        <v>10.4054</v>
      </c>
      <c r="BG25" s="7">
        <v>3.7107999999999999</v>
      </c>
      <c r="BH25" s="7">
        <v>9.6715999999999998</v>
      </c>
      <c r="BI25" s="7">
        <v>9.9705999999999992</v>
      </c>
      <c r="BJ25" s="7">
        <v>9.1882000000000001</v>
      </c>
      <c r="BK25" s="7">
        <v>3.6709000000000001</v>
      </c>
      <c r="BL25" s="7">
        <v>9.6405999999999992</v>
      </c>
      <c r="BM25" s="7">
        <v>9.3332999999999995</v>
      </c>
      <c r="BN25" s="7">
        <v>9.2173999999999996</v>
      </c>
      <c r="BO25" s="7">
        <v>3.8153999999999999</v>
      </c>
      <c r="BP25" s="7">
        <v>8.0596999999999994</v>
      </c>
      <c r="BQ25" s="7">
        <v>9.0475999999999992</v>
      </c>
      <c r="BR25" s="7" t="s">
        <v>72</v>
      </c>
      <c r="BT25" s="7">
        <v>2.0301</v>
      </c>
      <c r="BU25" s="7">
        <v>1.9376</v>
      </c>
      <c r="BV25" s="7">
        <v>2.0771000000000002</v>
      </c>
      <c r="BW25" s="7">
        <v>1.9691999999999998</v>
      </c>
      <c r="BX25" s="7">
        <v>2.1082999999999998</v>
      </c>
      <c r="BY25" s="7">
        <v>2.0084</v>
      </c>
      <c r="BZ25" s="7">
        <v>2.2259000000000002</v>
      </c>
      <c r="CA25" s="7">
        <v>2.1034000000000002</v>
      </c>
      <c r="CB25" s="7">
        <v>1.9637</v>
      </c>
      <c r="CC25" s="7">
        <v>1.9765999999999999</v>
      </c>
      <c r="CD25" s="7">
        <v>2.0977999999999999</v>
      </c>
      <c r="CE25" s="7">
        <v>2.1200999999999999</v>
      </c>
      <c r="CF25" s="7">
        <v>2.0036999999999998</v>
      </c>
      <c r="CG25" s="7">
        <v>2.0034999999999998</v>
      </c>
      <c r="CH25" s="7">
        <v>2.2046000000000001</v>
      </c>
      <c r="CI25" s="7" t="s">
        <v>72</v>
      </c>
      <c r="CK25" s="7">
        <v>30319.332699999999</v>
      </c>
      <c r="CL25" s="7">
        <v>29143.409599999999</v>
      </c>
      <c r="CM25" s="7">
        <v>28889.132900000001</v>
      </c>
      <c r="CN25" s="7">
        <v>29934.132600000001</v>
      </c>
      <c r="CO25" s="7">
        <v>30481.192299999999</v>
      </c>
      <c r="CP25" s="7">
        <v>30111.824000000001</v>
      </c>
      <c r="CQ25" s="7">
        <v>29628.649000000001</v>
      </c>
      <c r="CR25" s="7">
        <v>28322.160500000002</v>
      </c>
      <c r="CS25" s="7">
        <v>26904.1567</v>
      </c>
      <c r="CT25" s="7">
        <v>27373.549800000001</v>
      </c>
      <c r="CU25" s="7">
        <v>28684.922399999999</v>
      </c>
      <c r="CV25" s="7">
        <v>28354.155999999999</v>
      </c>
      <c r="CW25" s="7">
        <v>28628.429499999998</v>
      </c>
      <c r="CX25" s="7">
        <v>30850.413400000001</v>
      </c>
      <c r="CY25" s="7">
        <v>30200.307199999999</v>
      </c>
      <c r="CZ25" s="7" t="s">
        <v>72</v>
      </c>
      <c r="DB25" s="7">
        <v>6.4729999999999999</v>
      </c>
      <c r="DC25" s="7">
        <v>6.3314000000000004</v>
      </c>
      <c r="DD25" s="7">
        <v>6.2408999999999999</v>
      </c>
      <c r="DE25" s="7">
        <v>6.4499000000000004</v>
      </c>
      <c r="DF25" s="7">
        <v>7.0103999999999997</v>
      </c>
      <c r="DG25" s="7">
        <v>6.8187999999999995</v>
      </c>
      <c r="DH25" s="7">
        <v>6.8426</v>
      </c>
      <c r="DI25" s="7">
        <v>6.5529999999999999</v>
      </c>
      <c r="DJ25" s="7">
        <v>6.2568000000000001</v>
      </c>
      <c r="DK25" s="7">
        <v>6.4077000000000002</v>
      </c>
      <c r="DL25" s="7">
        <v>6.7430000000000003</v>
      </c>
      <c r="DM25" s="7">
        <v>6.8638000000000003</v>
      </c>
      <c r="DN25" s="7">
        <v>6.9911000000000003</v>
      </c>
      <c r="DO25" s="7">
        <v>7.6589999999999998</v>
      </c>
      <c r="DP25" s="7">
        <v>7.6013999999999999</v>
      </c>
      <c r="DQ25" s="7" t="s">
        <v>72</v>
      </c>
      <c r="DS25" s="7">
        <v>2.5263999999999998</v>
      </c>
      <c r="DT25" s="7">
        <v>2.4209999999999998</v>
      </c>
      <c r="DU25" s="7">
        <v>2.4013999999999998</v>
      </c>
      <c r="DV25" s="7">
        <v>2.4836999999999998</v>
      </c>
      <c r="DW25" s="7">
        <v>2.5426000000000002</v>
      </c>
      <c r="DX25" s="7">
        <v>2.5310000000000001</v>
      </c>
      <c r="DY25" s="7">
        <v>2.5186000000000002</v>
      </c>
      <c r="DZ25" s="7">
        <v>2.4521000000000002</v>
      </c>
      <c r="EA25" s="7">
        <v>2.3462000000000001</v>
      </c>
      <c r="EB25" s="7">
        <v>2.3997000000000002</v>
      </c>
      <c r="EC25" s="7">
        <v>2.5236999999999998</v>
      </c>
      <c r="ED25" s="7">
        <v>2.4967999999999999</v>
      </c>
      <c r="EE25" s="7">
        <v>2.5148000000000001</v>
      </c>
      <c r="EF25" s="7">
        <v>2.7263000000000002</v>
      </c>
      <c r="EG25" s="7">
        <v>2.6587000000000001</v>
      </c>
      <c r="EH25" s="7" t="s">
        <v>72</v>
      </c>
      <c r="EJ25" s="7" t="s">
        <v>72</v>
      </c>
      <c r="EK25" s="7">
        <v>10.6167</v>
      </c>
      <c r="EL25" s="7">
        <v>10.3238</v>
      </c>
      <c r="EM25" s="7">
        <v>11.0023</v>
      </c>
      <c r="EN25" s="7" t="s">
        <v>72</v>
      </c>
      <c r="EO25" s="7">
        <v>10.991300000000001</v>
      </c>
      <c r="EP25" s="7">
        <v>10.631499999999999</v>
      </c>
      <c r="EQ25" s="7">
        <v>10.0761</v>
      </c>
      <c r="ER25" s="7" t="s">
        <v>72</v>
      </c>
      <c r="ES25" s="7" t="s">
        <v>72</v>
      </c>
      <c r="ET25" s="7" t="s">
        <v>72</v>
      </c>
      <c r="EU25" s="7" t="s">
        <v>72</v>
      </c>
      <c r="EV25" s="7" t="s">
        <v>72</v>
      </c>
      <c r="EW25" s="7" t="s">
        <v>72</v>
      </c>
      <c r="EX25" s="7" t="s">
        <v>72</v>
      </c>
      <c r="EY25" s="7" t="s">
        <v>72</v>
      </c>
      <c r="FA25" s="7" t="s">
        <v>72</v>
      </c>
      <c r="FB25" s="7">
        <v>3.0236000000000001</v>
      </c>
      <c r="FC25" s="7">
        <v>3.3891</v>
      </c>
      <c r="FD25" s="7">
        <v>3.3161</v>
      </c>
      <c r="FE25" s="7" t="s">
        <v>72</v>
      </c>
      <c r="FF25" s="7">
        <v>3.3447</v>
      </c>
      <c r="FG25" s="7">
        <v>3.8843999999999999</v>
      </c>
      <c r="FH25" s="7">
        <v>3.7968000000000002</v>
      </c>
      <c r="FI25" s="7" t="s">
        <v>72</v>
      </c>
      <c r="FJ25" s="7" t="s">
        <v>72</v>
      </c>
      <c r="FK25" s="7" t="s">
        <v>72</v>
      </c>
      <c r="FL25" s="7" t="s">
        <v>72</v>
      </c>
      <c r="FM25" s="7" t="s">
        <v>72</v>
      </c>
      <c r="FN25" s="7" t="s">
        <v>72</v>
      </c>
      <c r="FO25" s="7" t="s">
        <v>72</v>
      </c>
      <c r="FP25" s="7">
        <v>4.8217999999999996</v>
      </c>
      <c r="FR25" s="7">
        <v>532</v>
      </c>
      <c r="FS25" s="7">
        <v>866</v>
      </c>
      <c r="FT25" s="7">
        <v>535</v>
      </c>
      <c r="FU25" s="7">
        <v>559</v>
      </c>
      <c r="FV25" s="7">
        <v>483</v>
      </c>
      <c r="FW25" s="7">
        <v>484</v>
      </c>
      <c r="FX25" s="7">
        <v>271</v>
      </c>
      <c r="FY25" s="7">
        <v>305</v>
      </c>
      <c r="FZ25" s="7">
        <v>314</v>
      </c>
      <c r="GA25" s="7">
        <v>314</v>
      </c>
      <c r="GB25" s="7">
        <v>189</v>
      </c>
      <c r="GC25" s="7">
        <v>156</v>
      </c>
      <c r="GD25" s="7">
        <v>538</v>
      </c>
      <c r="GE25" s="7">
        <v>685</v>
      </c>
      <c r="GF25" s="7">
        <v>173</v>
      </c>
      <c r="GG25" s="7" t="s">
        <v>72</v>
      </c>
      <c r="GI25" s="7">
        <v>6610</v>
      </c>
      <c r="GJ25" s="7">
        <v>6739</v>
      </c>
      <c r="GK25" s="7">
        <v>5753</v>
      </c>
      <c r="GL25" s="7">
        <v>6321</v>
      </c>
      <c r="GM25" s="7">
        <v>5350</v>
      </c>
      <c r="GN25" s="7">
        <v>6236</v>
      </c>
      <c r="GO25" s="7">
        <v>5162</v>
      </c>
      <c r="GP25" s="7">
        <v>5082</v>
      </c>
      <c r="GQ25" s="7">
        <v>4296</v>
      </c>
      <c r="GR25" s="7">
        <v>4693</v>
      </c>
      <c r="GS25" s="7">
        <v>3957</v>
      </c>
      <c r="GT25" s="7">
        <v>4258</v>
      </c>
      <c r="GU25" s="7">
        <v>4156</v>
      </c>
      <c r="GV25" s="7">
        <v>5191</v>
      </c>
      <c r="GW25" s="7">
        <v>4685</v>
      </c>
      <c r="GX25" s="7" t="s">
        <v>72</v>
      </c>
      <c r="GZ25" s="7">
        <v>1095</v>
      </c>
      <c r="HA25" s="7">
        <v>1058</v>
      </c>
      <c r="HB25" s="7">
        <v>1230</v>
      </c>
      <c r="HC25" s="7">
        <v>1258</v>
      </c>
      <c r="HD25" s="7">
        <v>802</v>
      </c>
      <c r="HE25" s="7">
        <v>1126</v>
      </c>
      <c r="HF25" s="7">
        <v>1144</v>
      </c>
      <c r="HG25" s="7">
        <v>1250</v>
      </c>
      <c r="HH25" s="7">
        <v>780</v>
      </c>
      <c r="HI25" s="7">
        <v>1098</v>
      </c>
      <c r="HJ25" s="7">
        <v>1126</v>
      </c>
      <c r="HK25" s="7">
        <v>1127</v>
      </c>
      <c r="HL25" s="7">
        <v>744</v>
      </c>
      <c r="HM25" s="7">
        <v>1031</v>
      </c>
      <c r="HN25" s="7">
        <v>1071</v>
      </c>
      <c r="HO25" s="7" t="s">
        <v>72</v>
      </c>
      <c r="HQ25" s="228">
        <v>5.6532</v>
      </c>
      <c r="HR25" s="228">
        <v>6.0940000000000003</v>
      </c>
      <c r="HS25" s="228">
        <v>5.8245000000000005</v>
      </c>
      <c r="HT25" s="228">
        <v>5.7889999999999997</v>
      </c>
      <c r="HU25" s="228">
        <v>6.0361000000000002</v>
      </c>
      <c r="HV25" s="228">
        <v>5.7984999999999998</v>
      </c>
      <c r="HW25" s="228">
        <v>5.6901999999999999</v>
      </c>
      <c r="HX25" s="228">
        <v>5.4062999999999999</v>
      </c>
      <c r="HY25" s="228">
        <v>4.9265999999999996</v>
      </c>
      <c r="HZ25" s="228">
        <v>5.056</v>
      </c>
      <c r="IA25" s="228">
        <v>5.4055999999999997</v>
      </c>
      <c r="IB25" s="228">
        <v>5.0545</v>
      </c>
      <c r="IC25" s="228">
        <v>5.1757999999999997</v>
      </c>
      <c r="ID25" s="228">
        <v>4.9328000000000003</v>
      </c>
      <c r="IE25" s="228">
        <v>5.4858000000000002</v>
      </c>
      <c r="IF25" s="228" t="s">
        <v>72</v>
      </c>
    </row>
    <row r="26" spans="1:240">
      <c r="A26" s="11" t="s">
        <v>27</v>
      </c>
      <c r="B26" s="7" t="s">
        <v>343</v>
      </c>
      <c r="D26" s="7">
        <v>693.7373</v>
      </c>
      <c r="E26" s="7">
        <v>585.2627</v>
      </c>
      <c r="F26" s="7">
        <v>505.78710000000001</v>
      </c>
      <c r="G26" s="7" t="e">
        <v>#NAME?</v>
      </c>
      <c r="H26" s="7">
        <v>481.93720000000002</v>
      </c>
      <c r="I26" s="7">
        <v>539.84789999999998</v>
      </c>
      <c r="J26" s="7">
        <v>541.87490000000003</v>
      </c>
      <c r="K26" s="7">
        <v>413.1266</v>
      </c>
      <c r="L26" s="7">
        <v>434</v>
      </c>
      <c r="M26" s="7">
        <v>438.89</v>
      </c>
      <c r="N26" s="7">
        <v>469.67329999999998</v>
      </c>
      <c r="O26" s="7">
        <v>495.37099999999998</v>
      </c>
      <c r="P26" s="7">
        <v>536.01220000000001</v>
      </c>
      <c r="Q26" s="7">
        <v>608.17600000000004</v>
      </c>
      <c r="R26" s="7">
        <v>562.64409999999998</v>
      </c>
      <c r="S26" s="7" t="s">
        <v>72</v>
      </c>
      <c r="U26" s="7">
        <v>298.52800000000002</v>
      </c>
      <c r="V26" s="7">
        <v>273.8</v>
      </c>
      <c r="W26" s="7">
        <v>270.2</v>
      </c>
      <c r="X26" s="7">
        <v>267.7</v>
      </c>
      <c r="Y26" s="7">
        <v>288.82740000000001</v>
      </c>
      <c r="Z26" s="7">
        <v>303.5</v>
      </c>
      <c r="AA26" s="7">
        <v>295.07619999999997</v>
      </c>
      <c r="AB26" s="7">
        <v>258</v>
      </c>
      <c r="AC26" s="7">
        <v>269.86790000000002</v>
      </c>
      <c r="AD26" s="7">
        <v>333</v>
      </c>
      <c r="AE26" s="7">
        <v>344.8</v>
      </c>
      <c r="AF26" s="7">
        <v>326.8</v>
      </c>
      <c r="AG26" s="7">
        <v>343.75020000000001</v>
      </c>
      <c r="AH26" s="7">
        <v>355.21409999999997</v>
      </c>
      <c r="AI26" s="7">
        <v>366.5</v>
      </c>
      <c r="AJ26" s="7" t="s">
        <v>72</v>
      </c>
      <c r="AL26" s="7">
        <v>211.43430000000001</v>
      </c>
      <c r="AM26" s="7" t="s">
        <v>72</v>
      </c>
      <c r="AN26" s="7" t="s">
        <v>72</v>
      </c>
      <c r="AO26" s="7" t="s">
        <v>72</v>
      </c>
      <c r="AP26" s="7">
        <v>234.34620000000001</v>
      </c>
      <c r="AQ26" s="7" t="s">
        <v>72</v>
      </c>
      <c r="AR26" s="7">
        <v>250.26519999999999</v>
      </c>
      <c r="AS26" s="7" t="s">
        <v>72</v>
      </c>
      <c r="AT26" s="7">
        <v>220.49350000000001</v>
      </c>
      <c r="AU26" s="7" t="s">
        <v>72</v>
      </c>
      <c r="AV26" s="7" t="s">
        <v>72</v>
      </c>
      <c r="AW26" s="7" t="s">
        <v>72</v>
      </c>
      <c r="AX26" s="7">
        <v>170.7689</v>
      </c>
      <c r="AY26" s="7">
        <v>155.17449999999999</v>
      </c>
      <c r="AZ26" s="7" t="s">
        <v>72</v>
      </c>
      <c r="BA26" s="7" t="s">
        <v>72</v>
      </c>
      <c r="BC26" s="7" t="s">
        <v>72</v>
      </c>
      <c r="BD26" s="7" t="s">
        <v>72</v>
      </c>
      <c r="BE26" s="7" t="s">
        <v>72</v>
      </c>
      <c r="BF26" s="7" t="s">
        <v>72</v>
      </c>
      <c r="BG26" s="7" t="s">
        <v>72</v>
      </c>
      <c r="BH26" s="7" t="s">
        <v>72</v>
      </c>
      <c r="BI26" s="7" t="s">
        <v>72</v>
      </c>
      <c r="BJ26" s="7" t="s">
        <v>72</v>
      </c>
      <c r="BK26" s="7" t="s">
        <v>72</v>
      </c>
      <c r="BL26" s="7" t="s">
        <v>72</v>
      </c>
      <c r="BM26" s="7" t="s">
        <v>72</v>
      </c>
      <c r="BN26" s="7" t="s">
        <v>72</v>
      </c>
      <c r="BO26" s="7" t="s">
        <v>72</v>
      </c>
      <c r="BP26" s="7">
        <v>6.7881999999999998</v>
      </c>
      <c r="BQ26" s="7" t="s">
        <v>72</v>
      </c>
      <c r="BR26" s="7" t="s">
        <v>72</v>
      </c>
      <c r="BT26" s="7">
        <v>1.6985999999999999</v>
      </c>
      <c r="BU26" s="7">
        <v>1.5369000000000002</v>
      </c>
      <c r="BV26" s="7">
        <v>1.4713000000000001</v>
      </c>
      <c r="BW26" s="7">
        <v>1.4243999999999999</v>
      </c>
      <c r="BX26" s="7">
        <v>1.4902</v>
      </c>
      <c r="BY26" s="7">
        <v>1.506</v>
      </c>
      <c r="BZ26" s="7">
        <v>1.4288000000000001</v>
      </c>
      <c r="CA26" s="7">
        <v>1.2021999999999999</v>
      </c>
      <c r="CB26" s="7">
        <v>1.1177999999999999</v>
      </c>
      <c r="CC26" s="7">
        <v>1.3524</v>
      </c>
      <c r="CD26" s="7">
        <v>1.3584000000000001</v>
      </c>
      <c r="CE26" s="7">
        <v>1.2434000000000001</v>
      </c>
      <c r="CF26" s="7">
        <v>1.3980000000000001</v>
      </c>
      <c r="CG26" s="7">
        <v>1.4369000000000001</v>
      </c>
      <c r="CH26" s="7">
        <v>1.4777</v>
      </c>
      <c r="CI26" s="7" t="s">
        <v>72</v>
      </c>
      <c r="CK26" s="7">
        <v>992.77350000000001</v>
      </c>
      <c r="CL26" s="7">
        <v>859.46270000000004</v>
      </c>
      <c r="CM26" s="7">
        <v>776.48710000000005</v>
      </c>
      <c r="CN26" s="7">
        <v>786.9058</v>
      </c>
      <c r="CO26" s="7">
        <v>771.35829999999999</v>
      </c>
      <c r="CP26" s="7">
        <v>843.84789999999998</v>
      </c>
      <c r="CQ26" s="7">
        <v>837.41330000000005</v>
      </c>
      <c r="CR26" s="7">
        <v>671.62660000000005</v>
      </c>
      <c r="CS26" s="7">
        <v>704.38350000000003</v>
      </c>
      <c r="CT26" s="7">
        <v>772.29</v>
      </c>
      <c r="CU26" s="7">
        <v>814.87329999999997</v>
      </c>
      <c r="CV26" s="7">
        <v>822.57100000000003</v>
      </c>
      <c r="CW26" s="7">
        <v>880.1499</v>
      </c>
      <c r="CX26" s="7">
        <v>963.75829999999996</v>
      </c>
      <c r="CY26" s="7">
        <v>929.54409999999996</v>
      </c>
      <c r="CZ26" s="7" t="s">
        <v>72</v>
      </c>
      <c r="DB26" s="7">
        <v>5.6487999999999996</v>
      </c>
      <c r="DC26" s="7">
        <v>4.8243999999999998</v>
      </c>
      <c r="DD26" s="7">
        <v>4.2282999999999999</v>
      </c>
      <c r="DE26" s="7">
        <v>4.1868999999999996</v>
      </c>
      <c r="DF26" s="7">
        <v>3.9797000000000002</v>
      </c>
      <c r="DG26" s="7">
        <v>4.1874000000000002</v>
      </c>
      <c r="DH26" s="7">
        <v>4.0549999999999997</v>
      </c>
      <c r="DI26" s="7">
        <v>3.1294</v>
      </c>
      <c r="DJ26" s="7">
        <v>2.9176000000000002</v>
      </c>
      <c r="DK26" s="7">
        <v>3.1364999999999998</v>
      </c>
      <c r="DL26" s="7">
        <v>3.2101999999999999</v>
      </c>
      <c r="DM26" s="7">
        <v>3.1295999999999999</v>
      </c>
      <c r="DN26" s="7">
        <v>3.5794000000000001</v>
      </c>
      <c r="DO26" s="7">
        <v>3.8984000000000001</v>
      </c>
      <c r="DP26" s="7">
        <v>3.7479</v>
      </c>
      <c r="DQ26" s="7" t="s">
        <v>72</v>
      </c>
      <c r="DS26" s="7">
        <v>1.0457000000000001</v>
      </c>
      <c r="DT26" s="7">
        <v>0.92290000000000005</v>
      </c>
      <c r="DU26" s="7">
        <v>0.84570000000000001</v>
      </c>
      <c r="DV26" s="7">
        <v>0.85809999999999997</v>
      </c>
      <c r="DW26" s="7">
        <v>0.8377</v>
      </c>
      <c r="DX26" s="7">
        <v>0.92349999999999999</v>
      </c>
      <c r="DY26" s="7">
        <v>0.93479999999999996</v>
      </c>
      <c r="DZ26" s="7">
        <v>0.75729999999999997</v>
      </c>
      <c r="EA26" s="7">
        <v>0.81559999999999999</v>
      </c>
      <c r="EB26" s="7">
        <v>0.90820000000000001</v>
      </c>
      <c r="EC26" s="7">
        <v>0.96409999999999996</v>
      </c>
      <c r="ED26" s="7">
        <v>0.99050000000000005</v>
      </c>
      <c r="EE26" s="7">
        <v>1.0661</v>
      </c>
      <c r="EF26" s="7">
        <v>1.1793</v>
      </c>
      <c r="EG26" s="7">
        <v>1.1364000000000001</v>
      </c>
      <c r="EH26" s="7" t="s">
        <v>72</v>
      </c>
      <c r="EJ26" s="7">
        <v>111.2647</v>
      </c>
      <c r="EK26" s="7">
        <v>40.758000000000003</v>
      </c>
      <c r="EL26" s="7">
        <v>20.508500000000002</v>
      </c>
      <c r="EM26" s="7">
        <v>15.4983</v>
      </c>
      <c r="EN26" s="7">
        <v>12.122299999999999</v>
      </c>
      <c r="EO26" s="7">
        <v>11.6631</v>
      </c>
      <c r="EP26" s="7">
        <v>10.396599999999999</v>
      </c>
      <c r="EQ26" s="7">
        <v>6.0274999999999999</v>
      </c>
      <c r="ER26" s="7" t="s">
        <v>72</v>
      </c>
      <c r="ES26" s="7" t="s">
        <v>72</v>
      </c>
      <c r="ET26" s="7" t="s">
        <v>72</v>
      </c>
      <c r="EU26" s="7" t="s">
        <v>72</v>
      </c>
      <c r="EV26" s="7">
        <v>7.2107000000000001</v>
      </c>
      <c r="EW26" s="7" t="s">
        <v>72</v>
      </c>
      <c r="EX26" s="7" t="s">
        <v>72</v>
      </c>
      <c r="EY26" s="7" t="s">
        <v>72</v>
      </c>
      <c r="FA26" s="7">
        <v>0.7419</v>
      </c>
      <c r="FB26" s="7">
        <v>0.62190000000000001</v>
      </c>
      <c r="FC26" s="7">
        <v>0.53069999999999995</v>
      </c>
      <c r="FD26" s="7">
        <v>0.53810000000000002</v>
      </c>
      <c r="FE26" s="7">
        <v>0.4945</v>
      </c>
      <c r="FF26" s="7">
        <v>0.53959999999999997</v>
      </c>
      <c r="FG26" s="7">
        <v>0.54790000000000005</v>
      </c>
      <c r="FH26" s="7">
        <v>0.40710000000000002</v>
      </c>
      <c r="FI26" s="7" t="s">
        <v>72</v>
      </c>
      <c r="FJ26" s="7" t="s">
        <v>72</v>
      </c>
      <c r="FK26" s="7" t="s">
        <v>72</v>
      </c>
      <c r="FL26" s="7" t="s">
        <v>72</v>
      </c>
      <c r="FM26" s="7">
        <v>0.495</v>
      </c>
      <c r="FN26" s="7" t="s">
        <v>72</v>
      </c>
      <c r="FO26" s="7" t="s">
        <v>72</v>
      </c>
      <c r="FP26" s="7">
        <v>0.68810000000000004</v>
      </c>
      <c r="FR26" s="7">
        <v>83.629400000000004</v>
      </c>
      <c r="FS26" s="7">
        <v>76.3</v>
      </c>
      <c r="FT26" s="7">
        <v>76.099999999999994</v>
      </c>
      <c r="FU26" s="7">
        <v>93.4</v>
      </c>
      <c r="FV26" s="7">
        <v>68.5779</v>
      </c>
      <c r="FW26" s="7">
        <v>100.8</v>
      </c>
      <c r="FX26" s="7">
        <v>126.142</v>
      </c>
      <c r="FY26" s="7">
        <v>183</v>
      </c>
      <c r="FZ26" s="7">
        <v>189.3501</v>
      </c>
      <c r="GA26" s="7">
        <v>99.9</v>
      </c>
      <c r="GB26" s="7">
        <v>109</v>
      </c>
      <c r="GC26" s="7">
        <v>69</v>
      </c>
      <c r="GD26" s="7">
        <v>62.418999999999997</v>
      </c>
      <c r="GE26" s="7">
        <v>32.2956</v>
      </c>
      <c r="GF26" s="7">
        <v>18.7</v>
      </c>
      <c r="GG26" s="7" t="s">
        <v>72</v>
      </c>
      <c r="GI26" s="7">
        <v>935.64059999999995</v>
      </c>
      <c r="GJ26" s="7">
        <v>941.5</v>
      </c>
      <c r="GK26" s="7">
        <v>953.5</v>
      </c>
      <c r="GL26" s="7">
        <v>964.3</v>
      </c>
      <c r="GM26" s="7">
        <v>975.25199999999995</v>
      </c>
      <c r="GN26" s="7">
        <v>1001</v>
      </c>
      <c r="GO26" s="7">
        <v>989.37559999999996</v>
      </c>
      <c r="GP26" s="7">
        <v>1015.2</v>
      </c>
      <c r="GQ26" s="7">
        <v>1034.4010000000001</v>
      </c>
      <c r="GR26" s="7">
        <v>1052.8</v>
      </c>
      <c r="GS26" s="7">
        <v>1046.9000000000001</v>
      </c>
      <c r="GT26" s="7">
        <v>1070</v>
      </c>
      <c r="GU26" s="7">
        <v>1083.2429999999999</v>
      </c>
      <c r="GV26" s="7">
        <v>1101.1855</v>
      </c>
      <c r="GW26" s="7">
        <v>1079.0999999999999</v>
      </c>
      <c r="GX26" s="7" t="s">
        <v>72</v>
      </c>
      <c r="GZ26" s="7">
        <v>39.142499999999998</v>
      </c>
      <c r="HA26" s="7">
        <v>47.8</v>
      </c>
      <c r="HB26" s="7">
        <v>51.6</v>
      </c>
      <c r="HC26" s="7">
        <v>49.4</v>
      </c>
      <c r="HD26" s="7">
        <v>45.023000000000003</v>
      </c>
      <c r="HE26" s="7">
        <v>55.5</v>
      </c>
      <c r="HF26" s="7">
        <v>56.592199999999998</v>
      </c>
      <c r="HG26" s="7">
        <v>57.5</v>
      </c>
      <c r="HH26" s="7">
        <v>71.836500000000001</v>
      </c>
      <c r="HI26" s="7">
        <v>60.3</v>
      </c>
      <c r="HJ26" s="7">
        <v>64.2</v>
      </c>
      <c r="HK26" s="7">
        <v>66.5</v>
      </c>
      <c r="HL26" s="7">
        <v>54.892099999999999</v>
      </c>
      <c r="HM26" s="7">
        <v>61.623699999999999</v>
      </c>
      <c r="HN26" s="7">
        <v>65</v>
      </c>
      <c r="HO26" s="7" t="s">
        <v>72</v>
      </c>
      <c r="HQ26" s="228">
        <v>8.6603999999999992</v>
      </c>
      <c r="HR26" s="228">
        <v>8.9451000000000001</v>
      </c>
      <c r="HS26" s="228">
        <v>10.679</v>
      </c>
      <c r="HT26" s="228">
        <v>10.1425</v>
      </c>
      <c r="HU26" s="228">
        <v>9.3558000000000003</v>
      </c>
      <c r="HV26" s="228">
        <v>10.410600000000001</v>
      </c>
      <c r="HW26" s="228">
        <v>12.5008</v>
      </c>
      <c r="HX26" s="228">
        <v>13.6037</v>
      </c>
      <c r="HY26" s="228">
        <v>15.7218</v>
      </c>
      <c r="HZ26" s="228">
        <v>12.0525</v>
      </c>
      <c r="IA26" s="228">
        <v>12.172800000000001</v>
      </c>
      <c r="IB26" s="228">
        <v>10.081899999999999</v>
      </c>
      <c r="IC26" s="228">
        <v>12.0137</v>
      </c>
      <c r="ID26" s="228">
        <v>10.7751</v>
      </c>
      <c r="IE26" s="228">
        <v>11.8957</v>
      </c>
      <c r="IF26" s="228" t="s">
        <v>72</v>
      </c>
    </row>
    <row r="27" spans="1:240">
      <c r="A27" s="11" t="s">
        <v>727</v>
      </c>
      <c r="B27" s="7" t="s">
        <v>345</v>
      </c>
      <c r="D27" s="7">
        <v>878.23950000000002</v>
      </c>
      <c r="E27" s="7">
        <v>806.67930000000001</v>
      </c>
      <c r="F27" s="7">
        <v>637.53679999999997</v>
      </c>
      <c r="G27" s="7" t="e">
        <v>#NAME?</v>
      </c>
      <c r="H27" s="7">
        <v>559.47109999999998</v>
      </c>
      <c r="I27" s="7">
        <v>526.94370000000004</v>
      </c>
      <c r="J27" s="7">
        <v>455.38350000000003</v>
      </c>
      <c r="K27" s="7">
        <v>400.08690000000001</v>
      </c>
      <c r="L27" s="7">
        <v>409.71499999999997</v>
      </c>
      <c r="M27" s="7">
        <v>449.52850000000001</v>
      </c>
      <c r="N27" s="7">
        <v>396.83420000000001</v>
      </c>
      <c r="O27" s="7">
        <v>497.73410000000001</v>
      </c>
      <c r="P27" s="7">
        <v>621.59839999999997</v>
      </c>
      <c r="Q27" s="7">
        <v>539.9547</v>
      </c>
      <c r="R27" s="7" t="s">
        <v>72</v>
      </c>
      <c r="S27" s="7" t="s">
        <v>72</v>
      </c>
      <c r="U27" s="7">
        <v>617.56399999999996</v>
      </c>
      <c r="V27" s="7">
        <v>621.42999999999995</v>
      </c>
      <c r="W27" s="7">
        <v>561.19200000000001</v>
      </c>
      <c r="X27" s="7">
        <v>233.90899999999999</v>
      </c>
      <c r="Y27" s="7">
        <v>523.62800000000004</v>
      </c>
      <c r="Z27" s="7">
        <v>478.834</v>
      </c>
      <c r="AA27" s="7">
        <v>443.05200000000002</v>
      </c>
      <c r="AB27" s="7">
        <v>392.66300000000001</v>
      </c>
      <c r="AC27" s="7">
        <v>399.57600000000002</v>
      </c>
      <c r="AD27" s="7">
        <v>357.245</v>
      </c>
      <c r="AE27" s="7">
        <v>317.46899999999999</v>
      </c>
      <c r="AF27" s="7">
        <v>336.30099999999999</v>
      </c>
      <c r="AG27" s="7">
        <v>337.21499999999997</v>
      </c>
      <c r="AH27" s="7">
        <v>374.04899999999998</v>
      </c>
      <c r="AI27" s="7" t="s">
        <v>72</v>
      </c>
      <c r="AJ27" s="7" t="s">
        <v>72</v>
      </c>
      <c r="AL27" s="7">
        <v>59.494</v>
      </c>
      <c r="AM27" s="7" t="s">
        <v>72</v>
      </c>
      <c r="AN27" s="7" t="s">
        <v>72</v>
      </c>
      <c r="AO27" s="7" t="s">
        <v>72</v>
      </c>
      <c r="AP27" s="7">
        <v>66.087000000000003</v>
      </c>
      <c r="AQ27" s="7" t="s">
        <v>72</v>
      </c>
      <c r="AR27" s="7" t="s">
        <v>72</v>
      </c>
      <c r="AS27" s="7" t="s">
        <v>72</v>
      </c>
      <c r="AT27" s="7" t="s">
        <v>72</v>
      </c>
      <c r="AU27" s="7" t="s">
        <v>72</v>
      </c>
      <c r="AV27" s="7" t="s">
        <v>72</v>
      </c>
      <c r="AW27" s="7" t="s">
        <v>72</v>
      </c>
      <c r="AX27" s="7">
        <v>146.31200000000001</v>
      </c>
      <c r="AY27" s="7">
        <v>0</v>
      </c>
      <c r="AZ27" s="7" t="s">
        <v>72</v>
      </c>
      <c r="BA27" s="7" t="s">
        <v>72</v>
      </c>
      <c r="BC27" s="7">
        <v>1.6735</v>
      </c>
      <c r="BD27" s="7">
        <v>1.0636000000000001</v>
      </c>
      <c r="BE27" s="7">
        <v>2.4883999999999999</v>
      </c>
      <c r="BF27" s="7">
        <v>1.6677999999999999</v>
      </c>
      <c r="BG27" s="7">
        <v>29.245999999999999</v>
      </c>
      <c r="BH27" s="7">
        <v>4.0086000000000004</v>
      </c>
      <c r="BI27" s="7">
        <v>2.8546</v>
      </c>
      <c r="BJ27" s="7">
        <v>2.9214000000000002</v>
      </c>
      <c r="BK27" s="7">
        <v>-0.38990000000000002</v>
      </c>
      <c r="BL27" s="7">
        <v>4.2637999999999998</v>
      </c>
      <c r="BM27" s="7">
        <v>3.4512</v>
      </c>
      <c r="BN27" s="7">
        <v>3.8923999999999999</v>
      </c>
      <c r="BO27" s="7" t="s">
        <v>72</v>
      </c>
      <c r="BP27" s="7">
        <v>3.4032999999999998</v>
      </c>
      <c r="BQ27" s="7" t="s">
        <v>72</v>
      </c>
      <c r="BR27" s="7" t="s">
        <v>72</v>
      </c>
      <c r="BT27" s="7">
        <v>2.2271999999999998</v>
      </c>
      <c r="BU27" s="7">
        <v>2.2827999999999999</v>
      </c>
      <c r="BV27" s="7">
        <v>2.0785999999999998</v>
      </c>
      <c r="BW27" s="7">
        <v>0.88419999999999999</v>
      </c>
      <c r="BX27" s="7">
        <v>1.8380000000000001</v>
      </c>
      <c r="BY27" s="7">
        <v>1.6411</v>
      </c>
      <c r="BZ27" s="7">
        <v>1.5246</v>
      </c>
      <c r="CA27" s="7">
        <v>1.3210999999999999</v>
      </c>
      <c r="CB27" s="7">
        <v>1.5941000000000001</v>
      </c>
      <c r="CC27" s="7">
        <v>1.4478</v>
      </c>
      <c r="CD27" s="7">
        <v>1.3004</v>
      </c>
      <c r="CE27" s="7">
        <v>1.4116</v>
      </c>
      <c r="CF27" s="7">
        <v>1.4786999999999999</v>
      </c>
      <c r="CG27" s="7">
        <v>1.6193</v>
      </c>
      <c r="CH27" s="7" t="s">
        <v>72</v>
      </c>
      <c r="CI27" s="7" t="s">
        <v>72</v>
      </c>
      <c r="CK27" s="7">
        <v>1495.8035</v>
      </c>
      <c r="CL27" s="7">
        <v>1428.1093000000001</v>
      </c>
      <c r="CM27" s="7">
        <v>1198.7288000000001</v>
      </c>
      <c r="CN27" s="7">
        <v>817.38530000000003</v>
      </c>
      <c r="CO27" s="7">
        <v>1083.0990999999999</v>
      </c>
      <c r="CP27" s="7">
        <v>1005.7777</v>
      </c>
      <c r="CQ27" s="7">
        <v>898.43550000000005</v>
      </c>
      <c r="CR27" s="7">
        <v>792.74990000000003</v>
      </c>
      <c r="CS27" s="7">
        <v>809.29100000000005</v>
      </c>
      <c r="CT27" s="7">
        <v>806.77350000000001</v>
      </c>
      <c r="CU27" s="7">
        <v>714.30319999999995</v>
      </c>
      <c r="CV27" s="7">
        <v>834.03510000000006</v>
      </c>
      <c r="CW27" s="7">
        <v>958.8134</v>
      </c>
      <c r="CX27" s="7">
        <v>914.00369999999998</v>
      </c>
      <c r="CY27" s="7" t="s">
        <v>72</v>
      </c>
      <c r="CZ27" s="7" t="s">
        <v>72</v>
      </c>
      <c r="DB27" s="7">
        <v>5.3945999999999996</v>
      </c>
      <c r="DC27" s="7">
        <v>5.2461000000000002</v>
      </c>
      <c r="DD27" s="7">
        <v>4.4398999999999997</v>
      </c>
      <c r="DE27" s="7">
        <v>3.0899000000000001</v>
      </c>
      <c r="DF27" s="7">
        <v>3.8018000000000001</v>
      </c>
      <c r="DG27" s="7">
        <v>3.4470000000000001</v>
      </c>
      <c r="DH27" s="7">
        <v>3.0916000000000001</v>
      </c>
      <c r="DI27" s="7">
        <v>2.6672000000000002</v>
      </c>
      <c r="DJ27" s="7">
        <v>3.2286999999999999</v>
      </c>
      <c r="DK27" s="7">
        <v>3.2694999999999999</v>
      </c>
      <c r="DL27" s="7">
        <v>2.9258999999999999</v>
      </c>
      <c r="DM27" s="7">
        <v>3.5007000000000001</v>
      </c>
      <c r="DN27" s="7">
        <v>4.0498000000000003</v>
      </c>
      <c r="DO27" s="7">
        <v>3.9569999999999999</v>
      </c>
      <c r="DP27" s="7" t="s">
        <v>72</v>
      </c>
      <c r="DQ27" s="7" t="s">
        <v>72</v>
      </c>
      <c r="DS27" s="7">
        <v>1.7648999999999999</v>
      </c>
      <c r="DT27" s="7">
        <v>1.6725000000000001</v>
      </c>
      <c r="DU27" s="7">
        <v>1.4028</v>
      </c>
      <c r="DV27" s="7">
        <v>0.96450000000000002</v>
      </c>
      <c r="DW27" s="7">
        <v>1.2904</v>
      </c>
      <c r="DX27" s="7">
        <v>1.2109000000000001</v>
      </c>
      <c r="DY27" s="7">
        <v>1.0904</v>
      </c>
      <c r="DZ27" s="7">
        <v>0.96389999999999998</v>
      </c>
      <c r="EA27" s="7">
        <v>0.9929</v>
      </c>
      <c r="EB27" s="7">
        <v>0.99219999999999997</v>
      </c>
      <c r="EC27" s="7">
        <v>0.88700000000000001</v>
      </c>
      <c r="ED27" s="7">
        <v>1.054</v>
      </c>
      <c r="EE27" s="7">
        <v>1.2212000000000001</v>
      </c>
      <c r="EF27" s="7">
        <v>1.1726000000000001</v>
      </c>
      <c r="EG27" s="7" t="s">
        <v>72</v>
      </c>
      <c r="EH27" s="7" t="s">
        <v>72</v>
      </c>
      <c r="EJ27" s="7" t="s">
        <v>72</v>
      </c>
      <c r="EK27" s="7">
        <v>54.479599999999998</v>
      </c>
      <c r="EL27" s="7">
        <v>125.79649999999999</v>
      </c>
      <c r="EM27" s="7" t="s">
        <v>72</v>
      </c>
      <c r="EN27" s="7" t="s">
        <v>72</v>
      </c>
      <c r="EO27" s="7" t="s">
        <v>72</v>
      </c>
      <c r="EP27" s="7" t="s">
        <v>72</v>
      </c>
      <c r="EQ27" s="7" t="s">
        <v>72</v>
      </c>
      <c r="ER27" s="7" t="s">
        <v>72</v>
      </c>
      <c r="ES27" s="7" t="s">
        <v>72</v>
      </c>
      <c r="ET27" s="7" t="s">
        <v>72</v>
      </c>
      <c r="EU27" s="7" t="s">
        <v>72</v>
      </c>
      <c r="EV27" s="7" t="s">
        <v>72</v>
      </c>
      <c r="EW27" s="7" t="s">
        <v>72</v>
      </c>
      <c r="EX27" s="7" t="s">
        <v>72</v>
      </c>
      <c r="EY27" s="7" t="s">
        <v>72</v>
      </c>
      <c r="FA27" s="7" t="s">
        <v>72</v>
      </c>
      <c r="FB27" s="7">
        <v>0.77990000000000004</v>
      </c>
      <c r="FC27" s="7">
        <v>0.61350000000000005</v>
      </c>
      <c r="FD27" s="7">
        <v>0.57099999999999995</v>
      </c>
      <c r="FE27" s="7" t="s">
        <v>72</v>
      </c>
      <c r="FF27" s="7">
        <v>0.64349999999999996</v>
      </c>
      <c r="FG27" s="7">
        <v>0.54879999999999995</v>
      </c>
      <c r="FH27" s="7">
        <v>0.48759999999999998</v>
      </c>
      <c r="FI27" s="7" t="s">
        <v>72</v>
      </c>
      <c r="FJ27" s="7" t="s">
        <v>72</v>
      </c>
      <c r="FK27" s="7" t="s">
        <v>72</v>
      </c>
      <c r="FL27" s="7" t="s">
        <v>72</v>
      </c>
      <c r="FM27" s="7" t="s">
        <v>72</v>
      </c>
      <c r="FN27" s="7" t="s">
        <v>72</v>
      </c>
      <c r="FO27" s="7" t="s">
        <v>72</v>
      </c>
      <c r="FP27" s="7">
        <v>0.86570000000000003</v>
      </c>
      <c r="FR27" s="7">
        <v>21.21</v>
      </c>
      <c r="FS27" s="7">
        <v>10.177</v>
      </c>
      <c r="FT27" s="7">
        <v>43.780999999999999</v>
      </c>
      <c r="FU27" s="7">
        <v>36.402000000000001</v>
      </c>
      <c r="FV27" s="7">
        <v>46.725999999999999</v>
      </c>
      <c r="FW27" s="7">
        <v>41.994999999999997</v>
      </c>
      <c r="FX27" s="7">
        <v>62.015999999999998</v>
      </c>
      <c r="FY27" s="7">
        <v>62.534999999999997</v>
      </c>
      <c r="FZ27" s="7">
        <v>61.265000000000001</v>
      </c>
      <c r="GA27" s="7">
        <v>23.632000000000001</v>
      </c>
      <c r="GB27" s="7">
        <v>50.41</v>
      </c>
      <c r="GC27" s="7">
        <v>37.731999999999999</v>
      </c>
      <c r="GD27" s="7">
        <v>44.073999999999998</v>
      </c>
      <c r="GE27" s="7">
        <v>55.313000000000002</v>
      </c>
      <c r="GF27" s="7" t="s">
        <v>72</v>
      </c>
      <c r="GG27" s="7" t="s">
        <v>72</v>
      </c>
      <c r="GI27" s="7">
        <v>1001.566</v>
      </c>
      <c r="GJ27" s="7">
        <v>1034.377</v>
      </c>
      <c r="GK27" s="7">
        <v>1039.26</v>
      </c>
      <c r="GL27" s="7">
        <v>1021.796</v>
      </c>
      <c r="GM27" s="7">
        <v>807.81200000000001</v>
      </c>
      <c r="GN27" s="7">
        <v>818.87099999999998</v>
      </c>
      <c r="GO27" s="7">
        <v>829.74199999999996</v>
      </c>
      <c r="GP27" s="7">
        <v>820.47900000000004</v>
      </c>
      <c r="GQ27" s="7">
        <v>815.27499999999998</v>
      </c>
      <c r="GR27" s="7">
        <v>831.09400000000005</v>
      </c>
      <c r="GS27" s="7">
        <v>799.09199999999998</v>
      </c>
      <c r="GT27" s="7">
        <v>812.60900000000004</v>
      </c>
      <c r="GU27" s="7">
        <v>814.71699999999998</v>
      </c>
      <c r="GV27" s="7">
        <v>804.07899999999995</v>
      </c>
      <c r="GW27" s="7" t="s">
        <v>72</v>
      </c>
      <c r="GX27" s="7" t="s">
        <v>72</v>
      </c>
      <c r="GZ27" s="7">
        <v>69.912000000000006</v>
      </c>
      <c r="HA27" s="7">
        <v>64.497</v>
      </c>
      <c r="HB27" s="7">
        <v>66.004999999999995</v>
      </c>
      <c r="HC27" s="7">
        <v>64.119</v>
      </c>
      <c r="HD27" s="7">
        <v>90.272000000000006</v>
      </c>
      <c r="HE27" s="7">
        <v>71.385000000000005</v>
      </c>
      <c r="HF27" s="7">
        <v>64.826999999999998</v>
      </c>
      <c r="HG27" s="7">
        <v>70.739000000000004</v>
      </c>
      <c r="HH27" s="7">
        <v>43.701000000000001</v>
      </c>
      <c r="HI27" s="7">
        <v>67.489000000000004</v>
      </c>
      <c r="HJ27" s="7">
        <v>62.203000000000003</v>
      </c>
      <c r="HK27" s="7">
        <v>64.852999999999994</v>
      </c>
      <c r="HL27" s="7">
        <v>42.212000000000003</v>
      </c>
      <c r="HM27" s="7">
        <v>61.718000000000004</v>
      </c>
      <c r="HN27" s="7" t="s">
        <v>72</v>
      </c>
      <c r="HO27" s="7" t="s">
        <v>72</v>
      </c>
      <c r="HQ27" s="228">
        <v>6.0853000000000002</v>
      </c>
      <c r="HR27" s="228">
        <v>5.8943000000000003</v>
      </c>
      <c r="HS27" s="228">
        <v>6.2850999999999999</v>
      </c>
      <c r="HT27" s="228">
        <v>9.8435000000000006</v>
      </c>
      <c r="HU27" s="228">
        <v>6.6367000000000003</v>
      </c>
      <c r="HV27" s="228">
        <v>6.2824999999999998</v>
      </c>
      <c r="HW27" s="228">
        <v>6.0678000000000001</v>
      </c>
      <c r="HX27" s="228">
        <v>5.6652000000000005</v>
      </c>
      <c r="HY27" s="228">
        <v>7.8646000000000003</v>
      </c>
      <c r="HZ27" s="228">
        <v>10.9094</v>
      </c>
      <c r="IA27" s="228">
        <v>8.6117000000000008</v>
      </c>
      <c r="IB27" s="228">
        <v>6.3845999999999998</v>
      </c>
      <c r="IC27" s="228">
        <v>10.125500000000001</v>
      </c>
      <c r="ID27" s="228">
        <v>9.4055999999999997</v>
      </c>
      <c r="IE27" s="228" t="s">
        <v>72</v>
      </c>
      <c r="IF27" s="228" t="s">
        <v>72</v>
      </c>
    </row>
    <row r="29" spans="1:240">
      <c r="DB29" s="7" t="s">
        <v>499</v>
      </c>
      <c r="DC29" s="7" t="s">
        <v>499</v>
      </c>
      <c r="DD29" s="7" t="s">
        <v>499</v>
      </c>
      <c r="DE29" s="7" t="s">
        <v>499</v>
      </c>
      <c r="DF29" s="7" t="s">
        <v>499</v>
      </c>
      <c r="DG29" s="7" t="s">
        <v>499</v>
      </c>
      <c r="DH29" s="7" t="s">
        <v>499</v>
      </c>
      <c r="DI29" s="7" t="s">
        <v>499</v>
      </c>
      <c r="DJ29" s="7" t="s">
        <v>499</v>
      </c>
      <c r="DK29" s="7" t="s">
        <v>499</v>
      </c>
      <c r="DL29" s="7" t="s">
        <v>499</v>
      </c>
      <c r="DM29" s="7" t="s">
        <v>499</v>
      </c>
      <c r="DN29" s="7" t="s">
        <v>499</v>
      </c>
      <c r="DO29" s="7" t="s">
        <v>499</v>
      </c>
      <c r="DP29" s="7" t="s">
        <v>499</v>
      </c>
      <c r="DQ29" s="7" t="s">
        <v>499</v>
      </c>
      <c r="EJ29" s="7" t="s">
        <v>500</v>
      </c>
      <c r="EK29" s="7" t="s">
        <v>500</v>
      </c>
      <c r="EL29" s="7" t="s">
        <v>500</v>
      </c>
      <c r="EM29" s="7" t="s">
        <v>500</v>
      </c>
      <c r="EN29" s="7" t="s">
        <v>500</v>
      </c>
      <c r="EO29" s="7" t="s">
        <v>500</v>
      </c>
      <c r="EP29" s="7" t="s">
        <v>500</v>
      </c>
      <c r="EQ29" s="7" t="s">
        <v>500</v>
      </c>
      <c r="ER29" s="7" t="s">
        <v>500</v>
      </c>
      <c r="ES29" s="7" t="s">
        <v>500</v>
      </c>
      <c r="ET29" s="7" t="s">
        <v>500</v>
      </c>
      <c r="EU29" s="7" t="s">
        <v>500</v>
      </c>
      <c r="EV29" s="7" t="s">
        <v>500</v>
      </c>
      <c r="EW29" s="7" t="s">
        <v>500</v>
      </c>
      <c r="EX29" s="7" t="s">
        <v>500</v>
      </c>
      <c r="EY29" s="7" t="s">
        <v>500</v>
      </c>
      <c r="FA29" s="7" t="s">
        <v>501</v>
      </c>
      <c r="FB29" s="7" t="s">
        <v>501</v>
      </c>
      <c r="FC29" s="7" t="s">
        <v>501</v>
      </c>
      <c r="FD29" s="7" t="s">
        <v>501</v>
      </c>
      <c r="FE29" s="7" t="s">
        <v>501</v>
      </c>
      <c r="FF29" s="7" t="s">
        <v>501</v>
      </c>
      <c r="FG29" s="7" t="s">
        <v>501</v>
      </c>
      <c r="FH29" s="7" t="s">
        <v>501</v>
      </c>
      <c r="FI29" s="7" t="s">
        <v>501</v>
      </c>
      <c r="FJ29" s="7" t="s">
        <v>501</v>
      </c>
      <c r="FK29" s="7" t="s">
        <v>501</v>
      </c>
      <c r="FL29" s="7" t="s">
        <v>501</v>
      </c>
      <c r="FM29" s="7" t="s">
        <v>501</v>
      </c>
      <c r="FN29" s="7" t="s">
        <v>501</v>
      </c>
      <c r="FO29" s="7" t="s">
        <v>501</v>
      </c>
      <c r="FP29" s="7" t="s">
        <v>501</v>
      </c>
      <c r="GZ29" s="11"/>
    </row>
    <row r="30" spans="1:240">
      <c r="FA30" s="7"/>
      <c r="FB30" s="7"/>
      <c r="FC30" s="7"/>
      <c r="FD30" s="7"/>
      <c r="FE30" s="7"/>
      <c r="FF30" s="7"/>
      <c r="FG30" s="7"/>
      <c r="FH30" s="7"/>
      <c r="FI30" s="7"/>
      <c r="FJ30" s="7"/>
      <c r="FK30" s="7"/>
      <c r="FL30" s="7"/>
      <c r="FM30" s="7"/>
      <c r="FN30" s="7"/>
      <c r="FO30" s="7"/>
      <c r="FP30" s="7"/>
      <c r="GF30" s="7">
        <f>GF8+AI8</f>
        <v>484.4</v>
      </c>
    </row>
    <row r="31" spans="1:240">
      <c r="A31" s="11" t="s">
        <v>485</v>
      </c>
      <c r="B31" s="7" t="s">
        <v>486</v>
      </c>
      <c r="D31" s="11"/>
      <c r="E31" s="95"/>
      <c r="DB31" s="7">
        <v>5.6085000000000003</v>
      </c>
      <c r="DC31" s="7">
        <v>5.6410999999999998</v>
      </c>
      <c r="DD31" s="7">
        <v>5.4523999999999999</v>
      </c>
      <c r="DE31" s="7">
        <v>5.8440000000000003</v>
      </c>
      <c r="DF31" s="7">
        <v>5.6459000000000001</v>
      </c>
      <c r="DG31" s="7">
        <v>5.8033000000000001</v>
      </c>
      <c r="DH31" s="7">
        <v>5.6826999999999996</v>
      </c>
      <c r="DI31" s="7">
        <v>5.4458000000000002</v>
      </c>
      <c r="DJ31" s="7" t="s">
        <v>72</v>
      </c>
      <c r="DK31" s="7" t="s">
        <v>72</v>
      </c>
      <c r="DL31" s="7" t="s">
        <v>72</v>
      </c>
      <c r="DM31" s="7" t="s">
        <v>72</v>
      </c>
      <c r="DN31" s="7">
        <v>5.1204000000000001</v>
      </c>
      <c r="DO31" s="7" t="s">
        <v>72</v>
      </c>
      <c r="DP31" s="7" t="s">
        <v>72</v>
      </c>
      <c r="DQ31" s="7">
        <v>6.3052000000000001</v>
      </c>
      <c r="EJ31" s="7">
        <v>13.9069</v>
      </c>
      <c r="EK31" s="7">
        <v>10.9459</v>
      </c>
      <c r="EL31" s="7">
        <v>9.6668000000000003</v>
      </c>
      <c r="EM31" s="7">
        <v>8.9400999999999993</v>
      </c>
      <c r="EN31" s="7">
        <v>9.0245999999999995</v>
      </c>
      <c r="EO31" s="7">
        <v>10.416700000000001</v>
      </c>
      <c r="EP31" s="7">
        <v>11.169499999999999</v>
      </c>
      <c r="EQ31" s="7">
        <v>13.183400000000001</v>
      </c>
      <c r="ER31" s="7" t="s">
        <v>72</v>
      </c>
      <c r="ES31" s="7" t="s">
        <v>72</v>
      </c>
      <c r="ET31" s="7" t="s">
        <v>72</v>
      </c>
      <c r="EU31" s="7" t="s">
        <v>72</v>
      </c>
      <c r="EV31" s="7">
        <v>82.981700000000004</v>
      </c>
      <c r="EW31" s="7" t="s">
        <v>72</v>
      </c>
      <c r="EX31" s="7" t="s">
        <v>72</v>
      </c>
      <c r="EY31" s="7">
        <v>127.8652</v>
      </c>
      <c r="FA31" s="7">
        <v>1.6254999999999999</v>
      </c>
      <c r="FB31" s="7">
        <v>1.522</v>
      </c>
      <c r="FC31" s="7">
        <v>1.4018999999999999</v>
      </c>
      <c r="FD31" s="7">
        <v>1.4748000000000001</v>
      </c>
      <c r="FE31" s="7">
        <v>1.4508000000000001</v>
      </c>
      <c r="FF31" s="7">
        <v>1.5234000000000001</v>
      </c>
      <c r="FG31" s="7">
        <v>1.5146999999999999</v>
      </c>
      <c r="FH31" s="7">
        <v>1.4112</v>
      </c>
      <c r="FI31" s="7" t="s">
        <v>72</v>
      </c>
      <c r="FJ31" s="7" t="s">
        <v>72</v>
      </c>
      <c r="FK31" s="7" t="s">
        <v>72</v>
      </c>
      <c r="FL31" s="7" t="s">
        <v>72</v>
      </c>
      <c r="FM31" s="7">
        <v>1.4338</v>
      </c>
      <c r="FN31" s="7" t="s">
        <v>72</v>
      </c>
      <c r="FO31" s="7" t="s">
        <v>72</v>
      </c>
      <c r="FP31" s="7">
        <v>1.8331</v>
      </c>
    </row>
    <row r="32" spans="1:240">
      <c r="A32" s="11" t="s">
        <v>487</v>
      </c>
      <c r="B32" s="7" t="s">
        <v>494</v>
      </c>
      <c r="D32" s="11"/>
      <c r="E32" s="95"/>
      <c r="DB32" s="7">
        <v>5.6085000000000003</v>
      </c>
      <c r="DC32" s="7">
        <v>5.6410999999999998</v>
      </c>
      <c r="DD32" s="7">
        <v>5.4523999999999999</v>
      </c>
      <c r="DE32" s="7">
        <v>5.8440000000000003</v>
      </c>
      <c r="DF32" s="7">
        <v>5.6459000000000001</v>
      </c>
      <c r="DG32" s="7">
        <v>5.8033000000000001</v>
      </c>
      <c r="DH32" s="7">
        <v>5.6826999999999996</v>
      </c>
      <c r="DI32" s="7">
        <v>5.4458000000000002</v>
      </c>
      <c r="DJ32" s="7" t="s">
        <v>72</v>
      </c>
      <c r="DK32" s="7" t="s">
        <v>72</v>
      </c>
      <c r="DL32" s="7" t="s">
        <v>72</v>
      </c>
      <c r="DM32" s="7" t="s">
        <v>72</v>
      </c>
      <c r="DN32" s="7">
        <v>5.1204000000000001</v>
      </c>
      <c r="DO32" s="7" t="s">
        <v>72</v>
      </c>
      <c r="DP32" s="7" t="s">
        <v>72</v>
      </c>
      <c r="DQ32" s="7">
        <v>6.3052000000000001</v>
      </c>
      <c r="EJ32" s="7">
        <v>14.3628</v>
      </c>
      <c r="EK32" s="7">
        <v>11.3551</v>
      </c>
      <c r="EL32" s="7">
        <v>10.0464</v>
      </c>
      <c r="EM32" s="7">
        <v>9.3047000000000004</v>
      </c>
      <c r="EN32" s="7">
        <v>9.4166000000000007</v>
      </c>
      <c r="EO32" s="7">
        <v>10.9314</v>
      </c>
      <c r="EP32" s="7">
        <v>11.9383</v>
      </c>
      <c r="EQ32" s="7">
        <v>14.0906</v>
      </c>
      <c r="ER32" s="7" t="s">
        <v>72</v>
      </c>
      <c r="ES32" s="7" t="s">
        <v>72</v>
      </c>
      <c r="ET32" s="7" t="s">
        <v>72</v>
      </c>
      <c r="EU32" s="7" t="s">
        <v>72</v>
      </c>
      <c r="EV32" s="7">
        <v>92.537999999999997</v>
      </c>
      <c r="EW32" s="7" t="s">
        <v>72</v>
      </c>
      <c r="EX32" s="7" t="s">
        <v>72</v>
      </c>
      <c r="EY32" s="7">
        <v>127.7289</v>
      </c>
      <c r="FA32" s="7">
        <v>1.6787000000000001</v>
      </c>
      <c r="FB32" s="7">
        <v>1.5789</v>
      </c>
      <c r="FC32" s="7">
        <v>1.4570000000000001</v>
      </c>
      <c r="FD32" s="7">
        <v>1.5349999999999999</v>
      </c>
      <c r="FE32" s="7">
        <v>1.5138</v>
      </c>
      <c r="FF32" s="7">
        <v>1.5987</v>
      </c>
      <c r="FG32" s="7">
        <v>1.6189</v>
      </c>
      <c r="FH32" s="7">
        <v>1.5083</v>
      </c>
      <c r="FI32" s="7" t="s">
        <v>72</v>
      </c>
      <c r="FJ32" s="7" t="s">
        <v>72</v>
      </c>
      <c r="FK32" s="7" t="s">
        <v>72</v>
      </c>
      <c r="FL32" s="7" t="s">
        <v>72</v>
      </c>
      <c r="FM32" s="7">
        <v>1.5989</v>
      </c>
      <c r="FN32" s="7" t="s">
        <v>72</v>
      </c>
      <c r="FO32" s="7" t="s">
        <v>72</v>
      </c>
      <c r="FP32" s="7">
        <v>1.8310999999999999</v>
      </c>
    </row>
    <row r="33" spans="1:172">
      <c r="A33" s="11" t="s">
        <v>489</v>
      </c>
      <c r="B33" s="7" t="s">
        <v>488</v>
      </c>
      <c r="D33" s="11"/>
      <c r="E33" s="95"/>
      <c r="DB33" s="7">
        <v>4.7956000000000003</v>
      </c>
      <c r="DC33" s="7">
        <v>4.7956000000000003</v>
      </c>
      <c r="DD33" s="7">
        <v>4.7956000000000003</v>
      </c>
      <c r="DE33" s="7">
        <v>4.7956000000000003</v>
      </c>
      <c r="DF33" s="7">
        <v>4.7956000000000003</v>
      </c>
      <c r="DG33" s="7">
        <v>4.7956000000000003</v>
      </c>
      <c r="DH33" s="7">
        <v>4.7956000000000003</v>
      </c>
      <c r="DI33" s="7">
        <v>4.7956000000000003</v>
      </c>
      <c r="DJ33" s="7">
        <v>4.7956000000000003</v>
      </c>
      <c r="DK33" s="7">
        <v>4.7956000000000003</v>
      </c>
      <c r="DL33" s="7">
        <v>4.7956000000000003</v>
      </c>
      <c r="DM33" s="7">
        <v>4.7956000000000003</v>
      </c>
      <c r="DN33" s="7">
        <v>4.7956000000000003</v>
      </c>
      <c r="DO33" s="7">
        <v>4.7956000000000003</v>
      </c>
      <c r="DP33" s="7">
        <v>4.7956000000000003</v>
      </c>
      <c r="DQ33" s="7">
        <v>5.1307999999999998</v>
      </c>
      <c r="EJ33" s="7" t="s">
        <v>72</v>
      </c>
      <c r="EK33" s="7" t="s">
        <v>72</v>
      </c>
      <c r="EL33" s="7" t="s">
        <v>72</v>
      </c>
      <c r="EM33" s="7" t="s">
        <v>72</v>
      </c>
      <c r="EN33" s="7" t="s">
        <v>72</v>
      </c>
      <c r="EO33" s="7" t="s">
        <v>72</v>
      </c>
      <c r="EP33" s="7" t="s">
        <v>72</v>
      </c>
      <c r="EQ33" s="7" t="s">
        <v>72</v>
      </c>
      <c r="ER33" s="7" t="s">
        <v>72</v>
      </c>
      <c r="ES33" s="7" t="s">
        <v>72</v>
      </c>
      <c r="ET33" s="7" t="s">
        <v>72</v>
      </c>
      <c r="EU33" s="7" t="s">
        <v>72</v>
      </c>
      <c r="EV33" s="7" t="s">
        <v>72</v>
      </c>
      <c r="EW33" s="7" t="s">
        <v>72</v>
      </c>
      <c r="EX33" s="7" t="s">
        <v>72</v>
      </c>
      <c r="EY33" s="7" t="s">
        <v>72</v>
      </c>
      <c r="FA33" s="7" t="s">
        <v>72</v>
      </c>
      <c r="FB33" s="7" t="s">
        <v>72</v>
      </c>
      <c r="FC33" s="7" t="s">
        <v>72</v>
      </c>
      <c r="FD33" s="7" t="s">
        <v>72</v>
      </c>
      <c r="FE33" s="7" t="s">
        <v>72</v>
      </c>
      <c r="FF33" s="7" t="s">
        <v>72</v>
      </c>
      <c r="FG33" s="7" t="s">
        <v>72</v>
      </c>
      <c r="FH33" s="7" t="s">
        <v>72</v>
      </c>
      <c r="FI33" s="7" t="s">
        <v>72</v>
      </c>
      <c r="FJ33" s="7" t="s">
        <v>72</v>
      </c>
      <c r="FK33" s="7" t="s">
        <v>72</v>
      </c>
      <c r="FL33" s="7" t="s">
        <v>72</v>
      </c>
      <c r="FM33" s="7" t="s">
        <v>72</v>
      </c>
      <c r="FN33" s="7" t="s">
        <v>72</v>
      </c>
      <c r="FO33" s="7" t="s">
        <v>72</v>
      </c>
      <c r="FP33" s="7">
        <v>1.6516999999999999</v>
      </c>
    </row>
    <row r="34" spans="1:172">
      <c r="A34" s="11" t="s">
        <v>493</v>
      </c>
      <c r="B34" s="7" t="s">
        <v>490</v>
      </c>
      <c r="D34" s="11"/>
      <c r="E34" s="95"/>
      <c r="DB34" s="7">
        <v>6.1997</v>
      </c>
      <c r="DC34" s="7">
        <v>6.2983000000000002</v>
      </c>
      <c r="DD34" s="7">
        <v>6.1234000000000002</v>
      </c>
      <c r="DE34" s="7">
        <v>6.5911999999999997</v>
      </c>
      <c r="DF34" s="7">
        <v>6.6402000000000001</v>
      </c>
      <c r="DG34" s="7">
        <v>6.8207000000000004</v>
      </c>
      <c r="DH34" s="7">
        <v>6.6776999999999997</v>
      </c>
      <c r="DI34" s="7">
        <v>6.476</v>
      </c>
      <c r="DJ34" s="7" t="s">
        <v>72</v>
      </c>
      <c r="DK34" s="7" t="s">
        <v>72</v>
      </c>
      <c r="DL34" s="7" t="s">
        <v>72</v>
      </c>
      <c r="DM34" s="7" t="s">
        <v>72</v>
      </c>
      <c r="DN34" s="7">
        <v>6.1662999999999997</v>
      </c>
      <c r="DO34" s="7" t="s">
        <v>72</v>
      </c>
      <c r="DP34" s="7" t="s">
        <v>72</v>
      </c>
      <c r="DQ34" s="7">
        <v>8.1677999999999997</v>
      </c>
      <c r="EJ34" s="7">
        <v>16.6341</v>
      </c>
      <c r="EK34" s="7">
        <v>11.0204</v>
      </c>
      <c r="EL34" s="7">
        <v>10.469799999999999</v>
      </c>
      <c r="EM34" s="7">
        <v>8.9239999999999995</v>
      </c>
      <c r="EN34" s="7">
        <v>9.4634999999999998</v>
      </c>
      <c r="EO34" s="7">
        <v>12.786200000000001</v>
      </c>
      <c r="EP34" s="7">
        <v>12.34</v>
      </c>
      <c r="EQ34" s="7">
        <v>13.475199999999999</v>
      </c>
      <c r="ER34" s="7" t="s">
        <v>72</v>
      </c>
      <c r="ES34" s="7" t="s">
        <v>72</v>
      </c>
      <c r="ET34" s="7" t="s">
        <v>72</v>
      </c>
      <c r="EU34" s="7" t="s">
        <v>72</v>
      </c>
      <c r="EV34" s="7" t="s">
        <v>72</v>
      </c>
      <c r="EW34" s="7" t="s">
        <v>72</v>
      </c>
      <c r="EX34" s="7" t="s">
        <v>72</v>
      </c>
      <c r="EY34" s="7" t="s">
        <v>72</v>
      </c>
      <c r="FA34" s="7">
        <v>1.028</v>
      </c>
      <c r="FB34" s="7">
        <v>1.0049999999999999</v>
      </c>
      <c r="FC34" s="7">
        <v>0.98580000000000001</v>
      </c>
      <c r="FD34" s="7">
        <v>1.0396000000000001</v>
      </c>
      <c r="FE34" s="7">
        <v>1.0711999999999999</v>
      </c>
      <c r="FF34" s="7">
        <v>1.1758999999999999</v>
      </c>
      <c r="FG34" s="7">
        <v>1.1246</v>
      </c>
      <c r="FH34" s="7">
        <v>1.0964</v>
      </c>
      <c r="FI34" s="7" t="s">
        <v>72</v>
      </c>
      <c r="FJ34" s="7" t="s">
        <v>72</v>
      </c>
      <c r="FK34" s="7" t="s">
        <v>72</v>
      </c>
      <c r="FL34" s="7" t="s">
        <v>72</v>
      </c>
      <c r="FM34" s="7">
        <v>1.2490999999999999</v>
      </c>
      <c r="FN34" s="7" t="s">
        <v>72</v>
      </c>
      <c r="FO34" s="7" t="s">
        <v>72</v>
      </c>
      <c r="FP34" s="7">
        <v>1.6413</v>
      </c>
    </row>
    <row r="35" spans="1:172">
      <c r="A35" s="11" t="s">
        <v>491</v>
      </c>
      <c r="B35" s="7" t="s">
        <v>492</v>
      </c>
      <c r="D35" s="11"/>
      <c r="E35" s="11"/>
      <c r="DB35" s="7">
        <v>5.3141999999999996</v>
      </c>
      <c r="DC35" s="7">
        <v>5.3106</v>
      </c>
      <c r="DD35" s="7">
        <v>5.0982000000000003</v>
      </c>
      <c r="DE35" s="7">
        <v>5.4623999999999997</v>
      </c>
      <c r="DF35" s="7">
        <v>5.1510999999999996</v>
      </c>
      <c r="DG35" s="7">
        <v>5.2797999999999998</v>
      </c>
      <c r="DH35" s="7">
        <v>5.1737000000000002</v>
      </c>
      <c r="DI35" s="7">
        <v>4.8963999999999999</v>
      </c>
      <c r="DJ35" s="7" t="s">
        <v>72</v>
      </c>
      <c r="DK35" s="7" t="s">
        <v>72</v>
      </c>
      <c r="DL35" s="7" t="s">
        <v>72</v>
      </c>
      <c r="DM35" s="7" t="s">
        <v>72</v>
      </c>
      <c r="DN35" s="7">
        <v>4.5118</v>
      </c>
      <c r="DO35" s="7" t="s">
        <v>72</v>
      </c>
      <c r="DP35" s="7" t="s">
        <v>72</v>
      </c>
      <c r="DQ35" s="7">
        <v>5.1750999999999996</v>
      </c>
      <c r="EJ35" s="7">
        <v>12.514799999999999</v>
      </c>
      <c r="EK35" s="7">
        <v>10.891500000000001</v>
      </c>
      <c r="EL35" s="7">
        <v>9.0869</v>
      </c>
      <c r="EM35" s="7">
        <v>8.9527000000000001</v>
      </c>
      <c r="EN35" s="7">
        <v>8.6904000000000003</v>
      </c>
      <c r="EO35" s="7">
        <v>8.9420999999999999</v>
      </c>
      <c r="EP35" s="7">
        <v>10.296099999999999</v>
      </c>
      <c r="EQ35" s="7">
        <v>12.899900000000001</v>
      </c>
      <c r="ER35" s="7" t="s">
        <v>72</v>
      </c>
      <c r="ES35" s="7" t="s">
        <v>72</v>
      </c>
      <c r="ET35" s="7" t="s">
        <v>72</v>
      </c>
      <c r="EU35" s="7" t="s">
        <v>72</v>
      </c>
      <c r="EV35" s="7">
        <v>15.9001</v>
      </c>
      <c r="EW35" s="7" t="s">
        <v>72</v>
      </c>
      <c r="EX35" s="7" t="s">
        <v>72</v>
      </c>
      <c r="EY35" s="7">
        <v>33.124499999999998</v>
      </c>
      <c r="FA35" s="7">
        <v>2.6835</v>
      </c>
      <c r="FB35" s="7">
        <v>2.4567999999999999</v>
      </c>
      <c r="FC35" s="7">
        <v>2.1610999999999998</v>
      </c>
      <c r="FD35" s="7">
        <v>2.19</v>
      </c>
      <c r="FE35" s="7">
        <v>2.0546000000000002</v>
      </c>
      <c r="FF35" s="7">
        <v>2.0670000000000002</v>
      </c>
      <c r="FG35" s="7">
        <v>2.1957</v>
      </c>
      <c r="FH35" s="7">
        <v>1.9914000000000001</v>
      </c>
      <c r="FI35" s="7" t="s">
        <v>72</v>
      </c>
      <c r="FJ35" s="7" t="s">
        <v>72</v>
      </c>
      <c r="FK35" s="7" t="s">
        <v>72</v>
      </c>
      <c r="FL35" s="7" t="s">
        <v>72</v>
      </c>
      <c r="FM35" s="7">
        <v>1.7867</v>
      </c>
      <c r="FN35" s="7" t="s">
        <v>72</v>
      </c>
      <c r="FO35" s="7" t="s">
        <v>72</v>
      </c>
      <c r="FP35" s="7">
        <v>2.2181999999999999</v>
      </c>
    </row>
    <row r="36" spans="1:172">
      <c r="A36" s="11" t="s">
        <v>495</v>
      </c>
      <c r="B36" s="7" t="s">
        <v>496</v>
      </c>
      <c r="D36" s="11"/>
      <c r="E36" s="99"/>
      <c r="DB36" s="7">
        <v>7.6870000000000003</v>
      </c>
      <c r="DC36" s="7">
        <v>7.2636000000000003</v>
      </c>
      <c r="DD36" s="7">
        <v>6.7767999999999997</v>
      </c>
      <c r="DE36" s="7">
        <v>6.9335000000000004</v>
      </c>
      <c r="DF36" s="7">
        <v>6.8560999999999996</v>
      </c>
      <c r="DG36" s="7">
        <v>7.0479000000000003</v>
      </c>
      <c r="DH36" s="7">
        <v>6.8548999999999998</v>
      </c>
      <c r="DI36" s="7">
        <v>6.6774000000000004</v>
      </c>
      <c r="DJ36" s="7" t="s">
        <v>72</v>
      </c>
      <c r="DK36" s="7" t="s">
        <v>72</v>
      </c>
      <c r="DL36" s="7" t="s">
        <v>72</v>
      </c>
      <c r="DM36" s="7" t="s">
        <v>72</v>
      </c>
      <c r="DN36" s="7">
        <v>6.2523</v>
      </c>
      <c r="DO36" s="7" t="s">
        <v>72</v>
      </c>
      <c r="DP36" s="7" t="s">
        <v>72</v>
      </c>
      <c r="DQ36" s="7">
        <v>6.7336999999999998</v>
      </c>
      <c r="EJ36" s="7">
        <v>10.563800000000001</v>
      </c>
      <c r="EK36" s="7">
        <v>10.401400000000001</v>
      </c>
      <c r="EL36" s="7">
        <v>8.9009999999999998</v>
      </c>
      <c r="EM36" s="7">
        <v>10.0366</v>
      </c>
      <c r="EN36" s="7">
        <v>10.5868</v>
      </c>
      <c r="EO36" s="7">
        <v>10.329800000000001</v>
      </c>
      <c r="EP36" s="7">
        <v>12.573399999999999</v>
      </c>
      <c r="EQ36" s="7">
        <v>11.691800000000001</v>
      </c>
      <c r="ER36" s="7" t="s">
        <v>72</v>
      </c>
      <c r="ES36" s="7" t="s">
        <v>72</v>
      </c>
      <c r="ET36" s="7" t="s">
        <v>72</v>
      </c>
      <c r="EU36" s="7" t="s">
        <v>72</v>
      </c>
      <c r="EV36" s="7">
        <v>14.7819</v>
      </c>
      <c r="EW36" s="7" t="s">
        <v>72</v>
      </c>
      <c r="EX36" s="7" t="s">
        <v>72</v>
      </c>
      <c r="EY36" s="7">
        <v>15.0055</v>
      </c>
      <c r="FA36" s="7">
        <v>1.6503000000000001</v>
      </c>
      <c r="FB36" s="7">
        <v>1.5335999999999999</v>
      </c>
      <c r="FC36" s="7">
        <v>1.3122</v>
      </c>
      <c r="FD36" s="7">
        <v>1.3708</v>
      </c>
      <c r="FE36" s="7">
        <v>1.3264</v>
      </c>
      <c r="FF36" s="7">
        <v>1.3075000000000001</v>
      </c>
      <c r="FG36" s="7">
        <v>1.3391</v>
      </c>
      <c r="FH36" s="7">
        <v>1.1859</v>
      </c>
      <c r="FI36" s="7" t="s">
        <v>72</v>
      </c>
      <c r="FJ36" s="7" t="s">
        <v>72</v>
      </c>
      <c r="FK36" s="7" t="s">
        <v>72</v>
      </c>
      <c r="FL36" s="7" t="s">
        <v>72</v>
      </c>
      <c r="FM36" s="7">
        <v>1.1829000000000001</v>
      </c>
      <c r="FN36" s="7" t="s">
        <v>72</v>
      </c>
      <c r="FO36" s="7" t="s">
        <v>72</v>
      </c>
      <c r="FP36" s="7">
        <v>1.2121</v>
      </c>
    </row>
    <row r="37" spans="1:172">
      <c r="A37" s="11" t="s">
        <v>497</v>
      </c>
      <c r="B37" s="7" t="s">
        <v>498</v>
      </c>
      <c r="D37" s="11"/>
      <c r="E37" s="95"/>
      <c r="DB37" s="7">
        <v>6.1516999999999999</v>
      </c>
      <c r="DC37" s="7">
        <v>6.1516999999999999</v>
      </c>
      <c r="DD37" s="7">
        <v>6.1516999999999999</v>
      </c>
      <c r="DE37" s="7">
        <v>6.1516999999999999</v>
      </c>
      <c r="DF37" s="7">
        <v>6.1516999999999999</v>
      </c>
      <c r="DG37" s="7">
        <v>6.1516999999999999</v>
      </c>
      <c r="DH37" s="7">
        <v>6.1516999999999999</v>
      </c>
      <c r="DI37" s="7">
        <v>6.1516999999999999</v>
      </c>
      <c r="DJ37" s="7">
        <v>6.1516999999999999</v>
      </c>
      <c r="DK37" s="7">
        <v>6.1516999999999999</v>
      </c>
      <c r="DL37" s="7">
        <v>6.1516999999999999</v>
      </c>
      <c r="DM37" s="7">
        <v>6.1516999999999999</v>
      </c>
      <c r="DN37" s="7">
        <v>6.1516999999999999</v>
      </c>
      <c r="DO37" s="7">
        <v>6.1516999999999999</v>
      </c>
      <c r="DP37" s="7">
        <v>6.1516999999999999</v>
      </c>
      <c r="DQ37" s="7">
        <v>6.3365</v>
      </c>
      <c r="EJ37" s="7" t="s">
        <v>72</v>
      </c>
      <c r="EK37" s="7" t="s">
        <v>72</v>
      </c>
      <c r="EL37" s="7" t="s">
        <v>72</v>
      </c>
      <c r="EM37" s="7" t="s">
        <v>72</v>
      </c>
      <c r="EN37" s="7" t="s">
        <v>72</v>
      </c>
      <c r="EO37" s="7" t="s">
        <v>72</v>
      </c>
      <c r="EP37" s="7" t="s">
        <v>72</v>
      </c>
      <c r="EQ37" s="7" t="s">
        <v>72</v>
      </c>
      <c r="ER37" s="7" t="s">
        <v>72</v>
      </c>
      <c r="ES37" s="7" t="s">
        <v>72</v>
      </c>
      <c r="ET37" s="7" t="s">
        <v>72</v>
      </c>
      <c r="EU37" s="7" t="s">
        <v>72</v>
      </c>
      <c r="EV37" s="7" t="s">
        <v>72</v>
      </c>
      <c r="EW37" s="7" t="s">
        <v>72</v>
      </c>
      <c r="EX37" s="7" t="s">
        <v>72</v>
      </c>
      <c r="EY37" s="7">
        <v>14.7461</v>
      </c>
      <c r="FA37" s="7" t="s">
        <v>72</v>
      </c>
      <c r="FB37" s="7" t="s">
        <v>72</v>
      </c>
      <c r="FC37" s="7" t="s">
        <v>72</v>
      </c>
      <c r="FD37" s="7" t="s">
        <v>72</v>
      </c>
      <c r="FE37" s="7" t="s">
        <v>72</v>
      </c>
      <c r="FF37" s="7" t="s">
        <v>72</v>
      </c>
      <c r="FG37" s="7" t="s">
        <v>72</v>
      </c>
      <c r="FH37" s="7" t="s">
        <v>72</v>
      </c>
      <c r="FI37" s="7" t="s">
        <v>72</v>
      </c>
      <c r="FJ37" s="7" t="s">
        <v>72</v>
      </c>
      <c r="FK37" s="7" t="s">
        <v>72</v>
      </c>
      <c r="FL37" s="7" t="s">
        <v>72</v>
      </c>
      <c r="FM37" s="7" t="s">
        <v>72</v>
      </c>
      <c r="FN37" s="7" t="s">
        <v>72</v>
      </c>
      <c r="FO37" s="7" t="s">
        <v>72</v>
      </c>
      <c r="FP37" s="7">
        <v>0.92959999999999998</v>
      </c>
    </row>
    <row r="38" spans="1:172">
      <c r="FA38" s="7"/>
      <c r="FB38" s="7"/>
      <c r="FC38" s="7"/>
      <c r="FD38" s="7"/>
      <c r="FE38" s="7"/>
      <c r="FF38" s="7"/>
      <c r="FG38" s="7"/>
      <c r="FH38" s="7"/>
      <c r="FI38" s="7"/>
      <c r="FJ38" s="7"/>
      <c r="FK38" s="7"/>
      <c r="FL38" s="7"/>
      <c r="FM38" s="7"/>
      <c r="FN38" s="7"/>
      <c r="FO38" s="7"/>
      <c r="FP38" s="7"/>
    </row>
    <row r="39" spans="1:172">
      <c r="D39" s="7" t="s">
        <v>349</v>
      </c>
      <c r="E39" s="7" t="s">
        <v>349</v>
      </c>
      <c r="F39" s="7" t="s">
        <v>349</v>
      </c>
      <c r="G39" s="7" t="s">
        <v>349</v>
      </c>
      <c r="H39" s="7" t="s">
        <v>349</v>
      </c>
      <c r="I39" s="7" t="s">
        <v>349</v>
      </c>
      <c r="J39" s="7" t="s">
        <v>349</v>
      </c>
      <c r="K39" s="7" t="s">
        <v>349</v>
      </c>
      <c r="L39" s="7" t="s">
        <v>349</v>
      </c>
      <c r="M39" s="7" t="s">
        <v>349</v>
      </c>
      <c r="N39" s="7" t="s">
        <v>349</v>
      </c>
      <c r="O39" s="7" t="s">
        <v>349</v>
      </c>
      <c r="P39" s="7" t="s">
        <v>349</v>
      </c>
      <c r="Q39" s="7" t="s">
        <v>349</v>
      </c>
      <c r="R39" s="7" t="s">
        <v>349</v>
      </c>
      <c r="S39" s="7" t="s">
        <v>349</v>
      </c>
      <c r="FA39" s="7"/>
      <c r="FB39" s="7"/>
      <c r="FC39" s="7"/>
      <c r="FD39" s="7"/>
      <c r="FE39" s="7"/>
      <c r="FF39" s="7"/>
      <c r="FG39" s="7"/>
      <c r="FH39" s="7"/>
      <c r="FI39" s="7"/>
      <c r="FJ39" s="7"/>
      <c r="FK39" s="7"/>
      <c r="FL39" s="7"/>
      <c r="FM39" s="7"/>
      <c r="FN39" s="7"/>
      <c r="FO39" s="7"/>
      <c r="FP39" s="7"/>
    </row>
    <row r="40" spans="1:172">
      <c r="FA40" s="7"/>
      <c r="FB40" s="7"/>
      <c r="FC40" s="7"/>
      <c r="FD40" s="7"/>
      <c r="FE40" s="7"/>
      <c r="FF40" s="7"/>
      <c r="FG40" s="7"/>
      <c r="FH40" s="7"/>
      <c r="FI40" s="7"/>
      <c r="FJ40" s="7"/>
      <c r="FK40" s="7"/>
      <c r="FL40" s="7"/>
      <c r="FM40" s="7"/>
      <c r="FN40" s="7"/>
      <c r="FO40" s="7"/>
      <c r="FP40" s="7"/>
    </row>
    <row r="41" spans="1:172">
      <c r="A41" s="11" t="s">
        <v>301</v>
      </c>
      <c r="B41" s="7" t="s">
        <v>350</v>
      </c>
      <c r="D41" s="7">
        <v>0.13439999999999999</v>
      </c>
      <c r="E41" s="7">
        <v>0.1343</v>
      </c>
      <c r="F41" s="7">
        <v>0.13420000000000001</v>
      </c>
      <c r="G41" s="7">
        <v>0.13420000000000001</v>
      </c>
      <c r="H41" s="7">
        <v>0.13420000000000001</v>
      </c>
      <c r="I41" s="7">
        <v>0.1341</v>
      </c>
      <c r="J41" s="7">
        <v>0.1341</v>
      </c>
      <c r="K41" s="7">
        <v>0.13439999999999999</v>
      </c>
      <c r="L41" s="7" t="s">
        <v>72</v>
      </c>
      <c r="M41" s="7" t="s">
        <v>72</v>
      </c>
      <c r="N41" s="7" t="s">
        <v>72</v>
      </c>
      <c r="O41" s="7" t="s">
        <v>72</v>
      </c>
      <c r="P41" s="7">
        <v>0.13400000000000001</v>
      </c>
      <c r="Q41" s="7" t="s">
        <v>72</v>
      </c>
      <c r="R41" s="7" t="s">
        <v>72</v>
      </c>
      <c r="S41" s="7">
        <v>0.1341</v>
      </c>
      <c r="FA41" s="7"/>
      <c r="FB41" s="7"/>
      <c r="FC41" s="7"/>
      <c r="FD41" s="7"/>
      <c r="FE41" s="7"/>
      <c r="FF41" s="7"/>
      <c r="FG41" s="7"/>
      <c r="FH41" s="7"/>
      <c r="FI41" s="7"/>
      <c r="FJ41" s="7"/>
      <c r="FK41" s="7"/>
      <c r="FL41" s="7"/>
      <c r="FM41" s="7"/>
      <c r="FN41" s="7"/>
      <c r="FO41" s="7"/>
      <c r="FP41" s="7"/>
    </row>
    <row r="42" spans="1:172">
      <c r="A42" s="11" t="s">
        <v>89</v>
      </c>
      <c r="B42" s="7" t="s">
        <v>351</v>
      </c>
      <c r="D42" s="7">
        <v>0.1205</v>
      </c>
      <c r="E42" s="7">
        <v>0.1246</v>
      </c>
      <c r="F42" s="7">
        <v>0.12570000000000001</v>
      </c>
      <c r="G42" s="7">
        <v>0.12479999999999999</v>
      </c>
      <c r="H42" s="7">
        <v>0.1283</v>
      </c>
      <c r="I42" s="7">
        <v>0.1275</v>
      </c>
      <c r="J42" s="7">
        <v>0.128</v>
      </c>
      <c r="K42" s="7">
        <v>0.1273</v>
      </c>
      <c r="L42" s="7" t="s">
        <v>72</v>
      </c>
      <c r="M42" s="7" t="s">
        <v>72</v>
      </c>
      <c r="N42" s="7" t="s">
        <v>72</v>
      </c>
      <c r="O42" s="7" t="s">
        <v>72</v>
      </c>
      <c r="P42" s="7">
        <v>0.13619999999999999</v>
      </c>
      <c r="Q42" s="7" t="s">
        <v>72</v>
      </c>
      <c r="R42" s="7" t="s">
        <v>72</v>
      </c>
      <c r="S42" s="7">
        <v>0.1229</v>
      </c>
      <c r="FA42" s="7"/>
      <c r="FB42" s="7"/>
      <c r="FC42" s="7"/>
      <c r="FD42" s="7"/>
      <c r="FE42" s="7"/>
      <c r="FF42" s="7"/>
      <c r="FG42" s="7"/>
      <c r="FH42" s="7"/>
      <c r="FI42" s="7"/>
      <c r="FJ42" s="7"/>
      <c r="FK42" s="7"/>
      <c r="FL42" s="7"/>
      <c r="FM42" s="7"/>
      <c r="FN42" s="7"/>
      <c r="FO42" s="7"/>
      <c r="FP42" s="7"/>
    </row>
    <row r="43" spans="1:172">
      <c r="A43" s="11" t="s">
        <v>90</v>
      </c>
      <c r="B43" s="7" t="s">
        <v>352</v>
      </c>
      <c r="D43" s="7">
        <v>0.24392</v>
      </c>
      <c r="E43" s="7">
        <v>0.25905</v>
      </c>
      <c r="F43" s="7">
        <v>0.24115</v>
      </c>
      <c r="G43" s="7">
        <v>0.25220999999999999</v>
      </c>
      <c r="H43" s="7">
        <v>0.25224000000000002</v>
      </c>
      <c r="I43" s="7">
        <v>0.24845999999999999</v>
      </c>
      <c r="J43" s="7">
        <v>0.25142999999999999</v>
      </c>
      <c r="K43" s="7">
        <v>0.22625000000000001</v>
      </c>
      <c r="L43" s="7" t="s">
        <v>72</v>
      </c>
      <c r="M43" s="7" t="s">
        <v>72</v>
      </c>
      <c r="N43" s="7" t="s">
        <v>72</v>
      </c>
      <c r="O43" s="7" t="s">
        <v>72</v>
      </c>
      <c r="P43" s="7">
        <v>0.24504000000000001</v>
      </c>
      <c r="Q43" s="7" t="s">
        <v>72</v>
      </c>
      <c r="R43" s="7" t="s">
        <v>72</v>
      </c>
      <c r="S43" s="7">
        <v>0.23685999999999999</v>
      </c>
      <c r="FA43" s="7"/>
      <c r="FB43" s="7"/>
      <c r="FC43" s="7"/>
      <c r="FD43" s="7"/>
      <c r="FE43" s="7"/>
      <c r="FF43" s="7"/>
      <c r="FG43" s="7"/>
      <c r="FH43" s="7"/>
      <c r="FI43" s="7"/>
      <c r="FJ43" s="7"/>
      <c r="FK43" s="7"/>
      <c r="FL43" s="7"/>
      <c r="FM43" s="7"/>
      <c r="FN43" s="7"/>
      <c r="FO43" s="7"/>
      <c r="FP43" s="7"/>
    </row>
    <row r="44" spans="1:172">
      <c r="A44" s="11" t="s">
        <v>91</v>
      </c>
      <c r="B44" s="7" t="s">
        <v>353</v>
      </c>
      <c r="D44" s="7">
        <v>1.1274999999999999</v>
      </c>
      <c r="E44" s="7">
        <v>1.1238999999999999</v>
      </c>
      <c r="F44" s="7">
        <v>1.2215</v>
      </c>
      <c r="G44" s="7">
        <v>1.1524000000000001</v>
      </c>
      <c r="H44" s="7">
        <v>1.1663999999999999</v>
      </c>
      <c r="I44" s="7">
        <v>1.1320999999999999</v>
      </c>
      <c r="J44" s="7">
        <v>1.107</v>
      </c>
      <c r="K44" s="7">
        <v>1.1639999999999999</v>
      </c>
      <c r="L44" s="7" t="s">
        <v>72</v>
      </c>
      <c r="M44" s="7" t="s">
        <v>72</v>
      </c>
      <c r="N44" s="7" t="s">
        <v>72</v>
      </c>
      <c r="O44" s="7" t="s">
        <v>72</v>
      </c>
      <c r="P44" s="7">
        <v>1.2317</v>
      </c>
      <c r="Q44" s="7" t="s">
        <v>72</v>
      </c>
      <c r="R44" s="7" t="s">
        <v>72</v>
      </c>
      <c r="S44" s="7">
        <v>1.1963999999999999</v>
      </c>
      <c r="FA44" s="7"/>
      <c r="FB44" s="7"/>
      <c r="FC44" s="7"/>
      <c r="FD44" s="7"/>
      <c r="FE44" s="7"/>
      <c r="FF44" s="7"/>
      <c r="FG44" s="7"/>
      <c r="FH44" s="7"/>
      <c r="FI44" s="7"/>
      <c r="FJ44" s="7"/>
      <c r="FK44" s="7"/>
      <c r="FL44" s="7"/>
      <c r="FM44" s="7"/>
      <c r="FN44" s="7"/>
      <c r="FO44" s="7"/>
      <c r="FP44" s="7"/>
    </row>
    <row r="45" spans="1:172">
      <c r="A45" s="11" t="s">
        <v>92</v>
      </c>
      <c r="B45" s="7" t="s">
        <v>354</v>
      </c>
      <c r="D45" s="7">
        <v>9.7509999999999999E-2</v>
      </c>
      <c r="E45" s="7">
        <v>0.10254000000000001</v>
      </c>
      <c r="F45" s="7">
        <v>0.10485</v>
      </c>
      <c r="G45" s="7">
        <v>0.10881</v>
      </c>
      <c r="H45" s="7">
        <v>0.11133</v>
      </c>
      <c r="I45" s="7">
        <v>0.11169999999999999</v>
      </c>
      <c r="J45" s="7">
        <v>0.10896</v>
      </c>
      <c r="K45" s="7">
        <v>0.10867</v>
      </c>
      <c r="L45" s="7" t="s">
        <v>72</v>
      </c>
      <c r="M45" s="7" t="s">
        <v>72</v>
      </c>
      <c r="N45" s="7" t="s">
        <v>72</v>
      </c>
      <c r="O45" s="7" t="s">
        <v>72</v>
      </c>
      <c r="P45" s="7">
        <v>0.11656</v>
      </c>
      <c r="Q45" s="7" t="s">
        <v>72</v>
      </c>
      <c r="R45" s="7" t="s">
        <v>72</v>
      </c>
      <c r="S45" s="7">
        <v>0.11498999999999999</v>
      </c>
      <c r="FA45" s="7"/>
      <c r="FB45" s="7"/>
      <c r="FC45" s="7"/>
      <c r="FD45" s="7"/>
      <c r="FE45" s="7"/>
      <c r="FF45" s="7"/>
      <c r="FG45" s="7"/>
      <c r="FH45" s="7"/>
      <c r="FI45" s="7"/>
      <c r="FJ45" s="7"/>
      <c r="FK45" s="7"/>
      <c r="FL45" s="7"/>
      <c r="FM45" s="7"/>
      <c r="FN45" s="7"/>
      <c r="FO45" s="7"/>
      <c r="FP45" s="7"/>
    </row>
    <row r="46" spans="1:172">
      <c r="A46" s="11" t="s">
        <v>93</v>
      </c>
      <c r="B46" s="7" t="s">
        <v>355</v>
      </c>
      <c r="D46" s="7">
        <v>0.67430000000000001</v>
      </c>
      <c r="E46" s="7">
        <v>0.70230000000000004</v>
      </c>
      <c r="F46" s="7">
        <v>0.75849999999999995</v>
      </c>
      <c r="G46" s="7">
        <v>0.74650000000000005</v>
      </c>
      <c r="H46" s="7">
        <v>0.7994</v>
      </c>
      <c r="I46" s="7">
        <v>0.76859999999999995</v>
      </c>
      <c r="J46" s="7">
        <v>0.82040000000000002</v>
      </c>
      <c r="K46" s="7">
        <v>0.8226</v>
      </c>
      <c r="L46" s="7" t="s">
        <v>72</v>
      </c>
      <c r="M46" s="7" t="s">
        <v>72</v>
      </c>
      <c r="N46" s="7" t="s">
        <v>72</v>
      </c>
      <c r="O46" s="7" t="s">
        <v>72</v>
      </c>
      <c r="P46" s="7">
        <v>0.82809999999999995</v>
      </c>
      <c r="Q46" s="7" t="s">
        <v>72</v>
      </c>
      <c r="R46" s="7" t="s">
        <v>72</v>
      </c>
      <c r="S46" s="7">
        <v>0.81699999999999995</v>
      </c>
      <c r="FA46" s="7"/>
      <c r="FB46" s="7"/>
      <c r="FC46" s="7"/>
      <c r="FD46" s="7"/>
      <c r="FE46" s="7"/>
      <c r="FF46" s="7"/>
      <c r="FG46" s="7"/>
      <c r="FH46" s="7"/>
      <c r="FI46" s="7"/>
      <c r="FJ46" s="7"/>
      <c r="FK46" s="7"/>
      <c r="FL46" s="7"/>
      <c r="FM46" s="7"/>
      <c r="FN46" s="7"/>
      <c r="FO46" s="7"/>
      <c r="FP46" s="7"/>
    </row>
    <row r="47" spans="1:172">
      <c r="FA47" s="7"/>
      <c r="FB47" s="7"/>
      <c r="FC47" s="7"/>
      <c r="FD47" s="7"/>
      <c r="FE47" s="7"/>
      <c r="FF47" s="7"/>
      <c r="FG47" s="7"/>
      <c r="FH47" s="7"/>
      <c r="FI47" s="7"/>
      <c r="FJ47" s="7"/>
      <c r="FK47" s="7"/>
      <c r="FL47" s="7"/>
      <c r="FM47" s="7"/>
      <c r="FN47" s="7"/>
      <c r="FO47" s="7"/>
      <c r="FP47" s="7"/>
    </row>
    <row r="48" spans="1:172">
      <c r="FA48" s="7"/>
      <c r="FB48" s="7"/>
      <c r="FC48" s="7"/>
      <c r="FD48" s="7"/>
      <c r="FE48" s="7"/>
      <c r="FF48" s="7"/>
      <c r="FG48" s="7"/>
      <c r="FH48" s="7"/>
      <c r="FI48" s="7"/>
      <c r="FJ48" s="7"/>
      <c r="FK48" s="7"/>
      <c r="FL48" s="7"/>
      <c r="FM48" s="7"/>
      <c r="FN48" s="7"/>
      <c r="FO48" s="7"/>
      <c r="FP48" s="7"/>
    </row>
    <row r="49" spans="1:242" s="2351" customFormat="1">
      <c r="A49" s="2384" t="s">
        <v>1816</v>
      </c>
      <c r="CJ49" s="6"/>
      <c r="HQ49" s="2349"/>
      <c r="HR49" s="2349"/>
      <c r="HS49" s="2349"/>
      <c r="HT49" s="2349"/>
      <c r="HU49" s="2349"/>
      <c r="HV49" s="2349"/>
      <c r="HW49" s="2349"/>
      <c r="HX49" s="2349"/>
      <c r="HY49" s="2349"/>
      <c r="HZ49" s="2349"/>
      <c r="IA49" s="2349"/>
      <c r="IB49" s="2349"/>
      <c r="IC49" s="2349"/>
      <c r="ID49" s="2349"/>
      <c r="IE49" s="2349"/>
      <c r="IF49" s="2349"/>
      <c r="IH49" s="2385"/>
    </row>
    <row r="50" spans="1:242">
      <c r="FA50" s="7"/>
      <c r="FB50" s="7"/>
      <c r="FC50" s="7"/>
      <c r="FD50" s="7"/>
      <c r="FE50" s="7"/>
      <c r="FF50" s="7"/>
      <c r="FG50" s="7"/>
      <c r="FH50" s="7"/>
      <c r="FI50" s="7"/>
      <c r="FJ50" s="7"/>
      <c r="FK50" s="7"/>
      <c r="FL50" s="7"/>
      <c r="FM50" s="7"/>
      <c r="FN50" s="7"/>
      <c r="FO50" s="7"/>
      <c r="FP50" s="7"/>
    </row>
    <row r="51" spans="1:242">
      <c r="FA51" s="7"/>
      <c r="FB51" s="7"/>
      <c r="FC51" s="7"/>
      <c r="FD51" s="7"/>
      <c r="FE51" s="7"/>
      <c r="FF51" s="7"/>
      <c r="FG51" s="7"/>
      <c r="FH51" s="7"/>
      <c r="FI51" s="7"/>
      <c r="FJ51" s="7"/>
      <c r="FK51" s="7"/>
      <c r="FL51" s="7"/>
      <c r="FM51" s="7"/>
      <c r="FN51" s="7"/>
      <c r="FO51" s="7"/>
      <c r="FP51" s="7"/>
    </row>
    <row r="52" spans="1:242">
      <c r="FA52" s="7"/>
      <c r="FB52" s="7"/>
      <c r="FC52" s="7"/>
      <c r="FD52" s="7"/>
      <c r="FE52" s="7"/>
      <c r="FF52" s="7"/>
      <c r="FG52" s="7"/>
      <c r="FH52" s="7"/>
      <c r="FI52" s="7"/>
      <c r="FJ52" s="7"/>
      <c r="FK52" s="7"/>
      <c r="FL52" s="7"/>
      <c r="FM52" s="7"/>
      <c r="FN52" s="7"/>
      <c r="FO52" s="7"/>
      <c r="FP52" s="7"/>
    </row>
    <row r="53" spans="1:242">
      <c r="FA53" s="7"/>
      <c r="FB53" s="7"/>
      <c r="FC53" s="7"/>
      <c r="FD53" s="7"/>
      <c r="FE53" s="7"/>
      <c r="FF53" s="7"/>
      <c r="FG53" s="7"/>
      <c r="FH53" s="7"/>
      <c r="FI53" s="7"/>
      <c r="FJ53" s="7"/>
      <c r="FK53" s="7"/>
      <c r="FL53" s="7"/>
      <c r="FM53" s="7"/>
      <c r="FN53" s="7"/>
      <c r="FO53" s="7"/>
      <c r="FP53" s="7"/>
    </row>
    <row r="54" spans="1:242">
      <c r="FA54" s="7"/>
      <c r="FB54" s="7"/>
      <c r="FC54" s="7"/>
      <c r="FD54" s="7"/>
      <c r="FE54" s="7"/>
      <c r="FF54" s="7"/>
      <c r="FG54" s="7"/>
      <c r="FH54" s="7"/>
      <c r="FI54" s="7"/>
      <c r="FJ54" s="7"/>
      <c r="FK54" s="7"/>
      <c r="FL54" s="7"/>
      <c r="FM54" s="7"/>
      <c r="FN54" s="7"/>
      <c r="FO54" s="7"/>
      <c r="FP54" s="7"/>
    </row>
    <row r="55" spans="1:242">
      <c r="FA55" s="7"/>
      <c r="FB55" s="7"/>
      <c r="FC55" s="7"/>
      <c r="FD55" s="7"/>
      <c r="FE55" s="7"/>
      <c r="FF55" s="7"/>
      <c r="FG55" s="7"/>
      <c r="FH55" s="7"/>
      <c r="FI55" s="7"/>
      <c r="FJ55" s="7"/>
      <c r="FK55" s="7"/>
      <c r="FL55" s="7"/>
      <c r="FM55" s="7"/>
      <c r="FN55" s="7"/>
      <c r="FO55" s="7"/>
      <c r="FP55" s="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BC60"/>
  <sheetViews>
    <sheetView showGridLines="0" zoomScale="80" zoomScaleNormal="80" workbookViewId="0">
      <pane xSplit="2" ySplit="3" topLeftCell="C4" activePane="bottomRight" state="frozen"/>
      <selection pane="topRight" activeCell="C1" sqref="C1"/>
      <selection pane="bottomLeft" activeCell="A3" sqref="A3"/>
      <selection pane="bottomRight" activeCell="H31" sqref="H31"/>
    </sheetView>
  </sheetViews>
  <sheetFormatPr baseColWidth="10" defaultColWidth="11.44140625" defaultRowHeight="13.2"/>
  <cols>
    <col min="1" max="1" width="13.44140625" style="11" customWidth="1"/>
    <col min="2" max="2" width="17" style="7" customWidth="1"/>
    <col min="3" max="3" width="6.88671875" style="7" customWidth="1"/>
    <col min="4" max="54" width="11.44140625" style="7"/>
    <col min="55" max="55" width="11.44140625" style="2383"/>
    <col min="56" max="239" width="11.44140625" style="7"/>
    <col min="240" max="240" width="13.44140625" style="7" customWidth="1"/>
    <col min="241" max="241" width="17" style="7" customWidth="1"/>
    <col min="242" max="242" width="6.88671875" style="7" customWidth="1"/>
    <col min="243" max="495" width="11.44140625" style="7"/>
    <col min="496" max="496" width="13.44140625" style="7" customWidth="1"/>
    <col min="497" max="497" width="17" style="7" customWidth="1"/>
    <col min="498" max="498" width="6.88671875" style="7" customWidth="1"/>
    <col min="499" max="751" width="11.44140625" style="7"/>
    <col min="752" max="752" width="13.44140625" style="7" customWidth="1"/>
    <col min="753" max="753" width="17" style="7" customWidth="1"/>
    <col min="754" max="754" width="6.88671875" style="7" customWidth="1"/>
    <col min="755" max="1007" width="11.44140625" style="7"/>
    <col min="1008" max="1008" width="13.44140625" style="7" customWidth="1"/>
    <col min="1009" max="1009" width="17" style="7" customWidth="1"/>
    <col min="1010" max="1010" width="6.88671875" style="7" customWidth="1"/>
    <col min="1011" max="1263" width="11.44140625" style="7"/>
    <col min="1264" max="1264" width="13.44140625" style="7" customWidth="1"/>
    <col min="1265" max="1265" width="17" style="7" customWidth="1"/>
    <col min="1266" max="1266" width="6.88671875" style="7" customWidth="1"/>
    <col min="1267" max="1519" width="11.44140625" style="7"/>
    <col min="1520" max="1520" width="13.44140625" style="7" customWidth="1"/>
    <col min="1521" max="1521" width="17" style="7" customWidth="1"/>
    <col min="1522" max="1522" width="6.88671875" style="7" customWidth="1"/>
    <col min="1523" max="1775" width="11.44140625" style="7"/>
    <col min="1776" max="1776" width="13.44140625" style="7" customWidth="1"/>
    <col min="1777" max="1777" width="17" style="7" customWidth="1"/>
    <col min="1778" max="1778" width="6.88671875" style="7" customWidth="1"/>
    <col min="1779" max="2031" width="11.44140625" style="7"/>
    <col min="2032" max="2032" width="13.44140625" style="7" customWidth="1"/>
    <col min="2033" max="2033" width="17" style="7" customWidth="1"/>
    <col min="2034" max="2034" width="6.88671875" style="7" customWidth="1"/>
    <col min="2035" max="2287" width="11.44140625" style="7"/>
    <col min="2288" max="2288" width="13.44140625" style="7" customWidth="1"/>
    <col min="2289" max="2289" width="17" style="7" customWidth="1"/>
    <col min="2290" max="2290" width="6.88671875" style="7" customWidth="1"/>
    <col min="2291" max="2543" width="11.44140625" style="7"/>
    <col min="2544" max="2544" width="13.44140625" style="7" customWidth="1"/>
    <col min="2545" max="2545" width="17" style="7" customWidth="1"/>
    <col min="2546" max="2546" width="6.88671875" style="7" customWidth="1"/>
    <col min="2547" max="2799" width="11.44140625" style="7"/>
    <col min="2800" max="2800" width="13.44140625" style="7" customWidth="1"/>
    <col min="2801" max="2801" width="17" style="7" customWidth="1"/>
    <col min="2802" max="2802" width="6.88671875" style="7" customWidth="1"/>
    <col min="2803" max="3055" width="11.44140625" style="7"/>
    <col min="3056" max="3056" width="13.44140625" style="7" customWidth="1"/>
    <col min="3057" max="3057" width="17" style="7" customWidth="1"/>
    <col min="3058" max="3058" width="6.88671875" style="7" customWidth="1"/>
    <col min="3059" max="3311" width="11.44140625" style="7"/>
    <col min="3312" max="3312" width="13.44140625" style="7" customWidth="1"/>
    <col min="3313" max="3313" width="17" style="7" customWidth="1"/>
    <col min="3314" max="3314" width="6.88671875" style="7" customWidth="1"/>
    <col min="3315" max="3567" width="11.44140625" style="7"/>
    <col min="3568" max="3568" width="13.44140625" style="7" customWidth="1"/>
    <col min="3569" max="3569" width="17" style="7" customWidth="1"/>
    <col min="3570" max="3570" width="6.88671875" style="7" customWidth="1"/>
    <col min="3571" max="3823" width="11.44140625" style="7"/>
    <col min="3824" max="3824" width="13.44140625" style="7" customWidth="1"/>
    <col min="3825" max="3825" width="17" style="7" customWidth="1"/>
    <col min="3826" max="3826" width="6.88671875" style="7" customWidth="1"/>
    <col min="3827" max="4079" width="11.44140625" style="7"/>
    <col min="4080" max="4080" width="13.44140625" style="7" customWidth="1"/>
    <col min="4081" max="4081" width="17" style="7" customWidth="1"/>
    <col min="4082" max="4082" width="6.88671875" style="7" customWidth="1"/>
    <col min="4083" max="4335" width="11.44140625" style="7"/>
    <col min="4336" max="4336" width="13.44140625" style="7" customWidth="1"/>
    <col min="4337" max="4337" width="17" style="7" customWidth="1"/>
    <col min="4338" max="4338" width="6.88671875" style="7" customWidth="1"/>
    <col min="4339" max="4591" width="11.44140625" style="7"/>
    <col min="4592" max="4592" width="13.44140625" style="7" customWidth="1"/>
    <col min="4593" max="4593" width="17" style="7" customWidth="1"/>
    <col min="4594" max="4594" width="6.88671875" style="7" customWidth="1"/>
    <col min="4595" max="4847" width="11.44140625" style="7"/>
    <col min="4848" max="4848" width="13.44140625" style="7" customWidth="1"/>
    <col min="4849" max="4849" width="17" style="7" customWidth="1"/>
    <col min="4850" max="4850" width="6.88671875" style="7" customWidth="1"/>
    <col min="4851" max="5103" width="11.44140625" style="7"/>
    <col min="5104" max="5104" width="13.44140625" style="7" customWidth="1"/>
    <col min="5105" max="5105" width="17" style="7" customWidth="1"/>
    <col min="5106" max="5106" width="6.88671875" style="7" customWidth="1"/>
    <col min="5107" max="5359" width="11.44140625" style="7"/>
    <col min="5360" max="5360" width="13.44140625" style="7" customWidth="1"/>
    <col min="5361" max="5361" width="17" style="7" customWidth="1"/>
    <col min="5362" max="5362" width="6.88671875" style="7" customWidth="1"/>
    <col min="5363" max="5615" width="11.44140625" style="7"/>
    <col min="5616" max="5616" width="13.44140625" style="7" customWidth="1"/>
    <col min="5617" max="5617" width="17" style="7" customWidth="1"/>
    <col min="5618" max="5618" width="6.88671875" style="7" customWidth="1"/>
    <col min="5619" max="5871" width="11.44140625" style="7"/>
    <col min="5872" max="5872" width="13.44140625" style="7" customWidth="1"/>
    <col min="5873" max="5873" width="17" style="7" customWidth="1"/>
    <col min="5874" max="5874" width="6.88671875" style="7" customWidth="1"/>
    <col min="5875" max="6127" width="11.44140625" style="7"/>
    <col min="6128" max="6128" width="13.44140625" style="7" customWidth="1"/>
    <col min="6129" max="6129" width="17" style="7" customWidth="1"/>
    <col min="6130" max="6130" width="6.88671875" style="7" customWidth="1"/>
    <col min="6131" max="6383" width="11.44140625" style="7"/>
    <col min="6384" max="6384" width="13.44140625" style="7" customWidth="1"/>
    <col min="6385" max="6385" width="17" style="7" customWidth="1"/>
    <col min="6386" max="6386" width="6.88671875" style="7" customWidth="1"/>
    <col min="6387" max="6639" width="11.44140625" style="7"/>
    <col min="6640" max="6640" width="13.44140625" style="7" customWidth="1"/>
    <col min="6641" max="6641" width="17" style="7" customWidth="1"/>
    <col min="6642" max="6642" width="6.88671875" style="7" customWidth="1"/>
    <col min="6643" max="6895" width="11.44140625" style="7"/>
    <col min="6896" max="6896" width="13.44140625" style="7" customWidth="1"/>
    <col min="6897" max="6897" width="17" style="7" customWidth="1"/>
    <col min="6898" max="6898" width="6.88671875" style="7" customWidth="1"/>
    <col min="6899" max="7151" width="11.44140625" style="7"/>
    <col min="7152" max="7152" width="13.44140625" style="7" customWidth="1"/>
    <col min="7153" max="7153" width="17" style="7" customWidth="1"/>
    <col min="7154" max="7154" width="6.88671875" style="7" customWidth="1"/>
    <col min="7155" max="7407" width="11.44140625" style="7"/>
    <col min="7408" max="7408" width="13.44140625" style="7" customWidth="1"/>
    <col min="7409" max="7409" width="17" style="7" customWidth="1"/>
    <col min="7410" max="7410" width="6.88671875" style="7" customWidth="1"/>
    <col min="7411" max="7663" width="11.44140625" style="7"/>
    <col min="7664" max="7664" width="13.44140625" style="7" customWidth="1"/>
    <col min="7665" max="7665" width="17" style="7" customWidth="1"/>
    <col min="7666" max="7666" width="6.88671875" style="7" customWidth="1"/>
    <col min="7667" max="7919" width="11.44140625" style="7"/>
    <col min="7920" max="7920" width="13.44140625" style="7" customWidth="1"/>
    <col min="7921" max="7921" width="17" style="7" customWidth="1"/>
    <col min="7922" max="7922" width="6.88671875" style="7" customWidth="1"/>
    <col min="7923" max="8175" width="11.44140625" style="7"/>
    <col min="8176" max="8176" width="13.44140625" style="7" customWidth="1"/>
    <col min="8177" max="8177" width="17" style="7" customWidth="1"/>
    <col min="8178" max="8178" width="6.88671875" style="7" customWidth="1"/>
    <col min="8179" max="8431" width="11.44140625" style="7"/>
    <col min="8432" max="8432" width="13.44140625" style="7" customWidth="1"/>
    <col min="8433" max="8433" width="17" style="7" customWidth="1"/>
    <col min="8434" max="8434" width="6.88671875" style="7" customWidth="1"/>
    <col min="8435" max="8687" width="11.44140625" style="7"/>
    <col min="8688" max="8688" width="13.44140625" style="7" customWidth="1"/>
    <col min="8689" max="8689" width="17" style="7" customWidth="1"/>
    <col min="8690" max="8690" width="6.88671875" style="7" customWidth="1"/>
    <col min="8691" max="8943" width="11.44140625" style="7"/>
    <col min="8944" max="8944" width="13.44140625" style="7" customWidth="1"/>
    <col min="8945" max="8945" width="17" style="7" customWidth="1"/>
    <col min="8946" max="8946" width="6.88671875" style="7" customWidth="1"/>
    <col min="8947" max="9199" width="11.44140625" style="7"/>
    <col min="9200" max="9200" width="13.44140625" style="7" customWidth="1"/>
    <col min="9201" max="9201" width="17" style="7" customWidth="1"/>
    <col min="9202" max="9202" width="6.88671875" style="7" customWidth="1"/>
    <col min="9203" max="9455" width="11.44140625" style="7"/>
    <col min="9456" max="9456" width="13.44140625" style="7" customWidth="1"/>
    <col min="9457" max="9457" width="17" style="7" customWidth="1"/>
    <col min="9458" max="9458" width="6.88671875" style="7" customWidth="1"/>
    <col min="9459" max="9711" width="11.44140625" style="7"/>
    <col min="9712" max="9712" width="13.44140625" style="7" customWidth="1"/>
    <col min="9713" max="9713" width="17" style="7" customWidth="1"/>
    <col min="9714" max="9714" width="6.88671875" style="7" customWidth="1"/>
    <col min="9715" max="9967" width="11.44140625" style="7"/>
    <col min="9968" max="9968" width="13.44140625" style="7" customWidth="1"/>
    <col min="9969" max="9969" width="17" style="7" customWidth="1"/>
    <col min="9970" max="9970" width="6.88671875" style="7" customWidth="1"/>
    <col min="9971" max="10223" width="11.44140625" style="7"/>
    <col min="10224" max="10224" width="13.44140625" style="7" customWidth="1"/>
    <col min="10225" max="10225" width="17" style="7" customWidth="1"/>
    <col min="10226" max="10226" width="6.88671875" style="7" customWidth="1"/>
    <col min="10227" max="10479" width="11.44140625" style="7"/>
    <col min="10480" max="10480" width="13.44140625" style="7" customWidth="1"/>
    <col min="10481" max="10481" width="17" style="7" customWidth="1"/>
    <col min="10482" max="10482" width="6.88671875" style="7" customWidth="1"/>
    <col min="10483" max="10735" width="11.44140625" style="7"/>
    <col min="10736" max="10736" width="13.44140625" style="7" customWidth="1"/>
    <col min="10737" max="10737" width="17" style="7" customWidth="1"/>
    <col min="10738" max="10738" width="6.88671875" style="7" customWidth="1"/>
    <col min="10739" max="10991" width="11.44140625" style="7"/>
    <col min="10992" max="10992" width="13.44140625" style="7" customWidth="1"/>
    <col min="10993" max="10993" width="17" style="7" customWidth="1"/>
    <col min="10994" max="10994" width="6.88671875" style="7" customWidth="1"/>
    <col min="10995" max="11247" width="11.44140625" style="7"/>
    <col min="11248" max="11248" width="13.44140625" style="7" customWidth="1"/>
    <col min="11249" max="11249" width="17" style="7" customWidth="1"/>
    <col min="11250" max="11250" width="6.88671875" style="7" customWidth="1"/>
    <col min="11251" max="11503" width="11.44140625" style="7"/>
    <col min="11504" max="11504" width="13.44140625" style="7" customWidth="1"/>
    <col min="11505" max="11505" width="17" style="7" customWidth="1"/>
    <col min="11506" max="11506" width="6.88671875" style="7" customWidth="1"/>
    <col min="11507" max="11759" width="11.44140625" style="7"/>
    <col min="11760" max="11760" width="13.44140625" style="7" customWidth="1"/>
    <col min="11761" max="11761" width="17" style="7" customWidth="1"/>
    <col min="11762" max="11762" width="6.88671875" style="7" customWidth="1"/>
    <col min="11763" max="12015" width="11.44140625" style="7"/>
    <col min="12016" max="12016" width="13.44140625" style="7" customWidth="1"/>
    <col min="12017" max="12017" width="17" style="7" customWidth="1"/>
    <col min="12018" max="12018" width="6.88671875" style="7" customWidth="1"/>
    <col min="12019" max="12271" width="11.44140625" style="7"/>
    <col min="12272" max="12272" width="13.44140625" style="7" customWidth="1"/>
    <col min="12273" max="12273" width="17" style="7" customWidth="1"/>
    <col min="12274" max="12274" width="6.88671875" style="7" customWidth="1"/>
    <col min="12275" max="12527" width="11.44140625" style="7"/>
    <col min="12528" max="12528" width="13.44140625" style="7" customWidth="1"/>
    <col min="12529" max="12529" width="17" style="7" customWidth="1"/>
    <col min="12530" max="12530" width="6.88671875" style="7" customWidth="1"/>
    <col min="12531" max="12783" width="11.44140625" style="7"/>
    <col min="12784" max="12784" width="13.44140625" style="7" customWidth="1"/>
    <col min="12785" max="12785" width="17" style="7" customWidth="1"/>
    <col min="12786" max="12786" width="6.88671875" style="7" customWidth="1"/>
    <col min="12787" max="13039" width="11.44140625" style="7"/>
    <col min="13040" max="13040" width="13.44140625" style="7" customWidth="1"/>
    <col min="13041" max="13041" width="17" style="7" customWidth="1"/>
    <col min="13042" max="13042" width="6.88671875" style="7" customWidth="1"/>
    <col min="13043" max="13295" width="11.44140625" style="7"/>
    <col min="13296" max="13296" width="13.44140625" style="7" customWidth="1"/>
    <col min="13297" max="13297" width="17" style="7" customWidth="1"/>
    <col min="13298" max="13298" width="6.88671875" style="7" customWidth="1"/>
    <col min="13299" max="13551" width="11.44140625" style="7"/>
    <col min="13552" max="13552" width="13.44140625" style="7" customWidth="1"/>
    <col min="13553" max="13553" width="17" style="7" customWidth="1"/>
    <col min="13554" max="13554" width="6.88671875" style="7" customWidth="1"/>
    <col min="13555" max="13807" width="11.44140625" style="7"/>
    <col min="13808" max="13808" width="13.44140625" style="7" customWidth="1"/>
    <col min="13809" max="13809" width="17" style="7" customWidth="1"/>
    <col min="13810" max="13810" width="6.88671875" style="7" customWidth="1"/>
    <col min="13811" max="14063" width="11.44140625" style="7"/>
    <col min="14064" max="14064" width="13.44140625" style="7" customWidth="1"/>
    <col min="14065" max="14065" width="17" style="7" customWidth="1"/>
    <col min="14066" max="14066" width="6.88671875" style="7" customWidth="1"/>
    <col min="14067" max="14319" width="11.44140625" style="7"/>
    <col min="14320" max="14320" width="13.44140625" style="7" customWidth="1"/>
    <col min="14321" max="14321" width="17" style="7" customWidth="1"/>
    <col min="14322" max="14322" width="6.88671875" style="7" customWidth="1"/>
    <col min="14323" max="14575" width="11.44140625" style="7"/>
    <col min="14576" max="14576" width="13.44140625" style="7" customWidth="1"/>
    <col min="14577" max="14577" width="17" style="7" customWidth="1"/>
    <col min="14578" max="14578" width="6.88671875" style="7" customWidth="1"/>
    <col min="14579" max="14831" width="11.44140625" style="7"/>
    <col min="14832" max="14832" width="13.44140625" style="7" customWidth="1"/>
    <col min="14833" max="14833" width="17" style="7" customWidth="1"/>
    <col min="14834" max="14834" width="6.88671875" style="7" customWidth="1"/>
    <col min="14835" max="15087" width="11.44140625" style="7"/>
    <col min="15088" max="15088" width="13.44140625" style="7" customWidth="1"/>
    <col min="15089" max="15089" width="17" style="7" customWidth="1"/>
    <col min="15090" max="15090" width="6.88671875" style="7" customWidth="1"/>
    <col min="15091" max="15343" width="11.44140625" style="7"/>
    <col min="15344" max="15344" width="13.44140625" style="7" customWidth="1"/>
    <col min="15345" max="15345" width="17" style="7" customWidth="1"/>
    <col min="15346" max="15346" width="6.88671875" style="7" customWidth="1"/>
    <col min="15347" max="15599" width="11.44140625" style="7"/>
    <col min="15600" max="15600" width="13.44140625" style="7" customWidth="1"/>
    <col min="15601" max="15601" width="17" style="7" customWidth="1"/>
    <col min="15602" max="15602" width="6.88671875" style="7" customWidth="1"/>
    <col min="15603" max="15855" width="11.44140625" style="7"/>
    <col min="15856" max="15856" width="13.44140625" style="7" customWidth="1"/>
    <col min="15857" max="15857" width="17" style="7" customWidth="1"/>
    <col min="15858" max="15858" width="6.88671875" style="7" customWidth="1"/>
    <col min="15859" max="16111" width="11.44140625" style="7"/>
    <col min="16112" max="16112" width="13.44140625" style="7" customWidth="1"/>
    <col min="16113" max="16113" width="17" style="7" customWidth="1"/>
    <col min="16114" max="16114" width="6.88671875" style="7" customWidth="1"/>
    <col min="16115" max="16384" width="11.44140625" style="7"/>
  </cols>
  <sheetData>
    <row r="1" spans="1:55">
      <c r="A1" s="3079" t="s">
        <v>2550</v>
      </c>
      <c r="B1" s="3080"/>
      <c r="D1" s="11" t="s">
        <v>2543</v>
      </c>
      <c r="U1" s="11" t="s">
        <v>2542</v>
      </c>
      <c r="AL1" s="11" t="s">
        <v>2544</v>
      </c>
    </row>
    <row r="2" spans="1:55" s="5" customFormat="1">
      <c r="A2" s="3075"/>
      <c r="B2" s="3075"/>
      <c r="D2" s="3076">
        <v>40178</v>
      </c>
      <c r="E2" s="3076">
        <v>40268</v>
      </c>
      <c r="F2" s="3076">
        <v>40359</v>
      </c>
      <c r="G2" s="3076">
        <v>40451</v>
      </c>
      <c r="H2" s="3076">
        <v>40543</v>
      </c>
      <c r="I2" s="3076">
        <v>40633</v>
      </c>
      <c r="J2" s="3076">
        <v>40724</v>
      </c>
      <c r="K2" s="3076">
        <v>40816</v>
      </c>
      <c r="L2" s="3076">
        <v>40908</v>
      </c>
      <c r="M2" s="3076">
        <v>40999</v>
      </c>
      <c r="N2" s="3076">
        <v>41090</v>
      </c>
      <c r="O2" s="3076">
        <v>41182</v>
      </c>
      <c r="P2" s="3076">
        <v>41274</v>
      </c>
      <c r="Q2" s="3076">
        <v>41364</v>
      </c>
      <c r="R2" s="3076">
        <v>41455</v>
      </c>
      <c r="S2" s="3076">
        <v>41547</v>
      </c>
      <c r="U2" s="3076">
        <v>40178</v>
      </c>
      <c r="V2" s="3076">
        <v>40268</v>
      </c>
      <c r="W2" s="3076">
        <v>40359</v>
      </c>
      <c r="X2" s="3076">
        <v>40451</v>
      </c>
      <c r="Y2" s="3076">
        <v>40543</v>
      </c>
      <c r="Z2" s="3076">
        <v>40633</v>
      </c>
      <c r="AA2" s="3076">
        <v>40724</v>
      </c>
      <c r="AB2" s="3076">
        <v>40816</v>
      </c>
      <c r="AC2" s="3076">
        <v>40908</v>
      </c>
      <c r="AD2" s="3076">
        <v>40999</v>
      </c>
      <c r="AE2" s="3076">
        <v>41090</v>
      </c>
      <c r="AF2" s="3076">
        <v>41182</v>
      </c>
      <c r="AG2" s="3076">
        <v>41274</v>
      </c>
      <c r="AH2" s="3076">
        <v>41364</v>
      </c>
      <c r="AI2" s="3076">
        <v>41455</v>
      </c>
      <c r="AJ2" s="3076">
        <v>41547</v>
      </c>
      <c r="AL2" s="3076">
        <v>40178</v>
      </c>
      <c r="AM2" s="3076">
        <v>40268</v>
      </c>
      <c r="AN2" s="3076">
        <v>40359</v>
      </c>
      <c r="AO2" s="3076">
        <v>40451</v>
      </c>
      <c r="AP2" s="3076">
        <v>40543</v>
      </c>
      <c r="AQ2" s="3076">
        <v>40633</v>
      </c>
      <c r="AR2" s="3076">
        <v>40724</v>
      </c>
      <c r="AS2" s="3076">
        <v>40816</v>
      </c>
      <c r="AT2" s="3076">
        <v>40908</v>
      </c>
      <c r="AU2" s="3076">
        <v>40999</v>
      </c>
      <c r="AV2" s="3076">
        <v>41090</v>
      </c>
      <c r="AW2" s="3076">
        <v>41182</v>
      </c>
      <c r="AX2" s="3076">
        <v>41274</v>
      </c>
      <c r="AY2" s="3076">
        <v>41364</v>
      </c>
      <c r="AZ2" s="3076">
        <v>41455</v>
      </c>
      <c r="BA2" s="3076">
        <v>41547</v>
      </c>
      <c r="BC2" s="3094"/>
    </row>
    <row r="3" spans="1:55">
      <c r="A3" s="126"/>
      <c r="B3" s="126"/>
      <c r="D3" s="236" t="s">
        <v>456</v>
      </c>
      <c r="E3" s="236" t="s">
        <v>456</v>
      </c>
      <c r="F3" s="236" t="s">
        <v>456</v>
      </c>
      <c r="G3" s="236" t="s">
        <v>456</v>
      </c>
      <c r="H3" s="236" t="s">
        <v>456</v>
      </c>
      <c r="I3" s="236" t="s">
        <v>456</v>
      </c>
      <c r="J3" s="236" t="s">
        <v>456</v>
      </c>
      <c r="K3" s="236" t="s">
        <v>456</v>
      </c>
      <c r="L3" s="236" t="s">
        <v>456</v>
      </c>
      <c r="M3" s="236" t="s">
        <v>456</v>
      </c>
      <c r="N3" s="236" t="s">
        <v>456</v>
      </c>
      <c r="O3" s="236" t="s">
        <v>456</v>
      </c>
      <c r="P3" s="236" t="s">
        <v>456</v>
      </c>
      <c r="Q3" s="236" t="s">
        <v>456</v>
      </c>
      <c r="R3" s="236" t="s">
        <v>456</v>
      </c>
      <c r="S3" s="236" t="s">
        <v>456</v>
      </c>
      <c r="U3" s="236" t="s">
        <v>348</v>
      </c>
      <c r="V3" s="236" t="s">
        <v>348</v>
      </c>
      <c r="W3" s="236" t="s">
        <v>348</v>
      </c>
      <c r="X3" s="236" t="s">
        <v>348</v>
      </c>
      <c r="Y3" s="236" t="s">
        <v>348</v>
      </c>
      <c r="Z3" s="236" t="s">
        <v>348</v>
      </c>
      <c r="AA3" s="236" t="s">
        <v>348</v>
      </c>
      <c r="AB3" s="236" t="s">
        <v>348</v>
      </c>
      <c r="AC3" s="236" t="s">
        <v>348</v>
      </c>
      <c r="AD3" s="236" t="s">
        <v>348</v>
      </c>
      <c r="AE3" s="236" t="s">
        <v>348</v>
      </c>
      <c r="AF3" s="236" t="s">
        <v>348</v>
      </c>
      <c r="AG3" s="236" t="s">
        <v>348</v>
      </c>
      <c r="AH3" s="236" t="s">
        <v>348</v>
      </c>
      <c r="AI3" s="236" t="s">
        <v>348</v>
      </c>
      <c r="AJ3" s="236" t="s">
        <v>348</v>
      </c>
      <c r="AL3" s="236" t="s">
        <v>480</v>
      </c>
      <c r="AM3" s="236" t="s">
        <v>480</v>
      </c>
      <c r="AN3" s="236" t="s">
        <v>480</v>
      </c>
      <c r="AO3" s="236" t="s">
        <v>480</v>
      </c>
      <c r="AP3" s="236" t="s">
        <v>480</v>
      </c>
      <c r="AQ3" s="236" t="s">
        <v>480</v>
      </c>
      <c r="AR3" s="236" t="s">
        <v>480</v>
      </c>
      <c r="AS3" s="236" t="s">
        <v>480</v>
      </c>
      <c r="AT3" s="236" t="s">
        <v>480</v>
      </c>
      <c r="AU3" s="236" t="s">
        <v>480</v>
      </c>
      <c r="AV3" s="236" t="s">
        <v>480</v>
      </c>
      <c r="AW3" s="236" t="s">
        <v>480</v>
      </c>
      <c r="AX3" s="236" t="s">
        <v>480</v>
      </c>
      <c r="AY3" s="236" t="s">
        <v>480</v>
      </c>
      <c r="AZ3" s="236" t="s">
        <v>480</v>
      </c>
      <c r="BA3" s="236" t="s">
        <v>480</v>
      </c>
      <c r="BC3" s="31" t="s">
        <v>1816</v>
      </c>
    </row>
    <row r="4" spans="1:55">
      <c r="D4" s="236"/>
      <c r="E4" s="236"/>
      <c r="F4" s="236"/>
      <c r="G4" s="236"/>
      <c r="H4" s="236"/>
      <c r="I4" s="236"/>
      <c r="J4" s="236"/>
      <c r="K4" s="236"/>
      <c r="L4" s="236"/>
      <c r="M4" s="236"/>
      <c r="N4" s="236"/>
      <c r="O4" s="236"/>
      <c r="P4" s="236"/>
      <c r="Q4" s="236"/>
      <c r="R4" s="236"/>
      <c r="S4" s="236"/>
      <c r="U4" s="236"/>
      <c r="V4" s="236"/>
      <c r="W4" s="236"/>
      <c r="X4" s="236"/>
      <c r="Y4" s="236"/>
      <c r="Z4" s="236"/>
      <c r="AA4" s="236"/>
      <c r="AB4" s="236"/>
      <c r="AC4" s="236"/>
      <c r="AD4" s="236"/>
      <c r="AE4" s="236"/>
      <c r="AF4" s="236"/>
      <c r="AG4" s="236"/>
      <c r="AH4" s="236"/>
      <c r="AI4" s="236"/>
      <c r="AJ4" s="236"/>
      <c r="AL4" s="236"/>
      <c r="AM4" s="236"/>
      <c r="AN4" s="236"/>
      <c r="AO4" s="236"/>
      <c r="AP4" s="236"/>
      <c r="AQ4" s="236"/>
      <c r="AR4" s="236"/>
      <c r="AS4" s="236"/>
      <c r="AT4" s="236"/>
      <c r="AU4" s="236"/>
      <c r="AV4" s="236"/>
      <c r="AW4" s="236"/>
      <c r="AX4" s="236"/>
      <c r="AY4" s="236"/>
      <c r="AZ4" s="236"/>
      <c r="BA4" s="236"/>
    </row>
    <row r="5" spans="1:55">
      <c r="A5" s="11" t="s">
        <v>23</v>
      </c>
      <c r="B5" s="7" t="s">
        <v>4</v>
      </c>
      <c r="D5" s="236">
        <v>67.118600000000001</v>
      </c>
      <c r="E5" s="236">
        <v>40.407400000000003</v>
      </c>
      <c r="F5" s="236">
        <v>43.438400000000001</v>
      </c>
      <c r="G5" s="236">
        <v>37.596899999999998</v>
      </c>
      <c r="H5" s="236">
        <v>34.693899999999999</v>
      </c>
      <c r="I5" s="236">
        <v>37.684800000000003</v>
      </c>
      <c r="J5" s="236">
        <v>34.2883</v>
      </c>
      <c r="K5" s="236">
        <v>46.813200000000002</v>
      </c>
      <c r="L5" s="236">
        <v>77.807199999999995</v>
      </c>
      <c r="M5" s="236">
        <v>72.294499999999999</v>
      </c>
      <c r="N5" s="236">
        <v>66.963700000000003</v>
      </c>
      <c r="O5" s="236" t="s">
        <v>72</v>
      </c>
      <c r="P5" s="236" t="s">
        <v>72</v>
      </c>
      <c r="Q5" s="236" t="s">
        <v>72</v>
      </c>
      <c r="R5" s="236" t="s">
        <v>72</v>
      </c>
      <c r="S5" s="236" t="s">
        <v>72</v>
      </c>
      <c r="U5" s="236">
        <v>87.826099999999997</v>
      </c>
      <c r="V5" s="236">
        <v>34.170499999999997</v>
      </c>
      <c r="W5" s="236">
        <v>53.738799999999998</v>
      </c>
      <c r="X5" s="236">
        <v>11.8431</v>
      </c>
      <c r="Y5" s="236" t="s">
        <v>72</v>
      </c>
      <c r="Z5" s="236">
        <v>41.176499999999997</v>
      </c>
      <c r="AA5" s="236">
        <v>48.024000000000001</v>
      </c>
      <c r="AB5" s="236">
        <v>36.344299999999997</v>
      </c>
      <c r="AC5" s="236" t="s">
        <v>72</v>
      </c>
      <c r="AD5" s="236">
        <v>29.964199999999998</v>
      </c>
      <c r="AE5" s="236">
        <v>27.4818</v>
      </c>
      <c r="AF5" s="236" t="s">
        <v>72</v>
      </c>
      <c r="AG5" s="236">
        <v>40.627400000000002</v>
      </c>
      <c r="AH5" s="236">
        <v>38.636400000000002</v>
      </c>
      <c r="AI5" s="236">
        <v>25.463000000000001</v>
      </c>
      <c r="AJ5" s="236" t="s">
        <v>72</v>
      </c>
      <c r="AL5" s="236" t="e">
        <v>#NAME?</v>
      </c>
      <c r="AM5" s="236">
        <v>6371</v>
      </c>
      <c r="AN5" s="236">
        <v>6527</v>
      </c>
      <c r="AO5" s="236">
        <v>6871</v>
      </c>
      <c r="AP5" s="236">
        <v>6373</v>
      </c>
      <c r="AQ5" s="236">
        <v>6038</v>
      </c>
      <c r="AR5" s="236">
        <v>6102</v>
      </c>
      <c r="AS5" s="236">
        <v>6431</v>
      </c>
      <c r="AT5" s="236">
        <v>6095</v>
      </c>
      <c r="AU5" s="236">
        <v>6401</v>
      </c>
      <c r="AV5" s="236">
        <v>7282</v>
      </c>
      <c r="AW5" s="236">
        <v>7820</v>
      </c>
      <c r="AX5" s="236">
        <v>7280</v>
      </c>
      <c r="AY5" s="236">
        <v>7113</v>
      </c>
      <c r="AZ5" s="236">
        <v>7131</v>
      </c>
      <c r="BA5" s="236" t="s">
        <v>72</v>
      </c>
    </row>
    <row r="6" spans="1:55">
      <c r="A6" s="11" t="s">
        <v>21</v>
      </c>
      <c r="B6" s="7" t="s">
        <v>3</v>
      </c>
      <c r="D6" s="236">
        <v>10.728999999999999</v>
      </c>
      <c r="E6" s="236">
        <v>11.5832</v>
      </c>
      <c r="F6" s="236">
        <v>6.343</v>
      </c>
      <c r="G6" s="236">
        <v>18.922000000000001</v>
      </c>
      <c r="H6" s="236">
        <v>19.229199999999999</v>
      </c>
      <c r="I6" s="236">
        <v>13.4961</v>
      </c>
      <c r="J6" s="236" t="s">
        <v>72</v>
      </c>
      <c r="K6" s="236" t="s">
        <v>72</v>
      </c>
      <c r="L6" s="236" t="s">
        <v>72</v>
      </c>
      <c r="M6" s="236" t="s">
        <v>72</v>
      </c>
      <c r="N6" s="236" t="s">
        <v>72</v>
      </c>
      <c r="O6" s="236" t="s">
        <v>72</v>
      </c>
      <c r="P6" s="236">
        <v>57.476399999999998</v>
      </c>
      <c r="Q6" s="236">
        <v>55.660699999999999</v>
      </c>
      <c r="R6" s="236">
        <v>51.947099999999999</v>
      </c>
      <c r="S6" s="236" t="s">
        <v>72</v>
      </c>
      <c r="U6" s="236">
        <v>8.7591000000000001</v>
      </c>
      <c r="V6" s="236">
        <v>22.1843</v>
      </c>
      <c r="W6" s="236">
        <v>21.305800000000001</v>
      </c>
      <c r="X6" s="236">
        <v>19.900500000000001</v>
      </c>
      <c r="Y6" s="236" t="s">
        <v>72</v>
      </c>
      <c r="Z6" s="236" t="s">
        <v>72</v>
      </c>
      <c r="AA6" s="236">
        <v>36.305700000000002</v>
      </c>
      <c r="AB6" s="236" t="s">
        <v>72</v>
      </c>
      <c r="AC6" s="236" t="s">
        <v>72</v>
      </c>
      <c r="AD6" s="236">
        <v>22.607299999999999</v>
      </c>
      <c r="AE6" s="236">
        <v>22.5</v>
      </c>
      <c r="AF6" s="236">
        <v>19.299700000000001</v>
      </c>
      <c r="AG6" s="236">
        <v>556.88620000000003</v>
      </c>
      <c r="AH6" s="236">
        <v>20.714300000000001</v>
      </c>
      <c r="AI6" s="236">
        <v>16.267900000000001</v>
      </c>
      <c r="AJ6" s="236" t="s">
        <v>72</v>
      </c>
      <c r="AL6" s="236">
        <v>123.732</v>
      </c>
      <c r="AM6" s="236">
        <v>125.2</v>
      </c>
      <c r="AN6" s="236">
        <v>127.2</v>
      </c>
      <c r="AO6" s="236">
        <v>129.4</v>
      </c>
      <c r="AP6" s="236">
        <v>131.57599999999999</v>
      </c>
      <c r="AQ6" s="236">
        <v>131</v>
      </c>
      <c r="AR6" s="236">
        <v>132.19999999999999</v>
      </c>
      <c r="AS6" s="236">
        <v>128.30000000000001</v>
      </c>
      <c r="AT6" s="236">
        <v>128.976</v>
      </c>
      <c r="AU6" s="236">
        <v>132.19999999999999</v>
      </c>
      <c r="AV6" s="236">
        <v>134.5</v>
      </c>
      <c r="AW6" s="236">
        <v>133.30000000000001</v>
      </c>
      <c r="AX6" s="236">
        <v>138.96600000000001</v>
      </c>
      <c r="AY6" s="236">
        <v>164.4</v>
      </c>
      <c r="AZ6" s="236">
        <v>168.3</v>
      </c>
      <c r="BA6" s="236" t="s">
        <v>72</v>
      </c>
    </row>
    <row r="7" spans="1:55" s="727" customFormat="1">
      <c r="A7" s="725" t="s">
        <v>20</v>
      </c>
      <c r="B7" s="727" t="s">
        <v>16</v>
      </c>
      <c r="D7" s="728">
        <v>21.066400000000002</v>
      </c>
      <c r="E7" s="728">
        <v>15.276899999999999</v>
      </c>
      <c r="F7" s="728">
        <v>15.7829</v>
      </c>
      <c r="G7" s="728">
        <v>15.041399999999999</v>
      </c>
      <c r="H7" s="728">
        <v>15.369400000000001</v>
      </c>
      <c r="I7" s="728">
        <v>21.240600000000001</v>
      </c>
      <c r="J7" s="728">
        <v>22.003699999999998</v>
      </c>
      <c r="K7" s="728">
        <v>21.702500000000001</v>
      </c>
      <c r="L7" s="728">
        <v>25.2896</v>
      </c>
      <c r="M7" s="728">
        <v>25.405899999999999</v>
      </c>
      <c r="N7" s="728">
        <v>24.4422</v>
      </c>
      <c r="O7" s="728">
        <v>22.808900000000001</v>
      </c>
      <c r="P7" s="728">
        <v>19.514900000000001</v>
      </c>
      <c r="Q7" s="728">
        <v>18.893999999999998</v>
      </c>
      <c r="R7" s="728">
        <v>18.626300000000001</v>
      </c>
      <c r="S7" s="728" t="s">
        <v>72</v>
      </c>
      <c r="U7" s="728">
        <v>12.766</v>
      </c>
      <c r="V7" s="728">
        <v>9.6044999999999998</v>
      </c>
      <c r="W7" s="728">
        <v>23.616199999999999</v>
      </c>
      <c r="X7" s="728">
        <v>23.754799999999999</v>
      </c>
      <c r="Y7" s="728">
        <v>14.1304</v>
      </c>
      <c r="Z7" s="728">
        <v>23.828099999999999</v>
      </c>
      <c r="AA7" s="728">
        <v>26.545500000000001</v>
      </c>
      <c r="AB7" s="728">
        <v>22.519100000000002</v>
      </c>
      <c r="AC7" s="728">
        <v>28.395099999999999</v>
      </c>
      <c r="AD7" s="728">
        <v>24.3446</v>
      </c>
      <c r="AE7" s="728">
        <v>22.4299</v>
      </c>
      <c r="AF7" s="728">
        <v>15.246600000000001</v>
      </c>
      <c r="AG7" s="728">
        <v>14.7783</v>
      </c>
      <c r="AH7" s="728">
        <v>22.806999999999999</v>
      </c>
      <c r="AI7" s="728">
        <v>21.4634</v>
      </c>
      <c r="AJ7" s="728" t="s">
        <v>72</v>
      </c>
      <c r="AL7" s="728">
        <v>677</v>
      </c>
      <c r="AM7" s="728">
        <v>654</v>
      </c>
      <c r="AN7" s="728">
        <v>629</v>
      </c>
      <c r="AO7" s="728">
        <v>599</v>
      </c>
      <c r="AP7" s="728">
        <v>565</v>
      </c>
      <c r="AQ7" s="728">
        <v>540</v>
      </c>
      <c r="AR7" s="728">
        <v>513</v>
      </c>
      <c r="AS7" s="728">
        <v>491</v>
      </c>
      <c r="AT7" s="728">
        <v>479</v>
      </c>
      <c r="AU7" s="728">
        <v>454</v>
      </c>
      <c r="AV7" s="728">
        <v>437</v>
      </c>
      <c r="AW7" s="728">
        <v>420</v>
      </c>
      <c r="AX7" s="728">
        <v>402</v>
      </c>
      <c r="AY7" s="728">
        <v>548</v>
      </c>
      <c r="AZ7" s="728">
        <v>528</v>
      </c>
      <c r="BA7" s="728" t="s">
        <v>72</v>
      </c>
      <c r="BC7" s="2386"/>
    </row>
    <row r="8" spans="1:55" s="727" customFormat="1">
      <c r="A8" s="725" t="s">
        <v>20</v>
      </c>
      <c r="B8" s="727" t="s">
        <v>2</v>
      </c>
      <c r="D8" s="728">
        <v>34.598799999999997</v>
      </c>
      <c r="E8" s="728" t="s">
        <v>72</v>
      </c>
      <c r="F8" s="728">
        <v>33.818399999999997</v>
      </c>
      <c r="G8" s="728" t="s">
        <v>72</v>
      </c>
      <c r="H8" s="728">
        <v>29.442399999999999</v>
      </c>
      <c r="I8" s="728" t="s">
        <v>72</v>
      </c>
      <c r="J8" s="728">
        <v>30.2895</v>
      </c>
      <c r="K8" s="728" t="s">
        <v>72</v>
      </c>
      <c r="L8" s="728">
        <v>32.794400000000003</v>
      </c>
      <c r="M8" s="728" t="s">
        <v>72</v>
      </c>
      <c r="N8" s="728">
        <v>32.5931</v>
      </c>
      <c r="O8" s="728" t="s">
        <v>72</v>
      </c>
      <c r="P8" s="728">
        <v>30.233000000000001</v>
      </c>
      <c r="Q8" s="728" t="s">
        <v>72</v>
      </c>
      <c r="R8" s="728">
        <v>29.268999999999998</v>
      </c>
      <c r="S8" s="728" t="s">
        <v>72</v>
      </c>
      <c r="U8" s="728">
        <v>35.139499999999998</v>
      </c>
      <c r="V8" s="728" t="s">
        <v>72</v>
      </c>
      <c r="W8" s="728">
        <v>32.448999999999998</v>
      </c>
      <c r="X8" s="728" t="s">
        <v>72</v>
      </c>
      <c r="Y8" s="728">
        <v>26.122900000000001</v>
      </c>
      <c r="Z8" s="728" t="s">
        <v>72</v>
      </c>
      <c r="AA8" s="728">
        <v>34.461399999999998</v>
      </c>
      <c r="AB8" s="728" t="s">
        <v>72</v>
      </c>
      <c r="AC8" s="728">
        <v>30.8445</v>
      </c>
      <c r="AD8" s="728" t="s">
        <v>72</v>
      </c>
      <c r="AE8" s="728">
        <v>34.460900000000002</v>
      </c>
      <c r="AF8" s="728" t="s">
        <v>72</v>
      </c>
      <c r="AG8" s="728">
        <v>25.404399999999999</v>
      </c>
      <c r="AH8" s="728" t="s">
        <v>72</v>
      </c>
      <c r="AI8" s="728">
        <v>34.738</v>
      </c>
      <c r="AJ8" s="728" t="s">
        <v>72</v>
      </c>
      <c r="AL8" s="728" t="s">
        <v>72</v>
      </c>
      <c r="AM8" s="728" t="s">
        <v>72</v>
      </c>
      <c r="AN8" s="728" t="s">
        <v>72</v>
      </c>
      <c r="AO8" s="728" t="s">
        <v>72</v>
      </c>
      <c r="AP8" s="728" t="s">
        <v>72</v>
      </c>
      <c r="AQ8" s="728" t="s">
        <v>72</v>
      </c>
      <c r="AR8" s="728" t="s">
        <v>72</v>
      </c>
      <c r="AS8" s="728" t="s">
        <v>72</v>
      </c>
      <c r="AT8" s="728" t="s">
        <v>72</v>
      </c>
      <c r="AU8" s="728" t="s">
        <v>72</v>
      </c>
      <c r="AV8" s="728" t="s">
        <v>72</v>
      </c>
      <c r="AW8" s="728" t="s">
        <v>72</v>
      </c>
      <c r="AX8" s="728" t="s">
        <v>72</v>
      </c>
      <c r="AY8" s="728" t="s">
        <v>72</v>
      </c>
      <c r="AZ8" s="728" t="s">
        <v>72</v>
      </c>
      <c r="BA8" s="728" t="s">
        <v>72</v>
      </c>
      <c r="BC8" s="2386"/>
    </row>
    <row r="9" spans="1:55" s="727" customFormat="1">
      <c r="A9" s="725" t="s">
        <v>20</v>
      </c>
      <c r="B9" s="727" t="s">
        <v>18</v>
      </c>
      <c r="D9" s="728" t="s">
        <v>72</v>
      </c>
      <c r="E9" s="728" t="s">
        <v>72</v>
      </c>
      <c r="F9" s="728" t="s">
        <v>72</v>
      </c>
      <c r="G9" s="728" t="s">
        <v>72</v>
      </c>
      <c r="H9" s="728">
        <v>39.032200000000003</v>
      </c>
      <c r="I9" s="728">
        <v>40.9163</v>
      </c>
      <c r="J9" s="728">
        <v>39.574100000000001</v>
      </c>
      <c r="K9" s="728">
        <v>42.3902</v>
      </c>
      <c r="L9" s="728">
        <v>68.696200000000005</v>
      </c>
      <c r="M9" s="728">
        <v>348.63740000000001</v>
      </c>
      <c r="N9" s="728">
        <v>30370.909100000001</v>
      </c>
      <c r="O9" s="728">
        <v>56.3812</v>
      </c>
      <c r="P9" s="728">
        <v>50.668599999999998</v>
      </c>
      <c r="Q9" s="728">
        <v>39.201599999999999</v>
      </c>
      <c r="R9" s="728">
        <v>34.442599999999999</v>
      </c>
      <c r="S9" s="728" t="s">
        <v>72</v>
      </c>
      <c r="U9" s="728" t="s">
        <v>72</v>
      </c>
      <c r="V9" s="728">
        <v>27.717400000000001</v>
      </c>
      <c r="W9" s="728">
        <v>61.9161</v>
      </c>
      <c r="X9" s="728">
        <v>48.1633</v>
      </c>
      <c r="Y9" s="728">
        <v>25.8795</v>
      </c>
      <c r="Z9" s="728">
        <v>41.369900000000001</v>
      </c>
      <c r="AA9" s="728">
        <v>47.2074</v>
      </c>
      <c r="AB9" s="728" t="s">
        <v>72</v>
      </c>
      <c r="AC9" s="728">
        <v>68.7012</v>
      </c>
      <c r="AD9" s="728">
        <v>50.8065</v>
      </c>
      <c r="AE9" s="728">
        <v>47.107399999999998</v>
      </c>
      <c r="AF9" s="728">
        <v>64.534899999999993</v>
      </c>
      <c r="AG9" s="728" t="s">
        <v>72</v>
      </c>
      <c r="AH9" s="728">
        <v>30.434799999999999</v>
      </c>
      <c r="AI9" s="728">
        <v>32.958799999999997</v>
      </c>
      <c r="AJ9" s="728" t="s">
        <v>72</v>
      </c>
      <c r="AL9" s="728">
        <v>10.774000000000001</v>
      </c>
      <c r="AM9" s="728" t="s">
        <v>72</v>
      </c>
      <c r="AN9" s="728" t="s">
        <v>72</v>
      </c>
      <c r="AO9" s="728" t="s">
        <v>72</v>
      </c>
      <c r="AP9" s="728">
        <v>9.4380000000000006</v>
      </c>
      <c r="AQ9" s="728" t="s">
        <v>72</v>
      </c>
      <c r="AR9" s="728">
        <v>9.14</v>
      </c>
      <c r="AS9" s="728" t="s">
        <v>72</v>
      </c>
      <c r="AT9" s="728">
        <v>10.62</v>
      </c>
      <c r="AU9" s="728" t="s">
        <v>72</v>
      </c>
      <c r="AV9" s="728">
        <v>9.93</v>
      </c>
      <c r="AW9" s="728" t="s">
        <v>72</v>
      </c>
      <c r="AX9" s="728">
        <v>7.6820000000000004</v>
      </c>
      <c r="AY9" s="728" t="s">
        <v>72</v>
      </c>
      <c r="AZ9" s="728">
        <v>14.223000000000001</v>
      </c>
      <c r="BA9" s="728" t="e">
        <v>#NAME?</v>
      </c>
      <c r="BC9" s="2386"/>
    </row>
    <row r="10" spans="1:55">
      <c r="A10" s="11" t="s">
        <v>22</v>
      </c>
      <c r="B10" s="7" t="s">
        <v>13</v>
      </c>
      <c r="D10" s="236">
        <v>29.2058</v>
      </c>
      <c r="E10" s="236">
        <v>28.5352</v>
      </c>
      <c r="F10" s="236">
        <v>28.921099999999999</v>
      </c>
      <c r="G10" s="236">
        <v>29.731100000000001</v>
      </c>
      <c r="H10" s="236">
        <v>30.239799999999999</v>
      </c>
      <c r="I10" s="236">
        <v>33.165300000000002</v>
      </c>
      <c r="J10" s="236">
        <v>31.558</v>
      </c>
      <c r="K10" s="236">
        <v>29.662800000000001</v>
      </c>
      <c r="L10" s="236">
        <v>28.676500000000001</v>
      </c>
      <c r="M10" s="236">
        <v>23.600300000000001</v>
      </c>
      <c r="N10" s="236">
        <v>24.126100000000001</v>
      </c>
      <c r="O10" s="236">
        <v>14.92</v>
      </c>
      <c r="P10" s="236">
        <v>13.3866</v>
      </c>
      <c r="Q10" s="236">
        <v>16.2273</v>
      </c>
      <c r="R10" s="236">
        <v>1.7166999999999999</v>
      </c>
      <c r="S10" s="236" t="s">
        <v>72</v>
      </c>
      <c r="U10" s="236" t="s">
        <v>72</v>
      </c>
      <c r="V10" s="236">
        <v>14.2149</v>
      </c>
      <c r="W10" s="236">
        <v>35.398200000000003</v>
      </c>
      <c r="X10" s="236">
        <v>36.134500000000003</v>
      </c>
      <c r="Y10" s="236">
        <v>32.7913</v>
      </c>
      <c r="Z10" s="236">
        <v>29.246200000000002</v>
      </c>
      <c r="AA10" s="236">
        <v>30.4619</v>
      </c>
      <c r="AB10" s="236">
        <v>28.499199999999998</v>
      </c>
      <c r="AC10" s="236">
        <v>26.819099999999999</v>
      </c>
      <c r="AD10" s="236">
        <v>14.2112</v>
      </c>
      <c r="AE10" s="236">
        <v>31.702300000000001</v>
      </c>
      <c r="AF10" s="236" t="s">
        <v>72</v>
      </c>
      <c r="AG10" s="236">
        <v>21.200500000000002</v>
      </c>
      <c r="AH10" s="236">
        <v>26.0349</v>
      </c>
      <c r="AI10" s="236" t="s">
        <v>72</v>
      </c>
      <c r="AJ10" s="236" t="s">
        <v>72</v>
      </c>
      <c r="AL10" s="236">
        <v>244</v>
      </c>
      <c r="AM10" s="236">
        <v>258</v>
      </c>
      <c r="AN10" s="236">
        <v>342</v>
      </c>
      <c r="AO10" s="236">
        <v>47</v>
      </c>
      <c r="AP10" s="236">
        <v>73</v>
      </c>
      <c r="AQ10" s="236">
        <v>72</v>
      </c>
      <c r="AR10" s="236">
        <v>72</v>
      </c>
      <c r="AS10" s="236">
        <v>72</v>
      </c>
      <c r="AT10" s="236">
        <v>99</v>
      </c>
      <c r="AU10" s="236">
        <v>102</v>
      </c>
      <c r="AV10" s="236">
        <v>94</v>
      </c>
      <c r="AW10" s="236">
        <v>93</v>
      </c>
      <c r="AX10" s="236">
        <v>99</v>
      </c>
      <c r="AY10" s="236">
        <v>85</v>
      </c>
      <c r="AZ10" s="236">
        <v>76</v>
      </c>
      <c r="BA10" s="236" t="s">
        <v>72</v>
      </c>
    </row>
    <row r="11" spans="1:55">
      <c r="A11" s="12" t="s">
        <v>28</v>
      </c>
      <c r="B11" s="7" t="s">
        <v>9</v>
      </c>
      <c r="D11" s="236">
        <v>23.589300000000001</v>
      </c>
      <c r="E11" s="236">
        <v>23.463100000000001</v>
      </c>
      <c r="F11" s="236">
        <v>22.255299999999998</v>
      </c>
      <c r="G11" s="236">
        <v>20.499500000000001</v>
      </c>
      <c r="H11" s="236">
        <v>27.544799999999999</v>
      </c>
      <c r="I11" s="236">
        <v>27.508900000000001</v>
      </c>
      <c r="J11" s="236">
        <v>27.6586</v>
      </c>
      <c r="K11" s="236">
        <v>34.465600000000002</v>
      </c>
      <c r="L11" s="236">
        <v>4.6375000000000002</v>
      </c>
      <c r="M11" s="236" t="s">
        <v>72</v>
      </c>
      <c r="N11" s="236" t="s">
        <v>72</v>
      </c>
      <c r="O11" s="236">
        <v>7.7481999999999998</v>
      </c>
      <c r="P11" s="236">
        <v>24.9147</v>
      </c>
      <c r="Q11" s="236">
        <v>24.925799999999999</v>
      </c>
      <c r="R11" s="236">
        <v>22.389099999999999</v>
      </c>
      <c r="S11" s="236" t="s">
        <v>72</v>
      </c>
      <c r="U11" s="236">
        <v>6.6947000000000001</v>
      </c>
      <c r="V11" s="236">
        <v>29.837</v>
      </c>
      <c r="W11" s="236">
        <v>24.783100000000001</v>
      </c>
      <c r="X11" s="236">
        <v>20.204799999999999</v>
      </c>
      <c r="Y11" s="236">
        <v>50.343600000000002</v>
      </c>
      <c r="Z11" s="236">
        <v>29.569500000000001</v>
      </c>
      <c r="AA11" s="236">
        <v>24.8262</v>
      </c>
      <c r="AB11" s="236" t="s">
        <v>72</v>
      </c>
      <c r="AC11" s="236" t="s">
        <v>72</v>
      </c>
      <c r="AD11" s="236">
        <v>33.085799999999999</v>
      </c>
      <c r="AE11" s="236">
        <v>27.880299999999998</v>
      </c>
      <c r="AF11" s="236">
        <v>21.091699999999999</v>
      </c>
      <c r="AG11" s="236">
        <v>13.5526</v>
      </c>
      <c r="AH11" s="236">
        <v>31.985800000000001</v>
      </c>
      <c r="AI11" s="236">
        <v>19.544</v>
      </c>
      <c r="AJ11" s="236" t="s">
        <v>72</v>
      </c>
      <c r="AL11" s="236">
        <v>4261</v>
      </c>
      <c r="AM11" s="236" t="s">
        <v>72</v>
      </c>
      <c r="AN11" s="236" t="s">
        <v>72</v>
      </c>
      <c r="AO11" s="236" t="s">
        <v>72</v>
      </c>
      <c r="AP11" s="236">
        <v>3890</v>
      </c>
      <c r="AQ11" s="236" t="s">
        <v>72</v>
      </c>
      <c r="AR11" s="236" t="s">
        <v>72</v>
      </c>
      <c r="AS11" s="236" t="s">
        <v>72</v>
      </c>
      <c r="AT11" s="236">
        <v>5806</v>
      </c>
      <c r="AU11" s="236" t="s">
        <v>72</v>
      </c>
      <c r="AV11" s="236" t="s">
        <v>72</v>
      </c>
      <c r="AW11" s="236" t="s">
        <v>72</v>
      </c>
      <c r="AX11" s="236">
        <v>894</v>
      </c>
      <c r="AY11" s="236" t="s">
        <v>72</v>
      </c>
      <c r="AZ11" s="236" t="s">
        <v>72</v>
      </c>
      <c r="BA11" s="236" t="s">
        <v>72</v>
      </c>
    </row>
    <row r="12" spans="1:55">
      <c r="A12" s="11" t="s">
        <v>73</v>
      </c>
      <c r="B12" s="11" t="s">
        <v>84</v>
      </c>
      <c r="D12" s="236">
        <v>24.648800000000001</v>
      </c>
      <c r="E12" s="236">
        <v>24.633900000000001</v>
      </c>
      <c r="F12" s="236">
        <v>24.9071</v>
      </c>
      <c r="G12" s="236">
        <v>25.267700000000001</v>
      </c>
      <c r="H12" s="236">
        <v>23.642800000000001</v>
      </c>
      <c r="I12" s="236">
        <v>24.592199999999998</v>
      </c>
      <c r="J12" s="236">
        <v>24.743500000000001</v>
      </c>
      <c r="K12" s="236">
        <v>24.354500000000002</v>
      </c>
      <c r="L12" s="236">
        <v>24.085899999999999</v>
      </c>
      <c r="M12" s="236">
        <v>23.119900000000001</v>
      </c>
      <c r="N12" s="236">
        <v>22.547599999999999</v>
      </c>
      <c r="O12" s="236">
        <v>22.2944</v>
      </c>
      <c r="P12" s="236">
        <v>22.4619</v>
      </c>
      <c r="Q12" s="236">
        <v>23.0946</v>
      </c>
      <c r="R12" s="236">
        <v>23.4635</v>
      </c>
      <c r="S12" s="236" t="s">
        <v>72</v>
      </c>
      <c r="U12" s="236">
        <v>27.0945</v>
      </c>
      <c r="V12" s="236">
        <v>14.433</v>
      </c>
      <c r="W12" s="236">
        <v>25.1418</v>
      </c>
      <c r="X12" s="236">
        <v>25.4038</v>
      </c>
      <c r="Y12" s="236">
        <v>21.988</v>
      </c>
      <c r="Z12" s="236">
        <v>26.124600000000001</v>
      </c>
      <c r="AA12" s="236">
        <v>25.695599999999999</v>
      </c>
      <c r="AB12" s="236">
        <v>23.9892</v>
      </c>
      <c r="AC12" s="236">
        <v>21.191099999999999</v>
      </c>
      <c r="AD12" s="236">
        <v>21.767600000000002</v>
      </c>
      <c r="AE12" s="236">
        <v>23.1355</v>
      </c>
      <c r="AF12" s="236">
        <v>23.017900000000001</v>
      </c>
      <c r="AG12" s="236">
        <v>21.752700000000001</v>
      </c>
      <c r="AH12" s="236">
        <v>24.765499999999999</v>
      </c>
      <c r="AI12" s="236">
        <v>24.644500000000001</v>
      </c>
      <c r="AJ12" s="236" t="s">
        <v>72</v>
      </c>
      <c r="AL12" s="236">
        <v>0.8</v>
      </c>
      <c r="AM12" s="236" t="s">
        <v>72</v>
      </c>
      <c r="AN12" s="236">
        <v>0.7</v>
      </c>
      <c r="AO12" s="236">
        <v>0.7</v>
      </c>
      <c r="AP12" s="236">
        <v>1.2</v>
      </c>
      <c r="AQ12" s="236">
        <v>1.2</v>
      </c>
      <c r="AR12" s="236">
        <v>1.2</v>
      </c>
      <c r="AS12" s="236">
        <v>1.2</v>
      </c>
      <c r="AT12" s="236">
        <v>1.2</v>
      </c>
      <c r="AU12" s="236">
        <v>1.2</v>
      </c>
      <c r="AV12" s="236">
        <v>1.2</v>
      </c>
      <c r="AW12" s="236">
        <v>1.2</v>
      </c>
      <c r="AX12" s="236">
        <v>1.2</v>
      </c>
      <c r="AY12" s="236">
        <v>7.3</v>
      </c>
      <c r="AZ12" s="236">
        <v>7.5</v>
      </c>
      <c r="BA12" s="236" t="s">
        <v>72</v>
      </c>
    </row>
    <row r="13" spans="1:55">
      <c r="A13" s="11" t="s">
        <v>19</v>
      </c>
      <c r="B13" s="7" t="s">
        <v>33</v>
      </c>
      <c r="D13" s="236">
        <v>38.398400000000002</v>
      </c>
      <c r="E13" s="236" t="s">
        <v>72</v>
      </c>
      <c r="F13" s="236">
        <v>38.638300000000001</v>
      </c>
      <c r="G13" s="236" t="s">
        <v>72</v>
      </c>
      <c r="H13" s="236">
        <v>36.0169</v>
      </c>
      <c r="I13" s="236" t="s">
        <v>72</v>
      </c>
      <c r="J13" s="236">
        <v>35.371899999999997</v>
      </c>
      <c r="K13" s="236" t="s">
        <v>72</v>
      </c>
      <c r="L13" s="236">
        <v>38.993299999999998</v>
      </c>
      <c r="M13" s="236" t="s">
        <v>72</v>
      </c>
      <c r="N13" s="236">
        <v>41.3825</v>
      </c>
      <c r="O13" s="236" t="s">
        <v>72</v>
      </c>
      <c r="P13" s="236">
        <v>41.011200000000002</v>
      </c>
      <c r="Q13" s="236" t="s">
        <v>72</v>
      </c>
      <c r="R13" s="236">
        <v>40.208599999999997</v>
      </c>
      <c r="S13" s="236" t="s">
        <v>72</v>
      </c>
      <c r="U13" s="236">
        <v>40.664700000000003</v>
      </c>
      <c r="V13" s="236" t="s">
        <v>72</v>
      </c>
      <c r="W13" s="236">
        <v>37.341000000000001</v>
      </c>
      <c r="X13" s="236" t="s">
        <v>72</v>
      </c>
      <c r="Y13" s="236">
        <v>34.339199999999998</v>
      </c>
      <c r="Z13" s="236" t="s">
        <v>72</v>
      </c>
      <c r="AA13" s="236">
        <v>36.346899999999998</v>
      </c>
      <c r="AB13" s="236" t="s">
        <v>72</v>
      </c>
      <c r="AC13" s="236">
        <v>42.28</v>
      </c>
      <c r="AD13" s="236" t="s">
        <v>72</v>
      </c>
      <c r="AE13" s="236">
        <v>40.139499999999998</v>
      </c>
      <c r="AF13" s="236" t="s">
        <v>72</v>
      </c>
      <c r="AG13" s="236">
        <v>41.660400000000003</v>
      </c>
      <c r="AH13" s="236" t="s">
        <v>72</v>
      </c>
      <c r="AI13" s="236">
        <v>39.095399999999998</v>
      </c>
      <c r="AJ13" s="236" t="s">
        <v>72</v>
      </c>
      <c r="AL13" s="236">
        <v>1.256</v>
      </c>
      <c r="AM13" s="236" t="s">
        <v>72</v>
      </c>
      <c r="AN13" s="236" t="s">
        <v>72</v>
      </c>
      <c r="AO13" s="236" t="s">
        <v>72</v>
      </c>
      <c r="AP13" s="236">
        <v>1.8740000000000001</v>
      </c>
      <c r="AQ13" s="236" t="s">
        <v>72</v>
      </c>
      <c r="AR13" s="236" t="s">
        <v>72</v>
      </c>
      <c r="AS13" s="236" t="s">
        <v>72</v>
      </c>
      <c r="AT13" s="236">
        <v>2.62</v>
      </c>
      <c r="AU13" s="236" t="s">
        <v>72</v>
      </c>
      <c r="AV13" s="236" t="s">
        <v>72</v>
      </c>
      <c r="AW13" s="236" t="s">
        <v>72</v>
      </c>
      <c r="AX13" s="236">
        <v>4.4219999999999997</v>
      </c>
      <c r="AY13" s="236" t="s">
        <v>72</v>
      </c>
      <c r="AZ13" s="236" t="s">
        <v>72</v>
      </c>
      <c r="BA13" s="236" t="s">
        <v>72</v>
      </c>
    </row>
    <row r="14" spans="1:55">
      <c r="A14" s="11" t="s">
        <v>19</v>
      </c>
      <c r="B14" s="7" t="s">
        <v>74</v>
      </c>
      <c r="D14" s="236">
        <v>41.183</v>
      </c>
      <c r="E14" s="236" t="s">
        <v>72</v>
      </c>
      <c r="F14" s="236">
        <v>36.009900000000002</v>
      </c>
      <c r="G14" s="236" t="s">
        <v>72</v>
      </c>
      <c r="H14" s="236">
        <v>31.5534</v>
      </c>
      <c r="I14" s="236" t="s">
        <v>72</v>
      </c>
      <c r="J14" s="236">
        <v>39.255299999999998</v>
      </c>
      <c r="K14" s="236" t="s">
        <v>72</v>
      </c>
      <c r="L14" s="236">
        <v>35.283200000000001</v>
      </c>
      <c r="M14" s="236" t="s">
        <v>72</v>
      </c>
      <c r="N14" s="236">
        <v>33.455100000000002</v>
      </c>
      <c r="O14" s="236" t="s">
        <v>72</v>
      </c>
      <c r="P14" s="236">
        <v>52.719499999999996</v>
      </c>
      <c r="Q14" s="236" t="s">
        <v>72</v>
      </c>
      <c r="R14" s="236">
        <v>75.779399999999995</v>
      </c>
      <c r="S14" s="236" t="s">
        <v>72</v>
      </c>
      <c r="U14" s="236">
        <v>64.783199999999994</v>
      </c>
      <c r="V14" s="236" t="s">
        <v>72</v>
      </c>
      <c r="W14" s="236">
        <v>24.319299999999998</v>
      </c>
      <c r="X14" s="236" t="s">
        <v>72</v>
      </c>
      <c r="Y14" s="236">
        <v>46.4758</v>
      </c>
      <c r="Z14" s="236" t="s">
        <v>72</v>
      </c>
      <c r="AA14" s="236">
        <v>35.1995</v>
      </c>
      <c r="AB14" s="236" t="s">
        <v>72</v>
      </c>
      <c r="AC14" s="236">
        <v>35.384</v>
      </c>
      <c r="AD14" s="236" t="s">
        <v>72</v>
      </c>
      <c r="AE14" s="236">
        <v>31.601600000000001</v>
      </c>
      <c r="AF14" s="236" t="s">
        <v>72</v>
      </c>
      <c r="AG14" s="236" t="s">
        <v>72</v>
      </c>
      <c r="AH14" s="236" t="s">
        <v>72</v>
      </c>
      <c r="AI14" s="236">
        <v>43.079099999999997</v>
      </c>
      <c r="AJ14" s="236" t="s">
        <v>72</v>
      </c>
      <c r="AL14" s="236">
        <v>1228</v>
      </c>
      <c r="AM14" s="236" t="s">
        <v>72</v>
      </c>
      <c r="AN14" s="236">
        <v>1349</v>
      </c>
      <c r="AO14" s="236" t="s">
        <v>72</v>
      </c>
      <c r="AP14" s="236">
        <v>1830</v>
      </c>
      <c r="AQ14" s="236" t="s">
        <v>72</v>
      </c>
      <c r="AR14" s="236">
        <v>1786</v>
      </c>
      <c r="AS14" s="236" t="s">
        <v>72</v>
      </c>
      <c r="AT14" s="236">
        <v>1702</v>
      </c>
      <c r="AU14" s="236" t="s">
        <v>72</v>
      </c>
      <c r="AV14" s="236">
        <v>1855</v>
      </c>
      <c r="AW14" s="236" t="s">
        <v>72</v>
      </c>
      <c r="AX14" s="236">
        <v>2989</v>
      </c>
      <c r="AY14" s="236" t="s">
        <v>72</v>
      </c>
      <c r="AZ14" s="236">
        <v>2971</v>
      </c>
      <c r="BA14" s="236" t="s">
        <v>72</v>
      </c>
    </row>
    <row r="15" spans="1:55">
      <c r="A15" s="11" t="s">
        <v>24</v>
      </c>
      <c r="B15" s="7" t="s">
        <v>5</v>
      </c>
      <c r="D15" s="236">
        <v>48.405099999999997</v>
      </c>
      <c r="E15" s="236">
        <v>63.938800000000001</v>
      </c>
      <c r="F15" s="236">
        <v>82.167100000000005</v>
      </c>
      <c r="G15" s="236">
        <v>88.310699999999997</v>
      </c>
      <c r="H15" s="236">
        <v>239.13919999999999</v>
      </c>
      <c r="I15" s="236">
        <v>659.50170000000003</v>
      </c>
      <c r="J15" s="236">
        <v>194.38200000000001</v>
      </c>
      <c r="K15" s="236">
        <v>3205.8824</v>
      </c>
      <c r="L15" s="236">
        <v>111.8158</v>
      </c>
      <c r="M15" s="236">
        <v>30.796199999999999</v>
      </c>
      <c r="N15" s="236">
        <v>27.926300000000001</v>
      </c>
      <c r="O15" s="236">
        <v>26.947400000000002</v>
      </c>
      <c r="P15" s="236">
        <v>17.854800000000001</v>
      </c>
      <c r="Q15" s="236">
        <v>10.2584</v>
      </c>
      <c r="R15" s="236">
        <v>11.031700000000001</v>
      </c>
      <c r="S15" s="236" t="s">
        <v>72</v>
      </c>
      <c r="U15" s="236">
        <v>126.55249999999999</v>
      </c>
      <c r="V15" s="236">
        <v>53.470300000000002</v>
      </c>
      <c r="W15" s="236">
        <v>213.08179999999999</v>
      </c>
      <c r="X15" s="236">
        <v>27.240600000000001</v>
      </c>
      <c r="Y15" s="236" t="s">
        <v>72</v>
      </c>
      <c r="Z15" s="236">
        <v>65.803799999999995</v>
      </c>
      <c r="AA15" s="236">
        <v>32.409599999999998</v>
      </c>
      <c r="AB15" s="236">
        <v>23.213000000000001</v>
      </c>
      <c r="AC15" s="236" t="s">
        <v>72</v>
      </c>
      <c r="AD15" s="236">
        <v>11.9094</v>
      </c>
      <c r="AE15" s="236">
        <v>21.9114</v>
      </c>
      <c r="AF15" s="236">
        <v>20.617899999999999</v>
      </c>
      <c r="AG15" s="236" t="s">
        <v>72</v>
      </c>
      <c r="AH15" s="236" t="s">
        <v>72</v>
      </c>
      <c r="AI15" s="236">
        <v>30.444700000000001</v>
      </c>
      <c r="AJ15" s="236" t="s">
        <v>72</v>
      </c>
      <c r="AL15" s="236">
        <v>788.6</v>
      </c>
      <c r="AM15" s="236">
        <v>432.9</v>
      </c>
      <c r="AN15" s="236">
        <v>401.5</v>
      </c>
      <c r="AO15" s="236">
        <v>382</v>
      </c>
      <c r="AP15" s="236">
        <v>637.9</v>
      </c>
      <c r="AQ15" s="236">
        <v>612</v>
      </c>
      <c r="AR15" s="236">
        <v>603.29999999999995</v>
      </c>
      <c r="AS15" s="236">
        <v>588.4</v>
      </c>
      <c r="AT15" s="236">
        <v>525.70000000000005</v>
      </c>
      <c r="AU15" s="236">
        <v>535.79999999999995</v>
      </c>
      <c r="AV15" s="236">
        <v>561</v>
      </c>
      <c r="AW15" s="236">
        <v>576.29999999999995</v>
      </c>
      <c r="AX15" s="236">
        <v>448.4</v>
      </c>
      <c r="AY15" s="236">
        <v>475.8</v>
      </c>
      <c r="AZ15" s="236">
        <v>469.1</v>
      </c>
      <c r="BA15" s="236" t="s">
        <v>72</v>
      </c>
    </row>
    <row r="16" spans="1:55">
      <c r="A16" s="11" t="s">
        <v>25</v>
      </c>
      <c r="B16" s="7" t="s">
        <v>6</v>
      </c>
      <c r="D16" s="236">
        <v>33.4925</v>
      </c>
      <c r="E16" s="236">
        <v>32.2727</v>
      </c>
      <c r="F16" s="236">
        <v>31.508700000000001</v>
      </c>
      <c r="G16" s="236">
        <v>30.186499999999999</v>
      </c>
      <c r="H16" s="236">
        <v>13.2784</v>
      </c>
      <c r="I16" s="236">
        <v>13.9496</v>
      </c>
      <c r="J16" s="236">
        <v>54.647199999999998</v>
      </c>
      <c r="K16" s="236">
        <v>52.682299999999998</v>
      </c>
      <c r="L16" s="236" t="s">
        <v>72</v>
      </c>
      <c r="M16" s="236" t="s">
        <v>72</v>
      </c>
      <c r="N16" s="236">
        <v>286.08249999999998</v>
      </c>
      <c r="O16" s="236">
        <v>392.7885</v>
      </c>
      <c r="P16" s="236" t="s">
        <v>72</v>
      </c>
      <c r="Q16" s="236" t="s">
        <v>72</v>
      </c>
      <c r="R16" s="236" t="s">
        <v>72</v>
      </c>
      <c r="S16" s="236" t="s">
        <v>72</v>
      </c>
      <c r="U16" s="236">
        <v>22.434000000000001</v>
      </c>
      <c r="V16" s="236">
        <v>36.9407</v>
      </c>
      <c r="W16" s="236">
        <v>33.956400000000002</v>
      </c>
      <c r="X16" s="236">
        <v>24.687100000000001</v>
      </c>
      <c r="Y16" s="236" t="s">
        <v>72</v>
      </c>
      <c r="Z16" s="236">
        <v>37.811900000000001</v>
      </c>
      <c r="AA16" s="236" t="s">
        <v>72</v>
      </c>
      <c r="AB16" s="236">
        <v>33.139499999999998</v>
      </c>
      <c r="AC16" s="236" t="s">
        <v>72</v>
      </c>
      <c r="AD16" s="236">
        <v>38.827500000000001</v>
      </c>
      <c r="AE16" s="236">
        <v>33.152700000000003</v>
      </c>
      <c r="AF16" s="236">
        <v>35.124000000000002</v>
      </c>
      <c r="AG16" s="236" t="s">
        <v>72</v>
      </c>
      <c r="AH16" s="236">
        <v>43.3628</v>
      </c>
      <c r="AI16" s="236" t="s">
        <v>72</v>
      </c>
      <c r="AJ16" s="236" t="s">
        <v>72</v>
      </c>
      <c r="AL16" s="236">
        <v>1075</v>
      </c>
      <c r="AM16" s="236">
        <v>1081</v>
      </c>
      <c r="AN16" s="236">
        <v>1082</v>
      </c>
      <c r="AO16" s="236">
        <v>1160</v>
      </c>
      <c r="AP16" s="236">
        <v>1129</v>
      </c>
      <c r="AQ16" s="236">
        <v>1132</v>
      </c>
      <c r="AR16" s="236">
        <v>1068</v>
      </c>
      <c r="AS16" s="236">
        <v>1041</v>
      </c>
      <c r="AT16" s="236">
        <v>850</v>
      </c>
      <c r="AU16" s="236">
        <v>856</v>
      </c>
      <c r="AV16" s="236">
        <v>870</v>
      </c>
      <c r="AW16" s="236">
        <v>874</v>
      </c>
      <c r="AX16" s="236">
        <v>872</v>
      </c>
      <c r="AY16" s="236">
        <v>876</v>
      </c>
      <c r="AZ16" s="236">
        <v>862</v>
      </c>
      <c r="BA16" s="236" t="s">
        <v>72</v>
      </c>
    </row>
    <row r="17" spans="1:53">
      <c r="A17" s="11" t="s">
        <v>31</v>
      </c>
      <c r="B17" s="7" t="s">
        <v>14</v>
      </c>
      <c r="D17" s="236">
        <v>27.705300000000001</v>
      </c>
      <c r="E17" s="236">
        <v>28.492100000000001</v>
      </c>
      <c r="F17" s="236">
        <v>15.2392</v>
      </c>
      <c r="G17" s="236">
        <v>20.657900000000001</v>
      </c>
      <c r="H17" s="236">
        <v>24.396100000000001</v>
      </c>
      <c r="I17" s="236">
        <v>24.289899999999999</v>
      </c>
      <c r="J17" s="236">
        <v>34.534799999999997</v>
      </c>
      <c r="K17" s="236">
        <v>31.154</v>
      </c>
      <c r="L17" s="236">
        <v>40.167700000000004</v>
      </c>
      <c r="M17" s="236">
        <v>53.485100000000003</v>
      </c>
      <c r="N17" s="236">
        <v>68.915400000000005</v>
      </c>
      <c r="O17" s="236">
        <v>59.081499999999998</v>
      </c>
      <c r="P17" s="236">
        <v>15.164199999999999</v>
      </c>
      <c r="Q17" s="236">
        <v>10.9742</v>
      </c>
      <c r="R17" s="236">
        <v>9.8732000000000006</v>
      </c>
      <c r="S17" s="236" t="s">
        <v>72</v>
      </c>
      <c r="U17" s="236">
        <v>10.9504</v>
      </c>
      <c r="V17" s="236">
        <v>41.048200000000001</v>
      </c>
      <c r="W17" s="236">
        <v>5.4585999999999997</v>
      </c>
      <c r="X17" s="236">
        <v>52.8857</v>
      </c>
      <c r="Y17" s="236">
        <v>33.749299999999998</v>
      </c>
      <c r="Z17" s="236">
        <v>31.9819</v>
      </c>
      <c r="AA17" s="236">
        <v>23.643599999999999</v>
      </c>
      <c r="AB17" s="236">
        <v>37.993600000000001</v>
      </c>
      <c r="AC17" s="236" t="s">
        <v>72</v>
      </c>
      <c r="AD17" s="236">
        <v>141.12049999999999</v>
      </c>
      <c r="AE17" s="236">
        <v>38.251800000000003</v>
      </c>
      <c r="AF17" s="236">
        <v>27.8461</v>
      </c>
      <c r="AG17" s="236" t="s">
        <v>72</v>
      </c>
      <c r="AH17" s="236">
        <v>24.461600000000001</v>
      </c>
      <c r="AI17" s="236">
        <v>27.6084</v>
      </c>
      <c r="AJ17" s="236" t="s">
        <v>72</v>
      </c>
      <c r="AL17" s="236">
        <v>2089</v>
      </c>
      <c r="AM17" s="236">
        <v>2203</v>
      </c>
      <c r="AN17" s="236">
        <v>2118</v>
      </c>
      <c r="AO17" s="236">
        <v>1978</v>
      </c>
      <c r="AP17" s="236">
        <v>1918</v>
      </c>
      <c r="AQ17" s="236">
        <v>1854</v>
      </c>
      <c r="AR17" s="236">
        <v>1884</v>
      </c>
      <c r="AS17" s="236">
        <v>1980</v>
      </c>
      <c r="AT17" s="236">
        <v>1933</v>
      </c>
      <c r="AU17" s="236">
        <v>3187</v>
      </c>
      <c r="AV17" s="236">
        <v>3234</v>
      </c>
      <c r="AW17" s="236">
        <v>2212</v>
      </c>
      <c r="AX17" s="236">
        <v>2169</v>
      </c>
      <c r="AY17" s="236">
        <v>1479</v>
      </c>
      <c r="AZ17" s="236">
        <v>2045</v>
      </c>
      <c r="BA17" s="236" t="s">
        <v>72</v>
      </c>
    </row>
    <row r="18" spans="1:53">
      <c r="A18" s="11" t="s">
        <v>26</v>
      </c>
      <c r="B18" s="7" t="s">
        <v>7</v>
      </c>
      <c r="D18" s="236" t="s">
        <v>72</v>
      </c>
      <c r="E18" s="236" t="s">
        <v>72</v>
      </c>
      <c r="F18" s="236" t="s">
        <v>72</v>
      </c>
      <c r="G18" s="236" t="s">
        <v>72</v>
      </c>
      <c r="H18" s="236">
        <v>22.058199999999999</v>
      </c>
      <c r="I18" s="236">
        <v>14.669599999999999</v>
      </c>
      <c r="J18" s="236">
        <v>13.8026</v>
      </c>
      <c r="K18" s="236">
        <v>12.8302</v>
      </c>
      <c r="L18" s="236">
        <v>12.535299999999999</v>
      </c>
      <c r="M18" s="236">
        <v>21.1478</v>
      </c>
      <c r="N18" s="236">
        <v>19.783200000000001</v>
      </c>
      <c r="O18" s="236">
        <v>20.8612</v>
      </c>
      <c r="P18" s="236">
        <v>27</v>
      </c>
      <c r="Q18" s="236">
        <v>28.152899999999999</v>
      </c>
      <c r="R18" s="236">
        <v>22.831099999999999</v>
      </c>
      <c r="S18" s="236" t="s">
        <v>72</v>
      </c>
      <c r="U18" s="236" t="s">
        <v>72</v>
      </c>
      <c r="V18" s="236">
        <v>24.027100000000001</v>
      </c>
      <c r="W18" s="236">
        <v>26.656199999999998</v>
      </c>
      <c r="X18" s="236">
        <v>21.923100000000002</v>
      </c>
      <c r="Y18" s="236">
        <v>14.874600000000001</v>
      </c>
      <c r="Z18" s="236" t="s">
        <v>72</v>
      </c>
      <c r="AA18" s="236">
        <v>25</v>
      </c>
      <c r="AB18" s="236">
        <v>18.584099999999999</v>
      </c>
      <c r="AC18" s="236">
        <v>15.7895</v>
      </c>
      <c r="AD18" s="236">
        <v>21.538499999999999</v>
      </c>
      <c r="AE18" s="236">
        <v>21.411799999999999</v>
      </c>
      <c r="AF18" s="236">
        <v>22.6006</v>
      </c>
      <c r="AG18" s="236" t="s">
        <v>72</v>
      </c>
      <c r="AH18" s="236">
        <v>20</v>
      </c>
      <c r="AI18" s="236" t="s">
        <v>72</v>
      </c>
      <c r="AJ18" s="236" t="s">
        <v>72</v>
      </c>
      <c r="AL18" s="236">
        <v>717</v>
      </c>
      <c r="AM18" s="236">
        <v>689</v>
      </c>
      <c r="AN18" s="236">
        <v>670</v>
      </c>
      <c r="AO18" s="236">
        <v>642</v>
      </c>
      <c r="AP18" s="236">
        <v>608</v>
      </c>
      <c r="AQ18" s="236">
        <v>518</v>
      </c>
      <c r="AR18" s="236">
        <v>481</v>
      </c>
      <c r="AS18" s="236">
        <v>463</v>
      </c>
      <c r="AT18" s="236">
        <v>441</v>
      </c>
      <c r="AU18" s="236">
        <v>400</v>
      </c>
      <c r="AV18" s="236">
        <v>392</v>
      </c>
      <c r="AW18" s="236">
        <v>375</v>
      </c>
      <c r="AX18" s="236">
        <v>314</v>
      </c>
      <c r="AY18" s="236">
        <v>1702</v>
      </c>
      <c r="AZ18" s="236">
        <v>1423</v>
      </c>
      <c r="BA18" s="236" t="s">
        <v>72</v>
      </c>
    </row>
    <row r="19" spans="1:53">
      <c r="A19" s="11" t="s">
        <v>75</v>
      </c>
      <c r="B19" s="7" t="s">
        <v>76</v>
      </c>
      <c r="D19" s="236">
        <v>19.7121</v>
      </c>
      <c r="E19" s="236">
        <v>19.792999999999999</v>
      </c>
      <c r="F19" s="236">
        <v>21.724799999999998</v>
      </c>
      <c r="G19" s="236">
        <v>69.593100000000007</v>
      </c>
      <c r="H19" s="236">
        <v>75.9465</v>
      </c>
      <c r="I19" s="236">
        <v>96.319000000000003</v>
      </c>
      <c r="J19" s="236">
        <v>30.3371</v>
      </c>
      <c r="K19" s="236">
        <v>11.0555</v>
      </c>
      <c r="L19" s="236" t="s">
        <v>72</v>
      </c>
      <c r="M19" s="236" t="s">
        <v>72</v>
      </c>
      <c r="N19" s="236" t="s">
        <v>72</v>
      </c>
      <c r="O19" s="236" t="s">
        <v>72</v>
      </c>
      <c r="P19" s="236">
        <v>15.9292</v>
      </c>
      <c r="Q19" s="236">
        <v>16.183599999999998</v>
      </c>
      <c r="R19" s="236">
        <v>15.156499999999999</v>
      </c>
      <c r="S19" s="236" t="s">
        <v>72</v>
      </c>
      <c r="U19" s="236">
        <v>23.636399999999998</v>
      </c>
      <c r="V19" s="236">
        <v>20.6128</v>
      </c>
      <c r="W19" s="236">
        <v>20.5379</v>
      </c>
      <c r="X19" s="236" t="s">
        <v>72</v>
      </c>
      <c r="Y19" s="236">
        <v>30.1282</v>
      </c>
      <c r="Z19" s="236">
        <v>19.915299999999998</v>
      </c>
      <c r="AA19" s="236">
        <v>6.3089000000000004</v>
      </c>
      <c r="AB19" s="236">
        <v>3.3418999999999999</v>
      </c>
      <c r="AC19" s="236" t="s">
        <v>72</v>
      </c>
      <c r="AD19" s="236">
        <v>18.243200000000002</v>
      </c>
      <c r="AE19" s="236">
        <v>22.960699999999999</v>
      </c>
      <c r="AF19" s="236">
        <v>18.567599999999999</v>
      </c>
      <c r="AG19" s="236" t="s">
        <v>72</v>
      </c>
      <c r="AH19" s="236">
        <v>24.299099999999999</v>
      </c>
      <c r="AI19" s="236">
        <v>30.909099999999999</v>
      </c>
      <c r="AJ19" s="236" t="s">
        <v>72</v>
      </c>
      <c r="AL19" s="236">
        <v>283</v>
      </c>
      <c r="AM19" s="236">
        <v>243</v>
      </c>
      <c r="AN19" s="236">
        <v>296</v>
      </c>
      <c r="AO19" s="236">
        <v>330</v>
      </c>
      <c r="AP19" s="236">
        <v>342</v>
      </c>
      <c r="AQ19" s="236">
        <v>306</v>
      </c>
      <c r="AR19" s="236">
        <v>310</v>
      </c>
      <c r="AS19" s="236">
        <v>311</v>
      </c>
      <c r="AT19" s="236">
        <v>285</v>
      </c>
      <c r="AU19" s="236">
        <v>294</v>
      </c>
      <c r="AV19" s="236">
        <v>303</v>
      </c>
      <c r="AW19" s="236">
        <v>326</v>
      </c>
      <c r="AX19" s="236">
        <v>374</v>
      </c>
      <c r="AY19" s="236">
        <v>383</v>
      </c>
      <c r="AZ19" s="236">
        <v>384</v>
      </c>
      <c r="BA19" s="236" t="s">
        <v>72</v>
      </c>
    </row>
    <row r="20" spans="1:53">
      <c r="A20" s="11" t="s">
        <v>27</v>
      </c>
      <c r="B20" s="7" t="s">
        <v>8</v>
      </c>
      <c r="D20" s="236">
        <v>20.8231</v>
      </c>
      <c r="E20" s="236">
        <v>20.813400000000001</v>
      </c>
      <c r="F20" s="236">
        <v>14.2943</v>
      </c>
      <c r="G20" s="236">
        <v>15.739800000000001</v>
      </c>
      <c r="H20" s="236">
        <v>25.221</v>
      </c>
      <c r="I20" s="236">
        <v>24.782900000000001</v>
      </c>
      <c r="J20" s="236">
        <v>37.6569</v>
      </c>
      <c r="K20" s="236">
        <v>26.1919</v>
      </c>
      <c r="L20" s="236">
        <v>20.3719</v>
      </c>
      <c r="M20" s="236">
        <v>18.869399999999999</v>
      </c>
      <c r="N20" s="236">
        <v>23.335999999999999</v>
      </c>
      <c r="O20" s="236">
        <v>21.222799999999999</v>
      </c>
      <c r="P20" s="236">
        <v>31.331800000000001</v>
      </c>
      <c r="Q20" s="236">
        <v>35.875799999999998</v>
      </c>
      <c r="R20" s="236">
        <v>10.472099999999999</v>
      </c>
      <c r="S20" s="236" t="s">
        <v>72</v>
      </c>
      <c r="U20" s="236">
        <v>1.4248000000000001</v>
      </c>
      <c r="V20" s="236">
        <v>25.376999999999999</v>
      </c>
      <c r="W20" s="236">
        <v>7.2687999999999997</v>
      </c>
      <c r="X20" s="236" t="s">
        <v>72</v>
      </c>
      <c r="Y20" s="236">
        <v>18.5015</v>
      </c>
      <c r="Z20" s="236">
        <v>24.303799999999999</v>
      </c>
      <c r="AA20" s="236">
        <v>30.957000000000001</v>
      </c>
      <c r="AB20" s="236">
        <v>27.2727</v>
      </c>
      <c r="AC20" s="236" t="s">
        <v>72</v>
      </c>
      <c r="AD20" s="236">
        <v>21.5686</v>
      </c>
      <c r="AE20" s="236">
        <v>43.997399999999999</v>
      </c>
      <c r="AF20" s="236">
        <v>22.433800000000002</v>
      </c>
      <c r="AG20" s="236">
        <v>32.884099999999997</v>
      </c>
      <c r="AH20" s="236">
        <v>45.493000000000002</v>
      </c>
      <c r="AI20" s="236" t="s">
        <v>72</v>
      </c>
      <c r="AJ20" s="236" t="s">
        <v>72</v>
      </c>
      <c r="AL20" s="236">
        <v>1558.3415</v>
      </c>
      <c r="AM20" s="236">
        <v>1550.5</v>
      </c>
      <c r="AN20" s="236">
        <v>1646.5</v>
      </c>
      <c r="AO20" s="236">
        <v>1544.3</v>
      </c>
      <c r="AP20" s="236">
        <v>968.79259999999999</v>
      </c>
      <c r="AQ20" s="236">
        <v>1023.7</v>
      </c>
      <c r="AR20" s="236">
        <v>974.9</v>
      </c>
      <c r="AS20" s="236">
        <v>957.80219999999997</v>
      </c>
      <c r="AT20" s="236">
        <v>1004.0656</v>
      </c>
      <c r="AU20" s="236">
        <v>984</v>
      </c>
      <c r="AV20" s="236">
        <v>998.1</v>
      </c>
      <c r="AW20" s="236">
        <v>901.1</v>
      </c>
      <c r="AX20" s="236">
        <v>932.8356</v>
      </c>
      <c r="AY20" s="236">
        <v>883.5</v>
      </c>
      <c r="AZ20" s="236">
        <v>998.1</v>
      </c>
      <c r="BA20" s="236" t="s">
        <v>72</v>
      </c>
    </row>
    <row r="21" spans="1:53">
      <c r="A21" s="11" t="s">
        <v>79</v>
      </c>
      <c r="B21" s="7" t="s">
        <v>11</v>
      </c>
      <c r="D21" s="236" t="s">
        <v>72</v>
      </c>
      <c r="E21" s="236" t="s">
        <v>72</v>
      </c>
      <c r="F21" s="236">
        <v>0.99099999999999999</v>
      </c>
      <c r="G21" s="236">
        <v>13.698600000000001</v>
      </c>
      <c r="H21" s="236">
        <v>15.818099999999999</v>
      </c>
      <c r="I21" s="236">
        <v>12.4054</v>
      </c>
      <c r="J21" s="236">
        <v>13.6633</v>
      </c>
      <c r="K21" s="236">
        <v>15.212</v>
      </c>
      <c r="L21" s="236">
        <v>16.741900000000001</v>
      </c>
      <c r="M21" s="236">
        <v>18.0777</v>
      </c>
      <c r="N21" s="236">
        <v>17.525400000000001</v>
      </c>
      <c r="O21" s="236">
        <v>16.381699999999999</v>
      </c>
      <c r="P21" s="236">
        <v>15.8972</v>
      </c>
      <c r="Q21" s="236">
        <v>16.2592</v>
      </c>
      <c r="R21" s="236">
        <v>16.0609</v>
      </c>
      <c r="S21" s="236" t="s">
        <v>72</v>
      </c>
      <c r="U21" s="236">
        <v>14.8325</v>
      </c>
      <c r="V21" s="236">
        <v>16.7331</v>
      </c>
      <c r="W21" s="236">
        <v>24.2667</v>
      </c>
      <c r="X21" s="236">
        <v>1.4778</v>
      </c>
      <c r="Y21" s="236">
        <v>21.315200000000001</v>
      </c>
      <c r="Z21" s="236">
        <v>4.4443999999999999</v>
      </c>
      <c r="AA21" s="236">
        <v>25.5319</v>
      </c>
      <c r="AB21" s="236">
        <v>10.3261</v>
      </c>
      <c r="AC21" s="236">
        <v>24.539899999999999</v>
      </c>
      <c r="AD21" s="236">
        <v>12.8453</v>
      </c>
      <c r="AE21" s="236">
        <v>22.718800000000002</v>
      </c>
      <c r="AF21" s="236">
        <v>6.1462000000000003</v>
      </c>
      <c r="AG21" s="236">
        <v>22.9299</v>
      </c>
      <c r="AH21" s="236">
        <v>13.973800000000001</v>
      </c>
      <c r="AI21" s="236">
        <v>22.939900000000002</v>
      </c>
      <c r="AJ21" s="236" t="s">
        <v>72</v>
      </c>
      <c r="AL21" s="236">
        <v>8833</v>
      </c>
      <c r="AM21" s="236">
        <v>7864</v>
      </c>
      <c r="AN21" s="236">
        <v>7944</v>
      </c>
      <c r="AO21" s="236">
        <v>5187</v>
      </c>
      <c r="AP21" s="236">
        <v>3742</v>
      </c>
      <c r="AQ21" s="236">
        <v>1830</v>
      </c>
      <c r="AR21" s="236">
        <v>2382</v>
      </c>
      <c r="AS21" s="236">
        <v>3349</v>
      </c>
      <c r="AT21" s="236">
        <v>5435</v>
      </c>
      <c r="AU21" s="236">
        <v>2448</v>
      </c>
      <c r="AV21" s="236">
        <v>2462</v>
      </c>
      <c r="AW21" s="236">
        <v>4001</v>
      </c>
      <c r="AX21" s="236">
        <v>5492</v>
      </c>
      <c r="AY21" s="236">
        <v>5856</v>
      </c>
      <c r="AZ21" s="236">
        <v>5196</v>
      </c>
      <c r="BA21" s="236" t="s">
        <v>72</v>
      </c>
    </row>
    <row r="22" spans="1:53">
      <c r="A22" s="11" t="s">
        <v>79</v>
      </c>
      <c r="B22" s="7" t="s">
        <v>17</v>
      </c>
      <c r="D22" s="236" t="s">
        <v>72</v>
      </c>
      <c r="E22" s="236">
        <v>0.64559999999999995</v>
      </c>
      <c r="F22" s="236" t="s">
        <v>72</v>
      </c>
      <c r="G22" s="236" t="s">
        <v>72</v>
      </c>
      <c r="H22" s="236" t="s">
        <v>72</v>
      </c>
      <c r="I22" s="236">
        <v>17.140499999999999</v>
      </c>
      <c r="J22" s="236" t="s">
        <v>72</v>
      </c>
      <c r="K22" s="236">
        <v>24.371600000000001</v>
      </c>
      <c r="L22" s="236" t="s">
        <v>72</v>
      </c>
      <c r="M22" s="236">
        <v>26.662500000000001</v>
      </c>
      <c r="N22" s="236" t="s">
        <v>72</v>
      </c>
      <c r="O22" s="236">
        <v>245.9847</v>
      </c>
      <c r="P22" s="236" t="s">
        <v>72</v>
      </c>
      <c r="Q22" s="236">
        <v>79.324100000000001</v>
      </c>
      <c r="R22" s="236" t="s">
        <v>72</v>
      </c>
      <c r="S22" s="236" t="s">
        <v>72</v>
      </c>
      <c r="U22" s="236" t="s">
        <v>72</v>
      </c>
      <c r="V22" s="236" t="s">
        <v>72</v>
      </c>
      <c r="W22" s="236" t="s">
        <v>72</v>
      </c>
      <c r="X22" s="236">
        <v>8.9320000000000004</v>
      </c>
      <c r="Y22" s="236" t="s">
        <v>72</v>
      </c>
      <c r="Z22" s="236">
        <v>70.906199999999998</v>
      </c>
      <c r="AA22" s="236" t="s">
        <v>72</v>
      </c>
      <c r="AB22" s="236">
        <v>17.064</v>
      </c>
      <c r="AC22" s="236" t="s">
        <v>72</v>
      </c>
      <c r="AD22" s="236">
        <v>76.658000000000001</v>
      </c>
      <c r="AE22" s="236" t="s">
        <v>72</v>
      </c>
      <c r="AF22" s="236" t="s">
        <v>72</v>
      </c>
      <c r="AG22" s="236" t="s">
        <v>72</v>
      </c>
      <c r="AH22" s="236">
        <v>31.705400000000001</v>
      </c>
      <c r="AI22" s="236" t="s">
        <v>72</v>
      </c>
      <c r="AJ22" s="236" t="s">
        <v>72</v>
      </c>
      <c r="AL22" s="236" t="s">
        <v>72</v>
      </c>
      <c r="AM22" s="236">
        <v>237</v>
      </c>
      <c r="AN22" s="236" t="s">
        <v>72</v>
      </c>
      <c r="AO22" s="236">
        <v>351</v>
      </c>
      <c r="AP22" s="236" t="s">
        <v>72</v>
      </c>
      <c r="AQ22" s="236">
        <v>87</v>
      </c>
      <c r="AR22" s="236" t="s">
        <v>72</v>
      </c>
      <c r="AS22" s="236">
        <v>312</v>
      </c>
      <c r="AT22" s="236" t="s">
        <v>72</v>
      </c>
      <c r="AU22" s="236">
        <v>337</v>
      </c>
      <c r="AV22" s="236" t="s">
        <v>72</v>
      </c>
      <c r="AW22" s="236">
        <v>333</v>
      </c>
      <c r="AX22" s="236" t="s">
        <v>72</v>
      </c>
      <c r="AY22" s="236">
        <v>629</v>
      </c>
      <c r="AZ22" s="236" t="s">
        <v>72</v>
      </c>
      <c r="BA22" s="236" t="s">
        <v>72</v>
      </c>
    </row>
    <row r="23" spans="1:53">
      <c r="A23" s="11" t="s">
        <v>29</v>
      </c>
      <c r="B23" s="7" t="s">
        <v>10</v>
      </c>
      <c r="D23" s="236">
        <v>22.9376</v>
      </c>
      <c r="E23" s="236">
        <v>23.075800000000001</v>
      </c>
      <c r="F23" s="236">
        <v>22.0642</v>
      </c>
      <c r="G23" s="236">
        <v>21.174099999999999</v>
      </c>
      <c r="H23" s="236">
        <v>21.292100000000001</v>
      </c>
      <c r="I23" s="236">
        <v>21.1312</v>
      </c>
      <c r="J23" s="236">
        <v>21.768799999999999</v>
      </c>
      <c r="K23" s="236">
        <v>22.041399999999999</v>
      </c>
      <c r="L23" s="236">
        <v>21.213000000000001</v>
      </c>
      <c r="M23" s="236">
        <v>20.845099999999999</v>
      </c>
      <c r="N23" s="236">
        <v>19.125499999999999</v>
      </c>
      <c r="O23" s="236">
        <v>19.032599999999999</v>
      </c>
      <c r="P23" s="236">
        <v>13.311999999999999</v>
      </c>
      <c r="Q23" s="236">
        <v>13.4505</v>
      </c>
      <c r="R23" s="236">
        <v>14.4095</v>
      </c>
      <c r="S23" s="236" t="s">
        <v>72</v>
      </c>
      <c r="U23" s="236">
        <v>21.2516</v>
      </c>
      <c r="V23" s="236">
        <v>22.141300000000001</v>
      </c>
      <c r="W23" s="236">
        <v>19.8202</v>
      </c>
      <c r="X23" s="236">
        <v>21.524699999999999</v>
      </c>
      <c r="Y23" s="236">
        <v>21.7089</v>
      </c>
      <c r="Z23" s="236">
        <v>21.427499999999998</v>
      </c>
      <c r="AA23" s="236">
        <v>22.578399999999998</v>
      </c>
      <c r="AB23" s="236">
        <v>22.521000000000001</v>
      </c>
      <c r="AC23" s="236">
        <v>18.556999999999999</v>
      </c>
      <c r="AD23" s="236">
        <v>19.7761</v>
      </c>
      <c r="AE23" s="236">
        <v>15.1174</v>
      </c>
      <c r="AF23" s="236">
        <v>22.492799999999999</v>
      </c>
      <c r="AG23" s="236" t="s">
        <v>72</v>
      </c>
      <c r="AH23" s="236">
        <v>20.371700000000001</v>
      </c>
      <c r="AI23" s="236">
        <v>19.5869</v>
      </c>
      <c r="AJ23" s="236" t="s">
        <v>72</v>
      </c>
      <c r="AL23" s="236">
        <v>680</v>
      </c>
      <c r="AM23" s="236" t="s">
        <v>72</v>
      </c>
      <c r="AN23" s="236" t="s">
        <v>72</v>
      </c>
      <c r="AO23" s="236" t="s">
        <v>72</v>
      </c>
      <c r="AP23" s="236">
        <v>757</v>
      </c>
      <c r="AQ23" s="236" t="s">
        <v>72</v>
      </c>
      <c r="AR23" s="236" t="s">
        <v>72</v>
      </c>
      <c r="AS23" s="236" t="s">
        <v>72</v>
      </c>
      <c r="AT23" s="236">
        <v>1030</v>
      </c>
      <c r="AU23" s="236" t="s">
        <v>72</v>
      </c>
      <c r="AV23" s="236" t="s">
        <v>72</v>
      </c>
      <c r="AW23" s="236" t="s">
        <v>72</v>
      </c>
      <c r="AX23" s="236">
        <v>1209</v>
      </c>
      <c r="AY23" s="236" t="s">
        <v>72</v>
      </c>
      <c r="AZ23" s="236" t="s">
        <v>72</v>
      </c>
      <c r="BA23" s="236" t="s">
        <v>72</v>
      </c>
    </row>
    <row r="24" spans="1:53">
      <c r="A24" s="11" t="s">
        <v>29</v>
      </c>
      <c r="B24" s="7" t="s">
        <v>15</v>
      </c>
      <c r="D24" s="236">
        <v>8.8042999999999996</v>
      </c>
      <c r="E24" s="236">
        <v>8.5432000000000006</v>
      </c>
      <c r="F24" s="236">
        <v>9.0838999999999999</v>
      </c>
      <c r="G24" s="236">
        <v>6.0510000000000002</v>
      </c>
      <c r="H24" s="236">
        <v>3.7713000000000001</v>
      </c>
      <c r="I24" s="236">
        <v>4.2408000000000001</v>
      </c>
      <c r="J24" s="236">
        <v>4.2712000000000003</v>
      </c>
      <c r="K24" s="236">
        <v>21.7348</v>
      </c>
      <c r="L24" s="236">
        <v>25.4862</v>
      </c>
      <c r="M24" s="236">
        <v>27.704599999999999</v>
      </c>
      <c r="N24" s="236">
        <v>28.859400000000001</v>
      </c>
      <c r="O24" s="236">
        <v>24.7699</v>
      </c>
      <c r="P24" s="236">
        <v>33.878399999999999</v>
      </c>
      <c r="Q24" s="236">
        <v>32.962800000000001</v>
      </c>
      <c r="R24" s="236">
        <v>34.093600000000002</v>
      </c>
      <c r="S24" s="236" t="s">
        <v>72</v>
      </c>
      <c r="U24" s="236">
        <v>23.3019</v>
      </c>
      <c r="V24" s="236">
        <v>21.3476</v>
      </c>
      <c r="W24" s="236">
        <v>20.338200000000001</v>
      </c>
      <c r="X24" s="236" t="s">
        <v>72</v>
      </c>
      <c r="Y24" s="236">
        <v>8.4929000000000006</v>
      </c>
      <c r="Z24" s="236">
        <v>23.231100000000001</v>
      </c>
      <c r="AA24" s="236">
        <v>26.476400000000002</v>
      </c>
      <c r="AB24" s="236">
        <v>25.503</v>
      </c>
      <c r="AC24" s="236">
        <v>26.801500000000001</v>
      </c>
      <c r="AD24" s="236">
        <v>42.857100000000003</v>
      </c>
      <c r="AE24" s="236">
        <v>36.227499999999999</v>
      </c>
      <c r="AF24" s="236">
        <v>10.7468</v>
      </c>
      <c r="AG24" s="236">
        <v>51.460500000000003</v>
      </c>
      <c r="AH24" s="236">
        <v>36.166400000000003</v>
      </c>
      <c r="AI24" s="236">
        <v>41.711199999999998</v>
      </c>
      <c r="AJ24" s="236" t="s">
        <v>72</v>
      </c>
      <c r="AL24" s="236" t="s">
        <v>72</v>
      </c>
      <c r="AM24" s="236" t="s">
        <v>72</v>
      </c>
      <c r="AN24" s="236" t="s">
        <v>72</v>
      </c>
      <c r="AO24" s="236" t="s">
        <v>72</v>
      </c>
      <c r="AP24" s="236" t="s">
        <v>72</v>
      </c>
      <c r="AQ24" s="236">
        <v>0</v>
      </c>
      <c r="AR24" s="236" t="s">
        <v>72</v>
      </c>
      <c r="AS24" s="236" t="s">
        <v>72</v>
      </c>
      <c r="AT24" s="236" t="s">
        <v>72</v>
      </c>
      <c r="AU24" s="236" t="s">
        <v>72</v>
      </c>
      <c r="AV24" s="236" t="s">
        <v>72</v>
      </c>
      <c r="AW24" s="236" t="s">
        <v>72</v>
      </c>
      <c r="AX24" s="236" t="s">
        <v>72</v>
      </c>
      <c r="AY24" s="236" t="s">
        <v>72</v>
      </c>
      <c r="AZ24" s="236" t="s">
        <v>72</v>
      </c>
      <c r="BA24" s="236" t="s">
        <v>72</v>
      </c>
    </row>
    <row r="25" spans="1:53">
      <c r="A25" s="11" t="s">
        <v>30</v>
      </c>
      <c r="B25" s="7" t="s">
        <v>12</v>
      </c>
      <c r="D25" s="236">
        <v>19.3034</v>
      </c>
      <c r="E25" s="236">
        <v>20.105599999999999</v>
      </c>
      <c r="F25" s="236">
        <v>21.057300000000001</v>
      </c>
      <c r="G25" s="236">
        <v>20.923100000000002</v>
      </c>
      <c r="H25" s="236">
        <v>21.921399999999998</v>
      </c>
      <c r="I25" s="236">
        <v>21.5564</v>
      </c>
      <c r="J25" s="236">
        <v>19.965900000000001</v>
      </c>
      <c r="K25" s="236">
        <v>20.242599999999999</v>
      </c>
      <c r="L25" s="236">
        <v>17.869800000000001</v>
      </c>
      <c r="M25" s="236">
        <v>14.961600000000001</v>
      </c>
      <c r="N25" s="236">
        <v>16.905100000000001</v>
      </c>
      <c r="O25" s="236">
        <v>16.220500000000001</v>
      </c>
      <c r="P25" s="236">
        <v>18.6449</v>
      </c>
      <c r="Q25" s="236">
        <v>18.707799999999999</v>
      </c>
      <c r="R25" s="236">
        <v>18.006</v>
      </c>
      <c r="S25" s="236" t="s">
        <v>72</v>
      </c>
      <c r="U25" s="236">
        <v>16.309000000000001</v>
      </c>
      <c r="V25" s="236">
        <v>24.1449</v>
      </c>
      <c r="W25" s="236">
        <v>23.302499999999998</v>
      </c>
      <c r="X25" s="236">
        <v>19.427700000000002</v>
      </c>
      <c r="Y25" s="236">
        <v>21.2058</v>
      </c>
      <c r="Z25" s="236">
        <v>22.295100000000001</v>
      </c>
      <c r="AA25" s="236">
        <v>17.1477</v>
      </c>
      <c r="AB25" s="236">
        <v>20.393799999999999</v>
      </c>
      <c r="AC25" s="236" t="s">
        <v>72</v>
      </c>
      <c r="AD25" s="236">
        <v>18.647200000000002</v>
      </c>
      <c r="AE25" s="236">
        <v>19.791699999999999</v>
      </c>
      <c r="AF25" s="236">
        <v>20.450600000000001</v>
      </c>
      <c r="AG25" s="236">
        <v>14.7727</v>
      </c>
      <c r="AH25" s="236">
        <v>18.918900000000001</v>
      </c>
      <c r="AI25" s="236">
        <v>17.1815</v>
      </c>
      <c r="AJ25" s="236" t="s">
        <v>72</v>
      </c>
      <c r="AL25" s="236">
        <v>351</v>
      </c>
      <c r="AM25" s="236">
        <v>342</v>
      </c>
      <c r="AN25" s="236">
        <v>345</v>
      </c>
      <c r="AO25" s="236">
        <v>339</v>
      </c>
      <c r="AP25" s="236">
        <v>1283</v>
      </c>
      <c r="AQ25" s="236">
        <v>896</v>
      </c>
      <c r="AR25" s="236">
        <v>1140</v>
      </c>
      <c r="AS25" s="236">
        <v>1970</v>
      </c>
      <c r="AT25" s="236">
        <v>1977</v>
      </c>
      <c r="AU25" s="236">
        <v>1492</v>
      </c>
      <c r="AV25" s="236">
        <v>2063</v>
      </c>
      <c r="AW25" s="236">
        <v>2279</v>
      </c>
      <c r="AX25" s="236">
        <v>2801</v>
      </c>
      <c r="AY25" s="236">
        <v>2054</v>
      </c>
      <c r="AZ25" s="236">
        <v>1850</v>
      </c>
      <c r="BA25" s="236" t="s">
        <v>72</v>
      </c>
    </row>
    <row r="26" spans="1:53">
      <c r="A26" s="11" t="s">
        <v>27</v>
      </c>
      <c r="B26" s="7" t="s">
        <v>343</v>
      </c>
      <c r="D26" s="236">
        <v>46.174500000000002</v>
      </c>
      <c r="E26" s="236">
        <v>34.132399999999997</v>
      </c>
      <c r="F26" s="236">
        <v>31.128699999999998</v>
      </c>
      <c r="G26" s="236">
        <v>32.497100000000003</v>
      </c>
      <c r="H26" s="236">
        <v>28.9237</v>
      </c>
      <c r="I26" s="236">
        <v>26.495899999999999</v>
      </c>
      <c r="J26" s="236">
        <v>22.442499999999999</v>
      </c>
      <c r="K26" s="236">
        <v>11.226599999999999</v>
      </c>
      <c r="L26" s="236">
        <v>15.0631</v>
      </c>
      <c r="M26" s="236">
        <v>14.9697</v>
      </c>
      <c r="N26" s="236">
        <v>12.4846</v>
      </c>
      <c r="O26" s="236">
        <v>14.6487</v>
      </c>
      <c r="P26" s="236">
        <v>4.1135000000000002</v>
      </c>
      <c r="Q26" s="236">
        <v>3.7357</v>
      </c>
      <c r="R26" s="236">
        <v>5.7262000000000004</v>
      </c>
      <c r="S26" s="236" t="s">
        <v>72</v>
      </c>
      <c r="U26" s="236">
        <v>30.1417</v>
      </c>
      <c r="V26" s="236">
        <v>31.355899999999998</v>
      </c>
      <c r="W26" s="236">
        <v>32.558100000000003</v>
      </c>
      <c r="X26" s="236">
        <v>33.986899999999999</v>
      </c>
      <c r="Y26" s="236">
        <v>16.689299999999999</v>
      </c>
      <c r="Z26" s="236">
        <v>21.714300000000001</v>
      </c>
      <c r="AA26" s="236">
        <v>18.6586</v>
      </c>
      <c r="AB26" s="236" t="s">
        <v>72</v>
      </c>
      <c r="AC26" s="236">
        <v>46.122999999999998</v>
      </c>
      <c r="AD26" s="236">
        <v>20.187799999999999</v>
      </c>
      <c r="AE26" s="236">
        <v>10.169499999999999</v>
      </c>
      <c r="AF26" s="236">
        <v>1.9011</v>
      </c>
      <c r="AG26" s="236" t="s">
        <v>72</v>
      </c>
      <c r="AH26" s="236">
        <v>18</v>
      </c>
      <c r="AI26" s="236">
        <v>16.078399999999998</v>
      </c>
      <c r="AJ26" s="236" t="s">
        <v>72</v>
      </c>
      <c r="AL26" s="236" t="s">
        <v>72</v>
      </c>
      <c r="AM26" s="236" t="s">
        <v>72</v>
      </c>
      <c r="AN26" s="236" t="s">
        <v>72</v>
      </c>
      <c r="AO26" s="236">
        <v>0</v>
      </c>
      <c r="AP26" s="236" t="s">
        <v>72</v>
      </c>
      <c r="AQ26" s="236">
        <v>0</v>
      </c>
      <c r="AR26" s="236">
        <v>0</v>
      </c>
      <c r="AS26" s="236">
        <v>0</v>
      </c>
      <c r="AT26" s="236">
        <v>0</v>
      </c>
      <c r="AU26" s="236">
        <v>0</v>
      </c>
      <c r="AV26" s="236">
        <v>0</v>
      </c>
      <c r="AW26" s="236">
        <v>0</v>
      </c>
      <c r="AX26" s="236">
        <v>0</v>
      </c>
      <c r="AY26" s="236">
        <v>0</v>
      </c>
      <c r="AZ26" s="236">
        <v>0</v>
      </c>
      <c r="BA26" s="236" t="s">
        <v>72</v>
      </c>
    </row>
    <row r="27" spans="1:53">
      <c r="A27" s="11" t="s">
        <v>344</v>
      </c>
      <c r="B27" s="7" t="s">
        <v>345</v>
      </c>
      <c r="D27" s="236">
        <v>31.9239</v>
      </c>
      <c r="E27" s="236">
        <v>44.283200000000001</v>
      </c>
      <c r="F27" s="236">
        <v>69.131200000000007</v>
      </c>
      <c r="G27" s="236">
        <v>120.2799</v>
      </c>
      <c r="H27" s="236" t="s">
        <v>72</v>
      </c>
      <c r="I27" s="236" t="s">
        <v>72</v>
      </c>
      <c r="J27" s="236" t="s">
        <v>72</v>
      </c>
      <c r="K27" s="236" t="s">
        <v>72</v>
      </c>
      <c r="L27" s="236">
        <v>30.331</v>
      </c>
      <c r="M27" s="236">
        <v>28.051400000000001</v>
      </c>
      <c r="N27" s="236">
        <v>28.773900000000001</v>
      </c>
      <c r="O27" s="236">
        <v>27.1736</v>
      </c>
      <c r="P27" s="236">
        <v>5.5661000000000005</v>
      </c>
      <c r="Q27" s="236" t="s">
        <v>72</v>
      </c>
      <c r="R27" s="236" t="s">
        <v>72</v>
      </c>
      <c r="S27" s="236" t="s">
        <v>72</v>
      </c>
      <c r="U27" s="236" t="s">
        <v>72</v>
      </c>
      <c r="V27" s="236">
        <v>126.1354</v>
      </c>
      <c r="W27" s="236">
        <v>47.308700000000002</v>
      </c>
      <c r="X27" s="236">
        <v>66.9131</v>
      </c>
      <c r="Y27" s="236" t="s">
        <v>72</v>
      </c>
      <c r="Z27" s="236">
        <v>26.601500000000001</v>
      </c>
      <c r="AA27" s="236">
        <v>26.230499999999999</v>
      </c>
      <c r="AB27" s="236">
        <v>26.7759</v>
      </c>
      <c r="AC27" s="236" t="s">
        <v>72</v>
      </c>
      <c r="AD27" s="236">
        <v>20.8614</v>
      </c>
      <c r="AE27" s="236">
        <v>28.6663</v>
      </c>
      <c r="AF27" s="236">
        <v>22.8614</v>
      </c>
      <c r="AG27" s="236" t="s">
        <v>72</v>
      </c>
      <c r="AH27" s="236">
        <v>7.6380999999999997</v>
      </c>
      <c r="AI27" s="236" t="s">
        <v>72</v>
      </c>
      <c r="AJ27" s="236" t="s">
        <v>72</v>
      </c>
      <c r="AL27" s="236">
        <v>8.9190000000000005</v>
      </c>
      <c r="AM27" s="236" t="s">
        <v>72</v>
      </c>
      <c r="AN27" s="236" t="s">
        <v>72</v>
      </c>
      <c r="AO27" s="236" t="s">
        <v>72</v>
      </c>
      <c r="AP27" s="236">
        <v>8.8629999999999995</v>
      </c>
      <c r="AQ27" s="236" t="s">
        <v>72</v>
      </c>
      <c r="AR27" s="236" t="s">
        <v>72</v>
      </c>
      <c r="AS27" s="236" t="s">
        <v>72</v>
      </c>
      <c r="AT27" s="236">
        <v>9.2349999999999994</v>
      </c>
      <c r="AU27" s="236" t="s">
        <v>72</v>
      </c>
      <c r="AV27" s="236" t="s">
        <v>72</v>
      </c>
      <c r="AW27" s="236" t="s">
        <v>72</v>
      </c>
      <c r="AX27" s="236">
        <v>9.3689999999999998</v>
      </c>
      <c r="AY27" s="236" t="s">
        <v>72</v>
      </c>
      <c r="AZ27" s="236" t="s">
        <v>72</v>
      </c>
      <c r="BA27" s="236" t="s">
        <v>72</v>
      </c>
    </row>
    <row r="29" spans="1:53">
      <c r="B29" s="11" t="s">
        <v>2565</v>
      </c>
      <c r="D29" s="7" t="s">
        <v>450</v>
      </c>
      <c r="H29" s="2581" t="s">
        <v>2566</v>
      </c>
    </row>
    <row r="30" spans="1:53">
      <c r="D30" s="7" t="s">
        <v>347</v>
      </c>
      <c r="H30" s="3095" t="s">
        <v>2567</v>
      </c>
    </row>
    <row r="31" spans="1:53">
      <c r="D31" s="7" t="s">
        <v>471</v>
      </c>
      <c r="H31" s="3095" t="s">
        <v>2567</v>
      </c>
    </row>
    <row r="33" spans="2:15">
      <c r="B33" s="11" t="s">
        <v>2563</v>
      </c>
      <c r="D33" s="11" t="s">
        <v>402</v>
      </c>
      <c r="N33" s="11"/>
      <c r="O33" s="126"/>
    </row>
    <row r="34" spans="2:15">
      <c r="D34" s="7" t="s">
        <v>404</v>
      </c>
      <c r="O34" s="126"/>
    </row>
    <row r="35" spans="2:15">
      <c r="D35" s="7" t="s">
        <v>462</v>
      </c>
      <c r="H35" s="11" t="s">
        <v>2547</v>
      </c>
      <c r="O35" s="126"/>
    </row>
    <row r="36" spans="2:15">
      <c r="D36" s="7" t="s">
        <v>464</v>
      </c>
      <c r="H36" s="11" t="s">
        <v>2546</v>
      </c>
      <c r="O36" s="126"/>
    </row>
    <row r="37" spans="2:15">
      <c r="D37" s="7" t="s">
        <v>466</v>
      </c>
    </row>
    <row r="38" spans="2:15">
      <c r="D38" s="7" t="s">
        <v>468</v>
      </c>
    </row>
    <row r="39" spans="2:15">
      <c r="D39" s="7" t="s">
        <v>477</v>
      </c>
    </row>
    <row r="40" spans="2:15">
      <c r="D40" s="11" t="s">
        <v>478</v>
      </c>
      <c r="H40" s="11" t="s">
        <v>2545</v>
      </c>
    </row>
    <row r="41" spans="2:15">
      <c r="D41" s="11" t="s">
        <v>482</v>
      </c>
    </row>
    <row r="42" spans="2:15">
      <c r="D42" s="11"/>
    </row>
    <row r="43" spans="2:15">
      <c r="B43" s="11" t="s">
        <v>2564</v>
      </c>
      <c r="D43" s="7" t="s">
        <v>457</v>
      </c>
      <c r="H43" s="11" t="s">
        <v>2548</v>
      </c>
    </row>
    <row r="44" spans="2:15">
      <c r="D44" s="7" t="s">
        <v>458</v>
      </c>
    </row>
    <row r="45" spans="2:15">
      <c r="D45" s="7" t="s">
        <v>472</v>
      </c>
    </row>
    <row r="46" spans="2:15">
      <c r="D46" s="11" t="s">
        <v>474</v>
      </c>
    </row>
    <row r="47" spans="2:15">
      <c r="D47" s="7" t="s">
        <v>475</v>
      </c>
    </row>
    <row r="49" spans="1:55">
      <c r="B49" s="11" t="s">
        <v>455</v>
      </c>
      <c r="D49" s="7" t="s">
        <v>403</v>
      </c>
      <c r="H49" s="11" t="s">
        <v>2549</v>
      </c>
    </row>
    <row r="50" spans="1:55">
      <c r="D50" s="7" t="s">
        <v>459</v>
      </c>
    </row>
    <row r="51" spans="1:55">
      <c r="D51" s="7" t="s">
        <v>460</v>
      </c>
    </row>
    <row r="52" spans="1:55">
      <c r="D52" s="7" t="s">
        <v>461</v>
      </c>
    </row>
    <row r="53" spans="1:55">
      <c r="D53" s="7" t="s">
        <v>463</v>
      </c>
    </row>
    <row r="54" spans="1:55">
      <c r="D54" s="7" t="s">
        <v>465</v>
      </c>
    </row>
    <row r="55" spans="1:55">
      <c r="D55" s="7" t="s">
        <v>467</v>
      </c>
    </row>
    <row r="56" spans="1:55">
      <c r="D56" s="7" t="s">
        <v>469</v>
      </c>
    </row>
    <row r="57" spans="1:55">
      <c r="D57" s="7" t="s">
        <v>470</v>
      </c>
    </row>
    <row r="58" spans="1:55">
      <c r="D58" s="7" t="s">
        <v>473</v>
      </c>
    </row>
    <row r="60" spans="1:55" s="2351" customFormat="1">
      <c r="A60" s="463" t="s">
        <v>1816</v>
      </c>
      <c r="BC60" s="2385"/>
    </row>
  </sheetData>
  <hyperlinks>
    <hyperlink ref="H29" location="'Bloom Cleaner Data'!AO3" display="Cf. here"/>
    <hyperlink ref="H30" location="'Bloom Cleaner Data'!EH3" display="'Bloom Cleaner Data'!EH3"/>
    <hyperlink ref="H31" location="'Bloom Cleaner Data'!FO3" display="Cf. here."/>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2" tint="-9.9978637043366805E-2"/>
  </sheetPr>
  <dimension ref="B1:S59"/>
  <sheetViews>
    <sheetView showGridLines="0" zoomScale="90" zoomScaleNormal="90" workbookViewId="0">
      <pane ySplit="2" topLeftCell="A3" activePane="bottomLeft" state="frozen"/>
      <selection pane="bottomLeft" activeCell="E50" sqref="E50"/>
    </sheetView>
  </sheetViews>
  <sheetFormatPr baseColWidth="10" defaultRowHeight="13.2"/>
  <cols>
    <col min="1" max="1" width="0.6640625" style="1306" customWidth="1"/>
    <col min="2" max="2" width="3.44140625" style="1306" customWidth="1"/>
    <col min="3" max="3" width="13" style="1306" customWidth="1"/>
    <col min="4" max="4" width="14" style="1306" customWidth="1"/>
    <col min="5" max="10" width="11.5546875" style="1306"/>
    <col min="11" max="11" width="12.109375" style="1306" customWidth="1"/>
    <col min="12" max="13" width="11.109375" style="1306" customWidth="1"/>
    <col min="14" max="16384" width="11.5546875" style="1306"/>
  </cols>
  <sheetData>
    <row r="1" spans="2:19" ht="3" customHeight="1"/>
    <row r="2" spans="2:19" ht="13.8" customHeight="1">
      <c r="B2" s="1307" t="s">
        <v>1195</v>
      </c>
      <c r="C2" s="1308"/>
      <c r="D2" s="1309" t="s">
        <v>1233</v>
      </c>
      <c r="E2" s="3720"/>
      <c r="F2" s="2476"/>
      <c r="G2" s="1317"/>
      <c r="H2" s="1317"/>
      <c r="I2" s="1317"/>
      <c r="J2" s="1317"/>
      <c r="K2" s="1317"/>
      <c r="L2" s="1317"/>
      <c r="M2" s="1317"/>
      <c r="N2" s="1317"/>
      <c r="O2" s="1310"/>
      <c r="P2" s="1310"/>
      <c r="Q2" s="1310"/>
      <c r="R2" s="1310"/>
      <c r="S2" s="1310"/>
    </row>
    <row r="3" spans="2:19">
      <c r="B3" s="1310"/>
      <c r="C3" s="1310"/>
      <c r="D3" s="1310"/>
      <c r="E3" s="1310"/>
      <c r="F3" s="1310"/>
      <c r="G3" s="1310"/>
      <c r="H3" s="1310"/>
      <c r="I3" s="1310"/>
      <c r="J3" s="1310"/>
      <c r="K3" s="1310"/>
      <c r="L3" s="1310"/>
      <c r="M3" s="1310"/>
      <c r="N3" s="1310"/>
      <c r="O3" s="1310"/>
      <c r="P3" s="1310"/>
      <c r="Q3" s="1310"/>
      <c r="R3" s="1310"/>
      <c r="S3" s="1310"/>
    </row>
    <row r="4" spans="2:19">
      <c r="B4" s="1310"/>
      <c r="C4" s="2135" t="s">
        <v>2623</v>
      </c>
      <c r="D4" s="2135"/>
      <c r="E4" s="2136"/>
      <c r="F4" s="2134"/>
      <c r="G4" s="2134"/>
      <c r="H4" s="2134"/>
      <c r="I4" s="2134"/>
      <c r="J4" s="2134"/>
      <c r="K4" s="2134"/>
      <c r="L4" s="2134"/>
      <c r="M4" s="2134"/>
      <c r="N4" s="2134"/>
      <c r="O4" s="1310"/>
      <c r="P4" s="1310"/>
      <c r="Q4" s="1310"/>
      <c r="R4" s="1310"/>
      <c r="S4" s="1310"/>
    </row>
    <row r="5" spans="2:19" s="3695" customFormat="1" ht="6.6" customHeight="1">
      <c r="B5" s="3694"/>
      <c r="C5" s="1312"/>
      <c r="D5" s="1312"/>
      <c r="E5" s="1312"/>
      <c r="F5" s="1312"/>
      <c r="G5" s="1312"/>
      <c r="H5" s="1312"/>
      <c r="I5" s="1312"/>
      <c r="J5" s="1312"/>
      <c r="K5" s="1312"/>
      <c r="L5" s="1312"/>
      <c r="M5" s="1312"/>
      <c r="N5" s="1312"/>
      <c r="O5" s="1312"/>
      <c r="P5" s="3694"/>
      <c r="Q5" s="3694"/>
      <c r="R5" s="3694"/>
      <c r="S5" s="3694"/>
    </row>
    <row r="6" spans="2:19" s="3695" customFormat="1">
      <c r="B6" s="3694"/>
      <c r="C6" s="1315" t="s">
        <v>2625</v>
      </c>
      <c r="D6" s="1312"/>
      <c r="E6" s="1312"/>
      <c r="F6" s="1312"/>
      <c r="G6" s="1312"/>
      <c r="H6" s="1312"/>
      <c r="I6" s="1312"/>
      <c r="J6" s="1312"/>
      <c r="K6" s="1312"/>
      <c r="L6" s="1312"/>
      <c r="M6" s="1312"/>
      <c r="N6" s="1312"/>
      <c r="O6" s="1312"/>
      <c r="P6" s="3694"/>
      <c r="Q6" s="3694"/>
      <c r="R6" s="3694"/>
      <c r="S6" s="3694"/>
    </row>
    <row r="7" spans="2:19" s="3695" customFormat="1">
      <c r="B7" s="3694"/>
      <c r="C7" s="3699" t="s">
        <v>2652</v>
      </c>
      <c r="D7" s="1312"/>
      <c r="E7" s="1312"/>
      <c r="F7" s="1312"/>
      <c r="G7" s="1312"/>
      <c r="H7" s="1312"/>
      <c r="I7" s="1312"/>
      <c r="J7" s="1312"/>
      <c r="K7" s="1312"/>
      <c r="L7" s="1312"/>
      <c r="M7" s="1312"/>
      <c r="N7" s="1312"/>
      <c r="O7" s="1312"/>
      <c r="P7" s="3694"/>
      <c r="Q7" s="3694"/>
      <c r="R7" s="3694"/>
      <c r="S7" s="3694"/>
    </row>
    <row r="8" spans="2:19" s="3695" customFormat="1">
      <c r="B8" s="3694"/>
      <c r="C8" s="3699" t="s">
        <v>2631</v>
      </c>
      <c r="D8" s="1312"/>
      <c r="E8" s="1312"/>
      <c r="F8" s="1312"/>
      <c r="G8" s="1312"/>
      <c r="H8" s="1312"/>
      <c r="I8" s="1312"/>
      <c r="J8" s="1312"/>
      <c r="K8" s="1312"/>
      <c r="L8" s="1312"/>
      <c r="M8" s="1312"/>
      <c r="N8" s="1312"/>
      <c r="O8" s="1312"/>
      <c r="P8" s="3694"/>
      <c r="Q8" s="3694"/>
      <c r="R8" s="3694"/>
      <c r="S8" s="3694"/>
    </row>
    <row r="9" spans="2:19" s="3695" customFormat="1">
      <c r="B9" s="3694"/>
      <c r="C9" s="3702" t="s">
        <v>2632</v>
      </c>
      <c r="D9" s="3702"/>
      <c r="E9" s="3702"/>
      <c r="F9" s="3702"/>
      <c r="G9" s="3702"/>
      <c r="H9" s="3702"/>
      <c r="I9" s="3702"/>
      <c r="J9" s="3702"/>
      <c r="K9" s="3702"/>
      <c r="L9" s="3694"/>
      <c r="M9" s="3701"/>
      <c r="N9" s="3701"/>
      <c r="O9" s="3701"/>
      <c r="P9" s="3715"/>
      <c r="Q9" s="3715"/>
      <c r="R9" s="3717" t="s">
        <v>2629</v>
      </c>
      <c r="S9" s="3694"/>
    </row>
    <row r="10" spans="2:19" s="3695" customFormat="1" ht="13.2" customHeight="1">
      <c r="B10" s="3694"/>
      <c r="C10" s="3703" t="s">
        <v>2626</v>
      </c>
      <c r="D10" s="3702"/>
      <c r="E10" s="3702"/>
      <c r="F10" s="3702"/>
      <c r="G10" s="3702"/>
      <c r="H10" s="3702"/>
      <c r="I10" s="3702"/>
      <c r="J10" s="3702"/>
      <c r="K10" s="3702"/>
      <c r="L10" s="3694"/>
      <c r="M10" s="3719" t="s">
        <v>2647</v>
      </c>
      <c r="N10" s="3719"/>
      <c r="O10" s="3719"/>
      <c r="P10" s="3719"/>
      <c r="Q10" s="3719"/>
      <c r="R10" s="3719"/>
      <c r="S10" s="3694"/>
    </row>
    <row r="11" spans="2:19" s="3695" customFormat="1">
      <c r="B11" s="3694"/>
      <c r="C11" s="3703" t="s">
        <v>2627</v>
      </c>
      <c r="D11" s="3702"/>
      <c r="E11" s="3702"/>
      <c r="F11" s="3702"/>
      <c r="G11" s="3702"/>
      <c r="H11" s="3702"/>
      <c r="I11" s="3702"/>
      <c r="J11" s="3702"/>
      <c r="K11" s="3702"/>
      <c r="L11" s="3718"/>
      <c r="M11" s="3719"/>
      <c r="N11" s="3719"/>
      <c r="O11" s="3719"/>
      <c r="P11" s="3719"/>
      <c r="Q11" s="3719"/>
      <c r="R11" s="3719"/>
      <c r="S11" s="3694"/>
    </row>
    <row r="12" spans="2:19" s="3695" customFormat="1" ht="5.4" customHeight="1">
      <c r="B12" s="3694"/>
      <c r="C12" s="3703"/>
      <c r="D12" s="3702"/>
      <c r="E12" s="3702"/>
      <c r="F12" s="3702"/>
      <c r="G12" s="3702"/>
      <c r="H12" s="3702"/>
      <c r="I12" s="3702"/>
      <c r="J12" s="3702"/>
      <c r="K12" s="3702"/>
      <c r="L12" s="3709"/>
      <c r="M12" s="3709"/>
      <c r="N12" s="3709"/>
      <c r="O12" s="3709"/>
      <c r="P12" s="3709"/>
      <c r="Q12" s="3709"/>
      <c r="R12" s="3709"/>
      <c r="S12" s="3694"/>
    </row>
    <row r="13" spans="2:19" s="3695" customFormat="1">
      <c r="B13" s="3694"/>
      <c r="C13" s="3702" t="s">
        <v>2628</v>
      </c>
      <c r="D13" s="3702"/>
      <c r="E13" s="3702"/>
      <c r="F13" s="3702"/>
      <c r="G13" s="3702"/>
      <c r="H13" s="3702"/>
      <c r="I13" s="3702"/>
      <c r="J13" s="3702"/>
      <c r="K13" s="3702"/>
      <c r="L13" s="1312"/>
      <c r="M13" s="1312"/>
      <c r="N13" s="1312"/>
      <c r="O13" s="1312"/>
      <c r="P13" s="3694"/>
      <c r="Q13" s="3694"/>
      <c r="R13" s="3694"/>
      <c r="S13" s="3694"/>
    </row>
    <row r="14" spans="2:19" s="3695" customFormat="1">
      <c r="B14" s="3694"/>
      <c r="C14" s="3699" t="s">
        <v>2653</v>
      </c>
      <c r="D14" s="3702"/>
      <c r="E14" s="3702"/>
      <c r="F14" s="3702"/>
      <c r="G14" s="3702"/>
      <c r="H14" s="3702"/>
      <c r="I14" s="3702"/>
      <c r="J14" s="3702"/>
      <c r="K14" s="3702"/>
      <c r="L14" s="1312"/>
      <c r="M14" s="1312"/>
      <c r="N14" s="1312"/>
      <c r="O14" s="1312"/>
      <c r="P14" s="3694"/>
      <c r="Q14" s="3694"/>
      <c r="R14" s="3694"/>
      <c r="S14" s="3694"/>
    </row>
    <row r="15" spans="2:19" s="3695" customFormat="1">
      <c r="B15" s="3694"/>
      <c r="C15" s="3704" t="s">
        <v>2635</v>
      </c>
      <c r="D15" s="3702"/>
      <c r="E15" s="3702"/>
      <c r="F15" s="3702"/>
      <c r="G15" s="3702"/>
      <c r="H15" s="3702"/>
      <c r="I15" s="3702"/>
      <c r="J15" s="3702"/>
      <c r="K15" s="3702"/>
      <c r="L15" s="3702"/>
      <c r="M15" s="3702"/>
      <c r="N15" s="3706" t="s">
        <v>2634</v>
      </c>
      <c r="O15" s="1312"/>
      <c r="P15" s="3694"/>
      <c r="Q15" s="3694"/>
      <c r="R15" s="3694"/>
      <c r="S15" s="3694"/>
    </row>
    <row r="16" spans="2:19" s="3695" customFormat="1">
      <c r="B16" s="3694"/>
      <c r="C16" s="3700" t="s">
        <v>2630</v>
      </c>
      <c r="D16" s="1312"/>
      <c r="E16" s="1312"/>
      <c r="F16" s="1312"/>
      <c r="G16" s="1312"/>
      <c r="H16" s="1312"/>
      <c r="I16" s="1312"/>
      <c r="J16" s="1312"/>
      <c r="K16" s="1312"/>
      <c r="L16" s="1312"/>
      <c r="M16" s="1312"/>
      <c r="N16" s="1312"/>
      <c r="O16" s="1312"/>
      <c r="P16" s="3694"/>
      <c r="Q16" s="3694"/>
      <c r="R16" s="3694"/>
      <c r="S16" s="3694"/>
    </row>
    <row r="17" spans="2:19" s="3695" customFormat="1">
      <c r="B17" s="3694"/>
      <c r="C17" s="3699" t="s">
        <v>2654</v>
      </c>
      <c r="D17" s="1312"/>
      <c r="E17" s="1312"/>
      <c r="F17" s="1312"/>
      <c r="G17" s="1312"/>
      <c r="H17" s="1312"/>
      <c r="I17" s="1312"/>
      <c r="J17" s="1312"/>
      <c r="K17" s="1312"/>
      <c r="L17" s="1312"/>
      <c r="M17" s="1312"/>
      <c r="N17" s="1312"/>
      <c r="O17" s="1312"/>
      <c r="P17" s="3694"/>
      <c r="Q17" s="3694"/>
      <c r="R17" s="3694"/>
      <c r="S17" s="3694"/>
    </row>
    <row r="18" spans="2:19" s="3695" customFormat="1">
      <c r="B18" s="3694"/>
      <c r="C18" s="1315" t="s">
        <v>2633</v>
      </c>
      <c r="D18" s="1312"/>
      <c r="E18" s="1312"/>
      <c r="F18" s="1312"/>
      <c r="G18" s="1312"/>
      <c r="H18" s="1312"/>
      <c r="I18" s="1312"/>
      <c r="J18" s="1312"/>
      <c r="K18" s="1312"/>
      <c r="L18" s="1312"/>
      <c r="M18" s="1312"/>
      <c r="N18" s="1312"/>
      <c r="O18" s="1312"/>
      <c r="P18" s="3694"/>
      <c r="Q18" s="3694"/>
      <c r="R18" s="3694"/>
      <c r="S18" s="3694"/>
    </row>
    <row r="19" spans="2:19" s="3695" customFormat="1" ht="13.2" customHeight="1">
      <c r="B19" s="3694"/>
      <c r="C19" s="1315"/>
      <c r="D19" s="1315"/>
      <c r="E19" s="1315"/>
      <c r="F19" s="1315"/>
      <c r="G19" s="1315"/>
      <c r="H19" s="1315"/>
      <c r="I19" s="1315"/>
      <c r="J19" s="1315"/>
      <c r="K19" s="1315"/>
      <c r="L19" s="1315"/>
      <c r="M19" s="1315"/>
      <c r="N19" s="1315"/>
      <c r="O19" s="1312"/>
      <c r="P19" s="3694"/>
      <c r="Q19" s="3694"/>
      <c r="R19" s="3694"/>
      <c r="S19" s="3694"/>
    </row>
    <row r="20" spans="2:19" s="3695" customFormat="1" ht="13.2" customHeight="1">
      <c r="B20" s="3694"/>
      <c r="C20" s="2135" t="s">
        <v>2662</v>
      </c>
      <c r="D20" s="2135"/>
      <c r="E20" s="2136"/>
      <c r="F20" s="2136"/>
      <c r="G20" s="2136"/>
      <c r="H20" s="2136"/>
      <c r="I20" s="2136"/>
      <c r="J20" s="2136"/>
      <c r="K20" s="2136"/>
      <c r="L20" s="2136"/>
      <c r="M20" s="2136"/>
      <c r="N20" s="2136"/>
      <c r="O20" s="1312"/>
      <c r="P20" s="3694"/>
      <c r="Q20" s="3694"/>
      <c r="R20" s="3694"/>
      <c r="S20" s="3694"/>
    </row>
    <row r="21" spans="2:19" s="3695" customFormat="1" ht="6.6" customHeight="1">
      <c r="B21" s="3694"/>
      <c r="C21" s="1312"/>
      <c r="D21" s="1312"/>
      <c r="E21" s="1312"/>
      <c r="F21" s="1312"/>
      <c r="G21" s="1312"/>
      <c r="H21" s="1312"/>
      <c r="I21" s="1312"/>
      <c r="J21" s="1312"/>
      <c r="K21" s="1312"/>
      <c r="L21" s="1312"/>
      <c r="M21" s="1312"/>
      <c r="N21" s="1312"/>
      <c r="O21" s="1312"/>
      <c r="P21" s="3694"/>
      <c r="Q21" s="3694"/>
      <c r="R21" s="3694"/>
      <c r="S21" s="3694"/>
    </row>
    <row r="22" spans="2:19" s="3695" customFormat="1" ht="13.2" customHeight="1">
      <c r="B22" s="3694"/>
      <c r="C22" s="3708" t="s">
        <v>2655</v>
      </c>
      <c r="D22" s="3708"/>
      <c r="E22" s="3708"/>
      <c r="F22" s="3708"/>
      <c r="G22" s="3708"/>
      <c r="H22" s="3708"/>
      <c r="I22" s="3708"/>
      <c r="J22" s="3708"/>
      <c r="K22" s="3708"/>
      <c r="L22" s="3708"/>
      <c r="M22" s="3708"/>
      <c r="N22" s="3708"/>
      <c r="O22" s="3708"/>
      <c r="P22" s="3708"/>
      <c r="Q22" s="3708"/>
      <c r="R22" s="3708"/>
      <c r="S22" s="3694"/>
    </row>
    <row r="23" spans="2:19" s="3695" customFormat="1" ht="13.2" customHeight="1">
      <c r="B23" s="3694"/>
      <c r="C23" s="3708"/>
      <c r="D23" s="3708"/>
      <c r="E23" s="3708"/>
      <c r="F23" s="3708"/>
      <c r="G23" s="3708"/>
      <c r="H23" s="3708"/>
      <c r="I23" s="3708"/>
      <c r="J23" s="3708"/>
      <c r="K23" s="3708"/>
      <c r="L23" s="3708"/>
      <c r="M23" s="3708"/>
      <c r="N23" s="3708"/>
      <c r="O23" s="3708"/>
      <c r="P23" s="3708"/>
      <c r="Q23" s="3708"/>
      <c r="R23" s="3708"/>
      <c r="S23" s="3694"/>
    </row>
    <row r="24" spans="2:19" s="3695" customFormat="1">
      <c r="B24" s="3694"/>
      <c r="C24" s="3696" t="s">
        <v>1840</v>
      </c>
      <c r="D24" s="3696"/>
      <c r="E24" s="3696"/>
      <c r="F24" s="3696"/>
      <c r="G24" s="3696"/>
      <c r="H24" s="3696"/>
      <c r="I24" s="3696"/>
      <c r="J24" s="3696"/>
      <c r="K24" s="3696"/>
      <c r="L24" s="3696"/>
      <c r="M24" s="3696"/>
      <c r="N24" s="3696"/>
      <c r="O24" s="3696"/>
      <c r="P24" s="3696"/>
      <c r="Q24" s="3696"/>
      <c r="R24" s="3696"/>
      <c r="S24" s="3694"/>
    </row>
    <row r="25" spans="2:19" s="3695" customFormat="1">
      <c r="B25" s="3694"/>
      <c r="C25" s="3696"/>
      <c r="D25" s="3696"/>
      <c r="E25" s="3696"/>
      <c r="F25" s="3696"/>
      <c r="G25" s="3696"/>
      <c r="H25" s="3696"/>
      <c r="I25" s="3696"/>
      <c r="J25" s="3696"/>
      <c r="K25" s="3696"/>
      <c r="L25" s="3696"/>
      <c r="M25" s="3696"/>
      <c r="N25" s="3696"/>
      <c r="O25" s="3696"/>
      <c r="P25" s="3696"/>
      <c r="Q25" s="3696"/>
      <c r="R25" s="3696"/>
      <c r="S25" s="3694"/>
    </row>
    <row r="26" spans="2:19" s="3695" customFormat="1" ht="5.4" customHeight="1">
      <c r="B26" s="3694"/>
      <c r="C26" s="3707"/>
      <c r="D26" s="3707"/>
      <c r="E26" s="3707"/>
      <c r="F26" s="3707"/>
      <c r="G26" s="3707"/>
      <c r="H26" s="3707"/>
      <c r="I26" s="3707"/>
      <c r="J26" s="3707"/>
      <c r="K26" s="3707"/>
      <c r="L26" s="3707"/>
      <c r="M26" s="3707"/>
      <c r="N26" s="3707"/>
      <c r="O26" s="3707"/>
      <c r="P26" s="3707"/>
      <c r="Q26" s="3707"/>
      <c r="R26" s="3707"/>
      <c r="S26" s="3694"/>
    </row>
    <row r="27" spans="2:19" s="3695" customFormat="1">
      <c r="B27" s="3694"/>
      <c r="C27" s="1312" t="s">
        <v>2636</v>
      </c>
      <c r="D27" s="3707"/>
      <c r="E27" s="3707"/>
      <c r="F27" s="3707"/>
      <c r="G27" s="3707"/>
      <c r="H27" s="3707"/>
      <c r="I27" s="3707"/>
      <c r="J27" s="3707"/>
      <c r="K27" s="3707"/>
      <c r="L27" s="3694"/>
      <c r="M27" s="3694"/>
      <c r="N27" s="3707"/>
      <c r="O27" s="3707"/>
      <c r="P27" s="3714"/>
      <c r="Q27" s="3715"/>
      <c r="R27" s="3716" t="s">
        <v>2643</v>
      </c>
      <c r="S27" s="3694"/>
    </row>
    <row r="28" spans="2:19" s="3695" customFormat="1">
      <c r="B28" s="3694"/>
      <c r="C28" s="3710" t="s">
        <v>2637</v>
      </c>
      <c r="D28" s="3707"/>
      <c r="E28" s="3707"/>
      <c r="F28" s="3707"/>
      <c r="G28" s="3707"/>
      <c r="H28" s="3707"/>
      <c r="I28" s="3707"/>
      <c r="J28" s="3707"/>
      <c r="K28" s="3707"/>
      <c r="L28" s="3707"/>
      <c r="M28" s="3707"/>
      <c r="N28" s="3707"/>
      <c r="O28" s="3707"/>
      <c r="P28" s="3715"/>
      <c r="Q28" s="3717"/>
      <c r="R28" s="3717" t="s">
        <v>2638</v>
      </c>
      <c r="S28" s="3694"/>
    </row>
    <row r="29" spans="2:19" s="3695" customFormat="1">
      <c r="B29" s="3694"/>
      <c r="C29" s="3699" t="s">
        <v>2656</v>
      </c>
      <c r="D29" s="1312"/>
      <c r="E29" s="1312"/>
      <c r="F29" s="1312"/>
      <c r="G29" s="1312"/>
      <c r="H29" s="1312"/>
      <c r="I29" s="1312"/>
      <c r="J29" s="1312"/>
      <c r="K29" s="1312"/>
      <c r="L29" s="1312"/>
      <c r="M29" s="1312"/>
      <c r="N29" s="1312"/>
      <c r="O29" s="1312"/>
      <c r="P29" s="3717"/>
      <c r="Q29" s="3717"/>
      <c r="R29" s="3717" t="s">
        <v>2639</v>
      </c>
      <c r="S29" s="3694"/>
    </row>
    <row r="30" spans="2:19" s="3695" customFormat="1">
      <c r="B30" s="3694"/>
      <c r="C30" s="1312" t="s">
        <v>2640</v>
      </c>
      <c r="D30" s="1312"/>
      <c r="E30" s="1312"/>
      <c r="F30" s="1312"/>
      <c r="G30" s="1312"/>
      <c r="H30" s="1312"/>
      <c r="I30" s="3694"/>
      <c r="J30" s="3694"/>
      <c r="K30" s="1312"/>
      <c r="L30" s="1312"/>
      <c r="M30" s="1312"/>
      <c r="N30" s="1312"/>
      <c r="O30" s="1312"/>
      <c r="P30" s="3694"/>
      <c r="Q30" s="3694"/>
      <c r="R30" s="3694"/>
      <c r="S30" s="3694"/>
    </row>
    <row r="31" spans="2:19" s="3695" customFormat="1">
      <c r="B31" s="3694"/>
      <c r="C31" s="1312"/>
      <c r="D31" s="1312"/>
      <c r="E31" s="1312"/>
      <c r="F31" s="1312"/>
      <c r="G31" s="1312"/>
      <c r="H31" s="1312"/>
      <c r="I31" s="1312"/>
      <c r="J31" s="1312"/>
      <c r="K31" s="1312"/>
      <c r="L31" s="1312"/>
      <c r="M31" s="1312"/>
      <c r="N31" s="1312"/>
      <c r="O31" s="1312"/>
      <c r="P31" s="3694"/>
      <c r="Q31" s="3694"/>
      <c r="R31" s="3694"/>
      <c r="S31" s="3694"/>
    </row>
    <row r="32" spans="2:19" s="3695" customFormat="1" ht="13.2" customHeight="1">
      <c r="B32" s="3694"/>
      <c r="C32" s="2135" t="s">
        <v>1196</v>
      </c>
      <c r="D32" s="2135"/>
      <c r="E32" s="2136"/>
      <c r="F32" s="1312"/>
      <c r="G32" s="1312"/>
      <c r="H32" s="1312"/>
      <c r="I32" s="1312"/>
      <c r="J32" s="1312"/>
      <c r="K32" s="1312"/>
      <c r="L32" s="1312"/>
      <c r="M32" s="1312"/>
      <c r="N32" s="1312"/>
      <c r="O32" s="1312"/>
      <c r="P32" s="3694"/>
      <c r="Q32" s="3694"/>
      <c r="R32" s="3694"/>
      <c r="S32" s="3694"/>
    </row>
    <row r="33" spans="2:19" s="3695" customFormat="1" ht="6.6" customHeight="1">
      <c r="B33" s="3694"/>
      <c r="C33" s="1312"/>
      <c r="D33" s="1312"/>
      <c r="E33" s="1312"/>
      <c r="F33" s="1312"/>
      <c r="G33" s="1312"/>
      <c r="H33" s="1312"/>
      <c r="I33" s="1312"/>
      <c r="J33" s="1312"/>
      <c r="K33" s="1312"/>
      <c r="L33" s="1312"/>
      <c r="M33" s="1312"/>
      <c r="N33" s="1312"/>
      <c r="O33" s="1312"/>
      <c r="P33" s="3694"/>
      <c r="Q33" s="3694"/>
      <c r="R33" s="3694"/>
      <c r="S33" s="3694"/>
    </row>
    <row r="34" spans="2:19" s="3695" customFormat="1">
      <c r="B34" s="3694"/>
      <c r="C34" s="3699" t="s">
        <v>2657</v>
      </c>
      <c r="D34" s="1312"/>
      <c r="E34" s="1312"/>
      <c r="F34" s="1312"/>
      <c r="G34" s="1312"/>
      <c r="H34" s="1312"/>
      <c r="I34" s="1312"/>
      <c r="J34" s="1312"/>
      <c r="K34" s="1312"/>
      <c r="L34" s="1312"/>
      <c r="M34" s="1312"/>
      <c r="N34" s="1312"/>
      <c r="O34" s="3694"/>
      <c r="P34" s="3715"/>
      <c r="Q34" s="3715"/>
      <c r="R34" s="3717" t="s">
        <v>2644</v>
      </c>
      <c r="S34" s="3694"/>
    </row>
    <row r="35" spans="2:19" s="3695" customFormat="1">
      <c r="B35" s="3694"/>
      <c r="C35" s="3723" t="s">
        <v>2658</v>
      </c>
      <c r="D35" s="1312"/>
      <c r="E35" s="1312"/>
      <c r="F35" s="1312"/>
      <c r="G35" s="1312"/>
      <c r="H35" s="1312"/>
      <c r="I35" s="1312"/>
      <c r="J35" s="1312"/>
      <c r="K35" s="1312"/>
      <c r="L35" s="1312"/>
      <c r="M35" s="3713" t="s">
        <v>2642</v>
      </c>
      <c r="N35" s="1312"/>
      <c r="O35" s="1312"/>
      <c r="P35" s="3715"/>
      <c r="Q35" s="3715"/>
      <c r="R35" s="3717" t="s">
        <v>2641</v>
      </c>
      <c r="S35" s="3694"/>
    </row>
    <row r="36" spans="2:19" s="3695" customFormat="1">
      <c r="B36" s="3694"/>
      <c r="C36" s="3724" t="s">
        <v>2646</v>
      </c>
      <c r="D36" s="3702"/>
      <c r="E36" s="3702"/>
      <c r="F36" s="3705"/>
      <c r="G36" s="3702"/>
      <c r="H36" s="3702"/>
      <c r="I36" s="3702"/>
      <c r="J36" s="3702"/>
      <c r="K36" s="3702"/>
      <c r="L36" s="3702"/>
      <c r="M36" s="3713"/>
      <c r="N36" s="1312"/>
      <c r="O36" s="1312"/>
      <c r="P36" s="3694"/>
      <c r="Q36" s="3711"/>
      <c r="R36" s="3717" t="s">
        <v>2659</v>
      </c>
      <c r="S36" s="3694"/>
    </row>
    <row r="37" spans="2:19" s="3695" customFormat="1">
      <c r="B37" s="3694"/>
      <c r="C37" s="3724" t="s">
        <v>2645</v>
      </c>
      <c r="D37" s="3702"/>
      <c r="E37" s="3702"/>
      <c r="F37" s="3702"/>
      <c r="G37" s="3702"/>
      <c r="H37" s="3702"/>
      <c r="I37" s="3702"/>
      <c r="J37" s="3702"/>
      <c r="K37" s="3702"/>
      <c r="L37" s="3702"/>
      <c r="M37" s="3713"/>
      <c r="N37" s="1312"/>
      <c r="O37" s="1312"/>
      <c r="P37" s="3694"/>
      <c r="Q37" s="3711"/>
      <c r="R37" s="3712"/>
      <c r="S37" s="3694"/>
    </row>
    <row r="38" spans="2:19" s="3695" customFormat="1">
      <c r="B38" s="3697"/>
      <c r="C38" s="3694"/>
      <c r="D38" s="1316"/>
      <c r="E38" s="1316"/>
      <c r="F38" s="1316"/>
      <c r="G38" s="1316"/>
      <c r="H38" s="1316"/>
      <c r="I38" s="1316"/>
      <c r="J38" s="1316"/>
      <c r="K38" s="1316"/>
      <c r="L38" s="1316"/>
      <c r="M38" s="3694"/>
      <c r="N38" s="1316"/>
      <c r="O38" s="1316"/>
      <c r="P38" s="3694"/>
      <c r="Q38" s="3694"/>
      <c r="R38" s="3694"/>
      <c r="S38" s="3694"/>
    </row>
    <row r="39" spans="2:19" s="3695" customFormat="1">
      <c r="B39" s="3694"/>
      <c r="C39" s="2135" t="s">
        <v>2648</v>
      </c>
      <c r="D39" s="2135"/>
      <c r="E39" s="2136"/>
      <c r="F39" s="1312"/>
      <c r="G39" s="1312"/>
      <c r="H39" s="1312"/>
      <c r="I39" s="1312"/>
      <c r="J39" s="1312"/>
      <c r="K39" s="1312"/>
      <c r="L39" s="1312"/>
      <c r="M39" s="1312"/>
      <c r="N39" s="1312"/>
      <c r="O39" s="1312"/>
      <c r="P39" s="3694"/>
      <c r="Q39" s="3694"/>
      <c r="R39" s="3694"/>
      <c r="S39" s="3694"/>
    </row>
    <row r="40" spans="2:19" s="3695" customFormat="1" ht="6.6" customHeight="1">
      <c r="B40" s="3694"/>
      <c r="C40" s="1312"/>
      <c r="D40" s="1312"/>
      <c r="E40" s="1312"/>
      <c r="F40" s="1312"/>
      <c r="G40" s="1312"/>
      <c r="H40" s="1312"/>
      <c r="I40" s="1312"/>
      <c r="J40" s="1312"/>
      <c r="K40" s="1312"/>
      <c r="L40" s="1312"/>
      <c r="M40" s="1312"/>
      <c r="N40" s="1312"/>
      <c r="O40" s="1312"/>
      <c r="P40" s="3694"/>
      <c r="Q40" s="3694"/>
      <c r="R40" s="3694"/>
      <c r="S40" s="3694"/>
    </row>
    <row r="41" spans="2:19" s="3695" customFormat="1">
      <c r="B41" s="3694"/>
      <c r="C41" s="1312" t="s">
        <v>2660</v>
      </c>
      <c r="D41" s="1312"/>
      <c r="E41" s="1312"/>
      <c r="F41" s="1312"/>
      <c r="G41" s="1312"/>
      <c r="H41" s="1312"/>
      <c r="I41" s="1312"/>
      <c r="J41" s="1312"/>
      <c r="K41" s="1312"/>
      <c r="L41" s="1312"/>
      <c r="M41" s="1312"/>
      <c r="N41" s="3694"/>
      <c r="O41" s="1312"/>
      <c r="P41" s="1312"/>
      <c r="Q41" s="3694"/>
      <c r="R41" s="3694"/>
      <c r="S41" s="3694"/>
    </row>
    <row r="42" spans="2:19" s="3695" customFormat="1" ht="13.2" customHeight="1">
      <c r="B42" s="3694"/>
      <c r="C42" s="3708" t="s">
        <v>2661</v>
      </c>
      <c r="D42" s="3708"/>
      <c r="E42" s="3708"/>
      <c r="F42" s="3708"/>
      <c r="G42" s="3708"/>
      <c r="H42" s="3708"/>
      <c r="I42" s="3708"/>
      <c r="J42" s="3708"/>
      <c r="K42" s="3708"/>
      <c r="L42" s="3708"/>
      <c r="M42" s="3708"/>
      <c r="N42" s="3708"/>
      <c r="O42" s="3708"/>
      <c r="P42" s="3708"/>
      <c r="Q42" s="3708"/>
      <c r="R42" s="3708"/>
      <c r="S42" s="3694"/>
    </row>
    <row r="43" spans="2:19" s="3695" customFormat="1">
      <c r="B43" s="3694"/>
      <c r="C43" s="3708"/>
      <c r="D43" s="3708"/>
      <c r="E43" s="3708"/>
      <c r="F43" s="3708"/>
      <c r="G43" s="3708"/>
      <c r="H43" s="3708"/>
      <c r="I43" s="3708"/>
      <c r="J43" s="3708"/>
      <c r="K43" s="3708"/>
      <c r="L43" s="3708"/>
      <c r="M43" s="3708"/>
      <c r="N43" s="3708"/>
      <c r="O43" s="3708"/>
      <c r="P43" s="3708"/>
      <c r="Q43" s="3708"/>
      <c r="R43" s="3708"/>
      <c r="S43" s="3694"/>
    </row>
    <row r="44" spans="2:19" s="3695" customFormat="1" ht="6.6" customHeight="1">
      <c r="B44" s="3694"/>
      <c r="C44" s="3721"/>
      <c r="D44" s="3721"/>
      <c r="E44" s="3721"/>
      <c r="F44" s="3721"/>
      <c r="G44" s="3721"/>
      <c r="H44" s="3721"/>
      <c r="I44" s="3721"/>
      <c r="J44" s="3721"/>
      <c r="K44" s="3721"/>
      <c r="L44" s="3721"/>
      <c r="M44" s="3721"/>
      <c r="N44" s="3721"/>
      <c r="O44" s="3721"/>
      <c r="P44" s="3721"/>
      <c r="Q44" s="3721"/>
      <c r="R44" s="3721"/>
      <c r="S44" s="3694"/>
    </row>
    <row r="45" spans="2:19" s="3695" customFormat="1" ht="13.2" customHeight="1">
      <c r="B45" s="3694"/>
      <c r="C45" s="1315" t="s">
        <v>1841</v>
      </c>
      <c r="D45" s="1315"/>
      <c r="E45" s="1315"/>
      <c r="F45" s="1315"/>
      <c r="G45" s="1315"/>
      <c r="H45" s="1315"/>
      <c r="I45" s="1315"/>
      <c r="J45" s="1315"/>
      <c r="K45" s="1315"/>
      <c r="L45" s="1315"/>
      <c r="M45" s="1315"/>
      <c r="N45" s="1315"/>
      <c r="O45" s="1315"/>
      <c r="P45" s="1315"/>
      <c r="Q45" s="1315"/>
      <c r="R45" s="1315"/>
      <c r="S45" s="3694"/>
    </row>
    <row r="46" spans="2:19" s="3695" customFormat="1">
      <c r="B46" s="3694"/>
      <c r="C46" s="3699" t="s">
        <v>2649</v>
      </c>
      <c r="D46" s="1315"/>
      <c r="E46" s="1315"/>
      <c r="F46" s="1315"/>
      <c r="G46" s="1315"/>
      <c r="H46" s="1315"/>
      <c r="I46" s="1315"/>
      <c r="J46" s="1315"/>
      <c r="K46" s="1315"/>
      <c r="L46" s="1315"/>
      <c r="M46" s="1315"/>
      <c r="N46" s="1315"/>
      <c r="O46" s="1315"/>
      <c r="P46" s="1315"/>
      <c r="Q46" s="1315"/>
      <c r="R46" s="1315"/>
      <c r="S46" s="3694"/>
    </row>
    <row r="47" spans="2:19" s="3695" customFormat="1" ht="13.2" customHeight="1">
      <c r="B47" s="3694"/>
      <c r="C47" s="3699" t="s">
        <v>2650</v>
      </c>
      <c r="D47" s="3698"/>
      <c r="E47" s="3698"/>
      <c r="F47" s="3698"/>
      <c r="G47" s="3698"/>
      <c r="H47" s="3698"/>
      <c r="I47" s="3698"/>
      <c r="J47" s="3698"/>
      <c r="K47" s="3698"/>
      <c r="L47" s="3698"/>
      <c r="M47" s="3698"/>
      <c r="N47" s="3698"/>
      <c r="O47" s="3698"/>
      <c r="P47" s="3698"/>
      <c r="Q47" s="3698"/>
      <c r="R47" s="3698"/>
      <c r="S47" s="3694"/>
    </row>
    <row r="48" spans="2:19" s="3695" customFormat="1">
      <c r="B48" s="3694"/>
      <c r="C48" s="3722" t="s">
        <v>2651</v>
      </c>
      <c r="D48" s="3722"/>
      <c r="E48" s="3722"/>
      <c r="F48" s="3722"/>
      <c r="G48" s="3722"/>
      <c r="H48" s="3722"/>
      <c r="I48" s="3722"/>
      <c r="J48" s="3722"/>
      <c r="K48" s="3722"/>
      <c r="L48" s="3722"/>
      <c r="M48" s="3722"/>
      <c r="N48" s="3722"/>
      <c r="O48" s="3722"/>
      <c r="P48" s="3722"/>
      <c r="Q48" s="3722"/>
      <c r="R48" s="3722"/>
      <c r="S48" s="3694"/>
    </row>
    <row r="49" spans="2:19" s="3695" customFormat="1">
      <c r="B49" s="3694"/>
      <c r="C49" s="3722"/>
      <c r="D49" s="3722"/>
      <c r="E49" s="3722"/>
      <c r="F49" s="3722"/>
      <c r="G49" s="3722"/>
      <c r="H49" s="3722"/>
      <c r="I49" s="3722"/>
      <c r="J49" s="3722"/>
      <c r="K49" s="3722"/>
      <c r="L49" s="3722"/>
      <c r="M49" s="3722"/>
      <c r="N49" s="3722"/>
      <c r="O49" s="3722"/>
      <c r="P49" s="3722"/>
      <c r="Q49" s="3722"/>
      <c r="R49" s="3722"/>
      <c r="S49" s="3694"/>
    </row>
    <row r="50" spans="2:19" s="3695" customFormat="1">
      <c r="B50" s="3694"/>
      <c r="C50" s="1312"/>
      <c r="D50" s="1312"/>
      <c r="E50" s="1312"/>
      <c r="F50" s="1312"/>
      <c r="G50" s="1312"/>
      <c r="H50" s="1312"/>
      <c r="I50" s="1312"/>
      <c r="J50" s="1312"/>
      <c r="K50" s="1312"/>
      <c r="L50" s="1312"/>
      <c r="M50" s="1312"/>
      <c r="N50" s="1312"/>
      <c r="O50" s="1312"/>
      <c r="P50" s="3694"/>
      <c r="Q50" s="3694"/>
      <c r="R50" s="3694"/>
      <c r="S50" s="3694"/>
    </row>
    <row r="51" spans="2:19">
      <c r="B51" s="1310"/>
      <c r="C51" s="1793" t="s">
        <v>1525</v>
      </c>
      <c r="D51" s="1793"/>
      <c r="E51" s="1312"/>
      <c r="F51" s="1312"/>
      <c r="G51" s="1312"/>
      <c r="H51" s="1312"/>
      <c r="I51" s="1312"/>
      <c r="J51" s="1312"/>
      <c r="K51" s="1312"/>
      <c r="L51" s="1312"/>
      <c r="M51" s="1312"/>
      <c r="N51" s="1312"/>
      <c r="O51" s="1314"/>
      <c r="P51" s="1310"/>
      <c r="Q51" s="1310"/>
      <c r="R51" s="1310"/>
      <c r="S51" s="1310"/>
    </row>
    <row r="52" spans="2:19" ht="6.6" customHeight="1">
      <c r="B52" s="1310"/>
      <c r="C52" s="1312"/>
      <c r="D52" s="1314"/>
      <c r="E52" s="1314"/>
      <c r="F52" s="1314"/>
      <c r="G52" s="1314"/>
      <c r="H52" s="1314"/>
      <c r="I52" s="1314"/>
      <c r="J52" s="1314"/>
      <c r="K52" s="1314"/>
      <c r="L52" s="1314"/>
      <c r="M52" s="1314"/>
      <c r="N52" s="1314"/>
      <c r="O52" s="1314"/>
      <c r="P52" s="1310"/>
      <c r="Q52" s="1310"/>
      <c r="R52" s="1310"/>
      <c r="S52" s="1310"/>
    </row>
    <row r="53" spans="2:19">
      <c r="B53" s="1310"/>
      <c r="C53" s="1924"/>
      <c r="D53" s="1924"/>
      <c r="E53" s="1924"/>
      <c r="F53" s="1924"/>
      <c r="G53" s="1924"/>
      <c r="H53" s="1924"/>
      <c r="I53" s="1924"/>
      <c r="J53" s="1924"/>
      <c r="K53" s="1924"/>
      <c r="L53" s="1924"/>
      <c r="M53" s="1924"/>
      <c r="N53" s="1924"/>
      <c r="O53" s="2132"/>
      <c r="P53" s="2133"/>
      <c r="Q53" s="2133"/>
      <c r="R53" s="2133"/>
      <c r="S53" s="1310"/>
    </row>
    <row r="54" spans="2:19">
      <c r="B54" s="1310"/>
      <c r="C54" s="1924"/>
      <c r="D54" s="1924"/>
      <c r="E54" s="1924"/>
      <c r="F54" s="1924"/>
      <c r="G54" s="1924"/>
      <c r="H54" s="1924"/>
      <c r="I54" s="1924"/>
      <c r="J54" s="1924"/>
      <c r="K54" s="1924"/>
      <c r="L54" s="1924"/>
      <c r="M54" s="1924"/>
      <c r="N54" s="1924"/>
      <c r="O54" s="2132"/>
      <c r="P54" s="2133"/>
      <c r="Q54" s="2133"/>
      <c r="R54" s="2133"/>
      <c r="S54" s="1310"/>
    </row>
    <row r="55" spans="2:19">
      <c r="B55" s="1310"/>
      <c r="C55" s="1924"/>
      <c r="D55" s="1924"/>
      <c r="E55" s="1924"/>
      <c r="F55" s="1924"/>
      <c r="G55" s="1924"/>
      <c r="H55" s="1924"/>
      <c r="I55" s="1924"/>
      <c r="J55" s="1924"/>
      <c r="K55" s="1924"/>
      <c r="L55" s="1924"/>
      <c r="M55" s="1924"/>
      <c r="N55" s="1924"/>
      <c r="O55" s="2132"/>
      <c r="P55" s="2133"/>
      <c r="Q55" s="2133"/>
      <c r="R55" s="2133"/>
      <c r="S55" s="1310"/>
    </row>
    <row r="56" spans="2:19">
      <c r="B56" s="1310"/>
      <c r="C56" s="1924"/>
      <c r="D56" s="1924"/>
      <c r="E56" s="1924"/>
      <c r="F56" s="1924"/>
      <c r="G56" s="1924"/>
      <c r="H56" s="1924"/>
      <c r="I56" s="1924"/>
      <c r="J56" s="1924"/>
      <c r="K56" s="1924"/>
      <c r="L56" s="1924"/>
      <c r="M56" s="1924"/>
      <c r="N56" s="1924"/>
      <c r="O56" s="2132"/>
      <c r="P56" s="2133"/>
      <c r="Q56" s="2133"/>
      <c r="R56" s="2133"/>
      <c r="S56" s="1310"/>
    </row>
    <row r="57" spans="2:19" ht="13.2" customHeight="1">
      <c r="B57" s="1310"/>
      <c r="C57" s="1925"/>
      <c r="D57" s="1925"/>
      <c r="E57" s="1925"/>
      <c r="F57" s="1925"/>
      <c r="G57" s="1925"/>
      <c r="H57" s="1925"/>
      <c r="I57" s="1925"/>
      <c r="J57" s="1925"/>
      <c r="K57" s="1925"/>
      <c r="L57" s="1925"/>
      <c r="M57" s="1925"/>
      <c r="N57" s="1925"/>
      <c r="O57" s="2132"/>
      <c r="P57" s="2133"/>
      <c r="Q57" s="2133"/>
      <c r="R57" s="2133"/>
      <c r="S57" s="1310"/>
    </row>
    <row r="58" spans="2:19" ht="13.2" customHeight="1">
      <c r="B58" s="1310"/>
      <c r="C58" s="1313"/>
      <c r="D58" s="1312"/>
      <c r="E58" s="1311"/>
      <c r="F58" s="1312"/>
      <c r="G58" s="1312"/>
      <c r="H58" s="1312"/>
      <c r="I58" s="1312"/>
      <c r="J58" s="1312"/>
      <c r="K58" s="1312"/>
      <c r="L58" s="1312"/>
      <c r="M58" s="1312"/>
      <c r="N58" s="1312"/>
      <c r="O58" s="1314"/>
      <c r="P58" s="1310"/>
      <c r="Q58" s="1310"/>
      <c r="R58" s="1310"/>
      <c r="S58" s="1310"/>
    </row>
    <row r="59" spans="2:19" ht="5.4" customHeight="1">
      <c r="B59" s="1310"/>
      <c r="C59" s="1310"/>
      <c r="D59" s="1310"/>
      <c r="E59" s="1310"/>
      <c r="F59" s="1310"/>
      <c r="G59" s="1310"/>
      <c r="H59" s="1310"/>
      <c r="I59" s="1310"/>
      <c r="J59" s="1310"/>
      <c r="K59" s="1310"/>
      <c r="L59" s="1310"/>
      <c r="M59" s="1310"/>
      <c r="N59" s="1310"/>
      <c r="O59" s="1310"/>
      <c r="P59" s="1310"/>
      <c r="Q59" s="1310"/>
      <c r="R59" s="1310"/>
      <c r="S59" s="1310"/>
    </row>
  </sheetData>
  <mergeCells count="5">
    <mergeCell ref="M10:R11"/>
    <mergeCell ref="C48:R49"/>
    <mergeCell ref="C24:R25"/>
    <mergeCell ref="C42:R43"/>
    <mergeCell ref="C22:R23"/>
  </mergeCells>
  <hyperlinks>
    <hyperlink ref="N15" r:id="rId1" display="Damodaran's spreadsheets"/>
    <hyperlink ref="R27" r:id="rId2" display="for Capital Leases.)"/>
    <hyperlink ref="R34" r:id="rId3" display=" D's Market value only 7% lower in this example"/>
    <hyperlink ref="M35" location="'OPERATING LEASES'!AR28" display="present case, and with low interest rates."/>
    <hyperlink ref="R36" r:id="rId4" display="Brattle for ACM 2012 p.32-34."/>
  </hyperlinks>
  <pageMargins left="0.7" right="0.7" top="0.75" bottom="0.75" header="0.3" footer="0.3"/>
  <pageSetup paperSize="9" orientation="portrait" r:id="rId5"/>
  <legacyDrawing r:id="rId6"/>
</worksheet>
</file>

<file path=xl/worksheets/sheet3.xml><?xml version="1.0" encoding="utf-8"?>
<worksheet xmlns="http://schemas.openxmlformats.org/spreadsheetml/2006/main" xmlns:r="http://schemas.openxmlformats.org/officeDocument/2006/relationships">
  <sheetPr>
    <tabColor rgb="FFFFC000"/>
  </sheetPr>
  <dimension ref="A1:AV464"/>
  <sheetViews>
    <sheetView showGridLines="0" zoomScale="90" zoomScaleNormal="90" workbookViewId="0">
      <pane xSplit="2" ySplit="1" topLeftCell="C2" activePane="bottomRight" state="frozen"/>
      <selection activeCell="Y323" sqref="Y323"/>
      <selection pane="topRight" activeCell="Y323" sqref="Y323"/>
      <selection pane="bottomLeft" activeCell="Y323" sqref="Y323"/>
      <selection pane="bottomRight" activeCell="I102" sqref="I102"/>
    </sheetView>
  </sheetViews>
  <sheetFormatPr baseColWidth="10" defaultRowHeight="13.2"/>
  <cols>
    <col min="1" max="1" width="11.5546875" style="670"/>
    <col min="2" max="2" width="12.88671875" style="1424" customWidth="1"/>
    <col min="3" max="3" width="3.109375" style="1939" customWidth="1"/>
    <col min="4" max="4" width="9.109375" style="153" customWidth="1"/>
    <col min="5" max="5" width="9.5546875" style="153" customWidth="1"/>
    <col min="6" max="6" width="9" style="153" customWidth="1"/>
    <col min="7" max="7" width="9.21875" style="153" customWidth="1"/>
    <col min="8" max="8" width="9.33203125" style="153" customWidth="1"/>
    <col min="9" max="9" width="90.109375" style="162" customWidth="1"/>
    <col min="10" max="10" width="11.77734375" style="162" customWidth="1"/>
    <col min="11" max="11" width="11.77734375" style="165" customWidth="1"/>
    <col min="12" max="12" width="13.33203125" style="71" customWidth="1"/>
    <col min="13" max="13" width="7.33203125" style="72" customWidth="1"/>
    <col min="14" max="14" width="10.44140625" style="153" customWidth="1"/>
    <col min="15" max="16" width="11.5546875" style="153" customWidth="1"/>
    <col min="17" max="17" width="12.33203125" style="153" customWidth="1"/>
    <col min="18" max="18" width="11.5546875" style="153"/>
    <col min="19" max="19" width="12.21875" style="153" customWidth="1"/>
    <col min="20" max="22" width="11.5546875" style="153"/>
    <col min="23" max="23" width="12.109375" style="153" customWidth="1"/>
    <col min="24" max="47" width="11.5546875" style="153"/>
    <col min="48" max="48" width="11.5546875" style="670"/>
    <col min="49" max="16384" width="11.5546875" style="153"/>
  </cols>
  <sheetData>
    <row r="1" spans="1:48">
      <c r="A1" s="668" t="s">
        <v>1232</v>
      </c>
      <c r="B1" s="2778"/>
      <c r="C1" s="1955"/>
      <c r="F1" s="1417" t="s">
        <v>1247</v>
      </c>
      <c r="G1" s="1418" t="s">
        <v>1248</v>
      </c>
      <c r="H1" s="717">
        <v>1</v>
      </c>
      <c r="I1" s="162" t="s">
        <v>1246</v>
      </c>
      <c r="J1" s="125"/>
      <c r="L1" s="152"/>
      <c r="M1" s="152"/>
      <c r="O1" s="533"/>
      <c r="P1" s="152"/>
      <c r="X1" s="1521">
        <v>1</v>
      </c>
      <c r="Y1" s="1521">
        <v>0.5</v>
      </c>
      <c r="Z1" s="1521">
        <v>0</v>
      </c>
      <c r="AV1" s="670" t="s">
        <v>1816</v>
      </c>
    </row>
    <row r="2" spans="1:48" s="166" customFormat="1">
      <c r="A2" s="77"/>
      <c r="B2" s="1619"/>
      <c r="C2" s="1956"/>
      <c r="D2" s="243"/>
      <c r="E2" s="243"/>
      <c r="F2" s="243"/>
      <c r="G2" s="243"/>
      <c r="H2" s="243"/>
      <c r="I2" s="72"/>
      <c r="J2" s="244"/>
      <c r="K2" s="245"/>
      <c r="L2" s="73"/>
      <c r="M2" s="152"/>
      <c r="N2" s="156"/>
      <c r="O2" s="156"/>
      <c r="AV2" s="1525"/>
    </row>
    <row r="3" spans="1:48" s="1908" customFormat="1">
      <c r="A3" s="2814" t="s">
        <v>1203</v>
      </c>
      <c r="B3" s="2779"/>
      <c r="C3" s="1956"/>
      <c r="D3" s="705"/>
      <c r="E3" s="705"/>
      <c r="F3" s="705"/>
      <c r="G3" s="705"/>
      <c r="H3" s="705"/>
      <c r="I3" s="1064"/>
      <c r="J3" s="706"/>
      <c r="K3" s="1320"/>
      <c r="L3" s="680"/>
      <c r="M3" s="676"/>
      <c r="N3" s="156"/>
      <c r="O3" s="676"/>
      <c r="P3" s="706"/>
      <c r="Q3" s="706"/>
      <c r="R3" s="706"/>
      <c r="S3" s="706"/>
      <c r="T3" s="706"/>
      <c r="U3" s="706"/>
      <c r="V3" s="706"/>
      <c r="W3" s="706"/>
      <c r="X3" s="706"/>
      <c r="Y3" s="706"/>
      <c r="Z3" s="706"/>
      <c r="AA3" s="706"/>
      <c r="AB3" s="706"/>
      <c r="AC3" s="706"/>
      <c r="AV3" s="1525"/>
    </row>
    <row r="4" spans="1:48" s="166" customFormat="1">
      <c r="A4" s="1183"/>
      <c r="B4" s="1319"/>
      <c r="C4" s="1957"/>
      <c r="D4" s="243"/>
      <c r="E4" s="243"/>
      <c r="F4" s="243"/>
      <c r="G4" s="243"/>
      <c r="H4" s="243"/>
      <c r="I4" s="72"/>
      <c r="K4" s="1320"/>
      <c r="L4" s="73"/>
      <c r="M4" s="152"/>
      <c r="N4" s="156"/>
      <c r="O4" s="156"/>
      <c r="AV4" s="1525"/>
    </row>
    <row r="5" spans="1:48" s="166" customFormat="1">
      <c r="A5" s="1183"/>
      <c r="B5" s="1319"/>
      <c r="C5" s="1957"/>
      <c r="D5" s="243"/>
      <c r="E5" s="243"/>
      <c r="F5" s="243"/>
      <c r="G5" s="243"/>
      <c r="H5" s="243"/>
      <c r="I5" s="72"/>
      <c r="K5" s="1320"/>
      <c r="L5" s="73"/>
      <c r="M5" s="152"/>
      <c r="N5" s="156"/>
      <c r="O5" s="156"/>
      <c r="AV5" s="1525"/>
    </row>
    <row r="6" spans="1:48" s="166" customFormat="1">
      <c r="A6" s="1367" t="s">
        <v>1213</v>
      </c>
      <c r="B6" s="1368"/>
      <c r="C6" s="1957"/>
      <c r="D6" s="3229" t="s">
        <v>806</v>
      </c>
      <c r="E6" s="3230"/>
      <c r="G6" s="3229" t="s">
        <v>1278</v>
      </c>
      <c r="H6" s="3230"/>
      <c r="I6" s="1365" t="s">
        <v>1212</v>
      </c>
      <c r="J6" s="1321"/>
      <c r="L6" s="3229" t="s">
        <v>806</v>
      </c>
      <c r="M6" s="3230"/>
      <c r="N6" s="156"/>
      <c r="Q6" s="156" t="s">
        <v>1210</v>
      </c>
      <c r="AV6" s="1525"/>
    </row>
    <row r="7" spans="1:48" s="166" customFormat="1">
      <c r="A7" s="1369"/>
      <c r="B7" s="1370"/>
      <c r="C7" s="1958"/>
      <c r="D7" s="1372" t="s">
        <v>1186</v>
      </c>
      <c r="E7" s="1371" t="s">
        <v>1051</v>
      </c>
      <c r="G7" s="1372" t="s">
        <v>1211</v>
      </c>
      <c r="H7" s="1371" t="s">
        <v>1051</v>
      </c>
      <c r="L7" s="3227" t="s">
        <v>1214</v>
      </c>
      <c r="M7" s="3228"/>
      <c r="X7" s="1389" t="s">
        <v>2101</v>
      </c>
      <c r="AV7" s="1525"/>
    </row>
    <row r="8" spans="1:48" s="166" customFormat="1">
      <c r="A8" s="1366" t="s">
        <v>32</v>
      </c>
      <c r="B8" s="2780" t="s">
        <v>279</v>
      </c>
      <c r="C8" s="1956"/>
      <c r="D8" s="1327">
        <f>Ranking!C41</f>
        <v>103061.53572524291</v>
      </c>
      <c r="E8" s="1328">
        <f>Ranking!D41</f>
        <v>0.26406875054982143</v>
      </c>
      <c r="F8" s="420" t="s">
        <v>279</v>
      </c>
      <c r="G8" s="1341">
        <f>Ranking!G66</f>
        <v>106720.85775234729</v>
      </c>
      <c r="H8" s="933">
        <f>Ranking!H66</f>
        <v>0.29553089301830604</v>
      </c>
      <c r="I8" s="72"/>
      <c r="L8" s="420" t="s">
        <v>287</v>
      </c>
      <c r="M8" s="1376">
        <f>Ranking!E91</f>
        <v>1.7468659495150733</v>
      </c>
      <c r="X8" s="1389" t="s">
        <v>2102</v>
      </c>
      <c r="AV8" s="1525"/>
    </row>
    <row r="9" spans="1:48" s="166" customFormat="1">
      <c r="A9" s="1326" t="s">
        <v>219</v>
      </c>
      <c r="B9" s="308" t="s">
        <v>53</v>
      </c>
      <c r="C9" s="1956"/>
      <c r="D9" s="1327">
        <f>Ranking!C42</f>
        <v>60036.853628571422</v>
      </c>
      <c r="E9" s="1328">
        <f>Ranking!D42</f>
        <v>0.15382903828354536</v>
      </c>
      <c r="F9" s="420" t="s">
        <v>53</v>
      </c>
      <c r="G9" s="1341">
        <f>Ranking!G67</f>
        <v>44430.485000000001</v>
      </c>
      <c r="H9" s="933">
        <f>Ranking!H67</f>
        <v>0.1230366882897139</v>
      </c>
      <c r="I9" s="72"/>
      <c r="L9" s="420" t="s">
        <v>50</v>
      </c>
      <c r="M9" s="1376">
        <f>Ranking!E92</f>
        <v>1.1994936816856254</v>
      </c>
      <c r="AV9" s="1525"/>
    </row>
    <row r="10" spans="1:48" s="166" customFormat="1">
      <c r="A10" s="1326" t="s">
        <v>502</v>
      </c>
      <c r="B10" s="308" t="s">
        <v>52</v>
      </c>
      <c r="C10" s="1956"/>
      <c r="D10" s="1327">
        <f>Ranking!C43</f>
        <v>40464.923042857146</v>
      </c>
      <c r="E10" s="1328">
        <f>Ranking!D43</f>
        <v>0.1036809862557167</v>
      </c>
      <c r="F10" s="420" t="s">
        <v>52</v>
      </c>
      <c r="G10" s="1341">
        <f>Ranking!G68</f>
        <v>39791.94</v>
      </c>
      <c r="H10" s="933">
        <f>Ranking!H68</f>
        <v>0.1101916514803518</v>
      </c>
      <c r="I10" s="72"/>
      <c r="L10" s="686" t="s">
        <v>774</v>
      </c>
      <c r="M10" s="690">
        <f>Ranking!E93</f>
        <v>0.67327297771392325</v>
      </c>
      <c r="AV10" s="1525"/>
    </row>
    <row r="11" spans="1:48" s="166" customFormat="1">
      <c r="A11" s="1326" t="s">
        <v>19</v>
      </c>
      <c r="B11" s="307" t="s">
        <v>288</v>
      </c>
      <c r="C11" s="1939"/>
      <c r="D11" s="1327">
        <f>Ranking!C44</f>
        <v>31174.883771428573</v>
      </c>
      <c r="E11" s="1328">
        <f>Ranking!D44</f>
        <v>7.9877643469276421E-2</v>
      </c>
      <c r="F11" s="420" t="s">
        <v>50</v>
      </c>
      <c r="G11" s="1341">
        <f>Ranking!G69</f>
        <v>28491.576306321644</v>
      </c>
      <c r="H11" s="933">
        <f>Ranking!H69</f>
        <v>7.8898737947233621E-2</v>
      </c>
      <c r="I11" s="72"/>
      <c r="L11" s="420" t="s">
        <v>281</v>
      </c>
      <c r="M11" s="1376">
        <f>Ranking!E94</f>
        <v>0.37985561177970401</v>
      </c>
      <c r="AV11" s="1525"/>
    </row>
    <row r="12" spans="1:48" s="166" customFormat="1">
      <c r="A12" s="1326" t="s">
        <v>507</v>
      </c>
      <c r="B12" s="308" t="s">
        <v>284</v>
      </c>
      <c r="C12" s="1956"/>
      <c r="D12" s="1327">
        <f>Ranking!C45</f>
        <v>22949.481858519866</v>
      </c>
      <c r="E12" s="1328">
        <f>Ranking!D45</f>
        <v>5.8802160840116385E-2</v>
      </c>
      <c r="F12" s="420" t="s">
        <v>281</v>
      </c>
      <c r="G12" s="1341">
        <f>Ranking!G70</f>
        <v>23766.623796323693</v>
      </c>
      <c r="H12" s="933">
        <f>Ranking!H70</f>
        <v>6.5814421871090864E-2</v>
      </c>
      <c r="I12" s="72"/>
      <c r="L12" s="420" t="s">
        <v>290</v>
      </c>
      <c r="M12" s="1376">
        <f>Ranking!E95</f>
        <v>0.20894195471198634</v>
      </c>
      <c r="AV12" s="1525"/>
    </row>
    <row r="13" spans="1:48" s="166" customFormat="1">
      <c r="A13" s="1326" t="s">
        <v>504</v>
      </c>
      <c r="B13" s="308" t="s">
        <v>281</v>
      </c>
      <c r="C13" s="1956"/>
      <c r="D13" s="1327">
        <f>Ranking!C46</f>
        <v>20617.292984255655</v>
      </c>
      <c r="E13" s="1328">
        <f>Ranking!D46</f>
        <v>5.2826525044090682E-2</v>
      </c>
      <c r="F13" s="420" t="s">
        <v>284</v>
      </c>
      <c r="G13" s="1341">
        <f>Ranking!G71</f>
        <v>21731.57918967646</v>
      </c>
      <c r="H13" s="933">
        <f>Ranking!H71</f>
        <v>6.0178986000343146E-2</v>
      </c>
      <c r="I13" s="72"/>
      <c r="L13" s="420" t="s">
        <v>357</v>
      </c>
      <c r="M13" s="1376">
        <f>Ranking!E96</f>
        <v>0.11241291049139049</v>
      </c>
      <c r="AV13" s="1525"/>
    </row>
    <row r="14" spans="1:48" s="166" customFormat="1">
      <c r="A14" s="1326" t="s">
        <v>32</v>
      </c>
      <c r="B14" s="308" t="s">
        <v>50</v>
      </c>
      <c r="C14" s="1956"/>
      <c r="D14" s="1327">
        <f>Ranking!C47</f>
        <v>19515.355899391296</v>
      </c>
      <c r="E14" s="1328">
        <f>Ranking!D47</f>
        <v>5.0003093905237848E-2</v>
      </c>
      <c r="F14" s="519" t="s">
        <v>288</v>
      </c>
      <c r="G14" s="1341">
        <f>Ranking!G72</f>
        <v>19124.593099999998</v>
      </c>
      <c r="H14" s="933">
        <f>Ranking!H72</f>
        <v>5.2959732488004868E-2</v>
      </c>
      <c r="I14" s="72"/>
      <c r="L14" s="420" t="s">
        <v>279</v>
      </c>
      <c r="M14" s="1376">
        <f>Ranking!E97</f>
        <v>7.5306160052783275E-2</v>
      </c>
      <c r="AV14" s="1525"/>
    </row>
    <row r="15" spans="1:48" s="166" customFormat="1">
      <c r="A15" s="1326" t="s">
        <v>508</v>
      </c>
      <c r="B15" s="308" t="s">
        <v>290</v>
      </c>
      <c r="C15" s="1956"/>
      <c r="D15" s="1327">
        <f>Ranking!C48</f>
        <v>16250.837973523972</v>
      </c>
      <c r="E15" s="1330">
        <f>Ranking!D48</f>
        <v>4.1638604052015776E-2</v>
      </c>
      <c r="F15" s="420" t="s">
        <v>290</v>
      </c>
      <c r="G15" s="1341">
        <f>Ranking!G73</f>
        <v>17428.290742138299</v>
      </c>
      <c r="H15" s="933">
        <f>Ranking!H73</f>
        <v>4.826234004564605E-2</v>
      </c>
      <c r="I15" s="72"/>
      <c r="L15" s="420" t="s">
        <v>285</v>
      </c>
      <c r="M15" s="1376">
        <f>Ranking!E98</f>
        <v>6.738754525599433E-2</v>
      </c>
      <c r="AV15" s="1525"/>
    </row>
    <row r="16" spans="1:48" s="166" customFormat="1">
      <c r="A16" s="1326" t="s">
        <v>503</v>
      </c>
      <c r="B16" s="308" t="s">
        <v>286</v>
      </c>
      <c r="C16" s="1956"/>
      <c r="D16" s="1327">
        <f>Ranking!C49</f>
        <v>15596.516285714286</v>
      </c>
      <c r="E16" s="1330">
        <f>Ranking!D49</f>
        <v>3.9962072557101963E-2</v>
      </c>
      <c r="F16" s="420" t="s">
        <v>286</v>
      </c>
      <c r="G16" s="1341">
        <f>Ranking!G74</f>
        <v>10295.917100000001</v>
      </c>
      <c r="H16" s="1108">
        <f>Ranking!H74</f>
        <v>2.8511404790864545E-2</v>
      </c>
      <c r="I16" s="72"/>
      <c r="L16" s="420" t="s">
        <v>42</v>
      </c>
      <c r="M16" s="1376">
        <f>Ranking!E99</f>
        <v>-3.2258071946582277E-2</v>
      </c>
      <c r="AV16" s="1525"/>
    </row>
    <row r="17" spans="1:48" s="166" customFormat="1">
      <c r="A17" s="1326" t="s">
        <v>505</v>
      </c>
      <c r="B17" s="308" t="s">
        <v>44</v>
      </c>
      <c r="C17" s="1956"/>
      <c r="D17" s="1327">
        <f>Ranking!C50</f>
        <v>12234.494271428572</v>
      </c>
      <c r="E17" s="1330">
        <f>Ranking!D50</f>
        <v>3.1347753486597643E-2</v>
      </c>
      <c r="F17" s="420" t="s">
        <v>287</v>
      </c>
      <c r="G17" s="1341">
        <f>Ranking!G75</f>
        <v>9571.524995540176</v>
      </c>
      <c r="H17" s="1108">
        <f>Ranking!H75</f>
        <v>2.6505421611613778E-2</v>
      </c>
      <c r="I17" s="72"/>
      <c r="L17" s="420" t="s">
        <v>52</v>
      </c>
      <c r="M17" s="1376">
        <f>Ranking!E100</f>
        <v>-6.1458653761923776E-2</v>
      </c>
      <c r="AV17" s="1525"/>
    </row>
    <row r="18" spans="1:48" s="166" customFormat="1">
      <c r="A18" s="1331" t="s">
        <v>323</v>
      </c>
      <c r="B18" s="695" t="s">
        <v>772</v>
      </c>
      <c r="C18" s="1956"/>
      <c r="D18" s="1332">
        <f>Ranking!C51</f>
        <v>7616.907214285714</v>
      </c>
      <c r="E18" s="1333">
        <f>Ranking!D51</f>
        <v>1.9516371039653539E-2</v>
      </c>
      <c r="F18" s="420" t="s">
        <v>44</v>
      </c>
      <c r="G18" s="1341">
        <f>Ranking!G76</f>
        <v>6819.5967000000001</v>
      </c>
      <c r="H18" s="1108">
        <f>Ranking!H76</f>
        <v>1.8884794830384175E-2</v>
      </c>
      <c r="I18" s="72"/>
      <c r="L18" s="420" t="s">
        <v>284</v>
      </c>
      <c r="M18" s="1376">
        <f>Ranking!E101</f>
        <v>-8.3288171902550459E-2</v>
      </c>
      <c r="AV18" s="1525"/>
    </row>
    <row r="19" spans="1:48" s="166" customFormat="1">
      <c r="A19" s="1326" t="s">
        <v>19</v>
      </c>
      <c r="B19" s="308" t="s">
        <v>287</v>
      </c>
      <c r="C19" s="1956"/>
      <c r="D19" s="1327">
        <f>Ranking!C52</f>
        <v>6002.7646707914537</v>
      </c>
      <c r="E19" s="1330">
        <f>Ranking!D52</f>
        <v>1.538054479108892E-2</v>
      </c>
      <c r="F19" s="686" t="s">
        <v>280</v>
      </c>
      <c r="G19" s="1375">
        <f>Ranking!G77</f>
        <v>5825.8631999999998</v>
      </c>
      <c r="H19" s="1342">
        <f>Ranking!H77</f>
        <v>1.6132952736323161E-2</v>
      </c>
      <c r="I19" s="72"/>
      <c r="L19" s="420" t="s">
        <v>39</v>
      </c>
      <c r="M19" s="1376">
        <f>Ranking!E102</f>
        <v>-0.13366823909704381</v>
      </c>
      <c r="AV19" s="1525"/>
    </row>
    <row r="20" spans="1:48" s="166" customFormat="1">
      <c r="A20" s="1326" t="s">
        <v>507</v>
      </c>
      <c r="B20" s="308" t="s">
        <v>282</v>
      </c>
      <c r="C20" s="1956"/>
      <c r="D20" s="1327">
        <f>Ranking!C53</f>
        <v>5769.8566757446433</v>
      </c>
      <c r="E20" s="1330">
        <f>Ranking!D53</f>
        <v>1.4783777793466828E-2</v>
      </c>
      <c r="F20" s="420" t="s">
        <v>39</v>
      </c>
      <c r="G20" s="1341">
        <f>Ranking!G78</f>
        <v>5057.8123335929276</v>
      </c>
      <c r="H20" s="1108">
        <f>Ranking!H78</f>
        <v>1.4006069920599414E-2</v>
      </c>
      <c r="I20" s="72"/>
      <c r="L20" s="420" t="s">
        <v>282</v>
      </c>
      <c r="M20" s="1376">
        <f>Ranking!E103</f>
        <v>-0.24705029723080094</v>
      </c>
      <c r="AV20" s="1525"/>
    </row>
    <row r="21" spans="1:48" s="166" customFormat="1">
      <c r="A21" s="1326" t="s">
        <v>545</v>
      </c>
      <c r="B21" s="308" t="s">
        <v>39</v>
      </c>
      <c r="C21" s="1956"/>
      <c r="D21" s="1327">
        <f>Ranking!C54</f>
        <v>5059.5155870714543</v>
      </c>
      <c r="E21" s="1330">
        <f>Ranking!D54</f>
        <v>1.2963710952524294E-2</v>
      </c>
      <c r="F21" s="686" t="s">
        <v>283</v>
      </c>
      <c r="G21" s="1375">
        <f>Ranking!G79</f>
        <v>4048.9897999999998</v>
      </c>
      <c r="H21" s="1342">
        <f>Ranking!H79</f>
        <v>1.1212443346293226E-2</v>
      </c>
      <c r="I21" s="72"/>
      <c r="L21" s="686" t="s">
        <v>772</v>
      </c>
      <c r="M21" s="690">
        <f>Ranking!E104</f>
        <v>-0.33365525120929096</v>
      </c>
      <c r="AV21" s="1525"/>
    </row>
    <row r="22" spans="1:48" s="166" customFormat="1">
      <c r="A22" s="1326" t="s">
        <v>27</v>
      </c>
      <c r="B22" s="308" t="s">
        <v>54</v>
      </c>
      <c r="C22" s="1956"/>
      <c r="D22" s="1327">
        <f>Ranking!C55</f>
        <v>4745.1447857142857</v>
      </c>
      <c r="E22" s="1330">
        <f>Ranking!D55</f>
        <v>1.2158216408516635E-2</v>
      </c>
      <c r="F22" s="420" t="s">
        <v>282</v>
      </c>
      <c r="G22" s="1341">
        <f>Ranking!G80</f>
        <v>4026.3480952657014</v>
      </c>
      <c r="H22" s="1108">
        <f>Ranking!H80</f>
        <v>1.1149744044952231E-2</v>
      </c>
      <c r="I22" s="72"/>
      <c r="L22" s="420" t="s">
        <v>53</v>
      </c>
      <c r="M22" s="1376">
        <f>Ranking!E105</f>
        <v>-0.3618479655094986</v>
      </c>
      <c r="AV22" s="1525"/>
    </row>
    <row r="23" spans="1:48" s="166" customFormat="1">
      <c r="A23" s="1326" t="s">
        <v>506</v>
      </c>
      <c r="B23" s="308" t="s">
        <v>289</v>
      </c>
      <c r="C23" s="1956"/>
      <c r="D23" s="1327">
        <f>Ranking!C56</f>
        <v>4580.8423286191064</v>
      </c>
      <c r="E23" s="1330">
        <f>Ranking!D56</f>
        <v>1.1737233504933111E-2</v>
      </c>
      <c r="F23" s="420" t="s">
        <v>42</v>
      </c>
      <c r="G23" s="1341">
        <f>Ranking!G81</f>
        <v>2940.9023000000002</v>
      </c>
      <c r="H23" s="1108">
        <f>Ranking!H81</f>
        <v>8.143932697912316E-3</v>
      </c>
      <c r="I23" s="72"/>
      <c r="L23" s="420" t="s">
        <v>286</v>
      </c>
      <c r="M23" s="1376">
        <f>Ranking!E106</f>
        <v>-0.41209116095583281</v>
      </c>
      <c r="AV23" s="1525"/>
    </row>
    <row r="24" spans="1:48" s="166" customFormat="1">
      <c r="A24" s="1326" t="s">
        <v>389</v>
      </c>
      <c r="B24" s="308" t="s">
        <v>278</v>
      </c>
      <c r="C24" s="1956"/>
      <c r="D24" s="1327">
        <f>Ranking!C57</f>
        <v>3544.0522571428578</v>
      </c>
      <c r="E24" s="1330">
        <f>Ranking!D57</f>
        <v>9.0807248780183369E-3</v>
      </c>
      <c r="F24" s="420" t="s">
        <v>54</v>
      </c>
      <c r="G24" s="1341">
        <f>Ranking!G82</f>
        <v>2680.5724</v>
      </c>
      <c r="H24" s="1108">
        <f>Ranking!H82</f>
        <v>7.4230283738025878E-3</v>
      </c>
      <c r="I24" s="72"/>
      <c r="L24" s="420" t="s">
        <v>278</v>
      </c>
      <c r="M24" s="1376">
        <f>Ranking!E107</f>
        <v>-0.4675424361384804</v>
      </c>
      <c r="AV24" s="1525"/>
    </row>
    <row r="25" spans="1:48" s="166" customFormat="1">
      <c r="A25" s="1331" t="s">
        <v>323</v>
      </c>
      <c r="B25" s="695" t="s">
        <v>774</v>
      </c>
      <c r="C25" s="1956"/>
      <c r="D25" s="1332">
        <f>Ranking!C58</f>
        <v>3541.6238999999996</v>
      </c>
      <c r="E25" s="1333">
        <f>Ranking!D58</f>
        <v>9.0745028357006995E-3</v>
      </c>
      <c r="F25" s="420" t="s">
        <v>285</v>
      </c>
      <c r="G25" s="1341">
        <f>Ranking!G83</f>
        <v>2364.3629999999998</v>
      </c>
      <c r="H25" s="1108">
        <f>Ranking!H83</f>
        <v>6.5473828033777437E-3</v>
      </c>
      <c r="I25" s="72"/>
      <c r="L25" s="519" t="s">
        <v>288</v>
      </c>
      <c r="M25" s="1376">
        <f>Ranking!E108</f>
        <v>-0.49416922878378883</v>
      </c>
      <c r="AV25" s="1525"/>
    </row>
    <row r="26" spans="1:48" s="166" customFormat="1">
      <c r="A26" s="1326" t="s">
        <v>73</v>
      </c>
      <c r="B26" s="308" t="s">
        <v>285</v>
      </c>
      <c r="C26" s="1956"/>
      <c r="D26" s="1327">
        <f>Ranking!C59</f>
        <v>2461.5190857142857</v>
      </c>
      <c r="E26" s="1330">
        <f>Ranking!D59</f>
        <v>6.3070112903421734E-3</v>
      </c>
      <c r="F26" s="420" t="s">
        <v>289</v>
      </c>
      <c r="G26" s="1341">
        <f>Ranking!G84</f>
        <v>2322.4005110115481</v>
      </c>
      <c r="H26" s="1108">
        <f>Ranking!H84</f>
        <v>6.4311804779353665E-3</v>
      </c>
      <c r="I26" s="72"/>
      <c r="L26" s="420" t="s">
        <v>289</v>
      </c>
      <c r="M26" s="1376">
        <f>Ranking!E109</f>
        <v>-0.49577837871365099</v>
      </c>
      <c r="AV26" s="1525"/>
    </row>
    <row r="27" spans="1:48" s="166" customFormat="1">
      <c r="A27" s="1326" t="s">
        <v>378</v>
      </c>
      <c r="B27" s="308" t="s">
        <v>42</v>
      </c>
      <c r="C27" s="1956"/>
      <c r="D27" s="1327">
        <f>Ranking!C60</f>
        <v>2432.5463571428577</v>
      </c>
      <c r="E27" s="1330">
        <f>Ranking!D60</f>
        <v>6.2327761047315808E-3</v>
      </c>
      <c r="F27" s="420" t="s">
        <v>278</v>
      </c>
      <c r="G27" s="1341">
        <f>Ranking!G85</f>
        <v>2152.6311000000001</v>
      </c>
      <c r="H27" s="1108">
        <f>Ranking!H85</f>
        <v>5.9610558303255963E-3</v>
      </c>
      <c r="I27" s="72"/>
      <c r="L27" s="420" t="s">
        <v>44</v>
      </c>
      <c r="M27" s="1376">
        <f>Ranking!E110</f>
        <v>-0.59766521701552</v>
      </c>
      <c r="AV27" s="1525"/>
    </row>
    <row r="28" spans="1:48" s="166" customFormat="1">
      <c r="A28" s="1331" t="s">
        <v>323</v>
      </c>
      <c r="B28" s="695" t="s">
        <v>773</v>
      </c>
      <c r="C28" s="1956"/>
      <c r="D28" s="1332">
        <f>Ranking!C61</f>
        <v>2121.4584571428572</v>
      </c>
      <c r="E28" s="1333">
        <f>Ranking!D61</f>
        <v>5.4356931534045982E-3</v>
      </c>
      <c r="F28" s="686" t="s">
        <v>277</v>
      </c>
      <c r="G28" s="1375">
        <f>Ranking!G86</f>
        <v>960.23059999999998</v>
      </c>
      <c r="H28" s="1342">
        <f>Ranking!H86</f>
        <v>2.6590660223142948E-3</v>
      </c>
      <c r="I28" s="72"/>
      <c r="L28" s="686" t="s">
        <v>773</v>
      </c>
      <c r="M28" s="690">
        <f>Ranking!E111</f>
        <v>-0.63331383871554725</v>
      </c>
      <c r="AV28" s="1525"/>
    </row>
    <row r="29" spans="1:48" s="166" customFormat="1">
      <c r="A29" s="1326" t="s">
        <v>27</v>
      </c>
      <c r="B29" s="308" t="s">
        <v>357</v>
      </c>
      <c r="C29" s="1956"/>
      <c r="D29" s="1327">
        <f>Ranking!C62</f>
        <v>504.56125714285719</v>
      </c>
      <c r="E29" s="1330">
        <f>Ranking!D62</f>
        <v>1.292808804099037E-3</v>
      </c>
      <c r="F29" s="420" t="s">
        <v>357</v>
      </c>
      <c r="G29" s="1341">
        <f>Ranking!G87</f>
        <v>562.64409999999998</v>
      </c>
      <c r="H29" s="1108">
        <f>Ranking!H87</f>
        <v>1.5580713726115437E-3</v>
      </c>
      <c r="I29" s="72"/>
      <c r="L29" s="420" t="s">
        <v>54</v>
      </c>
      <c r="M29" s="1376">
        <f>Ranking!E112</f>
        <v>-0.63447330491761056</v>
      </c>
      <c r="AV29" s="1525"/>
    </row>
    <row r="30" spans="1:48" s="156" customFormat="1">
      <c r="A30" s="1343"/>
      <c r="B30" s="308"/>
      <c r="C30" s="1956"/>
      <c r="D30" s="1339"/>
      <c r="E30" s="1330"/>
      <c r="F30" s="76"/>
      <c r="G30" s="1341"/>
      <c r="H30" s="1104"/>
      <c r="I30" s="73"/>
      <c r="L30" s="1373"/>
      <c r="M30" s="1328"/>
      <c r="P30" s="797" t="s">
        <v>2179</v>
      </c>
      <c r="T30" s="797" t="s">
        <v>2180</v>
      </c>
      <c r="AV30" s="1525"/>
    </row>
    <row r="31" spans="1:48" s="166" customFormat="1">
      <c r="A31" s="1191" t="s">
        <v>1089</v>
      </c>
      <c r="B31" s="2758" t="s">
        <v>1069</v>
      </c>
      <c r="C31" s="1957"/>
      <c r="D31" s="2759">
        <f>AVERAGE(D8:D29)</f>
        <v>17740.134909883913</v>
      </c>
      <c r="E31" s="2760">
        <f>AVERAGE(E8:E29)</f>
        <v>4.5454545454545456E-2</v>
      </c>
      <c r="F31" s="1377"/>
      <c r="G31" s="2759">
        <f>AVERAGE(G8:G29)</f>
        <v>16414.35191464626</v>
      </c>
      <c r="H31" s="2760">
        <f>AVERAGE(H8:H29)</f>
        <v>4.5454545454545463E-2</v>
      </c>
      <c r="J31" s="2774"/>
      <c r="K31" s="2775"/>
      <c r="L31" s="143" t="s">
        <v>1069</v>
      </c>
      <c r="M31" s="1347">
        <f>AVERAGE(M8:M29)</f>
        <v>-2.3851064758710981E-2</v>
      </c>
      <c r="AV31" s="1525"/>
    </row>
    <row r="32" spans="1:48" s="166" customFormat="1">
      <c r="A32" s="1183">
        <f>COUNT(D8:D29)</f>
        <v>22</v>
      </c>
      <c r="B32" s="2143" t="s">
        <v>1124</v>
      </c>
      <c r="C32" s="1957"/>
      <c r="D32" s="1324">
        <f>MEDIAN(D8:D29)</f>
        <v>6809.8359425385843</v>
      </c>
      <c r="E32" s="1374">
        <f>MEDIAN(E8:E29)</f>
        <v>1.7448457915371231E-2</v>
      </c>
      <c r="F32" s="1377"/>
      <c r="G32" s="1325">
        <f>MEDIAN(G8:G29)</f>
        <v>6322.7299499999999</v>
      </c>
      <c r="H32" s="1340">
        <f>MEDIAN(H8:H29)</f>
        <v>1.7508873783353668E-2</v>
      </c>
      <c r="I32" s="2777" t="s">
        <v>2155</v>
      </c>
      <c r="J32" s="1567" t="s">
        <v>2154</v>
      </c>
      <c r="K32" s="2776"/>
      <c r="L32" s="89" t="s">
        <v>1124</v>
      </c>
      <c r="M32" s="1348">
        <f>MEDIAN(M8:M29)</f>
        <v>-0.10847820549979714</v>
      </c>
      <c r="T32" s="1386"/>
      <c r="U32" s="1386"/>
      <c r="Y32" s="1386"/>
      <c r="AV32" s="1525"/>
    </row>
    <row r="33" spans="1:48" s="166" customFormat="1">
      <c r="A33" s="1343"/>
      <c r="B33" s="1616"/>
      <c r="C33" s="1957"/>
      <c r="D33" s="1381"/>
      <c r="E33" s="1373"/>
      <c r="I33" s="3239"/>
      <c r="J33" s="3239"/>
      <c r="K33" s="3240"/>
      <c r="L33" s="89" t="s">
        <v>1068</v>
      </c>
      <c r="M33" s="1329">
        <f>CALCULATIONS!P29</f>
        <v>-0.10177557890563894</v>
      </c>
      <c r="N33" s="73"/>
      <c r="T33" s="1386"/>
      <c r="U33" s="1386"/>
      <c r="X33" s="166" t="s">
        <v>1229</v>
      </c>
      <c r="Y33" s="1386"/>
      <c r="AV33" s="1525"/>
    </row>
    <row r="34" spans="1:48" s="166" customFormat="1" ht="13.2" customHeight="1">
      <c r="A34" s="704"/>
      <c r="B34" s="2781"/>
      <c r="C34" s="1959"/>
      <c r="D34" s="2762" t="s">
        <v>2103</v>
      </c>
      <c r="E34" s="2761"/>
      <c r="F34" s="2761"/>
      <c r="G34" s="2761"/>
      <c r="H34" s="2761"/>
      <c r="I34" s="2761"/>
      <c r="J34" s="2761"/>
      <c r="K34" s="1383"/>
      <c r="L34" s="73"/>
      <c r="M34" s="152"/>
      <c r="N34" s="156"/>
      <c r="AV34" s="1525"/>
    </row>
    <row r="35" spans="1:48" s="166" customFormat="1">
      <c r="A35" s="1345"/>
      <c r="B35" s="2782"/>
      <c r="C35" s="1939"/>
      <c r="D35" s="3187" t="s">
        <v>2176</v>
      </c>
      <c r="E35" s="3187"/>
      <c r="F35" s="3187"/>
      <c r="G35" s="3187"/>
      <c r="H35" s="3187"/>
      <c r="I35" s="3187"/>
      <c r="J35" s="3187"/>
      <c r="K35" s="1384"/>
      <c r="L35" s="1378" t="s">
        <v>485</v>
      </c>
      <c r="M35" s="1379">
        <f>'OUTPUTS &amp; Inputs'!C109</f>
        <v>-4.470625286303239E-2</v>
      </c>
      <c r="N35" s="156"/>
      <c r="X35" s="1908" t="s">
        <v>1230</v>
      </c>
      <c r="AV35" s="1525"/>
    </row>
    <row r="36" spans="1:48" s="166" customFormat="1" ht="13.2" customHeight="1">
      <c r="A36" s="1345"/>
      <c r="B36" s="2782"/>
      <c r="C36" s="1939"/>
      <c r="D36" s="3187"/>
      <c r="E36" s="3187"/>
      <c r="F36" s="3187"/>
      <c r="G36" s="3187"/>
      <c r="H36" s="3187"/>
      <c r="I36" s="3187"/>
      <c r="J36" s="3187"/>
      <c r="K36" s="1385"/>
      <c r="L36" s="1378" t="s">
        <v>489</v>
      </c>
      <c r="M36" s="1379">
        <f>'OUTPUTS &amp; Inputs'!C110</f>
        <v>-0.3727157311583888</v>
      </c>
      <c r="N36" s="156"/>
      <c r="O36" s="1321"/>
      <c r="X36" s="1908" t="s">
        <v>1231</v>
      </c>
      <c r="AV36" s="1525"/>
    </row>
    <row r="37" spans="1:48" s="166" customFormat="1">
      <c r="A37" s="1345"/>
      <c r="B37" s="2782"/>
      <c r="C37" s="1939"/>
      <c r="D37" s="3188" t="s">
        <v>2177</v>
      </c>
      <c r="E37" s="3188"/>
      <c r="F37" s="3188"/>
      <c r="G37" s="3188"/>
      <c r="H37" s="3188"/>
      <c r="I37" s="3188"/>
      <c r="J37" s="3188"/>
      <c r="K37" s="1385"/>
      <c r="L37" s="1378" t="s">
        <v>491</v>
      </c>
      <c r="M37" s="1379">
        <f>'OUTPUTS &amp; Inputs'!C111</f>
        <v>-0.27415919560156515</v>
      </c>
      <c r="N37" s="156"/>
      <c r="O37" s="156"/>
      <c r="X37" s="1908" t="s">
        <v>1822</v>
      </c>
      <c r="AV37" s="1525"/>
    </row>
    <row r="38" spans="1:48" s="1908" customFormat="1">
      <c r="A38" s="1345"/>
      <c r="B38" s="2782"/>
      <c r="C38" s="1939"/>
      <c r="D38" s="3188"/>
      <c r="E38" s="3188"/>
      <c r="F38" s="3188"/>
      <c r="G38" s="3188"/>
      <c r="H38" s="3188"/>
      <c r="I38" s="3188"/>
      <c r="J38" s="3188"/>
      <c r="K38" s="1385"/>
      <c r="L38" s="1378" t="s">
        <v>493</v>
      </c>
      <c r="M38" s="1379">
        <f>'OUTPUTS &amp; Inputs'!C112</f>
        <v>0.2084448816446475</v>
      </c>
      <c r="N38" s="156"/>
      <c r="O38" s="156"/>
      <c r="X38" s="2401" t="s">
        <v>1823</v>
      </c>
      <c r="AV38" s="1525"/>
    </row>
    <row r="39" spans="1:48" s="1908" customFormat="1">
      <c r="A39" s="1345"/>
      <c r="B39" s="2782"/>
      <c r="C39" s="1939"/>
      <c r="D39" s="3188" t="s">
        <v>2178</v>
      </c>
      <c r="E39" s="3188"/>
      <c r="F39" s="3188"/>
      <c r="G39" s="3188"/>
      <c r="H39" s="3188"/>
      <c r="I39" s="3188"/>
      <c r="J39" s="3188"/>
      <c r="K39" s="1385"/>
      <c r="L39" s="1380" t="s">
        <v>1204</v>
      </c>
      <c r="M39" s="1379">
        <f>'OUTPUTS &amp; Inputs'!C114</f>
        <v>5.8721709974853362E-2</v>
      </c>
      <c r="N39" s="156"/>
      <c r="O39" s="156"/>
      <c r="X39" s="2401"/>
      <c r="AV39" s="1525"/>
    </row>
    <row r="40" spans="1:48" s="1908" customFormat="1">
      <c r="A40" s="1345"/>
      <c r="B40" s="2782"/>
      <c r="C40" s="1939"/>
      <c r="D40" s="3188"/>
      <c r="E40" s="3188"/>
      <c r="F40" s="3188"/>
      <c r="G40" s="3188"/>
      <c r="H40" s="3188"/>
      <c r="I40" s="3188"/>
      <c r="J40" s="3188"/>
      <c r="K40" s="1385"/>
      <c r="L40" s="1380" t="s">
        <v>1207</v>
      </c>
      <c r="M40" s="1379">
        <f>'OUTPUTS &amp; Inputs'!C115</f>
        <v>6.7822063479178421E-2</v>
      </c>
      <c r="N40" s="156"/>
      <c r="O40" s="156"/>
      <c r="X40" s="156" t="s">
        <v>1824</v>
      </c>
      <c r="AV40" s="1525"/>
    </row>
    <row r="41" spans="1:48" s="1908" customFormat="1">
      <c r="A41" s="1345"/>
      <c r="B41" s="2782"/>
      <c r="C41" s="1939"/>
      <c r="D41" s="3188"/>
      <c r="E41" s="3188"/>
      <c r="F41" s="3188"/>
      <c r="G41" s="3188"/>
      <c r="H41" s="3188"/>
      <c r="I41" s="3188"/>
      <c r="J41" s="3188"/>
      <c r="K41" s="1385"/>
      <c r="L41" s="1380" t="s">
        <v>1205</v>
      </c>
      <c r="M41" s="1379">
        <f>'OUTPUTS &amp; Inputs'!C116</f>
        <v>0.1597197757400679</v>
      </c>
      <c r="N41" s="156"/>
      <c r="O41" s="156"/>
      <c r="X41" s="2402" t="s">
        <v>1825</v>
      </c>
      <c r="AV41" s="1525"/>
    </row>
    <row r="42" spans="1:48" s="166" customFormat="1" ht="13.2" customHeight="1">
      <c r="A42" s="1345"/>
      <c r="B42" s="2782"/>
      <c r="C42" s="1939"/>
      <c r="D42" s="3238" t="s">
        <v>2190</v>
      </c>
      <c r="E42" s="3238"/>
      <c r="F42" s="3238"/>
      <c r="G42" s="3238"/>
      <c r="H42" s="3238"/>
      <c r="I42" s="3238"/>
      <c r="J42" s="3238"/>
      <c r="K42" s="1385"/>
      <c r="L42" s="1380" t="s">
        <v>1206</v>
      </c>
      <c r="M42" s="1379">
        <f>'OUTPUTS &amp; Inputs'!C117</f>
        <v>0.35356636626584159</v>
      </c>
      <c r="N42" s="156"/>
      <c r="O42" s="156"/>
      <c r="AV42" s="1525"/>
    </row>
    <row r="43" spans="1:48" s="166" customFormat="1" ht="13.2" customHeight="1">
      <c r="A43" s="1346"/>
      <c r="B43" s="2782"/>
      <c r="C43" s="1939"/>
      <c r="D43" s="2831" t="s">
        <v>2191</v>
      </c>
      <c r="E43" s="1394"/>
      <c r="F43" s="1394"/>
      <c r="G43" s="1394"/>
      <c r="H43" s="1394"/>
      <c r="I43" s="1419" t="s">
        <v>2192</v>
      </c>
      <c r="J43" s="1394"/>
      <c r="K43" s="77"/>
      <c r="L43" s="2763"/>
      <c r="M43" s="1089" t="s">
        <v>1817</v>
      </c>
      <c r="N43" s="156"/>
      <c r="O43" s="156"/>
      <c r="AV43" s="1525"/>
    </row>
    <row r="44" spans="1:48" s="166" customFormat="1" ht="13.2" customHeight="1">
      <c r="A44" s="1346"/>
      <c r="B44" s="2782"/>
      <c r="C44" s="1939"/>
      <c r="D44" s="3189" t="s">
        <v>2193</v>
      </c>
      <c r="E44" s="3189"/>
      <c r="F44" s="3189"/>
      <c r="G44" s="3189"/>
      <c r="H44" s="3189"/>
      <c r="I44" s="3189"/>
      <c r="J44" s="3189"/>
      <c r="K44" s="2748"/>
      <c r="L44" s="156"/>
      <c r="N44" s="156"/>
      <c r="AV44" s="1525"/>
    </row>
    <row r="45" spans="1:48" s="166" customFormat="1" ht="13.2" customHeight="1">
      <c r="A45" s="1346"/>
      <c r="B45" s="2782"/>
      <c r="C45" s="1939"/>
      <c r="D45" s="3189"/>
      <c r="E45" s="3189"/>
      <c r="F45" s="3189"/>
      <c r="G45" s="3189"/>
      <c r="H45" s="3189"/>
      <c r="I45" s="3189"/>
      <c r="J45" s="3189"/>
      <c r="K45" s="2748"/>
      <c r="N45" s="156"/>
      <c r="O45" s="1908" t="s">
        <v>2104</v>
      </c>
      <c r="Y45" s="156"/>
      <c r="Z45" s="156"/>
      <c r="AA45" s="156"/>
      <c r="AB45" s="156"/>
      <c r="AC45" s="156"/>
      <c r="AD45" s="156"/>
      <c r="AV45" s="1525"/>
    </row>
    <row r="46" spans="1:48" s="166" customFormat="1">
      <c r="A46" s="704"/>
      <c r="B46" s="2781"/>
      <c r="C46" s="1959"/>
      <c r="J46" s="1394"/>
      <c r="K46" s="1382"/>
      <c r="M46" s="1389"/>
      <c r="N46" s="156"/>
      <c r="S46" s="1386"/>
      <c r="X46" s="3231"/>
      <c r="Y46" s="3231"/>
      <c r="Z46" s="3231"/>
      <c r="AA46" s="3231"/>
      <c r="AB46" s="3231"/>
      <c r="AC46" s="3231"/>
      <c r="AD46" s="3231"/>
      <c r="AV46" s="1525"/>
    </row>
    <row r="47" spans="1:48" s="166" customFormat="1">
      <c r="A47" s="704"/>
      <c r="B47" s="2781"/>
      <c r="C47" s="1959"/>
      <c r="D47" s="1419" t="s">
        <v>2105</v>
      </c>
      <c r="E47" s="1419"/>
      <c r="F47" s="1419"/>
      <c r="G47" s="1419"/>
      <c r="H47" s="1419"/>
      <c r="I47" s="1419"/>
      <c r="J47" s="1419"/>
      <c r="K47" s="1382"/>
      <c r="M47" s="1389"/>
      <c r="N47" s="156"/>
      <c r="S47" s="1395"/>
      <c r="X47" s="1391"/>
      <c r="Y47" s="1391"/>
      <c r="Z47" s="1391"/>
      <c r="AA47" s="1391"/>
      <c r="AB47" s="1391"/>
      <c r="AC47" s="1391"/>
      <c r="AD47" s="1391"/>
      <c r="AV47" s="1525"/>
    </row>
    <row r="48" spans="1:48" s="166" customFormat="1">
      <c r="A48" s="704"/>
      <c r="B48" s="2781"/>
      <c r="C48" s="1959"/>
      <c r="D48" s="2764" t="s">
        <v>2106</v>
      </c>
      <c r="E48" s="1419"/>
      <c r="F48" s="1419"/>
      <c r="G48" s="1419"/>
      <c r="H48" s="1419"/>
      <c r="I48" s="1419"/>
      <c r="J48" s="1419"/>
      <c r="K48" s="1382"/>
      <c r="M48" s="1389"/>
      <c r="N48" s="156"/>
      <c r="S48" s="1395"/>
      <c r="X48" s="1391"/>
      <c r="Y48" s="1391"/>
      <c r="Z48" s="1391"/>
      <c r="AA48" s="1391"/>
      <c r="AB48" s="1391"/>
      <c r="AC48" s="1391"/>
      <c r="AD48" s="1391"/>
      <c r="AV48" s="1525"/>
    </row>
    <row r="49" spans="1:48" s="166" customFormat="1" ht="13.2" customHeight="1">
      <c r="A49" s="704"/>
      <c r="B49" s="2781"/>
      <c r="C49" s="1959"/>
      <c r="D49" s="1382" t="s">
        <v>2109</v>
      </c>
      <c r="E49" s="1433"/>
      <c r="F49" s="1433"/>
      <c r="G49" s="1433"/>
      <c r="H49" s="1433"/>
      <c r="I49" s="1433"/>
      <c r="J49" s="1433"/>
      <c r="K49" s="1382"/>
      <c r="M49" s="2404"/>
      <c r="N49" s="2404"/>
      <c r="S49" s="1395"/>
      <c r="X49" s="1391"/>
      <c r="Y49" s="1391"/>
      <c r="Z49" s="1391"/>
      <c r="AA49" s="1391"/>
      <c r="AB49" s="1391"/>
      <c r="AC49" s="1391"/>
      <c r="AD49" s="1391"/>
      <c r="AV49" s="1525"/>
    </row>
    <row r="50" spans="1:48" s="1599" customFormat="1">
      <c r="A50" s="704"/>
      <c r="B50" s="2781"/>
      <c r="C50" s="1959"/>
      <c r="D50" s="3181" t="s">
        <v>2181</v>
      </c>
      <c r="E50" s="3181"/>
      <c r="F50" s="3181"/>
      <c r="G50" s="3181"/>
      <c r="H50" s="3181"/>
      <c r="I50" s="3181"/>
      <c r="J50" s="3181"/>
      <c r="K50" s="1382"/>
      <c r="L50" s="1091" t="s">
        <v>1441</v>
      </c>
      <c r="M50" s="2404"/>
      <c r="N50" s="2404"/>
      <c r="S50" s="1600"/>
      <c r="X50" s="1601"/>
      <c r="Y50" s="1601"/>
      <c r="Z50" s="1601"/>
      <c r="AA50" s="1601"/>
      <c r="AB50" s="1601"/>
      <c r="AC50" s="1601"/>
      <c r="AD50" s="1601"/>
      <c r="AV50" s="1525"/>
    </row>
    <row r="51" spans="1:48" s="1599" customFormat="1">
      <c r="A51" s="704"/>
      <c r="B51" s="2781"/>
      <c r="C51" s="1959"/>
      <c r="D51" s="3181"/>
      <c r="E51" s="3181"/>
      <c r="F51" s="3181"/>
      <c r="G51" s="3181"/>
      <c r="H51" s="3181"/>
      <c r="I51" s="3181"/>
      <c r="J51" s="3181"/>
      <c r="K51" s="1382"/>
      <c r="L51" s="2403"/>
      <c r="M51" s="2403"/>
      <c r="N51" s="156"/>
      <c r="S51" s="1600"/>
      <c r="X51" s="1601"/>
      <c r="Y51" s="1601"/>
      <c r="Z51" s="1601"/>
      <c r="AA51" s="1601"/>
      <c r="AB51" s="1601"/>
      <c r="AC51" s="1601"/>
      <c r="AD51" s="1601"/>
      <c r="AV51" s="1525"/>
    </row>
    <row r="52" spans="1:48" s="1599" customFormat="1">
      <c r="A52" s="704"/>
      <c r="B52" s="2781"/>
      <c r="C52" s="1959"/>
      <c r="D52" s="3181"/>
      <c r="E52" s="3181"/>
      <c r="F52" s="3181"/>
      <c r="G52" s="3181"/>
      <c r="H52" s="3181"/>
      <c r="I52" s="3181"/>
      <c r="J52" s="3181"/>
      <c r="K52" s="1382"/>
      <c r="L52" s="1389"/>
      <c r="M52" s="1389"/>
      <c r="N52" s="156"/>
      <c r="S52" s="1600"/>
      <c r="X52" s="1601"/>
      <c r="Y52" s="1601"/>
      <c r="Z52" s="1601"/>
      <c r="AA52" s="1601"/>
      <c r="AB52" s="1601"/>
      <c r="AC52" s="1601"/>
      <c r="AD52" s="1601"/>
      <c r="AV52" s="1525"/>
    </row>
    <row r="53" spans="1:48" s="1599" customFormat="1">
      <c r="A53" s="704"/>
      <c r="B53" s="2781"/>
      <c r="C53" s="1959"/>
      <c r="D53" s="3182" t="s">
        <v>2107</v>
      </c>
      <c r="E53" s="3182"/>
      <c r="F53" s="3182"/>
      <c r="G53" s="3182"/>
      <c r="H53" s="3182"/>
      <c r="I53" s="3182"/>
      <c r="J53" s="3182"/>
      <c r="K53" s="1382"/>
      <c r="M53" s="1091"/>
      <c r="N53" s="1091"/>
      <c r="S53" s="1600"/>
      <c r="X53" s="1601"/>
      <c r="Y53" s="1601"/>
      <c r="Z53" s="1601"/>
      <c r="AA53" s="1601"/>
      <c r="AB53" s="1601"/>
      <c r="AC53" s="1601"/>
      <c r="AD53" s="1601"/>
      <c r="AV53" s="1525"/>
    </row>
    <row r="54" spans="1:48" s="1599" customFormat="1">
      <c r="A54" s="704"/>
      <c r="B54" s="2781"/>
      <c r="C54" s="1959"/>
      <c r="D54" s="3182"/>
      <c r="E54" s="3182"/>
      <c r="F54" s="3182"/>
      <c r="G54" s="3182"/>
      <c r="H54" s="3182"/>
      <c r="I54" s="3182"/>
      <c r="J54" s="3182"/>
      <c r="K54" s="1382"/>
      <c r="L54" s="2404" t="s">
        <v>1826</v>
      </c>
      <c r="M54" s="1091"/>
      <c r="N54" s="1091"/>
      <c r="S54" s="1600"/>
      <c r="X54" s="1601"/>
      <c r="Y54" s="1601"/>
      <c r="Z54" s="1601"/>
      <c r="AA54" s="1601"/>
      <c r="AB54" s="1601"/>
      <c r="AC54" s="1601"/>
      <c r="AD54" s="1601"/>
      <c r="AV54" s="1525"/>
    </row>
    <row r="55" spans="1:48" s="1599" customFormat="1" ht="13.2" customHeight="1">
      <c r="A55" s="704"/>
      <c r="B55" s="2781"/>
      <c r="C55" s="1959"/>
      <c r="D55" s="1382" t="s">
        <v>2110</v>
      </c>
      <c r="E55" s="77"/>
      <c r="F55" s="77"/>
      <c r="G55" s="77"/>
      <c r="H55" s="77"/>
      <c r="I55" s="77"/>
      <c r="J55" s="77"/>
      <c r="K55" s="1382"/>
      <c r="L55" s="2404" t="s">
        <v>2182</v>
      </c>
      <c r="M55" s="2404"/>
      <c r="N55" s="2404"/>
      <c r="S55" s="1600"/>
      <c r="X55" s="1601"/>
      <c r="Y55" s="1601"/>
      <c r="Z55" s="1601"/>
      <c r="AA55" s="1601"/>
      <c r="AB55" s="1601"/>
      <c r="AC55" s="1601"/>
      <c r="AD55" s="1601"/>
      <c r="AV55" s="1525"/>
    </row>
    <row r="56" spans="1:48" s="166" customFormat="1">
      <c r="A56" s="704"/>
      <c r="B56" s="2781"/>
      <c r="C56" s="1959"/>
      <c r="D56" s="3179" t="s">
        <v>2194</v>
      </c>
      <c r="E56" s="3180"/>
      <c r="F56" s="3180"/>
      <c r="G56" s="3180"/>
      <c r="H56" s="3180"/>
      <c r="I56" s="3180"/>
      <c r="J56" s="3180"/>
      <c r="K56" s="1382"/>
      <c r="M56" s="1389"/>
      <c r="N56" s="156"/>
      <c r="S56" s="1395"/>
      <c r="X56" s="1391"/>
      <c r="Y56" s="1391"/>
      <c r="Z56" s="1391"/>
      <c r="AA56" s="1391"/>
      <c r="AB56" s="1391"/>
      <c r="AC56" s="1391"/>
      <c r="AD56" s="1391"/>
      <c r="AV56" s="1525"/>
    </row>
    <row r="57" spans="1:48" s="166" customFormat="1">
      <c r="A57" s="704"/>
      <c r="B57" s="2781"/>
      <c r="C57" s="1959"/>
      <c r="D57" s="3180"/>
      <c r="E57" s="3180"/>
      <c r="F57" s="3180"/>
      <c r="G57" s="3180"/>
      <c r="H57" s="3180"/>
      <c r="I57" s="3180"/>
      <c r="J57" s="3180"/>
      <c r="K57" s="1382"/>
      <c r="L57" s="2404" t="s">
        <v>1828</v>
      </c>
      <c r="M57" s="2404"/>
      <c r="N57" s="2404"/>
      <c r="S57" s="1395"/>
      <c r="X57" s="1391"/>
      <c r="Y57" s="1391"/>
      <c r="Z57" s="1391"/>
      <c r="AA57" s="1391"/>
      <c r="AB57" s="1391"/>
      <c r="AC57" s="1391"/>
      <c r="AD57" s="1391"/>
      <c r="AV57" s="1525"/>
    </row>
    <row r="58" spans="1:48" s="166" customFormat="1">
      <c r="A58" s="704"/>
      <c r="B58" s="2781"/>
      <c r="C58" s="1959"/>
      <c r="D58" s="3180"/>
      <c r="E58" s="3180"/>
      <c r="F58" s="3180"/>
      <c r="G58" s="3180"/>
      <c r="H58" s="3180"/>
      <c r="I58" s="3180"/>
      <c r="J58" s="3180"/>
      <c r="K58" s="1382"/>
      <c r="L58" s="2404" t="s">
        <v>2108</v>
      </c>
      <c r="M58" s="2404"/>
      <c r="N58" s="2404"/>
      <c r="S58" s="1395"/>
      <c r="X58" s="1391"/>
      <c r="Y58" s="1391"/>
      <c r="Z58" s="1391"/>
      <c r="AA58" s="1391"/>
      <c r="AB58" s="1391"/>
      <c r="AC58" s="1391"/>
      <c r="AD58" s="1391"/>
      <c r="AV58" s="1525"/>
    </row>
    <row r="59" spans="1:48" s="166" customFormat="1">
      <c r="A59" s="704"/>
      <c r="B59" s="2781"/>
      <c r="C59" s="1959"/>
      <c r="D59" s="1389"/>
      <c r="E59" s="77"/>
      <c r="F59" s="77"/>
      <c r="G59" s="77"/>
      <c r="H59" s="77"/>
      <c r="J59" s="1396"/>
      <c r="K59" s="1382"/>
      <c r="L59" s="2404"/>
      <c r="M59" s="2404"/>
      <c r="N59" s="2404"/>
      <c r="S59" s="1483"/>
      <c r="X59" s="1486"/>
      <c r="Y59" s="1486"/>
      <c r="Z59" s="1486"/>
      <c r="AA59" s="1486"/>
      <c r="AB59" s="1486"/>
      <c r="AC59" s="1486"/>
      <c r="AD59" s="1486"/>
      <c r="AV59" s="1525"/>
    </row>
    <row r="60" spans="1:48" s="1908" customFormat="1">
      <c r="A60" s="704"/>
      <c r="B60" s="2781"/>
      <c r="C60" s="1959"/>
      <c r="D60" s="1389"/>
      <c r="E60" s="77"/>
      <c r="F60" s="77"/>
      <c r="G60" s="77"/>
      <c r="H60" s="77"/>
      <c r="J60" s="1396"/>
      <c r="K60" s="1382"/>
      <c r="L60" s="2404"/>
      <c r="M60" s="2404"/>
      <c r="N60" s="2404"/>
      <c r="S60" s="1906"/>
      <c r="X60" s="2751"/>
      <c r="Y60" s="2751"/>
      <c r="Z60" s="2751"/>
      <c r="AA60" s="2751"/>
      <c r="AB60" s="2751"/>
      <c r="AC60" s="2751"/>
      <c r="AD60" s="2751"/>
      <c r="AV60" s="1525"/>
    </row>
    <row r="61" spans="1:48" s="166" customFormat="1">
      <c r="A61" s="1512" t="s">
        <v>1525</v>
      </c>
      <c r="B61" s="2783"/>
      <c r="C61" s="1945"/>
      <c r="D61" s="1930"/>
      <c r="E61" s="1930"/>
      <c r="F61" s="1930"/>
      <c r="G61" s="1930"/>
      <c r="H61" s="1930"/>
      <c r="I61" s="1930"/>
      <c r="J61" s="1930"/>
      <c r="K61" s="1382"/>
      <c r="M61" s="1389"/>
      <c r="N61" s="156"/>
      <c r="S61" s="1483"/>
      <c r="X61" s="1486"/>
      <c r="Y61" s="1486"/>
      <c r="Z61" s="1486"/>
      <c r="AA61" s="1486"/>
      <c r="AB61" s="1486"/>
      <c r="AC61" s="1486"/>
      <c r="AD61" s="1486"/>
      <c r="AV61" s="1525"/>
    </row>
    <row r="62" spans="1:48" s="166" customFormat="1">
      <c r="A62" s="704"/>
      <c r="B62" s="2781"/>
      <c r="C62" s="1959"/>
      <c r="D62" s="1930"/>
      <c r="E62" s="1930"/>
      <c r="F62" s="1930"/>
      <c r="G62" s="1930"/>
      <c r="H62" s="1930"/>
      <c r="I62" s="1930"/>
      <c r="J62" s="1930"/>
      <c r="K62" s="1382"/>
      <c r="M62" s="1389"/>
      <c r="N62" s="156"/>
      <c r="S62" s="1483"/>
      <c r="X62" s="1486"/>
      <c r="Y62" s="1486"/>
      <c r="Z62" s="1486"/>
      <c r="AA62" s="1486"/>
      <c r="AB62" s="1486"/>
      <c r="AC62" s="1486"/>
      <c r="AD62" s="1486"/>
      <c r="AV62" s="1525"/>
    </row>
    <row r="63" spans="1:48" s="1599" customFormat="1">
      <c r="A63" s="704"/>
      <c r="B63" s="2781"/>
      <c r="C63" s="1959"/>
      <c r="D63" s="1909"/>
      <c r="E63" s="1909"/>
      <c r="F63" s="1909"/>
      <c r="G63" s="1909"/>
      <c r="H63" s="1909"/>
      <c r="I63" s="1909"/>
      <c r="J63" s="1909"/>
      <c r="K63" s="1382"/>
      <c r="M63" s="1389"/>
      <c r="N63" s="156"/>
      <c r="S63" s="1600"/>
      <c r="X63" s="1601"/>
      <c r="Y63" s="1601"/>
      <c r="Z63" s="1601"/>
      <c r="AA63" s="1601"/>
      <c r="AB63" s="1601"/>
      <c r="AC63" s="1601"/>
      <c r="AD63" s="1601"/>
      <c r="AV63" s="1525"/>
    </row>
    <row r="64" spans="1:48" s="166" customFormat="1">
      <c r="A64" s="704"/>
      <c r="B64" s="2781"/>
      <c r="C64" s="1959"/>
      <c r="D64" s="1930"/>
      <c r="E64" s="1930"/>
      <c r="F64" s="1930"/>
      <c r="G64" s="1930"/>
      <c r="H64" s="1930"/>
      <c r="I64" s="1930"/>
      <c r="J64" s="1930"/>
      <c r="K64" s="1382"/>
      <c r="M64" s="1389"/>
      <c r="N64" s="156"/>
      <c r="S64" s="1483"/>
      <c r="X64" s="1486"/>
      <c r="Y64" s="1486"/>
      <c r="Z64" s="1486"/>
      <c r="AA64" s="1486"/>
      <c r="AB64" s="1486"/>
      <c r="AC64" s="1486"/>
      <c r="AD64" s="1486"/>
      <c r="AV64" s="1525"/>
    </row>
    <row r="65" spans="1:48" s="166" customFormat="1">
      <c r="A65" s="704"/>
      <c r="B65" s="2781"/>
      <c r="C65" s="1959"/>
      <c r="D65" s="1930"/>
      <c r="E65" s="1930"/>
      <c r="F65" s="1930"/>
      <c r="G65" s="1930"/>
      <c r="H65" s="1930"/>
      <c r="I65" s="1930"/>
      <c r="J65" s="1930"/>
      <c r="K65" s="1382"/>
      <c r="M65" s="1389"/>
      <c r="N65" s="156"/>
      <c r="S65" s="1483"/>
      <c r="X65" s="1486"/>
      <c r="Y65" s="1486"/>
      <c r="Z65" s="1486"/>
      <c r="AA65" s="1486"/>
      <c r="AB65" s="1486"/>
      <c r="AC65" s="1486"/>
      <c r="AD65" s="1486"/>
      <c r="AV65" s="1525"/>
    </row>
    <row r="66" spans="1:48" s="166" customFormat="1">
      <c r="A66" s="704"/>
      <c r="B66" s="2781"/>
      <c r="C66" s="1959"/>
      <c r="D66" s="1389"/>
      <c r="E66" s="77"/>
      <c r="F66" s="77"/>
      <c r="G66" s="77"/>
      <c r="H66" s="77"/>
      <c r="J66" s="1396"/>
      <c r="K66" s="1382"/>
      <c r="M66" s="1389"/>
      <c r="N66" s="156"/>
      <c r="S66" s="1483"/>
      <c r="X66" s="1486"/>
      <c r="Y66" s="1486"/>
      <c r="Z66" s="1486"/>
      <c r="AA66" s="1486"/>
      <c r="AB66" s="1486"/>
      <c r="AC66" s="1486"/>
      <c r="AD66" s="1486"/>
      <c r="AV66" s="1525"/>
    </row>
    <row r="67" spans="1:48" s="1908" customFormat="1">
      <c r="A67" s="704"/>
      <c r="B67" s="2781"/>
      <c r="C67" s="1959"/>
      <c r="D67" s="1389"/>
      <c r="E67" s="77"/>
      <c r="F67" s="77"/>
      <c r="G67" s="77"/>
      <c r="H67" s="77"/>
      <c r="J67" s="1396"/>
      <c r="K67" s="1382"/>
      <c r="M67" s="1389"/>
      <c r="N67" s="156"/>
      <c r="S67" s="1906"/>
      <c r="X67" s="1907"/>
      <c r="Y67" s="1907"/>
      <c r="Z67" s="1907"/>
      <c r="AA67" s="1907"/>
      <c r="AB67" s="1907"/>
      <c r="AC67" s="1907"/>
      <c r="AD67" s="1907"/>
      <c r="AV67" s="1525"/>
    </row>
    <row r="68" spans="1:48" s="166" customFormat="1">
      <c r="A68" s="3248" t="s">
        <v>2271</v>
      </c>
      <c r="B68" s="3248"/>
      <c r="C68" s="1959"/>
      <c r="D68" s="706"/>
      <c r="E68" s="680"/>
      <c r="F68" s="680"/>
      <c r="G68" s="680"/>
      <c r="H68" s="680"/>
      <c r="I68" s="706"/>
      <c r="J68" s="706"/>
      <c r="K68" s="706"/>
      <c r="L68" s="1928"/>
      <c r="M68" s="1908"/>
      <c r="N68" s="706"/>
      <c r="AJ68" s="1908"/>
      <c r="AV68" s="1525"/>
    </row>
    <row r="69" spans="1:48" s="1908" customFormat="1">
      <c r="A69" s="1926"/>
      <c r="B69" s="2784"/>
      <c r="C69" s="1959"/>
      <c r="E69" s="77"/>
      <c r="F69" s="77"/>
      <c r="G69" s="77"/>
      <c r="H69" s="77"/>
      <c r="K69" s="1382"/>
      <c r="M69" s="1389"/>
      <c r="N69" s="156"/>
      <c r="X69" s="1390"/>
      <c r="Y69" s="1390"/>
      <c r="Z69" s="1390"/>
      <c r="AA69" s="1390"/>
      <c r="AB69" s="1390"/>
      <c r="AC69" s="1390"/>
      <c r="AD69" s="1390"/>
      <c r="AV69" s="1525"/>
    </row>
    <row r="70" spans="1:48" s="1908" customFormat="1">
      <c r="B70" s="2782"/>
      <c r="C70" s="1960"/>
      <c r="D70" s="243"/>
      <c r="E70" s="243"/>
      <c r="F70" s="243"/>
      <c r="G70" s="243"/>
      <c r="H70" s="243"/>
      <c r="I70" s="941" t="s">
        <v>1017</v>
      </c>
      <c r="J70" s="244"/>
      <c r="K70" s="1927" t="s">
        <v>1827</v>
      </c>
      <c r="L70" s="532"/>
      <c r="O70" s="156"/>
      <c r="AV70" s="1525"/>
    </row>
    <row r="71" spans="1:48" s="166" customFormat="1" ht="13.2" customHeight="1">
      <c r="A71" s="704"/>
      <c r="B71" s="2781"/>
      <c r="C71" s="1959"/>
      <c r="D71" s="836" t="s">
        <v>916</v>
      </c>
      <c r="E71" s="836" t="s">
        <v>917</v>
      </c>
      <c r="F71" s="243"/>
      <c r="G71" s="243"/>
      <c r="H71" s="243"/>
      <c r="I71" s="1042" t="s">
        <v>2111</v>
      </c>
      <c r="J71" s="244"/>
      <c r="K71" s="327" t="s">
        <v>2112</v>
      </c>
      <c r="L71" s="2261"/>
      <c r="O71" s="156"/>
      <c r="AV71" s="1525"/>
    </row>
    <row r="72" spans="1:48" ht="13.2" customHeight="1">
      <c r="A72" s="3249" t="s">
        <v>786</v>
      </c>
      <c r="B72" s="3250"/>
      <c r="C72" s="1961"/>
      <c r="D72" s="681" t="s">
        <v>367</v>
      </c>
      <c r="E72" s="681" t="s">
        <v>912</v>
      </c>
      <c r="F72" s="681" t="s">
        <v>913</v>
      </c>
      <c r="G72" s="681" t="s">
        <v>914</v>
      </c>
      <c r="H72" s="681" t="s">
        <v>915</v>
      </c>
      <c r="I72" s="3261" t="s">
        <v>884</v>
      </c>
      <c r="J72" s="1266" t="s">
        <v>787</v>
      </c>
      <c r="K72" s="3201" t="s">
        <v>790</v>
      </c>
      <c r="L72" s="3202"/>
      <c r="N72" s="2822" t="s">
        <v>787</v>
      </c>
    </row>
    <row r="73" spans="1:48">
      <c r="A73" s="707"/>
      <c r="B73" s="708"/>
      <c r="C73" s="1961"/>
      <c r="D73" s="682"/>
      <c r="E73" s="682"/>
      <c r="F73" s="682"/>
      <c r="G73" s="682"/>
      <c r="H73" s="682"/>
      <c r="I73" s="3262"/>
      <c r="J73" s="1267" t="s">
        <v>788</v>
      </c>
      <c r="K73" s="3203" t="s">
        <v>791</v>
      </c>
      <c r="L73" s="3204"/>
      <c r="N73" s="2823" t="s">
        <v>789</v>
      </c>
    </row>
    <row r="74" spans="1:48" s="889" customFormat="1">
      <c r="A74" s="877" t="s">
        <v>502</v>
      </c>
      <c r="B74" s="878" t="s">
        <v>52</v>
      </c>
      <c r="C74" s="1962"/>
      <c r="D74" s="883" t="str">
        <f>'SEGMENTS Data &amp; Estimates'!J41</f>
        <v>N/a</v>
      </c>
      <c r="E74" s="884" t="str">
        <f>'SEGMENTS Data &amp; Estimates'!K41</f>
        <v>N/a</v>
      </c>
      <c r="F74" s="884" t="str">
        <f>'SEGMENTS Data &amp; Estimates'!L41</f>
        <v>N/a</v>
      </c>
      <c r="G74" s="885">
        <f>'SEGMENTS Data &amp; Estimates'!M41</f>
        <v>0.60734824281150157</v>
      </c>
      <c r="H74" s="886">
        <f>'SEGMENTS Data &amp; Estimates'!N41</f>
        <v>0.60938914027149316</v>
      </c>
      <c r="I74" s="673" t="s">
        <v>1305</v>
      </c>
      <c r="J74" s="675">
        <v>0.61</v>
      </c>
      <c r="K74" s="2396" t="s">
        <v>513</v>
      </c>
      <c r="L74" s="888"/>
      <c r="N74" s="2824"/>
      <c r="AV74" s="2373"/>
    </row>
    <row r="75" spans="1:48" s="186" customFormat="1">
      <c r="A75" s="877" t="s">
        <v>389</v>
      </c>
      <c r="B75" s="878" t="s">
        <v>278</v>
      </c>
      <c r="C75" s="1962"/>
      <c r="D75" s="842">
        <f>'SEGMENTS Data &amp; Estimates'!J305</f>
        <v>0.5981133158250882</v>
      </c>
      <c r="E75" s="517">
        <f>'SEGMENTS Data &amp; Estimates'!K305</f>
        <v>0.5997848900947319</v>
      </c>
      <c r="F75" s="517">
        <f>'SEGMENTS Data &amp; Estimates'!L305</f>
        <v>0.61298310621604546</v>
      </c>
      <c r="G75" s="517">
        <f>'SEGMENTS Data &amp; Estimates'!M305</f>
        <v>0.6291371778838869</v>
      </c>
      <c r="H75" s="518">
        <f>'SEGMENTS Data &amp; Estimates'!N305</f>
        <v>0.63280000000000003</v>
      </c>
      <c r="I75" s="74" t="s">
        <v>1306</v>
      </c>
      <c r="J75" s="675">
        <f t="shared" ref="J75:J80" si="0">(D75+2*E75+2*F75+AVERAGE(G75,H75))/6</f>
        <v>0.60910298289809772</v>
      </c>
      <c r="K75" s="420" t="s">
        <v>513</v>
      </c>
      <c r="L75" s="878"/>
      <c r="N75" s="2824">
        <f t="shared" ref="N75:N80" si="1">(D75-AVERAGE(G75,H75))/AVERAGE(G75,H75)</f>
        <v>-5.2071170724915891E-2</v>
      </c>
      <c r="AV75" s="2374"/>
    </row>
    <row r="76" spans="1:48" s="156" customFormat="1" ht="13.2" customHeight="1">
      <c r="A76" s="686" t="s">
        <v>323</v>
      </c>
      <c r="B76" s="695" t="s">
        <v>280</v>
      </c>
      <c r="C76" s="1956"/>
      <c r="D76" s="688">
        <f>'SEGMENTS Data &amp; Estimates'!J17</f>
        <v>0.33871396895787137</v>
      </c>
      <c r="E76" s="689">
        <f>'SEGMENTS Data &amp; Estimates'!K17</f>
        <v>0.37386600083229293</v>
      </c>
      <c r="F76" s="689">
        <f>'SEGMENTS Data &amp; Estimates'!L17</f>
        <v>0.3800947867298578</v>
      </c>
      <c r="G76" s="689">
        <f>'SEGMENTS Data &amp; Estimates'!M17</f>
        <v>0.38080446037435289</v>
      </c>
      <c r="H76" s="690">
        <f>'SEGMENTS Data &amp; Estimates'!N17</f>
        <v>0.38496530454895916</v>
      </c>
      <c r="I76" s="815" t="s">
        <v>963</v>
      </c>
      <c r="J76" s="691">
        <f t="shared" si="0"/>
        <v>0.37158673775730477</v>
      </c>
      <c r="K76" s="2397" t="s">
        <v>513</v>
      </c>
      <c r="L76" s="692"/>
      <c r="N76" s="2825">
        <f t="shared" si="1"/>
        <v>-0.1153634304384116</v>
      </c>
      <c r="AV76" s="1525"/>
    </row>
    <row r="77" spans="1:48" s="836" customFormat="1">
      <c r="A77" s="686" t="s">
        <v>323</v>
      </c>
      <c r="B77" s="695" t="s">
        <v>277</v>
      </c>
      <c r="C77" s="1956"/>
      <c r="D77" s="890">
        <f>'SEGMENTS Data &amp; Estimates'!J100</f>
        <v>0.94</v>
      </c>
      <c r="E77" s="891">
        <f>'SEGMENTS Data &amp; Estimates'!K100</f>
        <v>0.90459999999999996</v>
      </c>
      <c r="F77" s="891">
        <f>'SEGMENTS Data &amp; Estimates'!L100</f>
        <v>0.89960000000000007</v>
      </c>
      <c r="G77" s="891">
        <f>'SEGMENTS Data &amp; Estimates'!M100</f>
        <v>0.91289999999999993</v>
      </c>
      <c r="H77" s="892">
        <f>'SEGMENTS Data &amp; Estimates'!N100</f>
        <v>0.94497650196875393</v>
      </c>
      <c r="I77" s="815" t="s">
        <v>518</v>
      </c>
      <c r="J77" s="691">
        <f t="shared" si="0"/>
        <v>0.91288970849739615</v>
      </c>
      <c r="K77" s="2398" t="s">
        <v>793</v>
      </c>
      <c r="L77" s="893"/>
      <c r="N77" s="2825">
        <f t="shared" si="1"/>
        <v>1.1907948675707087E-2</v>
      </c>
      <c r="AV77" s="2375"/>
    </row>
    <row r="78" spans="1:48" s="156" customFormat="1" ht="13.2" customHeight="1">
      <c r="A78" s="686" t="s">
        <v>323</v>
      </c>
      <c r="B78" s="695" t="s">
        <v>283</v>
      </c>
      <c r="C78" s="1956"/>
      <c r="D78" s="688">
        <f>'SEGMENTS Data &amp; Estimates'!J336</f>
        <v>0.14257620452310718</v>
      </c>
      <c r="E78" s="689">
        <f>'SEGMENTS Data &amp; Estimates'!K336</f>
        <v>7.1198280494357877E-2</v>
      </c>
      <c r="F78" s="689">
        <f>'SEGMENTS Data &amp; Estimates'!L336</f>
        <v>4.6128672886784572E-2</v>
      </c>
      <c r="G78" s="689">
        <f>'SEGMENTS Data &amp; Estimates'!M336</f>
        <v>1.2317167051578136E-2</v>
      </c>
      <c r="H78" s="693">
        <f>'SEGMENTS Data &amp; Estimates'!N336</f>
        <v>5.8479532163742687E-3</v>
      </c>
      <c r="I78" s="815" t="s">
        <v>548</v>
      </c>
      <c r="J78" s="691">
        <f t="shared" si="0"/>
        <v>6.4385445236561381E-2</v>
      </c>
      <c r="K78" s="2397" t="s">
        <v>513</v>
      </c>
      <c r="L78" s="692"/>
      <c r="N78" s="2825">
        <f t="shared" si="1"/>
        <v>14.697799124913645</v>
      </c>
      <c r="AV78" s="1525"/>
    </row>
    <row r="79" spans="1:48" s="152" customFormat="1" ht="13.2" customHeight="1">
      <c r="A79" s="527" t="s">
        <v>545</v>
      </c>
      <c r="B79" s="307" t="s">
        <v>39</v>
      </c>
      <c r="C79" s="1939"/>
      <c r="D79" s="508">
        <f>'SEGMENTS Data &amp; Estimates'!J327</f>
        <v>0.28165979767703259</v>
      </c>
      <c r="E79" s="509">
        <f>'SEGMENTS Data &amp; Estimates'!K327</f>
        <v>0.3071143460906316</v>
      </c>
      <c r="F79" s="509">
        <f>'SEGMENTS Data &amp; Estimates'!L327</f>
        <v>0.32458830210107892</v>
      </c>
      <c r="G79" s="509">
        <f>'SEGMENTS Data &amp; Estimates'!M327</f>
        <v>0.32231864708500224</v>
      </c>
      <c r="H79" s="510">
        <f>'SEGMENTS Data &amp; Estimates'!N327</f>
        <v>0.3141425389755011</v>
      </c>
      <c r="I79" s="298" t="s">
        <v>622</v>
      </c>
      <c r="J79" s="246">
        <f t="shared" si="0"/>
        <v>0.31054928118178421</v>
      </c>
      <c r="K79" s="527" t="s">
        <v>614</v>
      </c>
      <c r="L79" s="307"/>
      <c r="N79" s="2826">
        <f t="shared" si="1"/>
        <v>-0.11491916916279199</v>
      </c>
      <c r="AV79" s="670"/>
    </row>
    <row r="80" spans="1:48" s="73" customFormat="1" ht="13.2" customHeight="1">
      <c r="A80" s="528" t="s">
        <v>219</v>
      </c>
      <c r="B80" s="308" t="s">
        <v>53</v>
      </c>
      <c r="C80" s="1956"/>
      <c r="D80" s="511">
        <f>'SEGMENTS Data &amp; Estimates'!J196</f>
        <v>0.63960508302071395</v>
      </c>
      <c r="E80" s="512">
        <f>'SEGMENTS Data &amp; Estimates'!K196</f>
        <v>0.63691258302278264</v>
      </c>
      <c r="F80" s="512">
        <f>'SEGMENTS Data &amp; Estimates'!L196</f>
        <v>0.60295119120080787</v>
      </c>
      <c r="G80" s="512">
        <f>'SEGMENTS Data &amp; Estimates'!M196</f>
        <v>0.57174659410117801</v>
      </c>
      <c r="H80" s="513">
        <f>'SEGMENTS Data &amp; Estimates'!N196</f>
        <v>0.58023511894181368</v>
      </c>
      <c r="I80" s="259" t="s">
        <v>876</v>
      </c>
      <c r="J80" s="246">
        <f t="shared" si="0"/>
        <v>0.6158872479982318</v>
      </c>
      <c r="K80" s="2399" t="s">
        <v>513</v>
      </c>
      <c r="L80" s="308"/>
      <c r="N80" s="2826">
        <f t="shared" si="1"/>
        <v>0.11044311863454735</v>
      </c>
      <c r="AV80" s="669"/>
    </row>
    <row r="81" spans="1:48" s="889" customFormat="1">
      <c r="A81" s="877" t="s">
        <v>73</v>
      </c>
      <c r="B81" s="878" t="s">
        <v>285</v>
      </c>
      <c r="C81" s="1962"/>
      <c r="D81" s="894" t="str">
        <f>'SEGMENTS Data &amp; Estimates'!J53</f>
        <v>N/a</v>
      </c>
      <c r="E81" s="895">
        <f>'SEGMENTS Data &amp; Estimates'!K53</f>
        <v>0.64439999999999997</v>
      </c>
      <c r="F81" s="895">
        <f>'SEGMENTS Data &amp; Estimates'!L53</f>
        <v>0.6079</v>
      </c>
      <c r="G81" s="895">
        <f>'SEGMENTS Data &amp; Estimates'!M53</f>
        <v>0.62159999999999993</v>
      </c>
      <c r="H81" s="896">
        <f>'SEGMENTS Data &amp; Estimates'!N53</f>
        <v>0.59929999999999994</v>
      </c>
      <c r="I81" s="2832" t="s">
        <v>2195</v>
      </c>
      <c r="J81" s="247">
        <f>(3*E81+2*F81+AVERAGE(G81,H81))/6</f>
        <v>0.62657499999999999</v>
      </c>
      <c r="K81" s="420" t="s">
        <v>513</v>
      </c>
      <c r="L81" s="888"/>
      <c r="N81" s="2824">
        <f>(E81-AVERAGE(G81,H81))/AVERAGE(G81,H81)</f>
        <v>5.5614710459497153E-2</v>
      </c>
      <c r="AV81" s="2373"/>
    </row>
    <row r="82" spans="1:48" s="152" customFormat="1" ht="13.8" customHeight="1">
      <c r="A82" s="420" t="s">
        <v>19</v>
      </c>
      <c r="B82" s="308" t="s">
        <v>287</v>
      </c>
      <c r="C82" s="1956"/>
      <c r="D82" s="508">
        <f>'SEGMENTS Data &amp; Estimates'!R61</f>
        <v>0.32841368754782985</v>
      </c>
      <c r="E82" s="509">
        <f>'SEGMENTS Data &amp; Estimates'!S61</f>
        <v>0.22136769902307213</v>
      </c>
      <c r="F82" s="509">
        <f>'SEGMENTS Data &amp; Estimates'!T61</f>
        <v>0</v>
      </c>
      <c r="G82" s="509">
        <f>'SEGMENTS Data &amp; Estimates'!U61</f>
        <v>0</v>
      </c>
      <c r="H82" s="510">
        <f>'SEGMENTS Data &amp; Estimates'!V61</f>
        <v>0</v>
      </c>
      <c r="I82" s="253" t="s">
        <v>529</v>
      </c>
      <c r="J82" s="246">
        <f>(D82+'SEGMENTS Data &amp; Estimates'!S61+E82+2*F82+AVERAGE(G82,H82))/6</f>
        <v>0.12852484759899571</v>
      </c>
      <c r="K82" s="527" t="s">
        <v>594</v>
      </c>
      <c r="L82" s="307"/>
      <c r="N82" s="2827" t="s">
        <v>276</v>
      </c>
      <c r="AV82" s="670"/>
    </row>
    <row r="83" spans="1:48" s="152" customFormat="1">
      <c r="A83" s="420" t="s">
        <v>19</v>
      </c>
      <c r="B83" s="308" t="s">
        <v>288</v>
      </c>
      <c r="C83" s="1956"/>
      <c r="D83" s="514">
        <f>'SEGMENTS Data &amp; Estimates'!J113</f>
        <v>0.60484412483227945</v>
      </c>
      <c r="E83" s="515">
        <f>'SEGMENTS Data &amp; Estimates'!K113</f>
        <v>0.61350000000000005</v>
      </c>
      <c r="F83" s="515">
        <f>'SEGMENTS Data &amp; Estimates'!L113</f>
        <v>0.61580000000000001</v>
      </c>
      <c r="G83" s="515">
        <f>'SEGMENTS Data &amp; Estimates'!M113</f>
        <v>0.59439999999999993</v>
      </c>
      <c r="H83" s="516">
        <f>'SEGMENTS Data &amp; Estimates'!N113</f>
        <v>0.56769999999999998</v>
      </c>
      <c r="I83" s="816" t="s">
        <v>964</v>
      </c>
      <c r="J83" s="246">
        <f>(D83+2*E83+2*F83+AVERAGE(G83,H83))/6</f>
        <v>0.60741568747204655</v>
      </c>
      <c r="K83" s="2399" t="s">
        <v>513</v>
      </c>
      <c r="L83" s="307"/>
      <c r="N83" s="2826">
        <f>(D83-AVERAGE(G83,H83))/AVERAGE(G83,H83)</f>
        <v>4.0950219141690898E-2</v>
      </c>
      <c r="AV83" s="670"/>
    </row>
    <row r="84" spans="1:48" s="73" customFormat="1" ht="13.8" customHeight="1">
      <c r="A84" s="420" t="s">
        <v>378</v>
      </c>
      <c r="B84" s="308" t="s">
        <v>42</v>
      </c>
      <c r="C84" s="1956"/>
      <c r="D84" s="511">
        <f>'SEGMENTS Data &amp; Estimates'!J118</f>
        <v>0.46153846153846151</v>
      </c>
      <c r="E84" s="512">
        <f>'SEGMENTS Data &amp; Estimates'!K118</f>
        <v>0.52747252747252749</v>
      </c>
      <c r="F84" s="512">
        <f>'SEGMENTS Data &amp; Estimates'!L118</f>
        <v>0.5</v>
      </c>
      <c r="G84" s="512">
        <f>'SEGMENTS Data &amp; Estimates'!M118</f>
        <v>0.49406688241639696</v>
      </c>
      <c r="H84" s="513">
        <f>'SEGMENTS Data &amp; Estimates'!N118</f>
        <v>0.48849999999999999</v>
      </c>
      <c r="I84" s="259" t="s">
        <v>877</v>
      </c>
      <c r="J84" s="246">
        <f>(D84+2*E84+2*F84+AVERAGE(G84,H84))/6</f>
        <v>0.50129449294861916</v>
      </c>
      <c r="K84" s="420" t="s">
        <v>655</v>
      </c>
      <c r="L84" s="308"/>
      <c r="N84" s="2826">
        <f>(D84-AVERAGE(G84,H84))/AVERAGE(G84,H84)</f>
        <v>-6.0545455382306421E-2</v>
      </c>
      <c r="AV84" s="669"/>
    </row>
    <row r="85" spans="1:48" s="889" customFormat="1">
      <c r="A85" s="877" t="s">
        <v>503</v>
      </c>
      <c r="B85" s="878" t="s">
        <v>286</v>
      </c>
      <c r="C85" s="1962"/>
      <c r="D85" s="842" t="str">
        <f>'SEGMENTS Data &amp; Estimates'!J286</f>
        <v>N/a</v>
      </c>
      <c r="E85" s="517">
        <f>'SEGMENTS Data &amp; Estimates'!K286</f>
        <v>0.34090000000000004</v>
      </c>
      <c r="F85" s="517">
        <f>'SEGMENTS Data &amp; Estimates'!L286</f>
        <v>0.34439999999999998</v>
      </c>
      <c r="G85" s="517">
        <f>'SEGMENTS Data &amp; Estimates'!M286</f>
        <v>0.35269999999999996</v>
      </c>
      <c r="H85" s="518">
        <f>'SEGMENTS Data &amp; Estimates'!N286</f>
        <v>0.36840000000000006</v>
      </c>
      <c r="I85" s="1515" t="s">
        <v>593</v>
      </c>
      <c r="J85" s="247">
        <f>(3*E85+2*F85+AVERAGE(G85,H85))/6</f>
        <v>0.34534166666666666</v>
      </c>
      <c r="K85" s="420" t="s">
        <v>513</v>
      </c>
      <c r="L85" s="888"/>
      <c r="N85" s="2824">
        <f>(E85-AVERAGE(G85,H85))/AVERAGE(G85,H85)</f>
        <v>-5.4500069338510607E-2</v>
      </c>
      <c r="AV85" s="2373"/>
    </row>
    <row r="86" spans="1:48" s="152" customFormat="1">
      <c r="A86" s="420" t="s">
        <v>504</v>
      </c>
      <c r="B86" s="308" t="s">
        <v>281</v>
      </c>
      <c r="C86" s="1956"/>
      <c r="D86" s="508">
        <f>'SEGMENTS Data &amp; Estimates'!J228</f>
        <v>0.74956908795771016</v>
      </c>
      <c r="E86" s="509">
        <f>'SEGMENTS Data &amp; Estimates'!K228</f>
        <v>0.74956908795771016</v>
      </c>
      <c r="F86" s="509">
        <f>'SEGMENTS Data &amp; Estimates'!L228</f>
        <v>0.74064395459926657</v>
      </c>
      <c r="G86" s="509">
        <f>'SEGMENTS Data &amp; Estimates'!M228</f>
        <v>0.72734227118729622</v>
      </c>
      <c r="H86" s="510">
        <f>'SEGMENTS Data &amp; Estimates'!N228</f>
        <v>0.62585722455497383</v>
      </c>
      <c r="I86" s="930" t="s">
        <v>1003</v>
      </c>
      <c r="J86" s="246">
        <f>(D86+2*E86+2*F86+AVERAGE(G86,H86))/6</f>
        <v>0.7344324868237998</v>
      </c>
      <c r="K86" s="1039" t="s">
        <v>513</v>
      </c>
      <c r="L86" s="307"/>
      <c r="N86" s="2826">
        <f>(D86-AVERAGE(G86,H86))/AVERAGE(G86,H86)</f>
        <v>0.10784712869930438</v>
      </c>
      <c r="AV86" s="670"/>
    </row>
    <row r="87" spans="1:48" s="152" customFormat="1">
      <c r="A87" s="420" t="s">
        <v>505</v>
      </c>
      <c r="B87" s="308" t="s">
        <v>44</v>
      </c>
      <c r="C87" s="1956"/>
      <c r="D87" s="843">
        <f>'SEGMENTS Data &amp; Estimates'!J95</f>
        <v>0.60384301884652736</v>
      </c>
      <c r="E87" s="844">
        <f>'SEGMENTS Data &amp; Estimates'!K95</f>
        <v>0.58456622894085752</v>
      </c>
      <c r="F87" s="844">
        <f>'SEGMENTS Data &amp; Estimates'!L95</f>
        <v>0.57677450305568967</v>
      </c>
      <c r="G87" s="844">
        <f>'SEGMENTS Data &amp; Estimates'!M95</f>
        <v>0.56336418097946095</v>
      </c>
      <c r="H87" s="845">
        <f>'SEGMENTS Data &amp; Estimates'!N95</f>
        <v>0.5497633776823857</v>
      </c>
      <c r="I87" s="259" t="s">
        <v>855</v>
      </c>
      <c r="J87" s="246">
        <f>(D87+2*E87+2*F87+AVERAGE(G87,H87))/6</f>
        <v>0.5805147103617575</v>
      </c>
      <c r="K87" s="420" t="s">
        <v>513</v>
      </c>
      <c r="L87" s="307"/>
      <c r="N87" s="2824">
        <f>(D87-AVERAGE(G87,H87))/AVERAGE(G87,H87)</f>
        <v>8.4948466413752491E-2</v>
      </c>
      <c r="AV87" s="670"/>
    </row>
    <row r="88" spans="1:48" s="152" customFormat="1" ht="13.2" customHeight="1">
      <c r="A88" s="420" t="s">
        <v>506</v>
      </c>
      <c r="B88" s="308" t="s">
        <v>289</v>
      </c>
      <c r="C88" s="1956"/>
      <c r="D88" s="508">
        <f>'SEGMENTS Data &amp; Estimates'!J350</f>
        <v>0.51013567438148444</v>
      </c>
      <c r="E88" s="509">
        <f>'SEGMENTS Data &amp; Estimates'!K350</f>
        <v>0.51945984623640407</v>
      </c>
      <c r="F88" s="509">
        <f>'SEGMENTS Data &amp; Estimates'!L350</f>
        <v>0.50193588936770728</v>
      </c>
      <c r="G88" s="509">
        <f>'SEGMENTS Data &amp; Estimates'!M350</f>
        <v>0.47779411910514158</v>
      </c>
      <c r="H88" s="510">
        <f>'SEGMENTS Data &amp; Estimates'!N350</f>
        <v>0.4566820303658996</v>
      </c>
      <c r="I88" s="816" t="s">
        <v>878</v>
      </c>
      <c r="J88" s="246">
        <f>(D88+2*E88+2*F88+AVERAGE(G88,H88))/6</f>
        <v>0.5033608700542046</v>
      </c>
      <c r="K88" s="2399" t="s">
        <v>708</v>
      </c>
      <c r="L88" s="307"/>
      <c r="N88" s="2826">
        <f>(D88-AVERAGE(G88,H88))/AVERAGE(G88,H88)</f>
        <v>9.1811010201268306E-2</v>
      </c>
      <c r="AV88" s="670"/>
    </row>
    <row r="89" spans="1:48" s="889" customFormat="1" ht="13.8" customHeight="1">
      <c r="A89" s="877" t="s">
        <v>27</v>
      </c>
      <c r="B89" s="878" t="s">
        <v>54</v>
      </c>
      <c r="C89" s="1962"/>
      <c r="D89" s="894"/>
      <c r="E89" s="898">
        <f>'SEGMENTS Data &amp; Estimates'!K163</f>
        <v>0.47118282781144899</v>
      </c>
      <c r="F89" s="898">
        <f>'SEGMENTS Data &amp; Estimates'!L163</f>
        <v>0.47161841926509007</v>
      </c>
      <c r="G89" s="898">
        <f>'SEGMENTS Data &amp; Estimates'!M163</f>
        <v>0.55085692480500315</v>
      </c>
      <c r="H89" s="899">
        <f>'SEGMENTS Data &amp; Estimates'!N163</f>
        <v>0.5101</v>
      </c>
      <c r="I89" s="897" t="s">
        <v>1243</v>
      </c>
      <c r="J89" s="675">
        <f>(3*E89+2*F89+G89)/6</f>
        <v>0.48460704112825509</v>
      </c>
      <c r="K89" s="877" t="s">
        <v>709</v>
      </c>
      <c r="L89" s="888"/>
      <c r="N89" s="2824">
        <f>(E89-G89)/G89*1.25</f>
        <v>-0.18079580514885477</v>
      </c>
      <c r="AV89" s="2373"/>
    </row>
    <row r="90" spans="1:48" s="152" customFormat="1">
      <c r="A90" s="420" t="s">
        <v>32</v>
      </c>
      <c r="B90" s="308" t="s">
        <v>50</v>
      </c>
      <c r="C90" s="1956"/>
      <c r="D90" s="514">
        <v>0</v>
      </c>
      <c r="E90" s="515">
        <f>D90</f>
        <v>0</v>
      </c>
      <c r="F90" s="515">
        <f>E90</f>
        <v>0</v>
      </c>
      <c r="G90" s="515">
        <f>F90</f>
        <v>0</v>
      </c>
      <c r="H90" s="516">
        <f>G90</f>
        <v>0</v>
      </c>
      <c r="I90" s="298" t="s">
        <v>624</v>
      </c>
      <c r="J90" s="246">
        <f>(3*E90+2*F90+G90)/6</f>
        <v>0</v>
      </c>
      <c r="K90" s="420" t="s">
        <v>513</v>
      </c>
      <c r="L90" s="307"/>
      <c r="N90" s="2826">
        <v>0</v>
      </c>
      <c r="AV90" s="670"/>
    </row>
    <row r="91" spans="1:48" s="152" customFormat="1">
      <c r="A91" s="420" t="s">
        <v>32</v>
      </c>
      <c r="B91" s="308" t="s">
        <v>279</v>
      </c>
      <c r="C91" s="1956"/>
      <c r="D91" s="519"/>
      <c r="E91" s="515">
        <f>'SEGMENTS Data &amp; Estimates'!K392</f>
        <v>0.88549999999999995</v>
      </c>
      <c r="F91" s="515">
        <f>'SEGMENTS Data &amp; Estimates'!L392</f>
        <v>0.92209999999999992</v>
      </c>
      <c r="G91" s="515">
        <f>'SEGMENTS Data &amp; Estimates'!M392</f>
        <v>0.92590000000000006</v>
      </c>
      <c r="H91" s="516">
        <f>'SEGMENTS Data &amp; Estimates'!N392</f>
        <v>0.92599999999999993</v>
      </c>
      <c r="I91" s="817" t="s">
        <v>707</v>
      </c>
      <c r="J91" s="246">
        <f>AVERAGE(E91:H91)</f>
        <v>0.91487499999999988</v>
      </c>
      <c r="K91" s="420" t="s">
        <v>513</v>
      </c>
      <c r="L91" s="307"/>
      <c r="N91" s="2826">
        <f>(E91-H91)/H91</f>
        <v>-4.3736501079913587E-2</v>
      </c>
      <c r="AV91" s="670"/>
    </row>
    <row r="92" spans="1:48" s="152" customFormat="1" ht="13.2" customHeight="1">
      <c r="A92" s="420" t="s">
        <v>507</v>
      </c>
      <c r="B92" s="308" t="s">
        <v>284</v>
      </c>
      <c r="C92" s="1956"/>
      <c r="D92" s="508">
        <f>'SEGMENTS Data &amp; Estimates'!J368</f>
        <v>0.68421052631578949</v>
      </c>
      <c r="E92" s="512">
        <f>'SEGMENTS Data &amp; Estimates'!K368</f>
        <v>0.66320754716981123</v>
      </c>
      <c r="F92" s="509">
        <f>'SEGMENTS Data &amp; Estimates'!L368</f>
        <v>0.65246212121212122</v>
      </c>
      <c r="G92" s="509">
        <f>'SEGMENTS Data &amp; Estimates'!M368</f>
        <v>0.62745098039215697</v>
      </c>
      <c r="H92" s="510">
        <f>'SEGMENTS Data &amp; Estimates'!N368</f>
        <v>0.60165593376264948</v>
      </c>
      <c r="I92" s="816" t="s">
        <v>879</v>
      </c>
      <c r="J92" s="246">
        <f>(D92+2*E92+2*F92+AVERAGE(G92,H92))/6</f>
        <v>0.65501722002617635</v>
      </c>
      <c r="K92" s="2399" t="s">
        <v>1839</v>
      </c>
      <c r="L92" s="307"/>
      <c r="N92" s="2826">
        <f>(D92-AVERAGE(G92,H92))/AVERAGE(G92,H92)</f>
        <v>0.11334582604034234</v>
      </c>
      <c r="AV92" s="670"/>
    </row>
    <row r="93" spans="1:48" s="152" customFormat="1" ht="27" customHeight="1">
      <c r="A93" s="420" t="s">
        <v>507</v>
      </c>
      <c r="B93" s="308" t="s">
        <v>282</v>
      </c>
      <c r="C93" s="1956"/>
      <c r="D93" s="508">
        <f>'SEGMENTS Data &amp; Estimates'!J249</f>
        <v>0.70854203330174637</v>
      </c>
      <c r="E93" s="509">
        <f>'SEGMENTS Data &amp; Estimates'!K249</f>
        <v>0.68050224448637042</v>
      </c>
      <c r="F93" s="509">
        <f>'SEGMENTS Data &amp; Estimates'!L249</f>
        <v>0.72117791411042942</v>
      </c>
      <c r="G93" s="509">
        <f>'SEGMENTS Data &amp; Estimates'!M249</f>
        <v>0.67187033164027488</v>
      </c>
      <c r="H93" s="510">
        <f>'SEGMENTS Data &amp; Estimates'!N249</f>
        <v>0.62427731007201537</v>
      </c>
      <c r="I93" s="816" t="s">
        <v>880</v>
      </c>
      <c r="J93" s="246">
        <f>(D93+2*E93+2*F93+AVERAGE(G93,H93))/6</f>
        <v>0.69332936189191507</v>
      </c>
      <c r="K93" s="3199" t="s">
        <v>665</v>
      </c>
      <c r="L93" s="3200"/>
      <c r="N93" s="2826">
        <f>(D93-AVERAGE(G93,H93))/AVERAGE(G93,H93)</f>
        <v>9.3304513312571363E-2</v>
      </c>
      <c r="AV93" s="670"/>
    </row>
    <row r="94" spans="1:48" s="152" customFormat="1">
      <c r="A94" s="420" t="s">
        <v>508</v>
      </c>
      <c r="B94" s="308" t="s">
        <v>290</v>
      </c>
      <c r="C94" s="1956"/>
      <c r="D94" s="508">
        <f>'SEGMENTS Data &amp; Estimates'!J191</f>
        <v>0.30985103942866765</v>
      </c>
      <c r="E94" s="509">
        <f>'SEGMENTS Data &amp; Estimates'!K191</f>
        <v>0.31731074099497186</v>
      </c>
      <c r="F94" s="509">
        <f>'SEGMENTS Data &amp; Estimates'!L191</f>
        <v>0.33640396488461149</v>
      </c>
      <c r="G94" s="509">
        <f>'SEGMENTS Data &amp; Estimates'!M191</f>
        <v>0.32602856916005502</v>
      </c>
      <c r="H94" s="510">
        <f>'SEGMENTS Data &amp; Estimates'!N191</f>
        <v>0.35321659907288117</v>
      </c>
      <c r="I94" s="415" t="s">
        <v>664</v>
      </c>
      <c r="J94" s="246">
        <f>(D94+2*E94+2*F94+AVERAGE(G94,H94))/6</f>
        <v>0.32615050588405037</v>
      </c>
      <c r="K94" s="420" t="s">
        <v>513</v>
      </c>
      <c r="L94" s="307"/>
      <c r="N94" s="2826">
        <f>(D94-AVERAGE(G94,H94))/AVERAGE(G94,H94)</f>
        <v>-8.7660674172335792E-2</v>
      </c>
      <c r="AV94" s="670"/>
    </row>
    <row r="95" spans="1:48" s="152" customFormat="1" ht="13.2" customHeight="1">
      <c r="A95" s="420" t="s">
        <v>27</v>
      </c>
      <c r="B95" s="308" t="s">
        <v>357</v>
      </c>
      <c r="C95" s="1956"/>
      <c r="D95" s="509">
        <f>'SEGMENTS Data &amp; Estimates'!J405</f>
        <v>0.58457772337821301</v>
      </c>
      <c r="E95" s="509">
        <f>'SEGMENTS Data &amp; Estimates'!K405</f>
        <v>0.61809456928838957</v>
      </c>
      <c r="F95" s="509">
        <f>'SEGMENTS Data &amp; Estimates'!L405</f>
        <v>0.63439306358381509</v>
      </c>
      <c r="G95" s="509">
        <f>'SEGMENTS Data &amp; Estimates'!M405</f>
        <v>0.60924322398933006</v>
      </c>
      <c r="H95" s="510">
        <f>'SEGMENTS Data &amp; Estimates'!N405</f>
        <v>0.60573232366632679</v>
      </c>
      <c r="I95" s="415" t="s">
        <v>683</v>
      </c>
      <c r="J95" s="246">
        <f>(D95+2*E95+2*F95+AVERAGE(G95,H95))/6</f>
        <v>0.61617346049174182</v>
      </c>
      <c r="K95" s="2399" t="s">
        <v>682</v>
      </c>
      <c r="L95" s="307"/>
      <c r="N95" s="2826">
        <f>(D95-AVERAGE(G95,H95))/AVERAGE(G95,H95)</f>
        <v>-3.771277618520176E-2</v>
      </c>
      <c r="P95" s="706"/>
      <c r="Q95" s="706"/>
      <c r="R95" s="706"/>
      <c r="S95" s="706"/>
      <c r="T95" s="706"/>
      <c r="AV95" s="670"/>
    </row>
    <row r="96" spans="1:48" s="152" customFormat="1" ht="13.2" customHeight="1">
      <c r="A96" s="669"/>
      <c r="B96" s="83"/>
      <c r="C96" s="1956"/>
      <c r="D96" s="579"/>
      <c r="E96" s="579"/>
      <c r="F96" s="579"/>
      <c r="G96" s="579"/>
      <c r="H96" s="579"/>
      <c r="I96" s="580"/>
      <c r="J96" s="2837" t="s">
        <v>2201</v>
      </c>
      <c r="K96" s="2836" t="s">
        <v>2200</v>
      </c>
      <c r="L96" s="581"/>
      <c r="P96" s="1908"/>
      <c r="AV96" s="670"/>
    </row>
    <row r="98" spans="1:48" ht="13.8" customHeight="1">
      <c r="A98" s="3249" t="s">
        <v>2272</v>
      </c>
      <c r="B98" s="3250"/>
      <c r="C98" s="1961"/>
      <c r="D98" s="681" t="s">
        <v>367</v>
      </c>
      <c r="E98" s="681" t="s">
        <v>912</v>
      </c>
      <c r="F98" s="681" t="s">
        <v>913</v>
      </c>
      <c r="G98" s="681" t="s">
        <v>914</v>
      </c>
      <c r="H98" s="681" t="s">
        <v>915</v>
      </c>
      <c r="I98" s="3263" t="s">
        <v>881</v>
      </c>
      <c r="J98" s="1266" t="s">
        <v>787</v>
      </c>
      <c r="N98" s="2822" t="s">
        <v>787</v>
      </c>
      <c r="O98" s="71"/>
      <c r="P98" s="965" t="s">
        <v>2185</v>
      </c>
      <c r="Q98" s="966" t="s">
        <v>918</v>
      </c>
      <c r="R98" s="3278" t="s">
        <v>919</v>
      </c>
      <c r="S98" s="3279"/>
      <c r="T98" s="967" t="s">
        <v>2184</v>
      </c>
    </row>
    <row r="99" spans="1:48">
      <c r="A99" s="707"/>
      <c r="B99" s="708"/>
      <c r="C99" s="1961"/>
      <c r="D99" s="682"/>
      <c r="E99" s="682"/>
      <c r="F99" s="682"/>
      <c r="G99" s="682"/>
      <c r="H99" s="682"/>
      <c r="I99" s="3264"/>
      <c r="J99" s="1267" t="s">
        <v>788</v>
      </c>
      <c r="N99" s="2823" t="s">
        <v>789</v>
      </c>
      <c r="O99" s="71"/>
      <c r="P99" s="968" t="s">
        <v>55</v>
      </c>
      <c r="Q99" s="970" t="s">
        <v>141</v>
      </c>
      <c r="R99" s="969" t="s">
        <v>141</v>
      </c>
      <c r="S99" s="1268" t="s">
        <v>785</v>
      </c>
      <c r="T99" s="970" t="s">
        <v>87</v>
      </c>
    </row>
    <row r="100" spans="1:48" ht="13.2" customHeight="1">
      <c r="A100" s="420" t="s">
        <v>502</v>
      </c>
      <c r="B100" s="308" t="s">
        <v>52</v>
      </c>
      <c r="C100" s="1956"/>
      <c r="D100" s="529" t="str">
        <f t="shared" ref="D100:H102" si="2">D74</f>
        <v>N/a</v>
      </c>
      <c r="E100" s="530" t="str">
        <f t="shared" si="2"/>
        <v>N/a</v>
      </c>
      <c r="F100" s="530" t="str">
        <f t="shared" si="2"/>
        <v>N/a</v>
      </c>
      <c r="G100" s="530">
        <f t="shared" si="2"/>
        <v>0.60734824281150157</v>
      </c>
      <c r="H100" s="531">
        <f t="shared" si="2"/>
        <v>0.60938914027149316</v>
      </c>
      <c r="I100" s="3197" t="s">
        <v>2183</v>
      </c>
      <c r="J100" s="675">
        <v>0.61</v>
      </c>
      <c r="N100" s="2824"/>
      <c r="O100" s="523" t="s">
        <v>854</v>
      </c>
      <c r="P100" s="96" t="s">
        <v>52</v>
      </c>
      <c r="Q100" s="971">
        <v>0.63279315777627732</v>
      </c>
      <c r="R100" s="971">
        <v>0.55712757431977478</v>
      </c>
      <c r="S100" s="971">
        <v>0.60743109547233476</v>
      </c>
      <c r="T100" s="972">
        <v>5.7386797139672208</v>
      </c>
    </row>
    <row r="101" spans="1:48" s="881" customFormat="1">
      <c r="A101" s="877" t="s">
        <v>389</v>
      </c>
      <c r="B101" s="878" t="s">
        <v>278</v>
      </c>
      <c r="C101" s="1962"/>
      <c r="D101" s="537">
        <f t="shared" si="2"/>
        <v>0.5981133158250882</v>
      </c>
      <c r="E101" s="538">
        <f t="shared" si="2"/>
        <v>0.5997848900947319</v>
      </c>
      <c r="F101" s="538">
        <f t="shared" si="2"/>
        <v>0.61298310621604546</v>
      </c>
      <c r="G101" s="538">
        <f t="shared" si="2"/>
        <v>0.6291371778838869</v>
      </c>
      <c r="H101" s="539">
        <f t="shared" si="2"/>
        <v>0.63280000000000003</v>
      </c>
      <c r="I101" s="3195"/>
      <c r="J101" s="675">
        <f t="shared" ref="J101:J106" si="3">(D101+2*E101+2*F101+AVERAGE(G101,H101))/6</f>
        <v>0.60910298289809772</v>
      </c>
      <c r="N101" s="2824">
        <f t="shared" ref="N101:N106" si="4">(D101-AVERAGE(G101,H101))/AVERAGE(G101,H101)</f>
        <v>-5.2071170724915891E-2</v>
      </c>
      <c r="O101" s="879" t="s">
        <v>278</v>
      </c>
      <c r="P101" s="973" t="s">
        <v>872</v>
      </c>
      <c r="Q101" s="974">
        <v>0.68692354990776794</v>
      </c>
      <c r="R101" s="974">
        <v>0.60855264757489569</v>
      </c>
      <c r="S101" s="974">
        <v>0.656615222180991</v>
      </c>
      <c r="T101" s="975">
        <v>6.2345872112174927</v>
      </c>
      <c r="AV101" s="2373"/>
    </row>
    <row r="102" spans="1:48">
      <c r="A102" s="686" t="s">
        <v>323</v>
      </c>
      <c r="B102" s="695" t="s">
        <v>280</v>
      </c>
      <c r="C102" s="1956"/>
      <c r="D102" s="696">
        <f t="shared" si="2"/>
        <v>0.33871396895787137</v>
      </c>
      <c r="E102" s="697">
        <f t="shared" si="2"/>
        <v>0.37386600083229293</v>
      </c>
      <c r="F102" s="697">
        <f t="shared" si="2"/>
        <v>0.3800947867298578</v>
      </c>
      <c r="G102" s="697">
        <f t="shared" si="2"/>
        <v>0.38080446037435289</v>
      </c>
      <c r="H102" s="698">
        <f t="shared" si="2"/>
        <v>0.38496530454895916</v>
      </c>
      <c r="I102" s="2765" t="s">
        <v>2116</v>
      </c>
      <c r="J102" s="691">
        <f t="shared" si="3"/>
        <v>0.37158673775730477</v>
      </c>
      <c r="N102" s="2825">
        <f t="shared" si="4"/>
        <v>-0.1153634304384116</v>
      </c>
      <c r="O102" s="523" t="s">
        <v>772</v>
      </c>
      <c r="P102" s="976" t="s">
        <v>37</v>
      </c>
      <c r="Q102" s="977">
        <v>0.45379023883696779</v>
      </c>
      <c r="R102" s="977">
        <v>0.44549468802297831</v>
      </c>
      <c r="S102" s="977">
        <v>0.49703081142530664</v>
      </c>
      <c r="T102" s="978">
        <v>5.2379798877200061</v>
      </c>
    </row>
    <row r="103" spans="1:48" ht="13.8" customHeight="1">
      <c r="A103" s="699" t="s">
        <v>323</v>
      </c>
      <c r="B103" s="700" t="s">
        <v>277</v>
      </c>
      <c r="C103" s="1963"/>
      <c r="D103" s="701">
        <f>AVERAGE(D77,1)</f>
        <v>0.97</v>
      </c>
      <c r="E103" s="702">
        <f>AVERAGE(E77,1)</f>
        <v>0.95229999999999992</v>
      </c>
      <c r="F103" s="702">
        <f>AVERAGE(F77,1)</f>
        <v>0.94979999999999998</v>
      </c>
      <c r="G103" s="702">
        <f>AVERAGE(G77,1)</f>
        <v>0.95645000000000002</v>
      </c>
      <c r="H103" s="703">
        <f>AVERAGE(H77,1)</f>
        <v>0.97248825098437697</v>
      </c>
      <c r="I103" s="2765" t="s">
        <v>2117</v>
      </c>
      <c r="J103" s="694">
        <f t="shared" si="3"/>
        <v>0.95644485424869818</v>
      </c>
      <c r="N103" s="2825">
        <f t="shared" si="4"/>
        <v>5.7346309608293736E-3</v>
      </c>
      <c r="O103" s="523" t="s">
        <v>773</v>
      </c>
      <c r="P103" s="976" t="s">
        <v>36</v>
      </c>
      <c r="Q103" s="977">
        <v>0.99</v>
      </c>
      <c r="R103" s="977">
        <v>0.99063075986784921</v>
      </c>
      <c r="S103" s="977">
        <v>0.99236936293944999</v>
      </c>
      <c r="T103" s="978">
        <v>6.4228495281076032</v>
      </c>
    </row>
    <row r="104" spans="1:48" ht="13.2" customHeight="1">
      <c r="A104" s="686" t="s">
        <v>323</v>
      </c>
      <c r="B104" s="695" t="s">
        <v>283</v>
      </c>
      <c r="C104" s="1956"/>
      <c r="D104" s="696">
        <f t="shared" ref="D104:H109" si="5">D78</f>
        <v>0.14257620452310718</v>
      </c>
      <c r="E104" s="697">
        <f t="shared" si="5"/>
        <v>7.1198280494357877E-2</v>
      </c>
      <c r="F104" s="697">
        <f t="shared" si="5"/>
        <v>4.6128672886784572E-2</v>
      </c>
      <c r="G104" s="697">
        <f t="shared" si="5"/>
        <v>1.2317167051578136E-2</v>
      </c>
      <c r="H104" s="698">
        <f t="shared" si="5"/>
        <v>5.8479532163742687E-3</v>
      </c>
      <c r="I104" s="2766" t="s">
        <v>2118</v>
      </c>
      <c r="J104" s="691">
        <f t="shared" si="3"/>
        <v>6.4385445236561381E-2</v>
      </c>
      <c r="N104" s="2825">
        <f t="shared" si="4"/>
        <v>14.697799124913645</v>
      </c>
      <c r="O104" s="523" t="s">
        <v>774</v>
      </c>
      <c r="P104" s="976" t="s">
        <v>38</v>
      </c>
      <c r="Q104" s="977">
        <v>0</v>
      </c>
      <c r="R104" s="977">
        <v>0</v>
      </c>
      <c r="S104" s="977">
        <v>0</v>
      </c>
      <c r="T104" s="978">
        <v>8.4776371497591825</v>
      </c>
    </row>
    <row r="105" spans="1:48" ht="13.2" customHeight="1">
      <c r="A105" s="527" t="s">
        <v>545</v>
      </c>
      <c r="B105" s="307" t="s">
        <v>39</v>
      </c>
      <c r="D105" s="529">
        <f t="shared" si="5"/>
        <v>0.28165979767703259</v>
      </c>
      <c r="E105" s="530">
        <f t="shared" si="5"/>
        <v>0.3071143460906316</v>
      </c>
      <c r="F105" s="530">
        <f t="shared" si="5"/>
        <v>0.32458830210107892</v>
      </c>
      <c r="G105" s="530">
        <f t="shared" si="5"/>
        <v>0.32231864708500224</v>
      </c>
      <c r="H105" s="531">
        <f t="shared" si="5"/>
        <v>0.3141425389755011</v>
      </c>
      <c r="I105" s="2766" t="s">
        <v>2119</v>
      </c>
      <c r="J105" s="246">
        <f t="shared" si="3"/>
        <v>0.31054928118178421</v>
      </c>
      <c r="N105" s="2826">
        <f t="shared" si="4"/>
        <v>-0.11491916916279199</v>
      </c>
      <c r="O105" s="523" t="s">
        <v>39</v>
      </c>
      <c r="P105" s="803"/>
      <c r="Q105" s="803"/>
      <c r="R105" s="803"/>
      <c r="S105" s="803"/>
      <c r="T105" s="803"/>
    </row>
    <row r="106" spans="1:48">
      <c r="A106" s="528" t="s">
        <v>219</v>
      </c>
      <c r="B106" s="308" t="s">
        <v>53</v>
      </c>
      <c r="C106" s="1956"/>
      <c r="D106" s="529">
        <f t="shared" si="5"/>
        <v>0.63960508302071395</v>
      </c>
      <c r="E106" s="530">
        <f t="shared" si="5"/>
        <v>0.63691258302278264</v>
      </c>
      <c r="F106" s="530">
        <f t="shared" si="5"/>
        <v>0.60295119120080787</v>
      </c>
      <c r="G106" s="530">
        <f t="shared" si="5"/>
        <v>0.57174659410117801</v>
      </c>
      <c r="H106" s="531">
        <f t="shared" si="5"/>
        <v>0.58023511894181368</v>
      </c>
      <c r="I106" s="2767" t="s">
        <v>2120</v>
      </c>
      <c r="J106" s="246">
        <f t="shared" si="3"/>
        <v>0.6158872479982318</v>
      </c>
      <c r="N106" s="2826">
        <f t="shared" si="4"/>
        <v>0.11044311863454735</v>
      </c>
      <c r="O106" s="523" t="s">
        <v>53</v>
      </c>
      <c r="P106" s="97" t="s">
        <v>53</v>
      </c>
      <c r="Q106" s="979">
        <v>0.56422836752899197</v>
      </c>
      <c r="R106" s="979">
        <v>0.51064937134378097</v>
      </c>
      <c r="S106" s="979">
        <v>0.56208249949987199</v>
      </c>
      <c r="T106" s="980">
        <v>6.5172599449289761</v>
      </c>
    </row>
    <row r="107" spans="1:48" s="881" customFormat="1" ht="13.2" customHeight="1">
      <c r="A107" s="877" t="s">
        <v>73</v>
      </c>
      <c r="B107" s="878" t="s">
        <v>285</v>
      </c>
      <c r="C107" s="1962"/>
      <c r="D107" s="537" t="str">
        <f t="shared" si="5"/>
        <v>N/a</v>
      </c>
      <c r="E107" s="538">
        <f t="shared" si="5"/>
        <v>0.64439999999999997</v>
      </c>
      <c r="F107" s="538">
        <f t="shared" si="5"/>
        <v>0.6079</v>
      </c>
      <c r="G107" s="538">
        <f t="shared" si="5"/>
        <v>0.62159999999999993</v>
      </c>
      <c r="H107" s="539">
        <f t="shared" si="5"/>
        <v>0.59929999999999994</v>
      </c>
      <c r="I107" s="3291" t="s">
        <v>2121</v>
      </c>
      <c r="J107" s="247">
        <f>(3*E107+2*F107+AVERAGE(G107,H107))/6</f>
        <v>0.62657499999999999</v>
      </c>
      <c r="N107" s="2824">
        <f>(E107-AVERAGE(G107,H107))/AVERAGE(G107,H107)</f>
        <v>5.5614710459497153E-2</v>
      </c>
      <c r="O107" s="879" t="s">
        <v>285</v>
      </c>
      <c r="P107" s="981"/>
      <c r="Q107" s="981"/>
      <c r="R107" s="981"/>
      <c r="S107" s="981"/>
      <c r="T107" s="981"/>
      <c r="AV107" s="2373"/>
    </row>
    <row r="108" spans="1:48" ht="13.2" customHeight="1">
      <c r="A108" s="420" t="s">
        <v>19</v>
      </c>
      <c r="B108" s="308" t="s">
        <v>287</v>
      </c>
      <c r="C108" s="1956"/>
      <c r="D108" s="529">
        <f t="shared" si="5"/>
        <v>0.32841368754782985</v>
      </c>
      <c r="E108" s="530">
        <f t="shared" si="5"/>
        <v>0.22136769902307213</v>
      </c>
      <c r="F108" s="530">
        <f t="shared" si="5"/>
        <v>0</v>
      </c>
      <c r="G108" s="530">
        <f t="shared" si="5"/>
        <v>0</v>
      </c>
      <c r="H108" s="531">
        <f t="shared" si="5"/>
        <v>0</v>
      </c>
      <c r="I108" s="3292"/>
      <c r="J108" s="246">
        <f>(D108+'SEGMENTS Data &amp; Estimates'!S102+E108+2*F108+AVERAGE(G108,H108))/6</f>
        <v>9.1630231095150338E-2</v>
      </c>
      <c r="N108" s="2827" t="s">
        <v>276</v>
      </c>
      <c r="O108" s="523" t="s">
        <v>287</v>
      </c>
      <c r="P108" s="97" t="s">
        <v>41</v>
      </c>
      <c r="Q108" s="979">
        <v>0</v>
      </c>
      <c r="R108" s="979">
        <v>0</v>
      </c>
      <c r="S108" s="979">
        <v>0</v>
      </c>
      <c r="T108" s="980">
        <v>10.031809798466378</v>
      </c>
    </row>
    <row r="109" spans="1:48">
      <c r="A109" s="420" t="s">
        <v>19</v>
      </c>
      <c r="B109" s="308" t="s">
        <v>288</v>
      </c>
      <c r="C109" s="1956"/>
      <c r="D109" s="529">
        <f t="shared" si="5"/>
        <v>0.60484412483227945</v>
      </c>
      <c r="E109" s="530">
        <f t="shared" si="5"/>
        <v>0.61350000000000005</v>
      </c>
      <c r="F109" s="530">
        <f t="shared" si="5"/>
        <v>0.61580000000000001</v>
      </c>
      <c r="G109" s="530">
        <f t="shared" si="5"/>
        <v>0.59439999999999993</v>
      </c>
      <c r="H109" s="531">
        <f t="shared" si="5"/>
        <v>0.56769999999999998</v>
      </c>
      <c r="I109" s="3293" t="s">
        <v>2203</v>
      </c>
      <c r="J109" s="246">
        <f>(D109+2*E109+2*F109+AVERAGE(G109,H109))/6</f>
        <v>0.60741568747204655</v>
      </c>
      <c r="N109" s="2826">
        <f>(D109-AVERAGE(G109,H109))/AVERAGE(G109,H109)</f>
        <v>4.0950219141690898E-2</v>
      </c>
      <c r="O109" s="523" t="s">
        <v>288</v>
      </c>
      <c r="P109" s="982" t="s">
        <v>873</v>
      </c>
      <c r="Q109" s="979">
        <v>0.56647042332492292</v>
      </c>
      <c r="R109" s="979">
        <v>0.52876893989839957</v>
      </c>
      <c r="S109" s="979">
        <v>0.57986449873093648</v>
      </c>
      <c r="T109" s="980">
        <v>5.1874811036436332</v>
      </c>
    </row>
    <row r="110" spans="1:48" ht="13.2" customHeight="1">
      <c r="A110" s="541" t="s">
        <v>378</v>
      </c>
      <c r="B110" s="542" t="s">
        <v>42</v>
      </c>
      <c r="C110" s="1963"/>
      <c r="D110" s="534">
        <f>'SEGMENTS Data &amp; Estimates'!J128</f>
        <v>0.5161290322580645</v>
      </c>
      <c r="E110" s="535">
        <f>'SEGMENTS Data &amp; Estimates'!K128</f>
        <v>0.57446808510638303</v>
      </c>
      <c r="F110" s="535">
        <f>'SEGMENTS Data &amp; Estimates'!L128</f>
        <v>0.56382978723404253</v>
      </c>
      <c r="G110" s="535">
        <f>'SEGMENTS Data &amp; Estimates'!M128</f>
        <v>0.58998935037273692</v>
      </c>
      <c r="H110" s="536">
        <f>'SEGMENTS Data &amp; Estimates'!N128</f>
        <v>0.58334166469020743</v>
      </c>
      <c r="I110" s="3294"/>
      <c r="J110" s="543">
        <f>(D110+2*E110+2*F110+AVERAGE(G110,H110))/6</f>
        <v>0.56323171407839789</v>
      </c>
      <c r="N110" s="2826">
        <f>(D110-AVERAGE(G110,H110))/AVERAGE(G110,H110)</f>
        <v>-0.12023286586287618</v>
      </c>
      <c r="O110" s="523" t="s">
        <v>42</v>
      </c>
      <c r="P110" s="982" t="s">
        <v>42</v>
      </c>
      <c r="Q110" s="979" t="s">
        <v>513</v>
      </c>
      <c r="R110" s="979">
        <v>0.55363246574484848</v>
      </c>
      <c r="S110" s="979">
        <v>0.6040508373297574</v>
      </c>
      <c r="T110" s="980">
        <v>6.2767916236052903</v>
      </c>
    </row>
    <row r="111" spans="1:48" s="881" customFormat="1">
      <c r="A111" s="877" t="s">
        <v>503</v>
      </c>
      <c r="B111" s="878" t="s">
        <v>286</v>
      </c>
      <c r="C111" s="1962"/>
      <c r="D111" s="537" t="str">
        <f t="shared" ref="D111:H113" si="6">D85</f>
        <v>N/a</v>
      </c>
      <c r="E111" s="538">
        <f t="shared" si="6"/>
        <v>0.34090000000000004</v>
      </c>
      <c r="F111" s="538">
        <f t="shared" si="6"/>
        <v>0.34439999999999998</v>
      </c>
      <c r="G111" s="538">
        <f t="shared" si="6"/>
        <v>0.35269999999999996</v>
      </c>
      <c r="H111" s="539">
        <f t="shared" si="6"/>
        <v>0.36840000000000006</v>
      </c>
      <c r="I111" s="3291" t="s">
        <v>2122</v>
      </c>
      <c r="J111" s="247">
        <f>(3*E111+2*F111+AVERAGE(G111,H111))/6</f>
        <v>0.34534166666666666</v>
      </c>
      <c r="N111" s="2824">
        <f>(E111-AVERAGE(G111,H111))/AVERAGE(G111,H111)</f>
        <v>-5.4500069338510607E-2</v>
      </c>
      <c r="O111" s="879" t="s">
        <v>286</v>
      </c>
      <c r="P111" s="983" t="s">
        <v>874</v>
      </c>
      <c r="Q111" s="974">
        <v>0.47528054269795739</v>
      </c>
      <c r="R111" s="974">
        <v>0.44719640195710847</v>
      </c>
      <c r="S111" s="974">
        <v>0.4987523186614185</v>
      </c>
      <c r="T111" s="975">
        <v>6.3069796476175002</v>
      </c>
      <c r="AV111" s="2373"/>
    </row>
    <row r="112" spans="1:48" ht="13.2" customHeight="1">
      <c r="A112" s="420" t="s">
        <v>504</v>
      </c>
      <c r="B112" s="308" t="s">
        <v>281</v>
      </c>
      <c r="C112" s="1956"/>
      <c r="D112" s="931">
        <f t="shared" si="6"/>
        <v>0.74956908795771016</v>
      </c>
      <c r="E112" s="932">
        <f t="shared" si="6"/>
        <v>0.74956908795771016</v>
      </c>
      <c r="F112" s="932">
        <f t="shared" si="6"/>
        <v>0.74064395459926657</v>
      </c>
      <c r="G112" s="932">
        <f t="shared" si="6"/>
        <v>0.72734227118729622</v>
      </c>
      <c r="H112" s="933">
        <f t="shared" si="6"/>
        <v>0.62585722455497383</v>
      </c>
      <c r="I112" s="3295"/>
      <c r="J112" s="246">
        <f>(D112+2*E112+2*F112+AVERAGE(G112,H112))/6</f>
        <v>0.7344324868237998</v>
      </c>
      <c r="N112" s="2826">
        <f>(D112-AVERAGE(G112,H112))/AVERAGE(G112,H112)</f>
        <v>0.10784712869930438</v>
      </c>
      <c r="O112" s="523" t="s">
        <v>281</v>
      </c>
      <c r="P112" s="97" t="s">
        <v>43</v>
      </c>
      <c r="Q112" s="979">
        <v>0.832754898477851</v>
      </c>
      <c r="R112" s="979">
        <v>0.78421147846254446</v>
      </c>
      <c r="S112" s="979">
        <v>0.81718548407980773</v>
      </c>
      <c r="T112" s="980">
        <v>6.768816379673452</v>
      </c>
    </row>
    <row r="113" spans="1:36" ht="13.8" customHeight="1">
      <c r="A113" s="420" t="s">
        <v>505</v>
      </c>
      <c r="B113" s="308" t="s">
        <v>44</v>
      </c>
      <c r="C113" s="1956"/>
      <c r="D113" s="529">
        <f t="shared" si="6"/>
        <v>0.60384301884652736</v>
      </c>
      <c r="E113" s="530">
        <f t="shared" si="6"/>
        <v>0.58456622894085752</v>
      </c>
      <c r="F113" s="530">
        <f t="shared" si="6"/>
        <v>0.57677450305568967</v>
      </c>
      <c r="G113" s="530">
        <f t="shared" si="6"/>
        <v>0.56336418097946095</v>
      </c>
      <c r="H113" s="531">
        <f t="shared" si="6"/>
        <v>0.5497633776823857</v>
      </c>
      <c r="I113" s="3295"/>
      <c r="J113" s="247">
        <f>(D113+2*E113+2*F113+AVERAGE(G113,H113))/6</f>
        <v>0.5805147103617575</v>
      </c>
      <c r="N113" s="2824">
        <f>(D113-AVERAGE(G113,H113))/AVERAGE(G113,H113)</f>
        <v>8.4948466413752491E-2</v>
      </c>
      <c r="O113" s="523" t="s">
        <v>44</v>
      </c>
      <c r="P113" s="97" t="s">
        <v>44</v>
      </c>
      <c r="Q113" s="979">
        <v>0.56313835657670319</v>
      </c>
      <c r="R113" s="979">
        <v>0.49507049291886951</v>
      </c>
      <c r="S113" s="979">
        <v>0.54668747375606286</v>
      </c>
      <c r="T113" s="980">
        <v>5.9443053148716514</v>
      </c>
    </row>
    <row r="114" spans="1:36">
      <c r="A114" s="541" t="s">
        <v>506</v>
      </c>
      <c r="B114" s="542" t="s">
        <v>289</v>
      </c>
      <c r="C114" s="1963"/>
      <c r="D114" s="534">
        <f>'SEGMENTS Data &amp; Estimates'!J360</f>
        <v>0.4260134005544996</v>
      </c>
      <c r="E114" s="535">
        <f>'SEGMENTS Data &amp; Estimates'!K360</f>
        <v>0.43380000000000002</v>
      </c>
      <c r="F114" s="535">
        <f>'SEGMENTS Data &amp; Estimates'!L360</f>
        <v>0.38780000000000003</v>
      </c>
      <c r="G114" s="535">
        <f>'SEGMENTS Data &amp; Estimates'!M360</f>
        <v>0.47970000000000002</v>
      </c>
      <c r="H114" s="536">
        <f>H88</f>
        <v>0.4566820303658996</v>
      </c>
      <c r="I114" s="3241" t="s">
        <v>2123</v>
      </c>
      <c r="J114" s="246">
        <f>(D114+2*E114+2*F114+AVERAGE(G114,H114))/6</f>
        <v>0.42290073595624156</v>
      </c>
      <c r="N114" s="2826">
        <f>(D114-AVERAGE(G114,H114))/AVERAGE(G114,H114)</f>
        <v>-9.0086339251873371E-2</v>
      </c>
      <c r="O114" s="523" t="s">
        <v>289</v>
      </c>
      <c r="P114" s="803"/>
      <c r="Q114" s="803"/>
      <c r="R114" s="803"/>
      <c r="S114" s="803"/>
      <c r="T114" s="803"/>
    </row>
    <row r="115" spans="1:36" ht="13.2" customHeight="1">
      <c r="A115" s="420" t="s">
        <v>27</v>
      </c>
      <c r="B115" s="308" t="s">
        <v>54</v>
      </c>
      <c r="C115" s="1956"/>
      <c r="D115" s="537"/>
      <c r="E115" s="538">
        <f t="shared" ref="E115:G117" si="7">E89</f>
        <v>0.47118282781144899</v>
      </c>
      <c r="F115" s="538">
        <f t="shared" si="7"/>
        <v>0.47161841926509007</v>
      </c>
      <c r="G115" s="538">
        <f t="shared" si="7"/>
        <v>0.55085692480500315</v>
      </c>
      <c r="H115" s="539">
        <f>H89</f>
        <v>0.5101</v>
      </c>
      <c r="I115" s="3242"/>
      <c r="J115" s="675">
        <f>(3*E115+2*F115+G115)/6</f>
        <v>0.48460704112825509</v>
      </c>
      <c r="N115" s="2824">
        <f>(E115-G115)/G115*1.25</f>
        <v>-0.18079580514885477</v>
      </c>
      <c r="O115" s="523" t="s">
        <v>54</v>
      </c>
      <c r="P115" s="97" t="s">
        <v>54</v>
      </c>
      <c r="Q115" s="979">
        <v>0.64367329665679218</v>
      </c>
      <c r="R115" s="979">
        <v>0.57646025555374392</v>
      </c>
      <c r="S115" s="979">
        <v>0.62604182176221779</v>
      </c>
      <c r="T115" s="980">
        <v>6.0123869800589169</v>
      </c>
    </row>
    <row r="116" spans="1:36">
      <c r="A116" s="420" t="s">
        <v>32</v>
      </c>
      <c r="B116" s="308" t="s">
        <v>50</v>
      </c>
      <c r="C116" s="1956"/>
      <c r="D116" s="529">
        <f>D90</f>
        <v>0</v>
      </c>
      <c r="E116" s="530">
        <f t="shared" si="7"/>
        <v>0</v>
      </c>
      <c r="F116" s="530">
        <f t="shared" si="7"/>
        <v>0</v>
      </c>
      <c r="G116" s="530">
        <f t="shared" si="7"/>
        <v>0</v>
      </c>
      <c r="H116" s="531">
        <f>H90</f>
        <v>0</v>
      </c>
      <c r="I116" s="3243"/>
      <c r="J116" s="246">
        <f>(3*E116+2*F116+G116)/6</f>
        <v>0</v>
      </c>
      <c r="N116" s="2826">
        <v>0</v>
      </c>
      <c r="O116" s="523" t="s">
        <v>50</v>
      </c>
      <c r="P116" s="982" t="s">
        <v>50</v>
      </c>
      <c r="Q116" s="979">
        <v>0</v>
      </c>
      <c r="R116" s="979">
        <v>0</v>
      </c>
      <c r="S116" s="979">
        <v>0</v>
      </c>
      <c r="T116" s="980">
        <v>5.276312464387706</v>
      </c>
    </row>
    <row r="117" spans="1:36">
      <c r="A117" s="420" t="s">
        <v>32</v>
      </c>
      <c r="B117" s="308" t="s">
        <v>279</v>
      </c>
      <c r="C117" s="1956"/>
      <c r="D117" s="529"/>
      <c r="E117" s="530">
        <f t="shared" si="7"/>
        <v>0.88549999999999995</v>
      </c>
      <c r="F117" s="530">
        <f t="shared" si="7"/>
        <v>0.92209999999999992</v>
      </c>
      <c r="G117" s="530">
        <f t="shared" si="7"/>
        <v>0.92590000000000006</v>
      </c>
      <c r="H117" s="531">
        <f>H91</f>
        <v>0.92599999999999993</v>
      </c>
      <c r="I117" s="667" t="s">
        <v>2202</v>
      </c>
      <c r="J117" s="246">
        <f>AVERAGE(E117:H117)</f>
        <v>0.91487499999999988</v>
      </c>
      <c r="N117" s="2826">
        <f>(E117-H117)/H117</f>
        <v>-4.3736501079913587E-2</v>
      </c>
      <c r="O117" s="523" t="s">
        <v>279</v>
      </c>
      <c r="P117" s="982" t="s">
        <v>49</v>
      </c>
      <c r="Q117" s="979">
        <v>0.97</v>
      </c>
      <c r="R117" s="979">
        <v>0.97499999999999987</v>
      </c>
      <c r="S117" s="979">
        <v>0.97957933428629762</v>
      </c>
      <c r="T117" s="980">
        <v>6.6394313723288025</v>
      </c>
    </row>
    <row r="118" spans="1:36">
      <c r="A118" s="541" t="s">
        <v>507</v>
      </c>
      <c r="B118" s="542" t="s">
        <v>284</v>
      </c>
      <c r="C118" s="1963"/>
      <c r="D118" s="534">
        <f>'SEGMENTS Data &amp; Estimates'!J376</f>
        <v>0.7167630057803468</v>
      </c>
      <c r="E118" s="535">
        <f>'SEGMENTS Data &amp; Estimates'!K376</f>
        <v>0.69187675070027999</v>
      </c>
      <c r="F118" s="535">
        <f>'SEGMENTS Data &amp; Estimates'!L376</f>
        <v>0.67479674796747968</v>
      </c>
      <c r="G118" s="535">
        <f>'SEGMENTS Data &amp; Estimates'!M376</f>
        <v>0.64088397790055252</v>
      </c>
      <c r="H118" s="536">
        <f>'SEGMENTS Data &amp; Estimates'!N376</f>
        <v>0.61707988980716255</v>
      </c>
      <c r="I118" s="2768" t="s">
        <v>2124</v>
      </c>
      <c r="J118" s="543">
        <f>(D118+2*E118+2*F118+AVERAGE(G118,H118))/6</f>
        <v>0.67984865616162071</v>
      </c>
      <c r="N118" s="2826">
        <f>(D118-AVERAGE(G118,H118))/AVERAGE(G118,H118)</f>
        <v>0.13956056160252914</v>
      </c>
      <c r="O118" s="523" t="s">
        <v>284</v>
      </c>
      <c r="P118" s="97" t="s">
        <v>46</v>
      </c>
      <c r="Q118" s="979">
        <v>0.56619490497371616</v>
      </c>
      <c r="R118" s="979">
        <v>0.53919198395457046</v>
      </c>
      <c r="S118" s="979">
        <v>0.59003361883057637</v>
      </c>
      <c r="T118" s="980">
        <v>8.4539243105468955</v>
      </c>
    </row>
    <row r="119" spans="1:36">
      <c r="A119" s="541" t="s">
        <v>507</v>
      </c>
      <c r="B119" s="542" t="s">
        <v>282</v>
      </c>
      <c r="C119" s="1963"/>
      <c r="D119" s="534">
        <f>'SEGMENTS Data &amp; Estimates'!J257</f>
        <v>0.63639387890884902</v>
      </c>
      <c r="E119" s="535">
        <f>'SEGMENTS Data &amp; Estimates'!K257</f>
        <v>0.59086538461538463</v>
      </c>
      <c r="F119" s="535">
        <f>'SEGMENTS Data &amp; Estimates'!L257</f>
        <v>0.74456321415407301</v>
      </c>
      <c r="G119" s="535">
        <f>'SEGMENTS Data &amp; Estimates'!M257</f>
        <v>0.73239984441851425</v>
      </c>
      <c r="H119" s="536">
        <f>'SEGMENTS Data &amp; Estimates'!N257</f>
        <v>0.70310836704279323</v>
      </c>
      <c r="I119" s="2769" t="s">
        <v>2126</v>
      </c>
      <c r="J119" s="543">
        <f>(D119+2*E119+2*F119+AVERAGE(G119,H119))/6</f>
        <v>0.67083419702973635</v>
      </c>
      <c r="N119" s="2826">
        <f>(D119-AVERAGE(G119,H119))/AVERAGE(G119,H119)</f>
        <v>-0.11335389957676706</v>
      </c>
      <c r="O119" s="523" t="s">
        <v>282</v>
      </c>
      <c r="P119" s="982" t="s">
        <v>47</v>
      </c>
      <c r="Q119" s="979">
        <v>0.79409220121122237</v>
      </c>
      <c r="R119" s="979">
        <v>0.73301250263108064</v>
      </c>
      <c r="S119" s="979">
        <v>0.77153078463647007</v>
      </c>
      <c r="T119" s="980">
        <v>8.0700208338746009</v>
      </c>
    </row>
    <row r="120" spans="1:36">
      <c r="A120" s="420" t="s">
        <v>508</v>
      </c>
      <c r="B120" s="308" t="s">
        <v>290</v>
      </c>
      <c r="C120" s="1956"/>
      <c r="D120" s="529">
        <f>D94</f>
        <v>0.30985103942866765</v>
      </c>
      <c r="E120" s="530">
        <f>E94</f>
        <v>0.31731074099497186</v>
      </c>
      <c r="F120" s="530">
        <f>F94</f>
        <v>0.33640396488461149</v>
      </c>
      <c r="G120" s="530">
        <f>G94</f>
        <v>0.32602856916005502</v>
      </c>
      <c r="H120" s="531">
        <f>H94</f>
        <v>0.35321659907288117</v>
      </c>
      <c r="I120" s="2769" t="s">
        <v>2127</v>
      </c>
      <c r="J120" s="246">
        <f>(D120+2*E120+2*F120+AVERAGE(G120,H120))/6</f>
        <v>0.32615050588405037</v>
      </c>
      <c r="N120" s="2826">
        <f>(D120-AVERAGE(G120,H120))/AVERAGE(G120,H120)</f>
        <v>-8.7660674172335792E-2</v>
      </c>
      <c r="O120" s="523" t="s">
        <v>290</v>
      </c>
      <c r="P120" s="98" t="s">
        <v>48</v>
      </c>
      <c r="Q120" s="984" t="s">
        <v>875</v>
      </c>
      <c r="R120" s="984">
        <v>0.4486626076801199</v>
      </c>
      <c r="S120" s="984">
        <v>0.50023459875483967</v>
      </c>
      <c r="T120" s="985">
        <v>6.8961956159201456</v>
      </c>
    </row>
    <row r="121" spans="1:36">
      <c r="A121" s="541" t="s">
        <v>27</v>
      </c>
      <c r="B121" s="542" t="s">
        <v>357</v>
      </c>
      <c r="C121" s="1963"/>
      <c r="D121" s="534">
        <f>'SEGMENTS Data &amp; Estimates'!J407</f>
        <v>0.89258114374034003</v>
      </c>
      <c r="E121" s="535">
        <f>'SEGMENTS Data &amp; Estimates'!K407</f>
        <v>0.89473684210526316</v>
      </c>
      <c r="F121" s="535">
        <f>'SEGMENTS Data &amp; Estimates'!L407</f>
        <v>0.90969621306699966</v>
      </c>
      <c r="G121" s="535">
        <f>'SEGMENTS Data &amp; Estimates'!M407</f>
        <v>0.93952867987978417</v>
      </c>
      <c r="H121" s="536">
        <f>'SEGMENTS Data &amp; Estimates'!N407</f>
        <v>0.92232145907274721</v>
      </c>
      <c r="I121" s="2770" t="s">
        <v>2125</v>
      </c>
      <c r="J121" s="543">
        <f>(D121+2*E121+2*F121+AVERAGE(G121,H121))/6</f>
        <v>0.90539538726018864</v>
      </c>
      <c r="N121" s="2826">
        <f>(D121-AVERAGE(G121,H121))/AVERAGE(G121,H121)</f>
        <v>-4.1189056985539901E-2</v>
      </c>
      <c r="O121" s="523" t="s">
        <v>357</v>
      </c>
      <c r="P121" s="72" t="s">
        <v>2113</v>
      </c>
      <c r="Q121" s="72"/>
      <c r="R121" s="72"/>
      <c r="S121" s="72"/>
      <c r="T121" s="72"/>
      <c r="V121" s="706"/>
      <c r="W121" s="706"/>
      <c r="X121" s="1929"/>
      <c r="Y121" s="1929"/>
      <c r="Z121" s="1929"/>
      <c r="AA121" s="1929"/>
      <c r="AB121" s="1929"/>
      <c r="AC121" s="1929"/>
      <c r="AD121" s="1929"/>
      <c r="AE121" s="706"/>
      <c r="AF121" s="706"/>
      <c r="AG121" s="706"/>
      <c r="AH121" s="706"/>
      <c r="AI121" s="1908"/>
      <c r="AJ121" s="1908"/>
    </row>
    <row r="123" spans="1:36">
      <c r="A123" s="671"/>
    </row>
    <row r="124" spans="1:36" ht="13.2" customHeight="1">
      <c r="A124" s="3249" t="s">
        <v>2611</v>
      </c>
      <c r="B124" s="3250"/>
      <c r="C124" s="1961"/>
      <c r="D124" s="1266" t="s">
        <v>811</v>
      </c>
      <c r="E124" s="658" t="s">
        <v>814</v>
      </c>
      <c r="F124" s="658" t="s">
        <v>814</v>
      </c>
      <c r="G124" s="658" t="s">
        <v>817</v>
      </c>
      <c r="H124" s="658" t="s">
        <v>818</v>
      </c>
      <c r="I124" s="3197" t="s">
        <v>841</v>
      </c>
      <c r="J124" s="683" t="s">
        <v>839</v>
      </c>
      <c r="K124" s="1266" t="s">
        <v>814</v>
      </c>
      <c r="N124" s="949"/>
      <c r="O124" s="662" t="s">
        <v>812</v>
      </c>
      <c r="P124" s="72"/>
      <c r="W124" s="654" t="s">
        <v>813</v>
      </c>
      <c r="X124" s="71"/>
      <c r="Y124" s="72"/>
      <c r="AD124" s="654" t="s">
        <v>1818</v>
      </c>
    </row>
    <row r="125" spans="1:36">
      <c r="A125" s="707"/>
      <c r="B125" s="708"/>
      <c r="C125" s="1961"/>
      <c r="D125" s="1267" t="s">
        <v>2232</v>
      </c>
      <c r="E125" s="659" t="s">
        <v>828</v>
      </c>
      <c r="F125" s="659" t="s">
        <v>829</v>
      </c>
      <c r="G125" s="659" t="s">
        <v>815</v>
      </c>
      <c r="H125" s="659" t="s">
        <v>819</v>
      </c>
      <c r="I125" s="3287"/>
      <c r="J125" s="684" t="s">
        <v>840</v>
      </c>
      <c r="K125" s="1267" t="s">
        <v>828</v>
      </c>
      <c r="N125" s="165"/>
      <c r="O125" s="71"/>
      <c r="P125" s="72"/>
      <c r="U125" s="162"/>
      <c r="V125" s="165"/>
      <c r="W125" s="71"/>
      <c r="X125" s="72"/>
    </row>
    <row r="126" spans="1:36">
      <c r="A126" s="686" t="s">
        <v>323</v>
      </c>
      <c r="B126" s="695" t="s">
        <v>277</v>
      </c>
      <c r="C126" s="1964"/>
      <c r="D126" s="905">
        <f>VLOOKUP(B126,$B$100:$J$121,9,FALSE)</f>
        <v>0.95644485424869818</v>
      </c>
      <c r="E126" s="712" t="s">
        <v>55</v>
      </c>
      <c r="F126" s="712" t="s">
        <v>55</v>
      </c>
      <c r="G126" s="712" t="s">
        <v>55</v>
      </c>
      <c r="H126" s="713" t="s">
        <v>55</v>
      </c>
      <c r="I126" s="1043" t="s">
        <v>1041</v>
      </c>
      <c r="J126" s="715">
        <f>VLOOKUP(B126,$B$100:$D$121,3,FALSE)</f>
        <v>0.97</v>
      </c>
      <c r="K126" s="712" t="s">
        <v>55</v>
      </c>
      <c r="L126" s="523" t="s">
        <v>773</v>
      </c>
      <c r="N126" s="165"/>
      <c r="O126" s="71"/>
      <c r="P126" s="72"/>
      <c r="U126" s="162"/>
      <c r="V126" s="165"/>
      <c r="W126" s="71"/>
      <c r="X126" s="72"/>
    </row>
    <row r="127" spans="1:36">
      <c r="A127" s="420" t="s">
        <v>32</v>
      </c>
      <c r="B127" s="308" t="s">
        <v>279</v>
      </c>
      <c r="C127" s="1964"/>
      <c r="D127" s="906">
        <f t="shared" ref="D127:D147" si="8">VLOOKUP(B127,$B$100:$J$121,9,FALSE)</f>
        <v>0.91487499999999988</v>
      </c>
      <c r="E127" s="655" t="s">
        <v>55</v>
      </c>
      <c r="F127" s="655" t="s">
        <v>55</v>
      </c>
      <c r="G127" s="655" t="s">
        <v>55</v>
      </c>
      <c r="H127" s="655" t="s">
        <v>55</v>
      </c>
      <c r="I127" s="2829" t="s">
        <v>842</v>
      </c>
      <c r="J127" s="520">
        <f>E117</f>
        <v>0.88549999999999995</v>
      </c>
      <c r="K127" s="655" t="s">
        <v>55</v>
      </c>
      <c r="L127" s="523" t="s">
        <v>279</v>
      </c>
      <c r="N127" s="165"/>
      <c r="O127" s="71"/>
      <c r="P127" s="72"/>
      <c r="U127" s="162"/>
      <c r="V127" s="165"/>
      <c r="W127" s="71"/>
      <c r="X127" s="72"/>
    </row>
    <row r="128" spans="1:36">
      <c r="A128" s="420" t="s">
        <v>27</v>
      </c>
      <c r="B128" s="308" t="s">
        <v>357</v>
      </c>
      <c r="C128" s="1964"/>
      <c r="D128" s="906">
        <f t="shared" si="8"/>
        <v>0.90539538726018864</v>
      </c>
      <c r="E128" s="655" t="s">
        <v>55</v>
      </c>
      <c r="F128" s="655" t="s">
        <v>55</v>
      </c>
      <c r="G128" s="656"/>
      <c r="H128" s="656"/>
      <c r="I128" s="2829" t="s">
        <v>843</v>
      </c>
      <c r="J128" s="520">
        <f>VLOOKUP(B128,$B$100:$D$121,3,FALSE)</f>
        <v>0.89258114374034003</v>
      </c>
      <c r="K128" s="655" t="s">
        <v>55</v>
      </c>
      <c r="L128" s="523" t="s">
        <v>357</v>
      </c>
      <c r="N128" s="165"/>
      <c r="O128" s="71"/>
      <c r="P128" s="72"/>
      <c r="U128" s="162"/>
      <c r="V128" s="165"/>
      <c r="W128" s="71"/>
      <c r="X128" s="72"/>
    </row>
    <row r="129" spans="1:48">
      <c r="A129" s="420" t="s">
        <v>504</v>
      </c>
      <c r="B129" s="308" t="s">
        <v>281</v>
      </c>
      <c r="C129" s="1964"/>
      <c r="D129" s="906">
        <f t="shared" si="8"/>
        <v>0.7344324868237998</v>
      </c>
      <c r="E129" s="655" t="s">
        <v>55</v>
      </c>
      <c r="F129" s="655" t="s">
        <v>55</v>
      </c>
      <c r="G129" s="655" t="s">
        <v>55</v>
      </c>
      <c r="H129" s="655" t="s">
        <v>55</v>
      </c>
      <c r="I129" s="1030" t="s">
        <v>2114</v>
      </c>
      <c r="J129" s="520">
        <f>VLOOKUP(B129,$B$100:$D$121,3,FALSE)</f>
        <v>0.74956908795771016</v>
      </c>
      <c r="K129" s="655" t="s">
        <v>55</v>
      </c>
      <c r="L129" s="523" t="s">
        <v>281</v>
      </c>
      <c r="N129" s="165"/>
      <c r="O129" s="71"/>
      <c r="P129" s="72"/>
      <c r="U129" s="162"/>
      <c r="V129" s="165"/>
      <c r="W129" s="71"/>
      <c r="X129" s="72"/>
    </row>
    <row r="130" spans="1:48" ht="13.8" customHeight="1">
      <c r="A130" s="420" t="s">
        <v>507</v>
      </c>
      <c r="B130" s="308" t="s">
        <v>284</v>
      </c>
      <c r="C130" s="1964"/>
      <c r="D130" s="906">
        <f t="shared" si="8"/>
        <v>0.67984865616162071</v>
      </c>
      <c r="E130" s="663" t="s">
        <v>55</v>
      </c>
      <c r="F130" s="935"/>
      <c r="G130" s="655" t="s">
        <v>55</v>
      </c>
      <c r="H130" s="655" t="s">
        <v>55</v>
      </c>
      <c r="I130" s="3195" t="s">
        <v>2115</v>
      </c>
      <c r="J130" s="520">
        <f>VLOOKUP(B130,$B$100:$D$121,3,FALSE)</f>
        <v>0.7167630057803468</v>
      </c>
      <c r="K130" s="664" t="s">
        <v>55</v>
      </c>
      <c r="L130" s="523" t="s">
        <v>284</v>
      </c>
      <c r="N130" s="165"/>
      <c r="O130" s="71"/>
      <c r="P130" s="72"/>
      <c r="U130" s="162"/>
      <c r="V130" s="165"/>
      <c r="W130" s="71"/>
      <c r="X130" s="72"/>
    </row>
    <row r="131" spans="1:48">
      <c r="A131" s="420" t="s">
        <v>507</v>
      </c>
      <c r="B131" s="308" t="s">
        <v>282</v>
      </c>
      <c r="C131" s="1964"/>
      <c r="D131" s="906">
        <f t="shared" si="8"/>
        <v>0.67083419702973635</v>
      </c>
      <c r="E131" s="663" t="s">
        <v>55</v>
      </c>
      <c r="F131" s="655"/>
      <c r="G131" s="935"/>
      <c r="H131" s="655" t="s">
        <v>55</v>
      </c>
      <c r="I131" s="3195"/>
      <c r="J131" s="520">
        <f>VLOOKUP(B131,$B$100:$D$121,3,FALSE)</f>
        <v>0.63639387890884902</v>
      </c>
      <c r="K131" s="663" t="s">
        <v>55</v>
      </c>
      <c r="L131" s="523" t="s">
        <v>282</v>
      </c>
      <c r="N131" s="165"/>
      <c r="O131" s="71"/>
      <c r="P131" s="72"/>
      <c r="U131" s="162"/>
      <c r="V131" s="165"/>
      <c r="W131" s="71"/>
      <c r="X131" s="72"/>
    </row>
    <row r="132" spans="1:48" s="881" customFormat="1" ht="13.2" customHeight="1">
      <c r="A132" s="877" t="s">
        <v>73</v>
      </c>
      <c r="B132" s="878" t="s">
        <v>285</v>
      </c>
      <c r="C132" s="1965"/>
      <c r="D132" s="907">
        <f t="shared" si="8"/>
        <v>0.62657499999999999</v>
      </c>
      <c r="E132" s="935"/>
      <c r="F132" s="663"/>
      <c r="G132" s="663"/>
      <c r="H132" s="936" t="s">
        <v>372</v>
      </c>
      <c r="I132" s="3196"/>
      <c r="J132" s="521">
        <f>E107</f>
        <v>0.64439999999999997</v>
      </c>
      <c r="K132" s="663"/>
      <c r="L132" s="879" t="s">
        <v>285</v>
      </c>
      <c r="N132" s="165"/>
      <c r="O132" s="71"/>
      <c r="P132" s="72"/>
      <c r="Q132" s="153"/>
      <c r="R132" s="153"/>
      <c r="S132" s="153"/>
      <c r="T132" s="153"/>
      <c r="U132" s="162"/>
      <c r="V132" s="165"/>
      <c r="W132" s="71"/>
      <c r="X132" s="72"/>
      <c r="Y132" s="153"/>
      <c r="Z132" s="153"/>
      <c r="AA132" s="153"/>
      <c r="AB132" s="153"/>
      <c r="AC132" s="153"/>
      <c r="AD132" s="153"/>
      <c r="AE132" s="153"/>
      <c r="AF132" s="153"/>
      <c r="AG132" s="153"/>
      <c r="AH132" s="153"/>
      <c r="AV132" s="2373"/>
    </row>
    <row r="133" spans="1:48">
      <c r="A133" s="528" t="s">
        <v>219</v>
      </c>
      <c r="B133" s="308" t="s">
        <v>53</v>
      </c>
      <c r="C133" s="1964"/>
      <c r="D133" s="906">
        <f t="shared" si="8"/>
        <v>0.6158872479982318</v>
      </c>
      <c r="E133" s="655"/>
      <c r="F133" s="656"/>
      <c r="G133" s="655" t="s">
        <v>372</v>
      </c>
      <c r="H133" s="655" t="s">
        <v>372</v>
      </c>
      <c r="I133" s="1044" t="s">
        <v>1042</v>
      </c>
      <c r="J133" s="520">
        <f>VLOOKUP(B133,$B$100:$D$121,3,FALSE)</f>
        <v>0.63960508302071395</v>
      </c>
      <c r="K133" s="655"/>
      <c r="L133" s="523" t="s">
        <v>53</v>
      </c>
      <c r="N133" s="901"/>
      <c r="O133" s="902"/>
      <c r="P133" s="880"/>
      <c r="Q133" s="881"/>
      <c r="R133" s="881"/>
      <c r="S133" s="881"/>
      <c r="T133" s="881"/>
      <c r="U133" s="900"/>
      <c r="V133" s="901"/>
      <c r="W133" s="902"/>
      <c r="X133" s="880"/>
      <c r="Y133" s="881"/>
      <c r="Z133" s="881"/>
      <c r="AA133" s="881"/>
      <c r="AB133" s="881"/>
      <c r="AC133" s="881"/>
      <c r="AD133" s="881"/>
      <c r="AE133" s="881"/>
      <c r="AF133" s="881"/>
      <c r="AG133" s="881"/>
      <c r="AH133" s="881"/>
    </row>
    <row r="134" spans="1:48" ht="13.2" customHeight="1">
      <c r="A134" s="420" t="s">
        <v>502</v>
      </c>
      <c r="B134" s="308" t="s">
        <v>52</v>
      </c>
      <c r="C134" s="1964"/>
      <c r="D134" s="904">
        <f t="shared" si="8"/>
        <v>0.61</v>
      </c>
      <c r="E134" s="656"/>
      <c r="F134" s="656"/>
      <c r="G134" s="655" t="s">
        <v>372</v>
      </c>
      <c r="H134" s="2833" t="s">
        <v>55</v>
      </c>
      <c r="I134" s="937" t="s">
        <v>2186</v>
      </c>
      <c r="J134" s="908">
        <f>G100</f>
        <v>0.60734824281150157</v>
      </c>
      <c r="K134" s="656"/>
      <c r="L134" s="523" t="s">
        <v>854</v>
      </c>
      <c r="N134" s="165"/>
      <c r="O134" s="71"/>
      <c r="P134" s="72"/>
      <c r="U134" s="162"/>
      <c r="V134" s="165"/>
      <c r="W134" s="71"/>
      <c r="X134" s="72"/>
    </row>
    <row r="135" spans="1:48" ht="13.2" customHeight="1">
      <c r="A135" s="877" t="s">
        <v>389</v>
      </c>
      <c r="B135" s="878" t="s">
        <v>278</v>
      </c>
      <c r="C135" s="1965"/>
      <c r="D135" s="907">
        <f t="shared" si="8"/>
        <v>0.60910298289809772</v>
      </c>
      <c r="E135" s="663"/>
      <c r="F135" s="663"/>
      <c r="G135" s="934" t="s">
        <v>372</v>
      </c>
      <c r="H135" s="803" t="s">
        <v>372</v>
      </c>
      <c r="I135" s="3205" t="s">
        <v>2187</v>
      </c>
      <c r="J135" s="911">
        <f>VLOOKUP(B135,$B$100:$D$121,3,FALSE)</f>
        <v>0.5981133158250882</v>
      </c>
      <c r="K135" s="663"/>
      <c r="L135" s="879" t="s">
        <v>278</v>
      </c>
      <c r="N135" s="165"/>
      <c r="O135" s="71"/>
      <c r="P135" s="72"/>
      <c r="U135" s="162"/>
      <c r="V135" s="165"/>
      <c r="W135" s="71"/>
      <c r="X135" s="72"/>
    </row>
    <row r="136" spans="1:48" ht="13.2" customHeight="1">
      <c r="A136" s="420" t="s">
        <v>19</v>
      </c>
      <c r="B136" s="308" t="s">
        <v>288</v>
      </c>
      <c r="C136" s="1964"/>
      <c r="D136" s="906">
        <f t="shared" si="8"/>
        <v>0.60741568747204655</v>
      </c>
      <c r="E136" s="656"/>
      <c r="F136" s="656"/>
      <c r="G136" s="655" t="s">
        <v>372</v>
      </c>
      <c r="H136" s="655" t="s">
        <v>372</v>
      </c>
      <c r="I136" s="3206"/>
      <c r="J136" s="520">
        <f t="shared" ref="J136:J147" si="9">VLOOKUP(B136,$B$100:$D$121,3,FALSE)</f>
        <v>0.60484412483227945</v>
      </c>
      <c r="K136" s="656"/>
      <c r="L136" s="523" t="s">
        <v>288</v>
      </c>
      <c r="N136" s="165"/>
      <c r="O136" s="71"/>
      <c r="P136" s="72"/>
      <c r="U136" s="162"/>
      <c r="V136" s="165"/>
      <c r="W136" s="71"/>
      <c r="X136" s="72"/>
    </row>
    <row r="137" spans="1:48" s="881" customFormat="1" ht="13.2" customHeight="1">
      <c r="A137" s="420" t="s">
        <v>505</v>
      </c>
      <c r="B137" s="308" t="s">
        <v>44</v>
      </c>
      <c r="C137" s="1964"/>
      <c r="D137" s="909">
        <f t="shared" si="8"/>
        <v>0.5805147103617575</v>
      </c>
      <c r="E137" s="656"/>
      <c r="F137" s="656"/>
      <c r="G137" s="655" t="s">
        <v>372</v>
      </c>
      <c r="H137" s="803" t="s">
        <v>372</v>
      </c>
      <c r="I137" s="3206"/>
      <c r="J137" s="520">
        <f t="shared" si="9"/>
        <v>0.60384301884652736</v>
      </c>
      <c r="K137" s="656"/>
      <c r="L137" s="523" t="s">
        <v>44</v>
      </c>
      <c r="N137" s="165"/>
      <c r="O137" s="71"/>
      <c r="P137" s="72"/>
      <c r="Q137" s="153"/>
      <c r="R137" s="153"/>
      <c r="S137" s="153"/>
      <c r="T137" s="153"/>
      <c r="U137" s="162"/>
      <c r="V137" s="165"/>
      <c r="W137" s="71"/>
      <c r="X137" s="72"/>
      <c r="Y137" s="153"/>
      <c r="Z137" s="153"/>
      <c r="AA137" s="153"/>
      <c r="AB137" s="153"/>
      <c r="AC137" s="153"/>
      <c r="AD137" s="153"/>
      <c r="AE137" s="153"/>
      <c r="AF137" s="153"/>
      <c r="AG137" s="153"/>
      <c r="AH137" s="153"/>
      <c r="AV137" s="2373"/>
    </row>
    <row r="138" spans="1:48">
      <c r="A138" s="420" t="s">
        <v>378</v>
      </c>
      <c r="B138" s="308" t="s">
        <v>42</v>
      </c>
      <c r="C138" s="1964"/>
      <c r="D138" s="906">
        <f t="shared" si="8"/>
        <v>0.56323171407839789</v>
      </c>
      <c r="E138" s="656"/>
      <c r="F138" s="656"/>
      <c r="G138" s="656"/>
      <c r="H138" s="655" t="s">
        <v>372</v>
      </c>
      <c r="I138" s="3207" t="s">
        <v>2188</v>
      </c>
      <c r="J138" s="520">
        <f t="shared" si="9"/>
        <v>0.5161290322580645</v>
      </c>
      <c r="K138" s="656"/>
      <c r="L138" s="523" t="s">
        <v>42</v>
      </c>
      <c r="N138" s="901"/>
      <c r="O138" s="902"/>
      <c r="P138" s="880"/>
      <c r="Q138" s="881"/>
      <c r="R138" s="881"/>
      <c r="S138" s="881"/>
      <c r="T138" s="881"/>
      <c r="U138" s="900"/>
      <c r="V138" s="901"/>
      <c r="W138" s="902"/>
      <c r="X138" s="880"/>
      <c r="Y138" s="881"/>
      <c r="Z138" s="881"/>
      <c r="AA138" s="881"/>
      <c r="AB138" s="881"/>
      <c r="AC138" s="881"/>
      <c r="AD138" s="881"/>
      <c r="AE138" s="881"/>
      <c r="AF138" s="881"/>
      <c r="AG138" s="881"/>
      <c r="AH138" s="881"/>
    </row>
    <row r="139" spans="1:48" ht="13.8" customHeight="1">
      <c r="A139" s="877" t="s">
        <v>27</v>
      </c>
      <c r="B139" s="878" t="s">
        <v>54</v>
      </c>
      <c r="C139" s="1965"/>
      <c r="D139" s="910">
        <f t="shared" si="8"/>
        <v>0.48460704112825509</v>
      </c>
      <c r="E139" s="663"/>
      <c r="F139" s="663"/>
      <c r="G139" s="934" t="s">
        <v>372</v>
      </c>
      <c r="H139" s="934" t="s">
        <v>372</v>
      </c>
      <c r="I139" s="3207"/>
      <c r="J139" s="911">
        <f>E115</f>
        <v>0.47118282781144899</v>
      </c>
      <c r="K139" s="663"/>
      <c r="L139" s="879" t="s">
        <v>54</v>
      </c>
      <c r="N139" s="165"/>
      <c r="O139" s="71"/>
      <c r="P139" s="72"/>
      <c r="U139" s="162"/>
      <c r="V139" s="165"/>
      <c r="W139" s="71"/>
      <c r="X139" s="72"/>
    </row>
    <row r="140" spans="1:48" ht="13.2" customHeight="1">
      <c r="A140" s="420" t="s">
        <v>506</v>
      </c>
      <c r="B140" s="308" t="s">
        <v>289</v>
      </c>
      <c r="C140" s="1964"/>
      <c r="D140" s="906">
        <f t="shared" si="8"/>
        <v>0.42290073595624156</v>
      </c>
      <c r="E140" s="656"/>
      <c r="F140" s="656"/>
      <c r="G140" s="656"/>
      <c r="H140" s="656"/>
      <c r="I140" s="2828" t="s">
        <v>2189</v>
      </c>
      <c r="J140" s="520">
        <f t="shared" si="9"/>
        <v>0.4260134005544996</v>
      </c>
      <c r="K140" s="656"/>
      <c r="L140" s="523" t="s">
        <v>289</v>
      </c>
      <c r="N140" s="165"/>
      <c r="O140" s="71"/>
      <c r="P140" s="72"/>
      <c r="U140" s="162"/>
      <c r="V140" s="165"/>
      <c r="W140" s="71"/>
      <c r="X140" s="72"/>
    </row>
    <row r="141" spans="1:48" s="881" customFormat="1">
      <c r="A141" s="686" t="s">
        <v>323</v>
      </c>
      <c r="B141" s="695" t="s">
        <v>280</v>
      </c>
      <c r="C141" s="1964"/>
      <c r="D141" s="905">
        <f t="shared" si="8"/>
        <v>0.37158673775730477</v>
      </c>
      <c r="E141" s="711"/>
      <c r="F141" s="711"/>
      <c r="G141" s="712" t="s">
        <v>372</v>
      </c>
      <c r="H141" s="712" t="s">
        <v>372</v>
      </c>
      <c r="I141" s="3286" t="s">
        <v>2129</v>
      </c>
      <c r="J141" s="715">
        <f t="shared" si="9"/>
        <v>0.33871396895787137</v>
      </c>
      <c r="K141" s="714" t="s">
        <v>825</v>
      </c>
      <c r="L141" s="523" t="s">
        <v>772</v>
      </c>
      <c r="N141" s="165"/>
      <c r="O141" s="71"/>
      <c r="P141" s="72"/>
      <c r="Q141" s="153"/>
      <c r="R141" s="153"/>
      <c r="S141" s="153"/>
      <c r="T141" s="153"/>
      <c r="U141" s="162"/>
      <c r="V141" s="165"/>
      <c r="W141" s="71"/>
      <c r="X141" s="72"/>
      <c r="Y141" s="153"/>
      <c r="Z141" s="153"/>
      <c r="AA141" s="153"/>
      <c r="AB141" s="153"/>
      <c r="AC141" s="153"/>
      <c r="AD141" s="153"/>
      <c r="AE141" s="153"/>
      <c r="AF141" s="153"/>
      <c r="AG141" s="153"/>
      <c r="AH141" s="153"/>
      <c r="AV141" s="2373"/>
    </row>
    <row r="142" spans="1:48">
      <c r="A142" s="877" t="s">
        <v>503</v>
      </c>
      <c r="B142" s="878" t="s">
        <v>286</v>
      </c>
      <c r="C142" s="1965"/>
      <c r="D142" s="907">
        <f t="shared" si="8"/>
        <v>0.34534166666666666</v>
      </c>
      <c r="E142" s="903" t="s">
        <v>966</v>
      </c>
      <c r="F142" s="663"/>
      <c r="G142" s="663" t="s">
        <v>372</v>
      </c>
      <c r="H142" s="663" t="s">
        <v>372</v>
      </c>
      <c r="I142" s="3206"/>
      <c r="J142" s="521">
        <f>E111</f>
        <v>0.34090000000000004</v>
      </c>
      <c r="K142" s="903" t="s">
        <v>966</v>
      </c>
      <c r="L142" s="879" t="s">
        <v>286</v>
      </c>
      <c r="N142" s="901"/>
      <c r="O142" s="902"/>
      <c r="P142" s="880"/>
      <c r="Q142" s="881"/>
      <c r="R142" s="881"/>
      <c r="S142" s="881"/>
      <c r="T142" s="881"/>
      <c r="U142" s="900"/>
      <c r="V142" s="901"/>
      <c r="W142" s="902"/>
      <c r="X142" s="880"/>
      <c r="Y142" s="881"/>
      <c r="Z142" s="881"/>
      <c r="AA142" s="881"/>
      <c r="AB142" s="881"/>
      <c r="AC142" s="881"/>
      <c r="AD142" s="881"/>
      <c r="AE142" s="881"/>
      <c r="AF142" s="881"/>
      <c r="AG142" s="881"/>
      <c r="AH142" s="881"/>
    </row>
    <row r="143" spans="1:48" ht="13.8" customHeight="1">
      <c r="A143" s="420" t="s">
        <v>508</v>
      </c>
      <c r="B143" s="308" t="s">
        <v>290</v>
      </c>
      <c r="C143" s="1964"/>
      <c r="D143" s="906">
        <f t="shared" si="8"/>
        <v>0.32615050588405037</v>
      </c>
      <c r="E143" s="665" t="s">
        <v>826</v>
      </c>
      <c r="F143" s="656"/>
      <c r="G143" s="655" t="s">
        <v>372</v>
      </c>
      <c r="H143" s="655" t="s">
        <v>372</v>
      </c>
      <c r="I143" s="3206"/>
      <c r="J143" s="520">
        <f t="shared" si="9"/>
        <v>0.30985103942866765</v>
      </c>
      <c r="K143" s="666" t="s">
        <v>827</v>
      </c>
      <c r="L143" s="523" t="s">
        <v>290</v>
      </c>
      <c r="N143" s="165"/>
      <c r="O143" s="71"/>
      <c r="P143" s="72"/>
      <c r="U143" s="162"/>
      <c r="V143" s="165"/>
      <c r="W143" s="71"/>
      <c r="X143" s="72"/>
    </row>
    <row r="144" spans="1:48" ht="13.2" customHeight="1">
      <c r="A144" s="420" t="s">
        <v>545</v>
      </c>
      <c r="B144" s="308" t="s">
        <v>39</v>
      </c>
      <c r="C144" s="1964"/>
      <c r="D144" s="906">
        <f t="shared" si="8"/>
        <v>0.31054928118178421</v>
      </c>
      <c r="E144" s="666" t="s">
        <v>827</v>
      </c>
      <c r="F144" s="655" t="s">
        <v>372</v>
      </c>
      <c r="G144" s="656"/>
      <c r="H144" s="655" t="s">
        <v>372</v>
      </c>
      <c r="I144" s="3286" t="s">
        <v>2196</v>
      </c>
      <c r="J144" s="520">
        <f t="shared" si="9"/>
        <v>0.28165979767703259</v>
      </c>
      <c r="K144" s="655" t="s">
        <v>372</v>
      </c>
      <c r="L144" s="523" t="s">
        <v>39</v>
      </c>
      <c r="O144" s="71"/>
      <c r="P144" s="72"/>
      <c r="U144" s="162"/>
      <c r="V144" s="165"/>
      <c r="W144" s="71"/>
      <c r="X144" s="72"/>
    </row>
    <row r="145" spans="1:48">
      <c r="A145" s="420" t="s">
        <v>19</v>
      </c>
      <c r="B145" s="308" t="s">
        <v>287</v>
      </c>
      <c r="C145" s="1964"/>
      <c r="D145" s="906">
        <f t="shared" si="8"/>
        <v>9.1630231095150338E-2</v>
      </c>
      <c r="E145" s="655" t="s">
        <v>372</v>
      </c>
      <c r="F145" s="655" t="s">
        <v>372</v>
      </c>
      <c r="G145" s="656"/>
      <c r="H145" s="656"/>
      <c r="I145" s="3206"/>
      <c r="J145" s="520">
        <f t="shared" si="9"/>
        <v>0.32841368754782985</v>
      </c>
      <c r="K145" s="655" t="s">
        <v>372</v>
      </c>
      <c r="L145" s="523" t="s">
        <v>287</v>
      </c>
      <c r="O145" s="71"/>
      <c r="P145" s="72"/>
      <c r="U145" s="162"/>
      <c r="V145" s="165"/>
      <c r="W145" s="71"/>
      <c r="X145" s="72"/>
    </row>
    <row r="146" spans="1:48" ht="13.2" customHeight="1">
      <c r="A146" s="686" t="s">
        <v>323</v>
      </c>
      <c r="B146" s="695" t="s">
        <v>283</v>
      </c>
      <c r="C146" s="1964"/>
      <c r="D146" s="905">
        <f t="shared" si="8"/>
        <v>6.4385445236561381E-2</v>
      </c>
      <c r="E146" s="712" t="s">
        <v>372</v>
      </c>
      <c r="F146" s="712"/>
      <c r="G146" s="711"/>
      <c r="H146" s="711"/>
      <c r="I146" s="2771" t="s">
        <v>2128</v>
      </c>
      <c r="J146" s="715">
        <f t="shared" si="9"/>
        <v>0.14257620452310718</v>
      </c>
      <c r="K146" s="712" t="s">
        <v>372</v>
      </c>
      <c r="L146" s="523" t="s">
        <v>774</v>
      </c>
      <c r="O146" s="71"/>
      <c r="P146" s="72"/>
      <c r="U146" s="162"/>
      <c r="V146" s="165"/>
      <c r="W146" s="71"/>
      <c r="X146" s="72"/>
    </row>
    <row r="147" spans="1:48">
      <c r="A147" s="420" t="s">
        <v>32</v>
      </c>
      <c r="B147" s="308" t="s">
        <v>50</v>
      </c>
      <c r="C147" s="1964"/>
      <c r="D147" s="906">
        <f t="shared" si="8"/>
        <v>0</v>
      </c>
      <c r="E147" s="657" t="s">
        <v>372</v>
      </c>
      <c r="F147" s="657" t="s">
        <v>372</v>
      </c>
      <c r="G147" s="657" t="s">
        <v>372</v>
      </c>
      <c r="H147" s="657" t="s">
        <v>372</v>
      </c>
      <c r="I147" s="1388" t="s">
        <v>1004</v>
      </c>
      <c r="J147" s="520">
        <f t="shared" si="9"/>
        <v>0</v>
      </c>
      <c r="K147" s="657" t="s">
        <v>372</v>
      </c>
      <c r="L147" s="523" t="s">
        <v>50</v>
      </c>
      <c r="O147" s="71"/>
      <c r="P147" s="72"/>
      <c r="U147" s="162"/>
      <c r="V147" s="165"/>
      <c r="W147" s="71"/>
      <c r="X147" s="72"/>
      <c r="AC147" s="661" t="s">
        <v>816</v>
      </c>
    </row>
    <row r="148" spans="1:48" s="958" customFormat="1" ht="26.4">
      <c r="A148" s="76"/>
      <c r="B148" s="82"/>
      <c r="C148" s="1956"/>
      <c r="D148" s="1046"/>
      <c r="E148" s="1047"/>
      <c r="F148" s="1047"/>
      <c r="G148" s="1047"/>
      <c r="H148" s="1047"/>
      <c r="I148" s="2830" t="s">
        <v>2204</v>
      </c>
      <c r="J148" s="1045"/>
      <c r="K148" s="2400"/>
      <c r="L148" s="523"/>
      <c r="O148" s="3283"/>
      <c r="P148" s="3284"/>
      <c r="Q148" s="153"/>
      <c r="R148" s="153"/>
      <c r="S148" s="153"/>
      <c r="T148" s="153"/>
      <c r="U148" s="153"/>
      <c r="V148" s="153"/>
      <c r="W148" s="153"/>
      <c r="X148" s="153"/>
      <c r="Y148" s="153"/>
      <c r="Z148" s="153"/>
      <c r="AA148" s="153"/>
      <c r="AB148" s="153"/>
      <c r="AC148" s="153"/>
      <c r="AD148" s="153"/>
      <c r="AE148" s="153"/>
      <c r="AF148" s="153"/>
      <c r="AG148" s="153"/>
      <c r="AH148" s="153"/>
      <c r="AI148" s="153"/>
      <c r="AJ148" s="153"/>
      <c r="AV148" s="670"/>
    </row>
    <row r="149" spans="1:48" ht="13.2" customHeight="1">
      <c r="A149" s="672" t="s">
        <v>1010</v>
      </c>
      <c r="B149" s="1543" t="s">
        <v>1819</v>
      </c>
      <c r="C149" s="1966"/>
      <c r="D149" s="674"/>
      <c r="E149" s="2407"/>
      <c r="F149" s="2407"/>
      <c r="G149" s="2407" t="s">
        <v>55</v>
      </c>
      <c r="H149" s="2407"/>
      <c r="I149" s="2408" t="s">
        <v>1043</v>
      </c>
      <c r="J149" s="3190" t="s">
        <v>2197</v>
      </c>
      <c r="K149" s="3191"/>
      <c r="L149" s="2405"/>
      <c r="M149" s="2406"/>
      <c r="N149" s="2406"/>
      <c r="O149" s="958"/>
      <c r="P149" s="958"/>
      <c r="Q149" s="958"/>
      <c r="R149" s="958"/>
      <c r="S149" s="958"/>
      <c r="T149" s="958"/>
      <c r="U149" s="958"/>
      <c r="V149" s="958"/>
      <c r="W149" s="958"/>
      <c r="X149" s="958"/>
      <c r="Y149" s="958"/>
      <c r="Z149" s="958"/>
      <c r="AA149" s="958"/>
      <c r="AB149" s="958"/>
      <c r="AC149" s="958"/>
      <c r="AD149" s="958"/>
      <c r="AE149" s="958"/>
      <c r="AF149" s="958"/>
      <c r="AG149" s="958"/>
      <c r="AH149" s="958"/>
    </row>
    <row r="150" spans="1:48" ht="13.2" customHeight="1">
      <c r="A150" s="672" t="s">
        <v>502</v>
      </c>
      <c r="B150" s="1543" t="s">
        <v>830</v>
      </c>
      <c r="C150" s="1966"/>
      <c r="D150" s="674"/>
      <c r="E150" s="2407"/>
      <c r="F150" s="2407"/>
      <c r="G150" s="2407"/>
      <c r="H150" s="2407" t="s">
        <v>55</v>
      </c>
      <c r="I150" s="2409" t="s">
        <v>1005</v>
      </c>
      <c r="J150" s="3192"/>
      <c r="K150" s="3193"/>
      <c r="L150" s="2405"/>
      <c r="M150" s="2406"/>
      <c r="N150" s="2406"/>
      <c r="O150" s="72"/>
    </row>
    <row r="151" spans="1:48" ht="13.2" customHeight="1">
      <c r="A151" s="672" t="s">
        <v>502</v>
      </c>
      <c r="B151" s="1543" t="s">
        <v>1820</v>
      </c>
      <c r="C151" s="1966"/>
      <c r="D151" s="674"/>
      <c r="E151" s="2407"/>
      <c r="F151" s="2407"/>
      <c r="G151" s="2407"/>
      <c r="H151" s="2407" t="s">
        <v>55</v>
      </c>
      <c r="I151" s="2409" t="s">
        <v>1005</v>
      </c>
      <c r="J151" s="3192"/>
      <c r="K151" s="3193"/>
      <c r="L151" s="2405"/>
      <c r="M151" s="2406"/>
      <c r="N151" s="2406"/>
      <c r="O151" s="72"/>
    </row>
    <row r="152" spans="1:48" ht="13.2" customHeight="1">
      <c r="A152" s="672" t="s">
        <v>32</v>
      </c>
      <c r="B152" s="1543" t="s">
        <v>831</v>
      </c>
      <c r="C152" s="1966"/>
      <c r="D152" s="674"/>
      <c r="E152" s="2407"/>
      <c r="F152" s="2407"/>
      <c r="G152" s="2407"/>
      <c r="H152" s="2407" t="s">
        <v>55</v>
      </c>
      <c r="I152" s="2410" t="s">
        <v>1011</v>
      </c>
      <c r="J152" s="2834" t="s">
        <v>2198</v>
      </c>
      <c r="K152" s="2835"/>
      <c r="L152" s="2405"/>
      <c r="M152" s="2406"/>
      <c r="N152" s="2406"/>
      <c r="O152" s="72"/>
    </row>
    <row r="153" spans="1:48" ht="13.2" customHeight="1">
      <c r="A153" s="672" t="s">
        <v>832</v>
      </c>
      <c r="B153" s="1543" t="s">
        <v>833</v>
      </c>
      <c r="C153" s="1966"/>
      <c r="D153" s="674"/>
      <c r="E153" s="2407"/>
      <c r="F153" s="2407"/>
      <c r="G153" s="2407"/>
      <c r="H153" s="2407" t="s">
        <v>372</v>
      </c>
      <c r="I153" s="2410" t="s">
        <v>1009</v>
      </c>
      <c r="J153" s="3192" t="s">
        <v>1044</v>
      </c>
      <c r="K153" s="3193"/>
      <c r="L153" s="2405"/>
      <c r="M153" s="2406"/>
      <c r="N153" s="2406"/>
      <c r="O153" s="72"/>
    </row>
    <row r="154" spans="1:48">
      <c r="A154" s="672" t="s">
        <v>832</v>
      </c>
      <c r="B154" s="1543" t="s">
        <v>834</v>
      </c>
      <c r="C154" s="1966"/>
      <c r="D154" s="674"/>
      <c r="E154" s="2407"/>
      <c r="F154" s="2407"/>
      <c r="G154" s="2407"/>
      <c r="H154" s="2407" t="s">
        <v>372</v>
      </c>
      <c r="I154" s="2410" t="s">
        <v>1007</v>
      </c>
      <c r="J154" s="3192"/>
      <c r="K154" s="3193"/>
      <c r="L154" s="2405"/>
      <c r="M154" s="2406"/>
      <c r="N154" s="2406"/>
      <c r="O154" s="72"/>
    </row>
    <row r="155" spans="1:48">
      <c r="A155" s="672" t="s">
        <v>832</v>
      </c>
      <c r="B155" s="1543" t="s">
        <v>835</v>
      </c>
      <c r="C155" s="1966"/>
      <c r="D155" s="674"/>
      <c r="E155" s="2407"/>
      <c r="F155" s="2407"/>
      <c r="G155" s="2407"/>
      <c r="H155" s="2407" t="s">
        <v>372</v>
      </c>
      <c r="I155" s="2410" t="s">
        <v>1008</v>
      </c>
      <c r="J155" s="3192"/>
      <c r="K155" s="3193"/>
      <c r="L155" s="2405"/>
      <c r="M155" s="2406"/>
      <c r="N155" s="2406"/>
      <c r="O155" s="72"/>
    </row>
    <row r="156" spans="1:48">
      <c r="A156" s="672" t="s">
        <v>832</v>
      </c>
      <c r="B156" s="1543" t="s">
        <v>1821</v>
      </c>
      <c r="C156" s="1966"/>
      <c r="D156" s="674"/>
      <c r="E156" s="2407"/>
      <c r="F156" s="2407"/>
      <c r="G156" s="2407"/>
      <c r="H156" s="2407" t="s">
        <v>372</v>
      </c>
      <c r="I156" s="2410" t="s">
        <v>1008</v>
      </c>
      <c r="J156" s="3192"/>
      <c r="K156" s="3193"/>
      <c r="L156" s="2406"/>
      <c r="M156" s="2406"/>
      <c r="N156" s="2406"/>
      <c r="O156" s="72"/>
    </row>
    <row r="157" spans="1:48">
      <c r="A157" s="672" t="s">
        <v>836</v>
      </c>
      <c r="B157" s="1543" t="s">
        <v>837</v>
      </c>
      <c r="C157" s="1966"/>
      <c r="D157" s="674"/>
      <c r="E157" s="2407"/>
      <c r="F157" s="2407"/>
      <c r="G157" s="2407"/>
      <c r="H157" s="2407" t="s">
        <v>372</v>
      </c>
      <c r="I157" s="2409" t="s">
        <v>1006</v>
      </c>
      <c r="J157" s="3288"/>
      <c r="K157" s="3289"/>
      <c r="L157" s="2406"/>
      <c r="M157" s="2406"/>
      <c r="N157" s="2406"/>
      <c r="O157" s="72"/>
    </row>
    <row r="158" spans="1:48" ht="13.2" customHeight="1">
      <c r="A158" s="672" t="s">
        <v>505</v>
      </c>
      <c r="B158" s="1543" t="s">
        <v>838</v>
      </c>
      <c r="C158" s="1966"/>
      <c r="D158" s="674"/>
      <c r="E158" s="2407"/>
      <c r="F158" s="2407"/>
      <c r="G158" s="2407"/>
      <c r="H158" s="2407" t="s">
        <v>372</v>
      </c>
      <c r="I158" s="3290" t="s">
        <v>1252</v>
      </c>
      <c r="J158" s="3290"/>
      <c r="K158" s="3290"/>
      <c r="M158" s="165"/>
      <c r="N158" s="71"/>
      <c r="O158" s="72"/>
    </row>
    <row r="159" spans="1:48">
      <c r="A159" s="671"/>
      <c r="M159" s="165"/>
      <c r="N159" s="71"/>
      <c r="O159" s="72"/>
    </row>
    <row r="160" spans="1:48" s="1938" customFormat="1">
      <c r="A160" s="1937"/>
      <c r="B160" s="2785"/>
      <c r="C160" s="1939"/>
      <c r="I160" s="1940"/>
      <c r="J160" s="1940"/>
      <c r="K160" s="1941"/>
      <c r="L160" s="1942"/>
      <c r="M160" s="1941"/>
      <c r="N160" s="1942"/>
      <c r="O160" s="1943"/>
      <c r="AV160" s="2376"/>
    </row>
    <row r="161" spans="1:48" s="1938" customFormat="1">
      <c r="A161" s="1944" t="s">
        <v>1525</v>
      </c>
      <c r="B161" s="2786"/>
      <c r="C161" s="1945"/>
      <c r="D161" s="1946"/>
      <c r="E161" s="1946"/>
      <c r="F161" s="1946"/>
      <c r="G161" s="1946"/>
      <c r="H161" s="1946"/>
      <c r="I161" s="1946"/>
      <c r="J161" s="1946"/>
      <c r="K161" s="1946"/>
      <c r="L161" s="1942"/>
      <c r="M161" s="1941"/>
      <c r="N161" s="1942"/>
      <c r="O161" s="1943"/>
      <c r="AV161" s="2376"/>
    </row>
    <row r="162" spans="1:48" s="1938" customFormat="1">
      <c r="A162" s="1937"/>
      <c r="B162" s="2785"/>
      <c r="C162" s="1939"/>
      <c r="D162" s="1946"/>
      <c r="E162" s="1946"/>
      <c r="F162" s="1946"/>
      <c r="G162" s="1946"/>
      <c r="H162" s="1946"/>
      <c r="I162" s="1946"/>
      <c r="J162" s="1946"/>
      <c r="K162" s="1946"/>
      <c r="L162" s="1942"/>
      <c r="M162" s="1941"/>
      <c r="N162" s="1942"/>
      <c r="O162" s="1943"/>
      <c r="AV162" s="2376"/>
    </row>
    <row r="163" spans="1:48" s="1938" customFormat="1">
      <c r="A163" s="1937"/>
      <c r="B163" s="2785"/>
      <c r="C163" s="1939"/>
      <c r="D163" s="1946"/>
      <c r="E163" s="1946"/>
      <c r="F163" s="1946"/>
      <c r="G163" s="1946"/>
      <c r="H163" s="1946"/>
      <c r="I163" s="1946"/>
      <c r="J163" s="1946"/>
      <c r="K163" s="1946"/>
      <c r="L163" s="1942"/>
      <c r="M163" s="1941"/>
      <c r="N163" s="1942"/>
      <c r="O163" s="1943"/>
      <c r="AV163" s="2376"/>
    </row>
    <row r="164" spans="1:48" s="1938" customFormat="1">
      <c r="A164" s="1937"/>
      <c r="B164" s="2785"/>
      <c r="C164" s="1939"/>
      <c r="D164" s="1946"/>
      <c r="E164" s="1946"/>
      <c r="F164" s="1946"/>
      <c r="G164" s="1946"/>
      <c r="H164" s="1946"/>
      <c r="I164" s="1946"/>
      <c r="J164" s="1946"/>
      <c r="K164" s="1946"/>
      <c r="L164" s="1942"/>
      <c r="M164" s="1941"/>
      <c r="N164" s="1942"/>
      <c r="O164" s="1943"/>
      <c r="AV164" s="2376"/>
    </row>
    <row r="165" spans="1:48" s="1938" customFormat="1">
      <c r="A165" s="1937"/>
      <c r="B165" s="2785"/>
      <c r="C165" s="1939"/>
      <c r="D165" s="3285"/>
      <c r="E165" s="3285"/>
      <c r="F165" s="3285"/>
      <c r="G165" s="3285"/>
      <c r="H165" s="3285"/>
      <c r="I165" s="3285"/>
      <c r="J165" s="3285"/>
      <c r="K165" s="3285"/>
      <c r="L165" s="1942"/>
      <c r="M165" s="1941"/>
      <c r="N165" s="1942"/>
      <c r="O165" s="1943"/>
      <c r="AV165" s="2376"/>
    </row>
    <row r="166" spans="1:48" s="1938" customFormat="1">
      <c r="A166" s="1937"/>
      <c r="B166" s="2785"/>
      <c r="C166" s="1939"/>
      <c r="I166" s="1940"/>
      <c r="J166" s="1940"/>
      <c r="K166" s="1941"/>
      <c r="L166" s="1942"/>
      <c r="M166" s="1941"/>
      <c r="N166" s="1942"/>
      <c r="O166" s="1943"/>
      <c r="AV166" s="2376"/>
    </row>
    <row r="167" spans="1:48" s="156" customFormat="1">
      <c r="A167" s="709" t="s">
        <v>1197</v>
      </c>
      <c r="B167" s="2787"/>
      <c r="C167" s="1967"/>
      <c r="D167" s="676"/>
      <c r="E167" s="676"/>
      <c r="F167" s="676"/>
      <c r="G167" s="676"/>
      <c r="H167" s="676"/>
      <c r="I167" s="677"/>
      <c r="J167" s="677"/>
      <c r="K167" s="678"/>
      <c r="L167" s="704"/>
      <c r="M167" s="678"/>
      <c r="N167" s="679"/>
      <c r="O167" s="680"/>
      <c r="P167" s="676"/>
      <c r="Q167" s="676"/>
      <c r="R167" s="676"/>
      <c r="S167" s="676"/>
      <c r="T167" s="676"/>
      <c r="AV167" s="1525"/>
    </row>
    <row r="168" spans="1:48">
      <c r="D168" s="3194"/>
      <c r="E168" s="3194"/>
      <c r="F168" s="3194"/>
      <c r="G168" s="3194"/>
      <c r="H168" s="3194"/>
      <c r="I168" s="3194"/>
    </row>
    <row r="169" spans="1:48">
      <c r="A169" s="944" t="s">
        <v>1251</v>
      </c>
      <c r="B169" s="2788"/>
      <c r="D169" s="3271" t="s">
        <v>2130</v>
      </c>
      <c r="E169" s="3271"/>
      <c r="F169" s="3271"/>
      <c r="G169" s="3271"/>
      <c r="H169" s="3271"/>
      <c r="I169" s="3271"/>
      <c r="J169" s="3271"/>
      <c r="K169" s="3271"/>
      <c r="P169" s="949"/>
    </row>
    <row r="170" spans="1:48">
      <c r="A170" s="1000"/>
      <c r="D170" s="3271"/>
      <c r="E170" s="3271"/>
      <c r="F170" s="3271"/>
      <c r="G170" s="3271"/>
      <c r="H170" s="3271"/>
      <c r="I170" s="3271"/>
      <c r="J170" s="3271"/>
      <c r="K170" s="3271"/>
      <c r="M170" s="153"/>
    </row>
    <row r="171" spans="1:48">
      <c r="A171" s="1000"/>
      <c r="D171" s="1048" t="s">
        <v>1311</v>
      </c>
      <c r="E171" s="940"/>
      <c r="F171" s="940"/>
      <c r="G171" s="940"/>
      <c r="H171" s="940"/>
      <c r="I171" s="940"/>
      <c r="J171" s="940"/>
      <c r="K171" s="940"/>
      <c r="M171" s="153"/>
    </row>
    <row r="172" spans="1:48">
      <c r="A172" s="1000"/>
      <c r="D172" s="1393"/>
      <c r="E172" s="1484"/>
      <c r="F172" s="1484"/>
      <c r="G172" s="1484"/>
      <c r="H172" s="1484"/>
      <c r="I172" s="1485"/>
      <c r="J172" s="940"/>
      <c r="K172" s="940"/>
      <c r="M172" s="153"/>
    </row>
    <row r="173" spans="1:48" s="1484" customFormat="1">
      <c r="A173" s="1000"/>
      <c r="B173" s="1424"/>
      <c r="C173" s="1939"/>
      <c r="E173" s="166"/>
      <c r="F173" s="166"/>
      <c r="G173" s="166"/>
      <c r="H173" s="166"/>
      <c r="I173" s="1487"/>
      <c r="J173" s="3135" t="s">
        <v>2601</v>
      </c>
      <c r="K173" s="940"/>
      <c r="L173" s="71"/>
      <c r="M173" s="946" t="s">
        <v>1215</v>
      </c>
      <c r="N173" s="947"/>
      <c r="O173" s="1318" t="s">
        <v>2185</v>
      </c>
      <c r="P173" s="949"/>
      <c r="AV173" s="670"/>
    </row>
    <row r="174" spans="1:48" s="1484" customFormat="1">
      <c r="A174" s="1000"/>
      <c r="B174" s="1424"/>
      <c r="C174" s="1939"/>
      <c r="D174" s="940"/>
      <c r="E174" s="940"/>
      <c r="F174" s="940"/>
      <c r="G174" s="940"/>
      <c r="H174" s="940"/>
      <c r="I174" s="940"/>
      <c r="J174" s="940"/>
      <c r="K174" s="940"/>
      <c r="L174" s="71"/>
      <c r="M174" s="72" t="s">
        <v>1830</v>
      </c>
      <c r="N174" s="72" t="s">
        <v>1829</v>
      </c>
      <c r="O174" s="153"/>
      <c r="P174" s="71"/>
      <c r="AV174" s="670"/>
    </row>
    <row r="175" spans="1:48" s="1484" customFormat="1">
      <c r="A175" s="1000"/>
      <c r="B175" s="1424"/>
      <c r="C175" s="1939"/>
      <c r="D175" s="940"/>
      <c r="E175" s="940"/>
      <c r="F175" s="940"/>
      <c r="G175" s="940"/>
      <c r="H175" s="940"/>
      <c r="I175" s="940"/>
      <c r="J175" s="940"/>
      <c r="K175" s="940"/>
      <c r="M175" s="72"/>
      <c r="N175" s="72" t="s">
        <v>1048</v>
      </c>
      <c r="O175" s="153"/>
      <c r="P175" s="71"/>
      <c r="AV175" s="670"/>
    </row>
    <row r="176" spans="1:48" s="1484" customFormat="1">
      <c r="A176" s="1000"/>
      <c r="B176" s="1424"/>
      <c r="C176" s="1939"/>
      <c r="D176" s="940"/>
      <c r="E176" s="940"/>
      <c r="F176" s="940"/>
      <c r="G176" s="940"/>
      <c r="H176" s="940"/>
      <c r="I176" s="940"/>
      <c r="J176" s="940"/>
      <c r="K176" s="940"/>
      <c r="AV176" s="670"/>
    </row>
    <row r="177" spans="1:48" s="1484" customFormat="1">
      <c r="A177" s="1000"/>
      <c r="B177" s="1424"/>
      <c r="C177" s="1939"/>
      <c r="D177" s="940"/>
      <c r="E177" s="940"/>
      <c r="F177" s="940"/>
      <c r="G177" s="940"/>
      <c r="H177" s="940"/>
      <c r="I177" s="940"/>
      <c r="J177" s="940"/>
      <c r="K177" s="940"/>
      <c r="L177" s="71"/>
      <c r="P177" s="949"/>
      <c r="AV177" s="670"/>
    </row>
    <row r="178" spans="1:48" s="1484" customFormat="1">
      <c r="A178" s="1000"/>
      <c r="B178" s="1424"/>
      <c r="C178" s="1939"/>
      <c r="D178" s="940"/>
      <c r="E178" s="940"/>
      <c r="F178" s="940"/>
      <c r="G178" s="940"/>
      <c r="H178" s="940"/>
      <c r="I178" s="940"/>
      <c r="J178" s="940"/>
      <c r="K178" s="940"/>
      <c r="L178" s="71"/>
      <c r="M178" s="949"/>
      <c r="N178" s="947"/>
      <c r="O178" s="948"/>
      <c r="P178" s="949"/>
      <c r="AV178" s="670"/>
    </row>
    <row r="179" spans="1:48" s="1484" customFormat="1">
      <c r="A179" s="1000"/>
      <c r="B179" s="1424"/>
      <c r="C179" s="1939"/>
      <c r="D179" s="940"/>
      <c r="E179" s="940"/>
      <c r="F179" s="940"/>
      <c r="G179" s="940"/>
      <c r="H179" s="940"/>
      <c r="I179" s="940"/>
      <c r="J179" s="940"/>
      <c r="K179" s="940"/>
      <c r="L179" s="71"/>
      <c r="M179" s="949"/>
      <c r="N179" s="947"/>
      <c r="O179" s="948"/>
      <c r="P179" s="949"/>
      <c r="AV179" s="670"/>
    </row>
    <row r="180" spans="1:48" s="1484" customFormat="1">
      <c r="A180" s="1000"/>
      <c r="B180" s="1424"/>
      <c r="C180" s="1939"/>
      <c r="D180" s="1393" t="s">
        <v>2131</v>
      </c>
      <c r="E180" s="1393"/>
      <c r="F180" s="1393"/>
      <c r="G180" s="1393"/>
      <c r="H180" s="1393"/>
      <c r="I180" s="1393"/>
      <c r="J180" s="1393"/>
      <c r="K180" s="1393"/>
      <c r="L180" s="71"/>
      <c r="M180" s="949"/>
      <c r="N180" s="947"/>
      <c r="O180" s="948"/>
      <c r="P180" s="949"/>
      <c r="AV180" s="670"/>
    </row>
    <row r="181" spans="1:48" s="1484" customFormat="1">
      <c r="A181" s="1000"/>
      <c r="B181" s="1424"/>
      <c r="C181" s="1939"/>
      <c r="D181" s="1393" t="s">
        <v>1312</v>
      </c>
      <c r="E181" s="1393"/>
      <c r="F181" s="1393"/>
      <c r="G181" s="1393"/>
      <c r="H181" s="1393"/>
      <c r="I181" s="1393"/>
      <c r="J181" s="1393"/>
      <c r="K181" s="1393"/>
      <c r="L181" s="71"/>
      <c r="M181" s="3272" t="s">
        <v>2199</v>
      </c>
      <c r="N181" s="3272"/>
      <c r="O181" s="3272"/>
      <c r="P181" s="3272"/>
      <c r="Q181" s="3272"/>
      <c r="AV181" s="670"/>
    </row>
    <row r="182" spans="1:48" s="1421" customFormat="1">
      <c r="A182" s="1001"/>
      <c r="B182" s="1424"/>
      <c r="C182" s="1939"/>
      <c r="D182" s="2752" t="s">
        <v>2205</v>
      </c>
      <c r="L182" s="71"/>
      <c r="M182" s="3272"/>
      <c r="N182" s="3272"/>
      <c r="O182" s="3272"/>
      <c r="P182" s="3272"/>
      <c r="Q182" s="3272"/>
      <c r="AV182" s="670"/>
    </row>
    <row r="183" spans="1:48" s="1484" customFormat="1">
      <c r="A183" s="1001"/>
      <c r="B183" s="1424"/>
      <c r="C183" s="1939"/>
      <c r="D183" s="1059"/>
      <c r="I183" s="1485"/>
      <c r="J183" s="72"/>
      <c r="K183" s="942"/>
      <c r="L183" s="71"/>
      <c r="M183" s="946"/>
      <c r="N183" s="947"/>
      <c r="O183" s="948"/>
      <c r="P183" s="949"/>
      <c r="AV183" s="670"/>
    </row>
    <row r="184" spans="1:48" s="1421" customFormat="1">
      <c r="A184" s="1001"/>
      <c r="B184" s="2789"/>
      <c r="C184" s="1939"/>
      <c r="D184" s="3198" t="s">
        <v>2132</v>
      </c>
      <c r="E184" s="3198"/>
      <c r="F184" s="3198"/>
      <c r="G184" s="3198"/>
      <c r="H184" s="3198"/>
      <c r="I184" s="3198"/>
      <c r="J184" s="3198"/>
      <c r="K184" s="3198"/>
      <c r="L184" s="71"/>
      <c r="M184" s="949"/>
      <c r="N184" s="947"/>
      <c r="O184" s="948"/>
      <c r="P184" s="949"/>
      <c r="AV184" s="670"/>
    </row>
    <row r="185" spans="1:48" s="1421" customFormat="1">
      <c r="A185" s="1001"/>
      <c r="B185" s="1424"/>
      <c r="C185" s="1939"/>
      <c r="D185" s="3198"/>
      <c r="E185" s="3198"/>
      <c r="F185" s="3198"/>
      <c r="G185" s="3198"/>
      <c r="H185" s="3198"/>
      <c r="I185" s="3198"/>
      <c r="J185" s="3198"/>
      <c r="K185" s="3198"/>
      <c r="L185" s="71"/>
      <c r="M185" s="949"/>
      <c r="N185" s="947"/>
      <c r="O185" s="948"/>
      <c r="P185" s="949"/>
      <c r="AV185" s="670"/>
    </row>
    <row r="186" spans="1:48" s="1421" customFormat="1">
      <c r="A186" s="1001"/>
      <c r="B186" s="1424"/>
      <c r="C186" s="1939"/>
      <c r="D186" s="3198"/>
      <c r="E186" s="3198"/>
      <c r="F186" s="3198"/>
      <c r="G186" s="3198"/>
      <c r="H186" s="3198"/>
      <c r="I186" s="3198"/>
      <c r="J186" s="3198"/>
      <c r="K186" s="3198"/>
      <c r="L186" s="71"/>
      <c r="M186" s="949"/>
      <c r="N186" s="947"/>
      <c r="O186" s="948"/>
      <c r="P186" s="949"/>
      <c r="AV186" s="670"/>
    </row>
    <row r="187" spans="1:48" s="1421" customFormat="1">
      <c r="A187" s="1001"/>
      <c r="B187" s="1424"/>
      <c r="C187" s="1939"/>
      <c r="D187" s="2752" t="s">
        <v>2206</v>
      </c>
      <c r="E187" s="166"/>
      <c r="F187" s="166"/>
      <c r="G187" s="166"/>
      <c r="H187" s="166"/>
      <c r="I187" s="166"/>
      <c r="J187" s="1423"/>
      <c r="K187" s="942"/>
      <c r="L187" s="71"/>
      <c r="M187" s="949"/>
      <c r="N187" s="947"/>
      <c r="O187" s="948"/>
      <c r="P187" s="949"/>
      <c r="AV187" s="670"/>
    </row>
    <row r="188" spans="1:48" s="1421" customFormat="1">
      <c r="A188" s="1001"/>
      <c r="B188" s="1424"/>
      <c r="C188" s="1939"/>
      <c r="D188" s="1057" t="s">
        <v>2133</v>
      </c>
      <c r="E188" s="166"/>
      <c r="F188" s="166"/>
      <c r="G188" s="166"/>
      <c r="H188" s="166"/>
      <c r="I188" s="166"/>
      <c r="J188" s="1423"/>
      <c r="K188" s="942"/>
      <c r="L188" s="71"/>
      <c r="M188" s="949"/>
      <c r="N188" s="947"/>
      <c r="O188" s="948"/>
      <c r="P188" s="949"/>
      <c r="AV188" s="670"/>
    </row>
    <row r="189" spans="1:48" s="1421" customFormat="1">
      <c r="A189" s="1001"/>
      <c r="B189" s="1424"/>
      <c r="C189" s="1939"/>
      <c r="D189" s="1057"/>
      <c r="E189" s="166"/>
      <c r="F189" s="166"/>
      <c r="G189" s="166"/>
      <c r="H189" s="166"/>
      <c r="I189" s="166"/>
      <c r="J189" s="1423"/>
      <c r="K189" s="942"/>
      <c r="L189" s="71"/>
      <c r="M189" s="949"/>
      <c r="N189" s="947"/>
      <c r="O189" s="948"/>
      <c r="P189" s="949"/>
      <c r="AV189" s="670"/>
    </row>
    <row r="190" spans="1:48">
      <c r="A190" s="1001"/>
      <c r="D190" s="166"/>
      <c r="E190" s="166"/>
      <c r="F190" s="166"/>
      <c r="G190" s="166"/>
      <c r="H190" s="166"/>
      <c r="I190" s="166"/>
      <c r="J190" s="505"/>
      <c r="K190" s="942"/>
      <c r="M190" s="1271"/>
      <c r="N190" s="947"/>
      <c r="O190" s="948"/>
      <c r="P190" s="949"/>
    </row>
    <row r="191" spans="1:48">
      <c r="A191" s="2773" t="s">
        <v>1018</v>
      </c>
      <c r="B191" s="2790"/>
      <c r="C191" s="1967"/>
      <c r="D191" s="3281" t="s">
        <v>2137</v>
      </c>
      <c r="E191" s="3281"/>
      <c r="F191" s="3281"/>
      <c r="G191" s="3281"/>
      <c r="H191" s="3281"/>
      <c r="I191" s="3281"/>
      <c r="J191" s="3281"/>
      <c r="K191" s="3281"/>
      <c r="M191" s="3211" t="s">
        <v>2207</v>
      </c>
      <c r="N191" s="3211"/>
      <c r="O191" s="3211"/>
      <c r="P191" s="3211"/>
      <c r="Q191" s="3211"/>
    </row>
    <row r="192" spans="1:48" s="1159" customFormat="1">
      <c r="A192" s="1270"/>
      <c r="B192" s="2791"/>
      <c r="C192" s="1968"/>
      <c r="D192" s="3281"/>
      <c r="E192" s="3281"/>
      <c r="F192" s="3281"/>
      <c r="G192" s="3281"/>
      <c r="H192" s="3281"/>
      <c r="I192" s="3281"/>
      <c r="J192" s="3281"/>
      <c r="K192" s="3281"/>
      <c r="L192" s="71"/>
      <c r="M192" s="3211"/>
      <c r="N192" s="3211"/>
      <c r="O192" s="3211"/>
      <c r="P192" s="3211"/>
      <c r="Q192" s="3211"/>
      <c r="AV192" s="670"/>
    </row>
    <row r="193" spans="1:48" ht="13.2" customHeight="1">
      <c r="D193" s="3281"/>
      <c r="E193" s="3281"/>
      <c r="F193" s="3281"/>
      <c r="G193" s="3281"/>
      <c r="H193" s="3281"/>
      <c r="I193" s="3281"/>
      <c r="J193" s="3281"/>
      <c r="K193" s="3281"/>
      <c r="M193" s="1318" t="s">
        <v>2208</v>
      </c>
    </row>
    <row r="194" spans="1:48" s="1421" customFormat="1" ht="13.2" customHeight="1">
      <c r="A194" s="152"/>
      <c r="B194" s="1424"/>
      <c r="C194" s="1939"/>
      <c r="D194" s="1422"/>
      <c r="E194" s="1422"/>
      <c r="F194" s="1422"/>
      <c r="G194" s="1422"/>
      <c r="H194" s="1422"/>
      <c r="I194" s="1422"/>
      <c r="J194" s="1422"/>
      <c r="K194" s="1422"/>
      <c r="L194" s="71"/>
      <c r="N194" s="947"/>
      <c r="AV194" s="670"/>
    </row>
    <row r="195" spans="1:48" ht="13.2" customHeight="1">
      <c r="A195" s="153"/>
      <c r="D195" s="3226" t="s">
        <v>2138</v>
      </c>
      <c r="E195" s="3226"/>
      <c r="F195" s="3226"/>
      <c r="G195" s="3226"/>
      <c r="H195" s="3226"/>
      <c r="I195" s="3226"/>
      <c r="J195" s="3226"/>
      <c r="K195" s="3226"/>
      <c r="M195" s="145" t="s">
        <v>2134</v>
      </c>
      <c r="N195" s="145"/>
      <c r="O195" s="145"/>
      <c r="P195" s="145"/>
      <c r="Q195" s="145"/>
      <c r="R195" s="145"/>
      <c r="S195" s="145"/>
      <c r="T195" s="145"/>
    </row>
    <row r="196" spans="1:48" ht="13.2" customHeight="1">
      <c r="A196" s="943"/>
      <c r="D196" s="3226"/>
      <c r="E196" s="3226"/>
      <c r="F196" s="3226"/>
      <c r="G196" s="3226"/>
      <c r="H196" s="3226"/>
      <c r="I196" s="3226"/>
      <c r="J196" s="3226"/>
      <c r="K196" s="3226"/>
      <c r="M196" s="145" t="s">
        <v>2135</v>
      </c>
      <c r="N196" s="145"/>
      <c r="O196" s="145"/>
      <c r="P196" s="145"/>
      <c r="Q196" s="145"/>
      <c r="R196" s="145"/>
      <c r="S196" s="145"/>
      <c r="T196" s="145"/>
    </row>
    <row r="197" spans="1:48" s="1421" customFormat="1" ht="13.2" customHeight="1">
      <c r="A197" s="943"/>
      <c r="B197" s="1424"/>
      <c r="C197" s="1939"/>
      <c r="D197" s="3226"/>
      <c r="E197" s="3226"/>
      <c r="F197" s="3226"/>
      <c r="G197" s="3226"/>
      <c r="H197" s="3226"/>
      <c r="I197" s="3226"/>
      <c r="J197" s="3226"/>
      <c r="K197" s="3226"/>
      <c r="L197" s="71"/>
      <c r="M197" s="145" t="s">
        <v>2136</v>
      </c>
      <c r="N197" s="949"/>
      <c r="P197" s="949"/>
      <c r="AV197" s="670"/>
    </row>
    <row r="198" spans="1:48" s="1421" customFormat="1" ht="13.2" customHeight="1">
      <c r="A198" s="943"/>
      <c r="B198" s="1424"/>
      <c r="C198" s="1939"/>
      <c r="D198" s="3226"/>
      <c r="E198" s="3226"/>
      <c r="F198" s="3226"/>
      <c r="G198" s="3226"/>
      <c r="H198" s="3226"/>
      <c r="I198" s="3226"/>
      <c r="J198" s="3226"/>
      <c r="K198" s="3226"/>
      <c r="L198" s="71"/>
      <c r="P198" s="949"/>
      <c r="V198" s="676"/>
      <c r="W198" s="676"/>
      <c r="X198" s="676"/>
      <c r="Y198" s="676"/>
      <c r="Z198" s="676"/>
      <c r="AA198" s="676"/>
      <c r="AB198" s="676"/>
      <c r="AC198" s="676"/>
      <c r="AD198" s="676"/>
      <c r="AE198" s="676"/>
      <c r="AF198" s="676"/>
      <c r="AG198" s="156"/>
      <c r="AH198" s="676"/>
      <c r="AI198" s="676"/>
      <c r="AJ198" s="676"/>
      <c r="AK198" s="676"/>
      <c r="AL198" s="676"/>
      <c r="AM198" s="676"/>
      <c r="AN198" s="676"/>
      <c r="AO198" s="676"/>
      <c r="AP198" s="676"/>
      <c r="AQ198" s="676"/>
      <c r="AR198" s="676"/>
      <c r="AS198" s="676"/>
      <c r="AT198" s="676"/>
      <c r="AV198" s="670"/>
    </row>
    <row r="199" spans="1:48" ht="13.2" customHeight="1">
      <c r="A199" s="943"/>
      <c r="D199" s="940"/>
      <c r="N199" s="949"/>
      <c r="O199" s="949"/>
      <c r="P199" s="949"/>
    </row>
    <row r="200" spans="1:48">
      <c r="I200" s="582"/>
    </row>
    <row r="201" spans="1:48" ht="13.2" customHeight="1">
      <c r="A201" s="3253" t="s">
        <v>2273</v>
      </c>
      <c r="B201" s="3254"/>
      <c r="C201" s="1969"/>
      <c r="D201" s="3185" t="s">
        <v>771</v>
      </c>
      <c r="E201" s="3186"/>
      <c r="F201" s="524" t="s">
        <v>775</v>
      </c>
      <c r="J201" s="3185" t="s">
        <v>846</v>
      </c>
      <c r="K201" s="3186"/>
      <c r="L201" s="524" t="s">
        <v>775</v>
      </c>
      <c r="V201" s="3185" t="s">
        <v>776</v>
      </c>
      <c r="W201" s="3186"/>
      <c r="X201" s="524" t="s">
        <v>775</v>
      </c>
      <c r="AH201" s="3216" t="s">
        <v>777</v>
      </c>
      <c r="AI201" s="3217"/>
      <c r="AJ201" s="718"/>
    </row>
    <row r="202" spans="1:48" s="166" customFormat="1" ht="13.2" customHeight="1">
      <c r="A202" s="3251"/>
      <c r="B202" s="3252"/>
      <c r="C202" s="1970"/>
      <c r="D202" s="685" t="s">
        <v>785</v>
      </c>
      <c r="E202" s="685" t="s">
        <v>794</v>
      </c>
      <c r="I202" s="799" t="s">
        <v>853</v>
      </c>
      <c r="J202" s="685" t="s">
        <v>785</v>
      </c>
      <c r="K202" s="685" t="s">
        <v>794</v>
      </c>
      <c r="L202" s="506"/>
      <c r="M202" s="507"/>
      <c r="O202" s="797" t="s">
        <v>849</v>
      </c>
      <c r="V202" s="685" t="s">
        <v>785</v>
      </c>
      <c r="W202" s="685" t="s">
        <v>794</v>
      </c>
      <c r="X202" s="506"/>
      <c r="AA202" s="797" t="s">
        <v>850</v>
      </c>
      <c r="AH202" s="719" t="s">
        <v>785</v>
      </c>
      <c r="AI202" s="719" t="s">
        <v>794</v>
      </c>
      <c r="AJ202" s="720"/>
      <c r="AV202" s="1525"/>
    </row>
    <row r="203" spans="1:48">
      <c r="AH203" s="75"/>
      <c r="AI203" s="75"/>
      <c r="AJ203" s="75"/>
    </row>
    <row r="204" spans="1:48">
      <c r="A204" s="877" t="s">
        <v>502</v>
      </c>
      <c r="B204" s="878" t="s">
        <v>52</v>
      </c>
      <c r="C204" s="1962"/>
      <c r="D204" s="908">
        <f>J100</f>
        <v>0.61</v>
      </c>
      <c r="E204" s="522">
        <f>CALCULATIONS!FV5</f>
        <v>4.9905713850513198</v>
      </c>
      <c r="J204" s="908">
        <f>G100</f>
        <v>0.60734824281150157</v>
      </c>
      <c r="K204" s="525">
        <f>CALCULATIONS!FK5</f>
        <v>5.3302458517948876</v>
      </c>
      <c r="V204" s="258">
        <f>H100</f>
        <v>0.60938914027149316</v>
      </c>
      <c r="W204" s="522">
        <f>CALCULATIONS!FG5</f>
        <v>4.4333584779807635</v>
      </c>
      <c r="AH204" s="721"/>
      <c r="AI204" s="722"/>
      <c r="AJ204" s="75"/>
      <c r="AT204" s="523" t="s">
        <v>52</v>
      </c>
    </row>
    <row r="205" spans="1:48">
      <c r="A205" s="877" t="s">
        <v>389</v>
      </c>
      <c r="B205" s="878" t="s">
        <v>278</v>
      </c>
      <c r="C205" s="1962"/>
      <c r="D205" s="908">
        <f t="shared" ref="D205:D225" si="10">J101</f>
        <v>0.60910298289809772</v>
      </c>
      <c r="E205" s="522">
        <f>CALCULATIONS!FV6</f>
        <v>4.4503654862327</v>
      </c>
      <c r="J205" s="908">
        <f t="shared" ref="J205:J210" si="11">D101</f>
        <v>0.5981133158250882</v>
      </c>
      <c r="K205" s="522">
        <f>CALCULATIONS!FU6</f>
        <v>4.0530525032062261</v>
      </c>
      <c r="V205" s="258">
        <f t="shared" ref="V205:V225" si="12">H101</f>
        <v>0.63280000000000003</v>
      </c>
      <c r="W205" s="522">
        <f>CALCULATIONS!FG6</f>
        <v>4.2234201890683387</v>
      </c>
      <c r="AH205" s="721">
        <f>AH347</f>
        <v>-5.2071170724915891E-2</v>
      </c>
      <c r="AI205" s="722">
        <f>CALCULATIONS!EK6</f>
        <v>-3.1436262257258173E-2</v>
      </c>
      <c r="AJ205" s="75"/>
      <c r="AT205" s="879" t="s">
        <v>278</v>
      </c>
    </row>
    <row r="206" spans="1:48">
      <c r="A206" s="686" t="s">
        <v>323</v>
      </c>
      <c r="B206" s="695" t="s">
        <v>280</v>
      </c>
      <c r="C206" s="1956"/>
      <c r="D206" s="715">
        <f t="shared" si="10"/>
        <v>0.37158673775730477</v>
      </c>
      <c r="E206" s="716">
        <f>CALCULATIONS!FV7</f>
        <v>4.8426442674927213</v>
      </c>
      <c r="J206" s="715">
        <f t="shared" si="11"/>
        <v>0.33871396895787137</v>
      </c>
      <c r="K206" s="716">
        <f>CALCULATIONS!FU7</f>
        <v>4.6619962755533297</v>
      </c>
      <c r="V206" s="258">
        <f t="shared" si="12"/>
        <v>0.38496530454895916</v>
      </c>
      <c r="W206" s="522">
        <f>CALCULATIONS!FG7</f>
        <v>4.2885463249133933</v>
      </c>
      <c r="AH206" s="723">
        <f>AH348</f>
        <v>-0.1153634304384116</v>
      </c>
      <c r="AI206" s="724">
        <f>CALCULATIONS!EK7</f>
        <v>0.19466300859302216</v>
      </c>
      <c r="AJ206" s="75"/>
      <c r="AT206" s="523" t="s">
        <v>772</v>
      </c>
    </row>
    <row r="207" spans="1:48">
      <c r="A207" s="686" t="s">
        <v>323</v>
      </c>
      <c r="B207" s="695" t="s">
        <v>277</v>
      </c>
      <c r="C207" s="1956"/>
      <c r="D207" s="715">
        <f t="shared" si="10"/>
        <v>0.95644485424869818</v>
      </c>
      <c r="E207" s="716">
        <f>CALCULATIONS!FV8</f>
        <v>4.9107929634600707</v>
      </c>
      <c r="J207" s="715">
        <f t="shared" si="11"/>
        <v>0.97</v>
      </c>
      <c r="K207" s="716">
        <f>CALCULATIONS!FU8</f>
        <v>3.6764587184436395</v>
      </c>
      <c r="V207" s="258">
        <f t="shared" si="12"/>
        <v>0.97248825098437697</v>
      </c>
      <c r="W207" s="522">
        <f>CALCULATIONS!FG8</f>
        <v>5.5752364574033733</v>
      </c>
      <c r="AH207" s="723">
        <f>AH349</f>
        <v>1.1907948675707087E-2</v>
      </c>
      <c r="AI207" s="724">
        <f>CALCULATIONS!EK8</f>
        <v>-0.34669509594882725</v>
      </c>
      <c r="AJ207" s="75"/>
      <c r="AT207" s="523" t="s">
        <v>773</v>
      </c>
    </row>
    <row r="208" spans="1:48">
      <c r="A208" s="686" t="s">
        <v>323</v>
      </c>
      <c r="B208" s="695" t="s">
        <v>283</v>
      </c>
      <c r="C208" s="1956"/>
      <c r="D208" s="715">
        <f t="shared" si="10"/>
        <v>6.4385445236561381E-2</v>
      </c>
      <c r="E208" s="716">
        <f>CALCULATIONS!FV9</f>
        <v>8.6861758729657641</v>
      </c>
      <c r="J208" s="715">
        <f t="shared" si="11"/>
        <v>0.14257620452310718</v>
      </c>
      <c r="K208" s="716">
        <f>CALCULATIONS!FU9</f>
        <v>9.0506669895995948</v>
      </c>
      <c r="V208" s="258">
        <f t="shared" si="12"/>
        <v>5.8479532163742687E-3</v>
      </c>
      <c r="W208" s="522">
        <f>CALCULATIONS!FG9</f>
        <v>7.3882795026632264</v>
      </c>
      <c r="AH208" s="723"/>
      <c r="AI208" s="724">
        <v>0</v>
      </c>
      <c r="AJ208" s="75"/>
      <c r="AT208" s="523" t="s">
        <v>283</v>
      </c>
    </row>
    <row r="209" spans="1:46">
      <c r="A209" s="527" t="s">
        <v>545</v>
      </c>
      <c r="B209" s="307" t="s">
        <v>39</v>
      </c>
      <c r="D209" s="520">
        <f t="shared" si="10"/>
        <v>0.31054928118178421</v>
      </c>
      <c r="E209" s="522">
        <f>CALCULATIONS!FV10</f>
        <v>5.8927844479191869</v>
      </c>
      <c r="J209" s="520">
        <f t="shared" si="11"/>
        <v>0.28165979767703259</v>
      </c>
      <c r="K209" s="522">
        <f>CALCULATIONS!FU10</f>
        <v>5.9052222685092017</v>
      </c>
      <c r="V209" s="258">
        <f t="shared" si="12"/>
        <v>0.3141425389755011</v>
      </c>
      <c r="W209" s="522">
        <f>CALCULATIONS!FG10</f>
        <v>7.555492968888017</v>
      </c>
      <c r="AH209" s="721">
        <f>AH351</f>
        <v>-0.11491916916279199</v>
      </c>
      <c r="AI209" s="722">
        <f>CALCULATIONS!EK10</f>
        <v>-0.21326733738634535</v>
      </c>
      <c r="AJ209" s="75"/>
      <c r="AT209" s="523" t="s">
        <v>39</v>
      </c>
    </row>
    <row r="210" spans="1:46">
      <c r="A210" s="528" t="s">
        <v>219</v>
      </c>
      <c r="B210" s="308" t="s">
        <v>53</v>
      </c>
      <c r="C210" s="1956"/>
      <c r="D210" s="520">
        <f t="shared" si="10"/>
        <v>0.6158872479982318</v>
      </c>
      <c r="E210" s="522">
        <f>CALCULATIONS!FV11</f>
        <v>5.6943354572509941</v>
      </c>
      <c r="J210" s="520">
        <f t="shared" si="11"/>
        <v>0.63960508302071395</v>
      </c>
      <c r="K210" s="522">
        <f>CALCULATIONS!FU11</f>
        <v>5.1937231412225326</v>
      </c>
      <c r="V210" s="258">
        <f t="shared" si="12"/>
        <v>0.58023511894181368</v>
      </c>
      <c r="W210" s="522">
        <f>CALCULATIONS!FG11</f>
        <v>6.0577743004054545</v>
      </c>
      <c r="AH210" s="721">
        <f>AH352</f>
        <v>0.11044311863454735</v>
      </c>
      <c r="AI210" s="722">
        <f>CALCULATIONS!EK11</f>
        <v>-8.3741017508019253E-2</v>
      </c>
      <c r="AJ210" s="75"/>
      <c r="AT210" s="523" t="s">
        <v>53</v>
      </c>
    </row>
    <row r="211" spans="1:46">
      <c r="A211" s="877" t="s">
        <v>73</v>
      </c>
      <c r="B211" s="878" t="s">
        <v>285</v>
      </c>
      <c r="C211" s="1962"/>
      <c r="D211" s="521">
        <f t="shared" si="10"/>
        <v>0.62657499999999999</v>
      </c>
      <c r="E211" s="522">
        <f>CALCULATIONS!FV12</f>
        <v>6.7052926466266065</v>
      </c>
      <c r="J211" s="521">
        <f>E107</f>
        <v>0.64439999999999997</v>
      </c>
      <c r="K211" s="525">
        <f>CALCULATIONS!FS12</f>
        <v>6.9087191819037699</v>
      </c>
      <c r="V211" s="258">
        <f t="shared" si="12"/>
        <v>0.59929999999999994</v>
      </c>
      <c r="W211" s="522">
        <f>CALCULATIONS!FG12</f>
        <v>6.6127333261941414</v>
      </c>
      <c r="AH211" s="721">
        <f>AH353</f>
        <v>5.5614710459497153E-2</v>
      </c>
      <c r="AI211" s="722">
        <f>CALCULATIONS!EK12</f>
        <v>0.1489483497432206</v>
      </c>
      <c r="AJ211" s="75"/>
      <c r="AT211" s="879" t="s">
        <v>285</v>
      </c>
    </row>
    <row r="212" spans="1:46">
      <c r="A212" s="420" t="s">
        <v>19</v>
      </c>
      <c r="B212" s="308" t="s">
        <v>287</v>
      </c>
      <c r="C212" s="1956"/>
      <c r="D212" s="520">
        <f t="shared" si="10"/>
        <v>9.1630231095150338E-2</v>
      </c>
      <c r="E212" s="522">
        <f>CALCULATIONS!FV13</f>
        <v>7.8889454092528393</v>
      </c>
      <c r="J212" s="520">
        <f>D108</f>
        <v>0.32841368754782985</v>
      </c>
      <c r="K212" s="522">
        <f>CALCULATIONS!FU13</f>
        <v>9.6719476082953495</v>
      </c>
      <c r="V212" s="258">
        <f t="shared" si="12"/>
        <v>0</v>
      </c>
      <c r="W212" s="522">
        <f>CALCULATIONS!FG13</f>
        <v>7.9723751868626085</v>
      </c>
      <c r="AH212" s="721"/>
      <c r="AI212" s="722">
        <v>0</v>
      </c>
      <c r="AJ212" s="75"/>
      <c r="AT212" s="523" t="s">
        <v>287</v>
      </c>
    </row>
    <row r="213" spans="1:46">
      <c r="A213" s="420" t="s">
        <v>19</v>
      </c>
      <c r="B213" s="308" t="s">
        <v>288</v>
      </c>
      <c r="C213" s="1956"/>
      <c r="D213" s="520">
        <f t="shared" si="10"/>
        <v>0.60741568747204655</v>
      </c>
      <c r="E213" s="522">
        <f>CALCULATIONS!FV14</f>
        <v>4.7838493303826084</v>
      </c>
      <c r="J213" s="520">
        <f>D109</f>
        <v>0.60484412483227945</v>
      </c>
      <c r="K213" s="522">
        <f>CALCULATIONS!FU14</f>
        <v>4.438539176760524</v>
      </c>
      <c r="V213" s="258">
        <f t="shared" si="12"/>
        <v>0.56769999999999998</v>
      </c>
      <c r="W213" s="522">
        <f>CALCULATIONS!FG14</f>
        <v>5.8261679674580611</v>
      </c>
      <c r="AH213" s="721">
        <f t="shared" ref="AH213:AH225" si="13">AH355</f>
        <v>4.0950219141690898E-2</v>
      </c>
      <c r="AI213" s="722">
        <f>CALCULATIONS!EK14</f>
        <v>-0.22301136363636356</v>
      </c>
      <c r="AJ213" s="75"/>
      <c r="AT213" s="523" t="s">
        <v>288</v>
      </c>
    </row>
    <row r="214" spans="1:46">
      <c r="A214" s="420" t="s">
        <v>378</v>
      </c>
      <c r="B214" s="308" t="s">
        <v>42</v>
      </c>
      <c r="C214" s="1956"/>
      <c r="D214" s="520">
        <f t="shared" si="10"/>
        <v>0.56323171407839789</v>
      </c>
      <c r="E214" s="522">
        <f>CALCULATIONS!FV15</f>
        <v>3.7488610975650749</v>
      </c>
      <c r="J214" s="520">
        <f>D110</f>
        <v>0.5161290322580645</v>
      </c>
      <c r="K214" s="522">
        <f>CALCULATIONS!FU15</f>
        <v>3.7439277362047823</v>
      </c>
      <c r="V214" s="258">
        <f t="shared" si="12"/>
        <v>0.58334166469020743</v>
      </c>
      <c r="W214" s="522">
        <f>CALCULATIONS!FG15</f>
        <v>4.5397999999999996</v>
      </c>
      <c r="AH214" s="721">
        <f t="shared" si="13"/>
        <v>-6.0545455382306421E-2</v>
      </c>
      <c r="AI214" s="722">
        <f>CALCULATIONS!EK15</f>
        <v>7.155091441516115E-3</v>
      </c>
      <c r="AJ214" s="75"/>
      <c r="AT214" s="523" t="s">
        <v>42</v>
      </c>
    </row>
    <row r="215" spans="1:46">
      <c r="A215" s="877" t="s">
        <v>503</v>
      </c>
      <c r="B215" s="878" t="s">
        <v>286</v>
      </c>
      <c r="C215" s="1962"/>
      <c r="D215" s="521">
        <f t="shared" si="10"/>
        <v>0.34534166666666666</v>
      </c>
      <c r="E215" s="522">
        <f>CALCULATIONS!FV16</f>
        <v>4.5606838408134944</v>
      </c>
      <c r="J215" s="521">
        <f>E111</f>
        <v>0.34090000000000004</v>
      </c>
      <c r="K215" s="525">
        <f>CALCULATIONS!FS16</f>
        <v>4.1170506660938244</v>
      </c>
      <c r="V215" s="258">
        <f t="shared" si="12"/>
        <v>0.36840000000000006</v>
      </c>
      <c r="W215" s="522">
        <f>CALCULATIONS!FG16</f>
        <v>5.2646466027831975</v>
      </c>
      <c r="AH215" s="721">
        <f t="shared" si="13"/>
        <v>-5.4500069338510607E-2</v>
      </c>
      <c r="AI215" s="722">
        <f>CALCULATIONS!EK16</f>
        <v>-0.18650793650793657</v>
      </c>
      <c r="AJ215" s="75"/>
      <c r="AT215" s="879" t="s">
        <v>286</v>
      </c>
    </row>
    <row r="216" spans="1:46">
      <c r="A216" s="420" t="s">
        <v>504</v>
      </c>
      <c r="B216" s="308" t="s">
        <v>281</v>
      </c>
      <c r="C216" s="1956"/>
      <c r="D216" s="520">
        <f t="shared" si="10"/>
        <v>0.7344324868237998</v>
      </c>
      <c r="E216" s="522">
        <f>CALCULATIONS!FV17</f>
        <v>5.8033589040079683</v>
      </c>
      <c r="J216" s="520">
        <f>D112</f>
        <v>0.74956908795771016</v>
      </c>
      <c r="K216" s="522">
        <f>CALCULATIONS!FU17</f>
        <v>6.1939465303838475</v>
      </c>
      <c r="V216" s="258">
        <f t="shared" si="12"/>
        <v>0.62585722455497383</v>
      </c>
      <c r="W216" s="522">
        <f>CALCULATIONS!FG17</f>
        <v>5.2049898041945069</v>
      </c>
      <c r="AH216" s="721">
        <f t="shared" si="13"/>
        <v>0.10784712869930438</v>
      </c>
      <c r="AI216" s="722">
        <f>CALCULATIONS!EK17</f>
        <v>4.622858690500363E-2</v>
      </c>
      <c r="AJ216" s="75"/>
      <c r="AT216" s="523" t="s">
        <v>281</v>
      </c>
    </row>
    <row r="217" spans="1:46">
      <c r="A217" s="420" t="s">
        <v>505</v>
      </c>
      <c r="B217" s="308" t="s">
        <v>44</v>
      </c>
      <c r="C217" s="1956"/>
      <c r="D217" s="521">
        <f t="shared" si="10"/>
        <v>0.5805147103617575</v>
      </c>
      <c r="E217" s="522">
        <f>CALCULATIONS!FV18</f>
        <v>4.9270605931091591</v>
      </c>
      <c r="J217" s="520">
        <f>D113</f>
        <v>0.60384301884652736</v>
      </c>
      <c r="K217" s="522">
        <f>CALCULATIONS!FU18</f>
        <v>4.0325018858098245</v>
      </c>
      <c r="V217" s="258">
        <f t="shared" si="12"/>
        <v>0.5497633776823857</v>
      </c>
      <c r="W217" s="522">
        <f>CALCULATIONS!FG18</f>
        <v>5.7602103537566114</v>
      </c>
      <c r="AH217" s="721">
        <f t="shared" si="13"/>
        <v>8.4948466413752491E-2</v>
      </c>
      <c r="AI217" s="722">
        <f>CALCULATIONS!EK18</f>
        <v>-0.29461890772402971</v>
      </c>
      <c r="AJ217" s="75"/>
      <c r="AT217" s="523" t="s">
        <v>44</v>
      </c>
    </row>
    <row r="218" spans="1:46">
      <c r="A218" s="420" t="s">
        <v>506</v>
      </c>
      <c r="B218" s="308" t="s">
        <v>289</v>
      </c>
      <c r="C218" s="1956"/>
      <c r="D218" s="520">
        <f t="shared" si="10"/>
        <v>0.42290073595624156</v>
      </c>
      <c r="E218" s="522">
        <f>CALCULATIONS!FV19</f>
        <v>4.3871958272574467</v>
      </c>
      <c r="J218" s="520">
        <f>D114</f>
        <v>0.4260134005544996</v>
      </c>
      <c r="K218" s="522">
        <f>CALCULATIONS!FU19</f>
        <v>3.4400754167452243</v>
      </c>
      <c r="V218" s="258">
        <f t="shared" si="12"/>
        <v>0.4566820303658996</v>
      </c>
      <c r="W218" s="522">
        <f>CALCULATIONS!FG19</f>
        <v>4.071678259913444</v>
      </c>
      <c r="AH218" s="721">
        <f t="shared" si="13"/>
        <v>9.1811010201268306E-2</v>
      </c>
      <c r="AI218" s="722">
        <f>CALCULATIONS!EK19</f>
        <v>-9.510218368830603E-2</v>
      </c>
      <c r="AJ218" s="75"/>
      <c r="AT218" s="523" t="s">
        <v>289</v>
      </c>
    </row>
    <row r="219" spans="1:46">
      <c r="A219" s="877" t="s">
        <v>27</v>
      </c>
      <c r="B219" s="878" t="s">
        <v>54</v>
      </c>
      <c r="C219" s="1962"/>
      <c r="D219" s="908">
        <f t="shared" si="10"/>
        <v>0.48460704112825509</v>
      </c>
      <c r="E219" s="522">
        <f>CALCULATIONS!FV20</f>
        <v>6.4063105209788551</v>
      </c>
      <c r="J219" s="908">
        <f>E115</f>
        <v>0.47118282781144899</v>
      </c>
      <c r="K219" s="525">
        <f>CALCULATIONS!FS20</f>
        <v>5.1280795143125681</v>
      </c>
      <c r="V219" s="258">
        <f t="shared" si="12"/>
        <v>0.5101</v>
      </c>
      <c r="W219" s="522">
        <f>CALCULATIONS!FG20</f>
        <v>5.6316364047026521</v>
      </c>
      <c r="AH219" s="721">
        <f t="shared" si="13"/>
        <v>-0.18079580514885477</v>
      </c>
      <c r="AI219" s="722">
        <f>CALCULATIONS!EK20</f>
        <v>-0.25656220854833328</v>
      </c>
      <c r="AJ219" s="75"/>
      <c r="AT219" s="523" t="s">
        <v>54</v>
      </c>
    </row>
    <row r="220" spans="1:46">
      <c r="A220" s="420" t="s">
        <v>32</v>
      </c>
      <c r="B220" s="308" t="s">
        <v>50</v>
      </c>
      <c r="C220" s="1956"/>
      <c r="D220" s="520">
        <f t="shared" si="10"/>
        <v>0</v>
      </c>
      <c r="E220" s="522">
        <f>CALCULATIONS!FV21</f>
        <v>4.6985221679038922</v>
      </c>
      <c r="J220" s="520">
        <f>D116</f>
        <v>0</v>
      </c>
      <c r="K220" s="522">
        <f>CALCULATIONS!FU21</f>
        <v>5.7096258695546744</v>
      </c>
      <c r="V220" s="258">
        <f t="shared" si="12"/>
        <v>0</v>
      </c>
      <c r="W220" s="522">
        <f>CALCULATIONS!FG21</f>
        <v>5.5069568381935765</v>
      </c>
      <c r="AH220" s="721">
        <f t="shared" si="13"/>
        <v>0</v>
      </c>
      <c r="AI220" s="722">
        <f>CALCULATIONS!EK21</f>
        <v>0.51769719342055254</v>
      </c>
      <c r="AJ220" s="75"/>
      <c r="AT220" s="523" t="s">
        <v>50</v>
      </c>
    </row>
    <row r="221" spans="1:46">
      <c r="A221" s="420" t="s">
        <v>32</v>
      </c>
      <c r="B221" s="308" t="s">
        <v>279</v>
      </c>
      <c r="C221" s="1956"/>
      <c r="D221" s="520">
        <f t="shared" si="10"/>
        <v>0.91487499999999988</v>
      </c>
      <c r="E221" s="522">
        <f>CALCULATIONS!FV22</f>
        <v>7.5360879751187033</v>
      </c>
      <c r="J221" s="520">
        <f>E117</f>
        <v>0.88549999999999995</v>
      </c>
      <c r="K221" s="525">
        <f>CALCULATIONS!FT22</f>
        <v>8.6584668441025876</v>
      </c>
      <c r="V221" s="258">
        <f t="shared" si="12"/>
        <v>0.92599999999999993</v>
      </c>
      <c r="W221" s="522">
        <f>CALCULATIONS!FG22</f>
        <v>7.5158356243992479</v>
      </c>
      <c r="AH221" s="721">
        <f t="shared" si="13"/>
        <v>-4.3736501079913587E-2</v>
      </c>
      <c r="AI221" s="722">
        <f>CALCULATIONS!EK22</f>
        <v>0.13245148433116438</v>
      </c>
      <c r="AJ221" s="75"/>
      <c r="AT221" s="523" t="s">
        <v>279</v>
      </c>
    </row>
    <row r="222" spans="1:46">
      <c r="A222" s="420" t="s">
        <v>507</v>
      </c>
      <c r="B222" s="308" t="s">
        <v>284</v>
      </c>
      <c r="C222" s="1956"/>
      <c r="D222" s="520">
        <f t="shared" si="10"/>
        <v>0.67984865616162071</v>
      </c>
      <c r="E222" s="522">
        <f>CALCULATIONS!FV23</f>
        <v>7.5421176018870622</v>
      </c>
      <c r="J222" s="520">
        <f>D118</f>
        <v>0.7167630057803468</v>
      </c>
      <c r="K222" s="522">
        <f>CALCULATIONS!FU23</f>
        <v>7.6896404016441506</v>
      </c>
      <c r="V222" s="258">
        <f t="shared" si="12"/>
        <v>0.61707988980716255</v>
      </c>
      <c r="W222" s="522">
        <f>CALCULATIONS!FG23</f>
        <v>7.7524112450340725</v>
      </c>
      <c r="AH222" s="721">
        <f t="shared" si="13"/>
        <v>0.11334582604034234</v>
      </c>
      <c r="AI222" s="722">
        <f>CALCULATIONS!EK23</f>
        <v>1.950839376048388E-2</v>
      </c>
      <c r="AJ222" s="75"/>
      <c r="AT222" s="523" t="s">
        <v>284</v>
      </c>
    </row>
    <row r="223" spans="1:46">
      <c r="A223" s="420" t="s">
        <v>507</v>
      </c>
      <c r="B223" s="308" t="s">
        <v>282</v>
      </c>
      <c r="C223" s="1956"/>
      <c r="D223" s="520">
        <f t="shared" si="10"/>
        <v>0.67083419702973635</v>
      </c>
      <c r="E223" s="522">
        <f>CALCULATIONS!FV24</f>
        <v>6.6837223425180285</v>
      </c>
      <c r="J223" s="520">
        <f>D119</f>
        <v>0.63639387890884902</v>
      </c>
      <c r="K223" s="522">
        <f>CALCULATIONS!FU24</f>
        <v>5.5145354419406587</v>
      </c>
      <c r="V223" s="258">
        <f t="shared" si="12"/>
        <v>0.70310836704279323</v>
      </c>
      <c r="W223" s="522">
        <f>CALCULATIONS!FG24</f>
        <v>5.518069631932768</v>
      </c>
      <c r="AH223" s="721">
        <f t="shared" si="13"/>
        <v>9.3304513312571363E-2</v>
      </c>
      <c r="AI223" s="722">
        <f>CALCULATIONS!EK24</f>
        <v>-5.5909957471770005E-3</v>
      </c>
      <c r="AJ223" s="75"/>
      <c r="AT223" s="523" t="s">
        <v>282</v>
      </c>
    </row>
    <row r="224" spans="1:46">
      <c r="A224" s="420" t="s">
        <v>508</v>
      </c>
      <c r="B224" s="308" t="s">
        <v>290</v>
      </c>
      <c r="C224" s="1956"/>
      <c r="D224" s="520">
        <f t="shared" si="10"/>
        <v>0.32615050588405037</v>
      </c>
      <c r="E224" s="522">
        <f>CALCULATIONS!FV25</f>
        <v>6.7995363362554677</v>
      </c>
      <c r="J224" s="520">
        <f>D120</f>
        <v>0.30985103942866765</v>
      </c>
      <c r="K224" s="522">
        <f>CALCULATIONS!FU25</f>
        <v>7.5822149145373468</v>
      </c>
      <c r="V224" s="258">
        <f t="shared" si="12"/>
        <v>0.35321659907288117</v>
      </c>
      <c r="W224" s="522">
        <f>CALCULATIONS!FG25</f>
        <v>6.4576449666827171</v>
      </c>
      <c r="AH224" s="721">
        <f t="shared" si="13"/>
        <v>-8.7660674172335792E-2</v>
      </c>
      <c r="AI224" s="722">
        <f>CALCULATIONS!EK25</f>
        <v>0.21799740422054512</v>
      </c>
      <c r="AJ224" s="75"/>
      <c r="AT224" s="523" t="s">
        <v>290</v>
      </c>
    </row>
    <row r="225" spans="1:48">
      <c r="A225" s="420" t="s">
        <v>27</v>
      </c>
      <c r="B225" s="308" t="s">
        <v>357</v>
      </c>
      <c r="C225" s="1956"/>
      <c r="D225" s="520">
        <f t="shared" si="10"/>
        <v>0.90539538726018864</v>
      </c>
      <c r="E225" s="522">
        <f>CALCULATIONS!FV26</f>
        <v>3.8552632920912293</v>
      </c>
      <c r="J225" s="520">
        <f>D121</f>
        <v>0.89258114374034003</v>
      </c>
      <c r="K225" s="522">
        <f>CALCULATIONS!FU26</f>
        <v>3.9063069179772585</v>
      </c>
      <c r="V225" s="258">
        <f t="shared" si="12"/>
        <v>0.92232145907274721</v>
      </c>
      <c r="W225" s="522">
        <f>CALCULATIONS!FG26</f>
        <v>5.5578222900335454</v>
      </c>
      <c r="AH225" s="721">
        <f t="shared" si="13"/>
        <v>-3.771277618520176E-2</v>
      </c>
      <c r="AI225" s="722">
        <f>CALCULATIONS!EK26</f>
        <v>-0.11361540098857696</v>
      </c>
      <c r="AJ225" s="75"/>
      <c r="AT225" s="523" t="s">
        <v>357</v>
      </c>
    </row>
    <row r="226" spans="1:48">
      <c r="J226" s="3280" t="s">
        <v>1023</v>
      </c>
      <c r="K226" s="3280"/>
      <c r="AH226" s="2772" t="s">
        <v>781</v>
      </c>
      <c r="AI226" s="2772"/>
    </row>
    <row r="227" spans="1:48">
      <c r="A227" s="1197" t="s">
        <v>1300</v>
      </c>
      <c r="D227" s="3265" t="s">
        <v>2139</v>
      </c>
      <c r="E227" s="3265"/>
      <c r="F227" s="3265"/>
      <c r="G227" s="3265"/>
      <c r="H227" s="3265"/>
      <c r="I227" s="3265"/>
      <c r="J227" s="3214"/>
      <c r="K227" s="3214"/>
      <c r="L227" s="1198" t="s">
        <v>1301</v>
      </c>
      <c r="M227" s="3211"/>
      <c r="N227" s="3211"/>
      <c r="O227" s="3211"/>
      <c r="P227" s="3211"/>
      <c r="Q227" s="3211"/>
      <c r="R227" s="3211"/>
      <c r="S227" s="3211"/>
      <c r="T227" s="3211"/>
      <c r="X227" s="1511" t="s">
        <v>1303</v>
      </c>
      <c r="AH227" s="2772" t="s">
        <v>779</v>
      </c>
      <c r="AI227" s="2772"/>
    </row>
    <row r="228" spans="1:48">
      <c r="A228" s="964" t="s">
        <v>1298</v>
      </c>
      <c r="B228" s="2792"/>
      <c r="D228" s="3183" t="s">
        <v>2140</v>
      </c>
      <c r="E228" s="3183"/>
      <c r="F228" s="3183"/>
      <c r="G228" s="3183"/>
      <c r="H228" s="3183"/>
      <c r="I228" s="3183"/>
      <c r="J228" s="3214"/>
      <c r="K228" s="3214"/>
      <c r="L228" s="1202"/>
      <c r="M228" s="3183" t="s">
        <v>2144</v>
      </c>
      <c r="N228" s="3183"/>
      <c r="O228" s="3183"/>
      <c r="P228" s="3183"/>
      <c r="Q228" s="3183"/>
      <c r="R228" s="3183"/>
      <c r="S228" s="3183"/>
      <c r="T228" s="3183"/>
      <c r="Y228" s="3183" t="s">
        <v>1308</v>
      </c>
      <c r="Z228" s="3183"/>
      <c r="AA228" s="3183"/>
      <c r="AB228" s="3183"/>
      <c r="AC228" s="3183"/>
      <c r="AD228" s="3183"/>
      <c r="AE228" s="3183"/>
      <c r="AF228" s="3183"/>
      <c r="AH228" s="2772" t="s">
        <v>1024</v>
      </c>
      <c r="AI228" s="2772"/>
    </row>
    <row r="229" spans="1:48" s="152" customFormat="1">
      <c r="A229" s="1510" t="s">
        <v>1297</v>
      </c>
      <c r="B229" s="1424"/>
      <c r="C229" s="1939"/>
      <c r="D229" s="3184"/>
      <c r="E229" s="3184"/>
      <c r="F229" s="3184"/>
      <c r="G229" s="3184"/>
      <c r="H229" s="3184"/>
      <c r="I229" s="3184"/>
      <c r="J229" s="1494"/>
      <c r="K229" s="1494"/>
      <c r="L229" s="1198"/>
      <c r="M229" s="3184"/>
      <c r="N229" s="3184"/>
      <c r="O229" s="3184"/>
      <c r="P229" s="3184"/>
      <c r="Q229" s="3184"/>
      <c r="R229" s="3184"/>
      <c r="S229" s="3184"/>
      <c r="T229" s="3184"/>
      <c r="Y229" s="3184"/>
      <c r="Z229" s="3184"/>
      <c r="AA229" s="3184"/>
      <c r="AB229" s="3184"/>
      <c r="AC229" s="3184"/>
      <c r="AD229" s="3184"/>
      <c r="AE229" s="3184"/>
      <c r="AF229" s="3184"/>
      <c r="AH229" s="1495"/>
      <c r="AV229" s="670"/>
    </row>
    <row r="230" spans="1:48" ht="13.2" customHeight="1">
      <c r="A230" s="964" t="s">
        <v>1255</v>
      </c>
      <c r="B230" s="2793">
        <f>Ranking!D31</f>
        <v>0.31407184445505926</v>
      </c>
      <c r="D230" s="3183" t="s">
        <v>2141</v>
      </c>
      <c r="E230" s="3183"/>
      <c r="F230" s="3183"/>
      <c r="G230" s="3183"/>
      <c r="H230" s="3183"/>
      <c r="I230" s="3183"/>
      <c r="J230" s="3183" t="s">
        <v>1831</v>
      </c>
      <c r="K230" s="3183"/>
      <c r="L230" s="1501">
        <f>Ranking!H31</f>
        <v>0.37442963096553966</v>
      </c>
      <c r="M230" s="3209" t="s">
        <v>1304</v>
      </c>
      <c r="N230" s="3209"/>
      <c r="O230" s="3209"/>
      <c r="P230" s="3209"/>
      <c r="Q230" s="3209"/>
      <c r="R230" s="3209"/>
      <c r="S230" s="3209"/>
      <c r="T230" s="3209"/>
      <c r="W230" s="236"/>
      <c r="X230" s="1501">
        <f>CALCULATIONS!F33</f>
        <v>0.23820928356947965</v>
      </c>
      <c r="Y230" s="3209" t="s">
        <v>1025</v>
      </c>
      <c r="Z230" s="3209"/>
      <c r="AA230" s="3209"/>
      <c r="AB230" s="3209"/>
      <c r="AC230" s="3209"/>
      <c r="AD230" s="3209"/>
      <c r="AE230" s="3209"/>
      <c r="AF230" s="3209"/>
    </row>
    <row r="231" spans="1:48">
      <c r="A231" s="1497"/>
      <c r="B231" s="2794"/>
      <c r="D231" s="3184"/>
      <c r="E231" s="3184"/>
      <c r="F231" s="3184"/>
      <c r="G231" s="3184"/>
      <c r="H231" s="3184"/>
      <c r="I231" s="3184"/>
      <c r="J231" s="3184"/>
      <c r="K231" s="3184"/>
      <c r="L231" s="153"/>
      <c r="M231" s="3209"/>
      <c r="N231" s="3209"/>
      <c r="O231" s="3209"/>
      <c r="P231" s="3209"/>
      <c r="Q231" s="3209"/>
      <c r="R231" s="3209"/>
      <c r="S231" s="3209"/>
      <c r="T231" s="3209"/>
      <c r="W231" s="1210"/>
      <c r="X231" s="1484"/>
      <c r="Y231" s="3209"/>
      <c r="Z231" s="3209"/>
      <c r="AA231" s="3209"/>
      <c r="AB231" s="3209"/>
      <c r="AC231" s="3209"/>
      <c r="AD231" s="3209"/>
      <c r="AE231" s="3209"/>
      <c r="AF231" s="3209"/>
    </row>
    <row r="232" spans="1:48" ht="13.2" customHeight="1">
      <c r="A232" s="2809" t="s">
        <v>2163</v>
      </c>
      <c r="B232" s="2792"/>
      <c r="D232" s="3183" t="s">
        <v>2209</v>
      </c>
      <c r="E232" s="3183"/>
      <c r="F232" s="3183"/>
      <c r="G232" s="3183"/>
      <c r="H232" s="3183"/>
      <c r="I232" s="3183"/>
      <c r="J232" s="3183" t="s">
        <v>1832</v>
      </c>
      <c r="K232" s="3183"/>
      <c r="L232" s="1202"/>
      <c r="M232" s="3209" t="s">
        <v>1216</v>
      </c>
      <c r="N232" s="3209"/>
      <c r="O232" s="3209"/>
      <c r="P232" s="3209"/>
      <c r="Q232" s="3209"/>
      <c r="R232" s="3209"/>
      <c r="S232" s="3209"/>
      <c r="T232" s="3209"/>
      <c r="W232" s="236"/>
      <c r="X232" s="1202"/>
      <c r="Y232" s="3209" t="s">
        <v>2164</v>
      </c>
      <c r="Z232" s="3209"/>
      <c r="AA232" s="3209"/>
      <c r="AB232" s="3209"/>
      <c r="AC232" s="3209"/>
      <c r="AD232" s="3209"/>
      <c r="AE232" s="3209"/>
      <c r="AF232" s="3209"/>
    </row>
    <row r="233" spans="1:48">
      <c r="B233" s="2795">
        <f>Ranking!D32</f>
        <v>0.31681610608711819</v>
      </c>
      <c r="D233" s="3266"/>
      <c r="E233" s="3266"/>
      <c r="F233" s="3266"/>
      <c r="G233" s="3266"/>
      <c r="H233" s="3266"/>
      <c r="I233" s="3266"/>
      <c r="J233" s="959"/>
      <c r="K233" s="960"/>
      <c r="L233" s="1199">
        <f>Ranking!H32</f>
        <v>0.27372212694371556</v>
      </c>
      <c r="M233" s="3209"/>
      <c r="N233" s="3209"/>
      <c r="O233" s="3209"/>
      <c r="P233" s="3209"/>
      <c r="Q233" s="3209"/>
      <c r="R233" s="3209"/>
      <c r="S233" s="3209"/>
      <c r="T233" s="3209"/>
      <c r="W233" s="1211"/>
      <c r="X233" s="1199">
        <f>CALCULATIONS!F34</f>
        <v>0.37020320810169149</v>
      </c>
      <c r="Y233" s="3209"/>
      <c r="Z233" s="3209"/>
      <c r="AA233" s="3209"/>
      <c r="AB233" s="3209"/>
      <c r="AC233" s="3209"/>
      <c r="AD233" s="3209"/>
      <c r="AE233" s="3209"/>
      <c r="AF233" s="3209"/>
    </row>
    <row r="234" spans="1:48">
      <c r="A234" s="1498" t="s">
        <v>1113</v>
      </c>
      <c r="B234" s="2796">
        <f>Ranking!D33</f>
        <v>0.48280336077918012</v>
      </c>
      <c r="D234" s="3184"/>
      <c r="E234" s="3184"/>
      <c r="F234" s="3184"/>
      <c r="G234" s="3184"/>
      <c r="H234" s="3184"/>
      <c r="I234" s="3184"/>
      <c r="J234" s="961"/>
      <c r="K234" s="961"/>
      <c r="L234" s="1203">
        <f>Ranking!H33</f>
        <v>0.40418184360723208</v>
      </c>
      <c r="M234" s="3209"/>
      <c r="N234" s="3209"/>
      <c r="O234" s="3209"/>
      <c r="P234" s="3209"/>
      <c r="Q234" s="3209"/>
      <c r="R234" s="3209"/>
      <c r="S234" s="3209"/>
      <c r="T234" s="3209"/>
      <c r="W234" s="1212"/>
      <c r="X234" s="1203">
        <f>CALCULATIONS!F35</f>
        <v>0.59528030454869518</v>
      </c>
      <c r="Y234" s="3209"/>
      <c r="Z234" s="3209"/>
      <c r="AA234" s="3209"/>
      <c r="AB234" s="3209"/>
      <c r="AC234" s="3209"/>
      <c r="AD234" s="3209"/>
      <c r="AE234" s="3209"/>
      <c r="AF234" s="3209"/>
    </row>
    <row r="235" spans="1:48" s="956" customFormat="1">
      <c r="A235" s="964" t="s">
        <v>1020</v>
      </c>
      <c r="B235" s="2793">
        <f>Ranking!D34</f>
        <v>0.18732178997255614</v>
      </c>
      <c r="C235" s="1939"/>
      <c r="D235" s="3232" t="s">
        <v>2142</v>
      </c>
      <c r="E235" s="3232"/>
      <c r="F235" s="3232"/>
      <c r="G235" s="3232"/>
      <c r="H235" s="3232"/>
      <c r="I235" s="3232"/>
      <c r="J235" s="962"/>
      <c r="K235" s="962"/>
      <c r="L235" s="1199">
        <f>Ranking!H34</f>
        <v>0.20595894468600945</v>
      </c>
      <c r="M235" s="3209" t="s">
        <v>1271</v>
      </c>
      <c r="N235" s="3209"/>
      <c r="O235" s="3209"/>
      <c r="P235" s="3209"/>
      <c r="Q235" s="3209"/>
      <c r="R235" s="3209"/>
      <c r="S235" s="3209"/>
      <c r="T235" s="3209"/>
      <c r="X235" s="1199">
        <f>CALCULATIONS!F36</f>
        <v>0.15503272762788689</v>
      </c>
      <c r="Y235" s="3209" t="s">
        <v>2165</v>
      </c>
      <c r="Z235" s="3209"/>
      <c r="AA235" s="3209"/>
      <c r="AB235" s="3209"/>
      <c r="AC235" s="3209"/>
      <c r="AD235" s="3209"/>
      <c r="AE235" s="3209"/>
      <c r="AF235" s="3209"/>
      <c r="AV235" s="670"/>
    </row>
    <row r="236" spans="1:48" s="956" customFormat="1">
      <c r="A236" s="1497"/>
      <c r="B236" s="2794"/>
      <c r="C236" s="1939"/>
      <c r="D236" s="3233"/>
      <c r="E236" s="3233"/>
      <c r="F236" s="3233"/>
      <c r="G236" s="3233"/>
      <c r="H236" s="3233"/>
      <c r="I236" s="3233"/>
      <c r="J236" s="963"/>
      <c r="K236" s="963"/>
      <c r="L236" s="152"/>
      <c r="M236" s="3209"/>
      <c r="N236" s="3209"/>
      <c r="O236" s="3209"/>
      <c r="P236" s="3209"/>
      <c r="Q236" s="3209"/>
      <c r="R236" s="3209"/>
      <c r="S236" s="3209"/>
      <c r="T236" s="3209"/>
      <c r="X236" s="152"/>
      <c r="Y236" s="3209"/>
      <c r="Z236" s="3209"/>
      <c r="AA236" s="3209"/>
      <c r="AB236" s="3209"/>
      <c r="AC236" s="3209"/>
      <c r="AD236" s="3209"/>
      <c r="AE236" s="3209"/>
      <c r="AF236" s="3209"/>
      <c r="AV236" s="670"/>
    </row>
    <row r="237" spans="1:48" s="956" customFormat="1">
      <c r="A237" s="1499" t="s">
        <v>1021</v>
      </c>
      <c r="B237" s="2793">
        <f>B234-B233</f>
        <v>0.16598725469206194</v>
      </c>
      <c r="C237" s="1939"/>
      <c r="D237" s="3215" t="s">
        <v>2166</v>
      </c>
      <c r="E237" s="3215"/>
      <c r="F237" s="3215"/>
      <c r="G237" s="3215"/>
      <c r="H237" s="3215"/>
      <c r="I237" s="3215"/>
      <c r="J237" s="3236" t="s">
        <v>1842</v>
      </c>
      <c r="K237" s="3236"/>
      <c r="L237" s="1500">
        <f>L234-L233</f>
        <v>0.13045971666351652</v>
      </c>
      <c r="M237" s="3208" t="s">
        <v>2167</v>
      </c>
      <c r="N237" s="3208"/>
      <c r="O237" s="3208"/>
      <c r="P237" s="3208"/>
      <c r="Q237" s="3208"/>
      <c r="R237" s="3208"/>
      <c r="S237" s="3208"/>
      <c r="T237" s="3208"/>
      <c r="X237" s="1500">
        <f>X234-X233</f>
        <v>0.22507709644700369</v>
      </c>
      <c r="Y237" s="3208" t="s">
        <v>2168</v>
      </c>
      <c r="Z237" s="3208"/>
      <c r="AA237" s="3208"/>
      <c r="AB237" s="3208"/>
      <c r="AC237" s="3208"/>
      <c r="AD237" s="3208"/>
      <c r="AE237" s="3208"/>
      <c r="AF237" s="3208"/>
      <c r="AV237" s="670"/>
    </row>
    <row r="238" spans="1:48" s="956" customFormat="1">
      <c r="A238" s="1497"/>
      <c r="B238" s="2794"/>
      <c r="C238" s="1939"/>
      <c r="D238" s="3215"/>
      <c r="E238" s="3215"/>
      <c r="F238" s="3215"/>
      <c r="G238" s="3215"/>
      <c r="H238" s="3215"/>
      <c r="I238" s="3215"/>
      <c r="J238" s="3236"/>
      <c r="K238" s="3236"/>
      <c r="M238" s="3210"/>
      <c r="N238" s="3210"/>
      <c r="O238" s="3210"/>
      <c r="P238" s="3210"/>
      <c r="Q238" s="3210"/>
      <c r="R238" s="3210"/>
      <c r="S238" s="3210"/>
      <c r="T238" s="3210"/>
      <c r="X238" s="1484"/>
      <c r="Y238" s="3210"/>
      <c r="Z238" s="3210"/>
      <c r="AA238" s="3210"/>
      <c r="AB238" s="3210"/>
      <c r="AC238" s="3210"/>
      <c r="AD238" s="3210"/>
      <c r="AE238" s="3210"/>
      <c r="AF238" s="3210"/>
      <c r="AV238" s="670"/>
    </row>
    <row r="239" spans="1:48" s="956" customFormat="1">
      <c r="A239" s="964" t="s">
        <v>1022</v>
      </c>
      <c r="B239" s="2792"/>
      <c r="C239" s="1939"/>
      <c r="D239" s="1496" t="s">
        <v>1307</v>
      </c>
      <c r="E239" s="962"/>
      <c r="F239" s="962"/>
      <c r="G239" s="962"/>
      <c r="H239" s="962"/>
      <c r="I239" s="962"/>
      <c r="J239" s="962"/>
      <c r="K239" s="962"/>
      <c r="L239" s="1202"/>
      <c r="M239" s="3208" t="s">
        <v>1309</v>
      </c>
      <c r="N239" s="3208"/>
      <c r="O239" s="3208"/>
      <c r="P239" s="3208"/>
      <c r="Q239" s="3208"/>
      <c r="R239" s="3208"/>
      <c r="S239" s="3208"/>
      <c r="T239" s="3208"/>
      <c r="X239" s="1202"/>
      <c r="Y239" s="3208" t="s">
        <v>1217</v>
      </c>
      <c r="Z239" s="3208"/>
      <c r="AA239" s="3208"/>
      <c r="AB239" s="3208"/>
      <c r="AC239" s="3208"/>
      <c r="AD239" s="3208"/>
      <c r="AE239" s="3208"/>
      <c r="AF239" s="3208"/>
      <c r="AV239" s="670"/>
    </row>
    <row r="240" spans="1:48">
      <c r="A240" s="963"/>
      <c r="B240" s="2794"/>
      <c r="D240" s="963" t="s">
        <v>1302</v>
      </c>
      <c r="E240" s="963"/>
      <c r="F240" s="963"/>
      <c r="G240" s="963"/>
      <c r="H240" s="963"/>
      <c r="I240" s="963"/>
      <c r="J240" s="963"/>
      <c r="K240" s="963"/>
      <c r="L240" s="963"/>
      <c r="M240" s="3237" t="s">
        <v>1310</v>
      </c>
      <c r="N240" s="3237"/>
      <c r="O240" s="3237"/>
      <c r="P240" s="3237"/>
      <c r="Q240" s="3237"/>
      <c r="R240" s="3237"/>
      <c r="S240" s="3237"/>
      <c r="T240" s="3237"/>
      <c r="X240" s="963"/>
      <c r="Y240" s="1484" t="s">
        <v>1299</v>
      </c>
    </row>
    <row r="241" spans="1:48" s="1157" customFormat="1" ht="13.2" customHeight="1">
      <c r="A241" s="1502" t="s">
        <v>1114</v>
      </c>
      <c r="B241" s="2797">
        <f>Ranking!D35</f>
        <v>1.5803004793204335E-2</v>
      </c>
      <c r="C241" s="1939"/>
      <c r="D241" s="3235" t="s">
        <v>2143</v>
      </c>
      <c r="E241" s="3235"/>
      <c r="F241" s="3235"/>
      <c r="G241" s="3235"/>
      <c r="H241" s="3235"/>
      <c r="I241" s="3235"/>
      <c r="J241" s="1503"/>
      <c r="K241" s="1504"/>
      <c r="L241" s="1505">
        <f>Ranking!H35</f>
        <v>1.5429580741219064E-2</v>
      </c>
      <c r="M241" s="3237"/>
      <c r="N241" s="3237"/>
      <c r="O241" s="3237"/>
      <c r="P241" s="3237"/>
      <c r="Q241" s="3237"/>
      <c r="R241" s="3237"/>
      <c r="S241" s="3237"/>
      <c r="T241" s="3237"/>
      <c r="X241" s="1505">
        <f>CALCULATIONS!F37</f>
        <v>1.3527622099956215E-2</v>
      </c>
      <c r="Y241" s="3235" t="s">
        <v>2145</v>
      </c>
      <c r="Z241" s="3235"/>
      <c r="AA241" s="3235"/>
      <c r="AB241" s="3235"/>
      <c r="AC241" s="3235"/>
      <c r="AD241" s="3235"/>
      <c r="AE241" s="3235"/>
      <c r="AF241" s="3235"/>
      <c r="AG241" s="153"/>
      <c r="AV241" s="670"/>
    </row>
    <row r="242" spans="1:48" s="1484" customFormat="1">
      <c r="A242" s="1506"/>
      <c r="B242" s="2798"/>
      <c r="C242" s="1939"/>
      <c r="D242" s="3222"/>
      <c r="E242" s="3222"/>
      <c r="F242" s="3222"/>
      <c r="G242" s="3222"/>
      <c r="H242" s="3222"/>
      <c r="I242" s="3222"/>
      <c r="J242" s="1507"/>
      <c r="K242" s="1508"/>
      <c r="L242" s="1509"/>
      <c r="M242" s="3210"/>
      <c r="N242" s="3210"/>
      <c r="O242" s="3210"/>
      <c r="P242" s="3210"/>
      <c r="Q242" s="3210"/>
      <c r="R242" s="3210"/>
      <c r="S242" s="3210"/>
      <c r="T242" s="3210"/>
      <c r="X242" s="1509"/>
      <c r="Y242" s="3222"/>
      <c r="Z242" s="3222"/>
      <c r="AA242" s="3222"/>
      <c r="AB242" s="3222"/>
      <c r="AC242" s="3222"/>
      <c r="AD242" s="3222"/>
      <c r="AE242" s="3222"/>
      <c r="AF242" s="3222"/>
      <c r="AV242" s="670"/>
    </row>
    <row r="243" spans="1:48" s="1159" customFormat="1" ht="13.2" customHeight="1">
      <c r="A243" s="670"/>
      <c r="B243" s="1424"/>
      <c r="C243" s="1939"/>
      <c r="D243" s="1286"/>
      <c r="I243" s="162"/>
      <c r="J243" s="162"/>
      <c r="K243" s="165"/>
      <c r="L243" s="1200"/>
      <c r="M243" s="73"/>
      <c r="N243" s="152"/>
      <c r="O243" s="152"/>
      <c r="P243" s="152"/>
      <c r="Q243" s="152"/>
      <c r="R243" s="152"/>
      <c r="S243" s="152"/>
      <c r="T243" s="152"/>
      <c r="AV243" s="670"/>
    </row>
    <row r="244" spans="1:48" s="1484" customFormat="1" ht="13.2" customHeight="1">
      <c r="A244" s="1517" t="s">
        <v>2274</v>
      </c>
      <c r="B244" s="2790"/>
      <c r="C244" s="1967"/>
      <c r="D244" s="1393" t="s">
        <v>1313</v>
      </c>
      <c r="E244" s="1518"/>
      <c r="F244" s="1518"/>
      <c r="G244" s="1518"/>
      <c r="H244" s="1518"/>
      <c r="I244" s="1518"/>
      <c r="J244" s="1518"/>
      <c r="K244" s="1518"/>
      <c r="L244" s="1200"/>
      <c r="M244" s="73"/>
      <c r="N244" s="152"/>
      <c r="O244" s="152"/>
      <c r="P244" s="152"/>
      <c r="Q244" s="152"/>
      <c r="R244" s="152"/>
      <c r="S244" s="152"/>
      <c r="T244" s="152"/>
      <c r="AV244" s="670"/>
    </row>
    <row r="245" spans="1:48" s="1484" customFormat="1" ht="13.2" customHeight="1">
      <c r="A245" s="152"/>
      <c r="B245" s="1424"/>
      <c r="C245" s="1939"/>
      <c r="D245" s="3177" t="s">
        <v>1314</v>
      </c>
      <c r="E245" s="3178"/>
      <c r="F245" s="3178"/>
      <c r="G245" s="3178"/>
      <c r="H245" s="3178"/>
      <c r="I245" s="3178"/>
      <c r="J245" s="3178"/>
      <c r="K245" s="3178"/>
      <c r="L245" s="1200"/>
      <c r="M245" s="73"/>
      <c r="N245" s="152"/>
      <c r="O245" s="152"/>
      <c r="P245" s="152"/>
      <c r="Q245" s="152"/>
      <c r="R245" s="152"/>
      <c r="S245" s="152"/>
      <c r="T245" s="152"/>
      <c r="AV245" s="670"/>
    </row>
    <row r="246" spans="1:48" s="1484" customFormat="1" ht="13.2" customHeight="1">
      <c r="A246" s="152"/>
      <c r="B246" s="1424"/>
      <c r="C246" s="1939"/>
      <c r="D246" s="3178"/>
      <c r="E246" s="3178"/>
      <c r="F246" s="3178"/>
      <c r="G246" s="3178"/>
      <c r="H246" s="3178"/>
      <c r="I246" s="3178"/>
      <c r="J246" s="3178"/>
      <c r="K246" s="3178"/>
      <c r="L246" s="1200"/>
      <c r="M246" s="73"/>
      <c r="N246" s="152"/>
      <c r="O246" s="152"/>
      <c r="P246" s="152"/>
      <c r="Q246" s="152"/>
      <c r="R246" s="152"/>
      <c r="S246" s="152"/>
      <c r="T246" s="152"/>
      <c r="AV246" s="670"/>
    </row>
    <row r="247" spans="1:48" s="1484" customFormat="1" ht="13.2" customHeight="1">
      <c r="A247" s="152"/>
      <c r="B247" s="1424"/>
      <c r="C247" s="1939"/>
      <c r="D247" s="3177" t="s">
        <v>2169</v>
      </c>
      <c r="E247" s="3178"/>
      <c r="F247" s="3178"/>
      <c r="G247" s="3178"/>
      <c r="H247" s="3178"/>
      <c r="I247" s="3178"/>
      <c r="J247" s="3178"/>
      <c r="K247" s="3178"/>
      <c r="L247" s="1200"/>
      <c r="M247" s="73"/>
      <c r="N247" s="152"/>
      <c r="O247" s="152"/>
      <c r="P247" s="152"/>
      <c r="Q247" s="152"/>
      <c r="R247" s="152"/>
      <c r="S247" s="152"/>
      <c r="T247" s="152"/>
      <c r="AV247" s="670"/>
    </row>
    <row r="248" spans="1:48" s="1484" customFormat="1" ht="13.2" customHeight="1">
      <c r="A248" s="152"/>
      <c r="B248" s="1424"/>
      <c r="C248" s="1939"/>
      <c r="D248" s="3178"/>
      <c r="E248" s="3178"/>
      <c r="F248" s="3178"/>
      <c r="G248" s="3178"/>
      <c r="H248" s="3178"/>
      <c r="I248" s="3178"/>
      <c r="J248" s="3178"/>
      <c r="K248" s="3178"/>
      <c r="L248" s="1200"/>
      <c r="M248" s="73"/>
      <c r="N248" s="152"/>
      <c r="O248" s="152"/>
      <c r="P248" s="152"/>
      <c r="Q248" s="152"/>
      <c r="R248" s="152"/>
      <c r="S248" s="152"/>
      <c r="T248" s="152"/>
      <c r="AV248" s="670"/>
    </row>
    <row r="249" spans="1:48" s="1484" customFormat="1" ht="13.2" customHeight="1">
      <c r="A249" s="152"/>
      <c r="B249" s="1424"/>
      <c r="C249" s="1939"/>
      <c r="D249" s="3177" t="s">
        <v>1315</v>
      </c>
      <c r="E249" s="3177"/>
      <c r="F249" s="3177"/>
      <c r="G249" s="3177"/>
      <c r="H249" s="3177"/>
      <c r="I249" s="3177"/>
      <c r="J249" s="3177"/>
      <c r="K249" s="3177"/>
      <c r="L249" s="1200"/>
      <c r="M249" s="73"/>
      <c r="N249" s="152"/>
      <c r="O249" s="152"/>
      <c r="P249" s="152"/>
      <c r="Q249" s="152"/>
      <c r="R249" s="152"/>
      <c r="S249" s="152"/>
      <c r="T249" s="152"/>
      <c r="AV249" s="670"/>
    </row>
    <row r="250" spans="1:48" s="1484" customFormat="1" ht="13.2" customHeight="1">
      <c r="A250" s="152"/>
      <c r="B250" s="1424"/>
      <c r="C250" s="1939"/>
      <c r="D250" s="3177"/>
      <c r="E250" s="3177"/>
      <c r="F250" s="3177"/>
      <c r="G250" s="3177"/>
      <c r="H250" s="3177"/>
      <c r="I250" s="3177"/>
      <c r="J250" s="3177"/>
      <c r="K250" s="3177"/>
      <c r="L250" s="1200"/>
      <c r="M250" s="73"/>
      <c r="N250" s="152"/>
      <c r="O250" s="152"/>
      <c r="P250" s="152"/>
      <c r="Q250" s="152"/>
      <c r="R250" s="152"/>
      <c r="S250" s="152"/>
      <c r="T250" s="152"/>
      <c r="AV250" s="670"/>
    </row>
    <row r="251" spans="1:48" s="1484" customFormat="1" ht="13.2" customHeight="1">
      <c r="A251" s="152"/>
      <c r="B251" s="1424"/>
      <c r="C251" s="1939"/>
      <c r="D251" s="3177" t="s">
        <v>1316</v>
      </c>
      <c r="E251" s="3177"/>
      <c r="F251" s="3177"/>
      <c r="G251" s="3177"/>
      <c r="H251" s="3177"/>
      <c r="I251" s="3177"/>
      <c r="J251" s="3177"/>
      <c r="K251" s="3177"/>
      <c r="L251" s="1200"/>
      <c r="M251" s="73"/>
      <c r="N251" s="152"/>
      <c r="O251" s="152"/>
      <c r="P251" s="152"/>
      <c r="Q251" s="152"/>
      <c r="R251" s="152"/>
      <c r="S251" s="152"/>
      <c r="T251" s="152"/>
      <c r="AV251" s="670"/>
    </row>
    <row r="252" spans="1:48" s="1484" customFormat="1" ht="13.2" customHeight="1">
      <c r="A252" s="152"/>
      <c r="B252" s="1424"/>
      <c r="C252" s="1939"/>
      <c r="D252" s="3177"/>
      <c r="E252" s="3177"/>
      <c r="F252" s="3177"/>
      <c r="G252" s="3177"/>
      <c r="H252" s="3177"/>
      <c r="I252" s="3177"/>
      <c r="J252" s="3177"/>
      <c r="K252" s="3177"/>
      <c r="L252" s="1200"/>
      <c r="M252" s="73"/>
      <c r="N252" s="152"/>
      <c r="O252" s="152"/>
      <c r="P252" s="152"/>
      <c r="Q252" s="152"/>
      <c r="R252" s="152"/>
      <c r="S252" s="152"/>
      <c r="T252" s="152"/>
      <c r="AV252" s="670"/>
    </row>
    <row r="253" spans="1:48" s="1484" customFormat="1" ht="13.2" customHeight="1">
      <c r="A253" s="152"/>
      <c r="B253" s="1424"/>
      <c r="C253" s="1939"/>
      <c r="D253" s="1519"/>
      <c r="E253" s="1520"/>
      <c r="F253" s="1520"/>
      <c r="G253" s="1520"/>
      <c r="H253" s="1520"/>
      <c r="I253" s="1520"/>
      <c r="J253" s="1520"/>
      <c r="K253" s="1520"/>
      <c r="L253" s="1200"/>
      <c r="M253" s="73"/>
      <c r="N253" s="152"/>
      <c r="O253" s="152"/>
      <c r="P253" s="152"/>
      <c r="Q253" s="152"/>
      <c r="R253" s="152"/>
      <c r="S253" s="152"/>
      <c r="T253" s="152"/>
      <c r="AV253" s="670"/>
    </row>
    <row r="254" spans="1:48" s="1484" customFormat="1" ht="13.2" customHeight="1">
      <c r="A254" s="152"/>
      <c r="B254" s="1424"/>
      <c r="C254" s="1939"/>
      <c r="D254" s="1519" t="s">
        <v>2172</v>
      </c>
      <c r="E254" s="1520"/>
      <c r="F254" s="1520"/>
      <c r="G254" s="1520"/>
      <c r="H254" s="1520"/>
      <c r="I254" s="1520"/>
      <c r="J254" s="1522" t="s">
        <v>1317</v>
      </c>
      <c r="K254" s="1523">
        <v>0</v>
      </c>
      <c r="L254" s="1200"/>
      <c r="M254" s="73"/>
      <c r="N254" s="152"/>
      <c r="O254" s="152"/>
      <c r="P254" s="152"/>
      <c r="Q254" s="152"/>
      <c r="R254" s="152"/>
      <c r="S254" s="152"/>
      <c r="T254" s="152"/>
      <c r="AV254" s="670"/>
    </row>
    <row r="255" spans="1:48" s="1484" customFormat="1" ht="13.2" customHeight="1">
      <c r="A255" s="152"/>
      <c r="B255" s="1424"/>
      <c r="C255" s="1939"/>
      <c r="D255" s="1519" t="s">
        <v>2173</v>
      </c>
      <c r="E255" s="1520"/>
      <c r="F255" s="1520"/>
      <c r="G255" s="1520"/>
      <c r="H255" s="1520"/>
      <c r="I255" s="1520"/>
      <c r="J255" s="2749" t="s">
        <v>2174</v>
      </c>
      <c r="K255" s="1049">
        <v>0.1</v>
      </c>
      <c r="L255" s="1200"/>
      <c r="P255" s="152"/>
      <c r="Q255" s="152"/>
      <c r="R255" s="152"/>
      <c r="S255" s="152"/>
      <c r="T255" s="152"/>
      <c r="AV255" s="670"/>
    </row>
    <row r="256" spans="1:48" s="1938" customFormat="1">
      <c r="A256" s="1947"/>
      <c r="B256" s="2785"/>
      <c r="C256" s="1939"/>
      <c r="D256" s="1953" t="s">
        <v>2210</v>
      </c>
      <c r="I256" s="1940"/>
      <c r="K256" s="152"/>
      <c r="L256" s="2810" t="s">
        <v>2175</v>
      </c>
      <c r="M256" s="2811"/>
      <c r="N256" s="1947"/>
      <c r="O256" s="1947"/>
      <c r="P256" s="1947"/>
      <c r="Q256" s="1947"/>
      <c r="R256" s="1947"/>
      <c r="S256" s="1947"/>
      <c r="T256" s="1947"/>
      <c r="AV256" s="2376"/>
    </row>
    <row r="257" spans="1:48" s="1938" customFormat="1">
      <c r="A257" s="1947"/>
      <c r="B257" s="2785"/>
      <c r="C257" s="1939"/>
      <c r="D257" s="1948"/>
      <c r="I257" s="1940"/>
      <c r="J257" s="1940"/>
      <c r="K257" s="1941"/>
      <c r="L257" s="1949"/>
      <c r="M257" s="1950"/>
      <c r="N257" s="1947"/>
      <c r="O257" s="1947"/>
      <c r="P257" s="1947"/>
      <c r="Q257" s="1947"/>
      <c r="R257" s="1947"/>
      <c r="S257" s="1947"/>
      <c r="T257" s="1947"/>
      <c r="AV257" s="2376"/>
    </row>
    <row r="258" spans="1:48" s="1938" customFormat="1">
      <c r="A258" s="1944" t="s">
        <v>1525</v>
      </c>
      <c r="B258" s="2786"/>
      <c r="C258" s="1945"/>
      <c r="D258" s="1946"/>
      <c r="E258" s="1946"/>
      <c r="F258" s="1946"/>
      <c r="G258" s="1946"/>
      <c r="H258" s="1946"/>
      <c r="I258" s="1946"/>
      <c r="J258" s="1946"/>
      <c r="K258" s="1946"/>
      <c r="L258" s="1951"/>
      <c r="M258" s="1951"/>
      <c r="N258" s="1951"/>
      <c r="O258" s="1951"/>
      <c r="P258" s="1951"/>
      <c r="Q258" s="1951"/>
      <c r="R258" s="1951"/>
      <c r="S258" s="1951"/>
      <c r="T258" s="1951"/>
      <c r="U258" s="1952"/>
      <c r="V258" s="1952"/>
      <c r="W258" s="1952"/>
      <c r="X258" s="1952"/>
      <c r="Y258" s="1952"/>
      <c r="Z258" s="1952"/>
      <c r="AA258" s="1952"/>
      <c r="AB258" s="1952"/>
      <c r="AC258" s="1952"/>
      <c r="AD258" s="1952"/>
      <c r="AE258" s="1952"/>
      <c r="AF258" s="1952"/>
      <c r="AV258" s="2376"/>
    </row>
    <row r="259" spans="1:48" s="1938" customFormat="1">
      <c r="A259" s="1947"/>
      <c r="B259" s="2785"/>
      <c r="C259" s="1939"/>
      <c r="D259" s="1946"/>
      <c r="E259" s="1946"/>
      <c r="F259" s="1946"/>
      <c r="G259" s="1946"/>
      <c r="H259" s="1946"/>
      <c r="I259" s="1946"/>
      <c r="J259" s="1946"/>
      <c r="K259" s="1946"/>
      <c r="L259" s="1951"/>
      <c r="M259" s="1951"/>
      <c r="N259" s="1951"/>
      <c r="O259" s="1951"/>
      <c r="P259" s="1951"/>
      <c r="Q259" s="1951"/>
      <c r="R259" s="1951"/>
      <c r="S259" s="1951"/>
      <c r="T259" s="1951"/>
      <c r="U259" s="1952"/>
      <c r="V259" s="1952"/>
      <c r="W259" s="1952"/>
      <c r="X259" s="1952"/>
      <c r="Y259" s="1952"/>
      <c r="Z259" s="1952"/>
      <c r="AA259" s="1952"/>
      <c r="AB259" s="1952"/>
      <c r="AC259" s="1952"/>
      <c r="AD259" s="1952"/>
      <c r="AE259" s="1952"/>
      <c r="AF259" s="1952"/>
      <c r="AV259" s="2376"/>
    </row>
    <row r="260" spans="1:48" s="1938" customFormat="1">
      <c r="A260" s="1947"/>
      <c r="B260" s="2785"/>
      <c r="C260" s="1939"/>
      <c r="D260" s="1946"/>
      <c r="E260" s="1946"/>
      <c r="F260" s="1946"/>
      <c r="G260" s="1946"/>
      <c r="H260" s="1946"/>
      <c r="I260" s="1946"/>
      <c r="J260" s="1946"/>
      <c r="K260" s="1946"/>
      <c r="L260" s="1951"/>
      <c r="M260" s="1951"/>
      <c r="N260" s="1951"/>
      <c r="O260" s="1951"/>
      <c r="P260" s="1951"/>
      <c r="Q260" s="1951"/>
      <c r="R260" s="1951"/>
      <c r="S260" s="1951"/>
      <c r="T260" s="1951"/>
      <c r="U260" s="1952"/>
      <c r="V260" s="1952"/>
      <c r="W260" s="1952"/>
      <c r="X260" s="1952"/>
      <c r="Y260" s="1952"/>
      <c r="Z260" s="1952"/>
      <c r="AA260" s="1952"/>
      <c r="AB260" s="1952"/>
      <c r="AC260" s="1952"/>
      <c r="AD260" s="1952"/>
      <c r="AE260" s="1952"/>
      <c r="AF260" s="1952"/>
      <c r="AV260" s="2376"/>
    </row>
    <row r="261" spans="1:48" s="1938" customFormat="1">
      <c r="A261" s="1947"/>
      <c r="B261" s="2785"/>
      <c r="C261" s="1939"/>
      <c r="D261" s="1946"/>
      <c r="E261" s="1946"/>
      <c r="F261" s="1946"/>
      <c r="G261" s="1946"/>
      <c r="H261" s="1946"/>
      <c r="I261" s="1946"/>
      <c r="J261" s="1946"/>
      <c r="K261" s="1946"/>
      <c r="L261" s="1951"/>
      <c r="M261" s="1951"/>
      <c r="N261" s="1951"/>
      <c r="O261" s="1951"/>
      <c r="P261" s="1951"/>
      <c r="Q261" s="1951"/>
      <c r="R261" s="1951"/>
      <c r="S261" s="1951"/>
      <c r="T261" s="1951"/>
      <c r="U261" s="1952"/>
      <c r="V261" s="1952"/>
      <c r="W261" s="1952"/>
      <c r="X261" s="1952"/>
      <c r="Y261" s="1952"/>
      <c r="Z261" s="1952"/>
      <c r="AA261" s="1952"/>
      <c r="AB261" s="1952"/>
      <c r="AC261" s="1952"/>
      <c r="AD261" s="1952"/>
      <c r="AE261" s="1952"/>
      <c r="AF261" s="1952"/>
      <c r="AV261" s="2376"/>
    </row>
    <row r="262" spans="1:48" s="1938" customFormat="1">
      <c r="A262" s="1947"/>
      <c r="B262" s="2785"/>
      <c r="C262" s="1939"/>
      <c r="D262" s="1946"/>
      <c r="E262" s="1946"/>
      <c r="F262" s="1946"/>
      <c r="G262" s="1946"/>
      <c r="H262" s="1946"/>
      <c r="I262" s="1946"/>
      <c r="J262" s="1946"/>
      <c r="K262" s="1946"/>
      <c r="L262" s="1951"/>
      <c r="M262" s="1951"/>
      <c r="N262" s="1951"/>
      <c r="O262" s="1951"/>
      <c r="P262" s="1951"/>
      <c r="Q262" s="1951"/>
      <c r="R262" s="1951"/>
      <c r="S262" s="1951"/>
      <c r="T262" s="1951"/>
      <c r="U262" s="1952"/>
      <c r="V262" s="1952"/>
      <c r="W262" s="1952"/>
      <c r="X262" s="1952"/>
      <c r="Y262" s="1952"/>
      <c r="Z262" s="1952"/>
      <c r="AA262" s="1952"/>
      <c r="AB262" s="1952"/>
      <c r="AC262" s="1952"/>
      <c r="AD262" s="1952"/>
      <c r="AE262" s="1952"/>
      <c r="AF262" s="1952"/>
      <c r="AV262" s="2376"/>
    </row>
    <row r="263" spans="1:48" s="1938" customFormat="1">
      <c r="B263" s="2785"/>
      <c r="C263" s="1939"/>
      <c r="D263" s="1953"/>
      <c r="I263" s="1940"/>
      <c r="J263" s="1940"/>
      <c r="K263" s="1941"/>
      <c r="L263" s="1949"/>
      <c r="M263" s="2411"/>
      <c r="N263" s="2412"/>
      <c r="O263" s="2413"/>
      <c r="P263" s="2412"/>
      <c r="Q263" s="2412"/>
      <c r="R263" s="2412"/>
      <c r="S263" s="2412"/>
      <c r="T263" s="2412"/>
      <c r="U263" s="2413"/>
      <c r="V263" s="2413"/>
      <c r="W263" s="2413"/>
      <c r="X263" s="2413"/>
      <c r="Y263" s="2414"/>
      <c r="Z263" s="2414"/>
      <c r="AA263" s="2414"/>
      <c r="AB263" s="2414"/>
      <c r="AC263" s="2414"/>
      <c r="AD263" s="2414"/>
      <c r="AE263" s="2414"/>
      <c r="AF263" s="2414"/>
      <c r="AV263" s="2376"/>
    </row>
    <row r="264" spans="1:48" s="1304" customFormat="1">
      <c r="A264" s="670"/>
      <c r="B264" s="1424"/>
      <c r="C264" s="1939"/>
      <c r="I264" s="162"/>
      <c r="J264" s="162"/>
      <c r="K264" s="165"/>
      <c r="L264" s="1200"/>
      <c r="M264" s="73"/>
      <c r="O264" s="152"/>
      <c r="P264" s="152"/>
      <c r="Q264" s="152"/>
      <c r="R264" s="152"/>
      <c r="S264" s="152"/>
      <c r="T264" s="152"/>
      <c r="AV264" s="670"/>
    </row>
    <row r="265" spans="1:48" s="1304" customFormat="1">
      <c r="A265" s="1437" t="s">
        <v>1238</v>
      </c>
      <c r="B265" s="1438"/>
      <c r="C265" s="1967"/>
      <c r="D265" s="3185" t="s">
        <v>1253</v>
      </c>
      <c r="E265" s="3223"/>
      <c r="F265" s="3186"/>
      <c r="G265" s="2746" t="s">
        <v>2157</v>
      </c>
      <c r="I265" s="162"/>
      <c r="J265" s="162"/>
      <c r="K265" s="165"/>
      <c r="L265" s="1200"/>
      <c r="M265" s="73"/>
      <c r="N265" s="152"/>
      <c r="O265" s="152"/>
      <c r="P265" s="152"/>
      <c r="Q265" s="152"/>
      <c r="R265" s="152"/>
      <c r="S265" s="152"/>
      <c r="T265" s="152"/>
      <c r="AV265" s="670"/>
    </row>
    <row r="266" spans="1:48" s="1304" customFormat="1">
      <c r="A266" s="1369"/>
      <c r="B266" s="1439"/>
      <c r="C266" s="1971"/>
      <c r="D266" s="1434" t="s">
        <v>377</v>
      </c>
      <c r="E266" s="1434" t="s">
        <v>1278</v>
      </c>
      <c r="F266" s="1434" t="s">
        <v>1254</v>
      </c>
      <c r="G266" s="2746" t="s">
        <v>2158</v>
      </c>
      <c r="I266" s="162"/>
      <c r="J266" s="162"/>
      <c r="K266" s="165"/>
      <c r="L266" s="1200"/>
      <c r="M266" s="73"/>
      <c r="N266" s="152"/>
      <c r="O266" s="152"/>
      <c r="P266" s="152"/>
      <c r="Q266" s="152"/>
      <c r="R266" s="152"/>
      <c r="S266" s="152"/>
      <c r="T266" s="152"/>
      <c r="AV266" s="670"/>
    </row>
    <row r="267" spans="1:48" s="1304" customFormat="1">
      <c r="A267" s="877" t="s">
        <v>502</v>
      </c>
      <c r="B267" s="878" t="s">
        <v>52</v>
      </c>
      <c r="C267" s="1962"/>
      <c r="D267" s="1435">
        <f>CALCULATIONS!FV5</f>
        <v>4.9905713850513198</v>
      </c>
      <c r="E267" s="522">
        <f>CALCULATIONS!FU5</f>
        <v>5.2964626193065953</v>
      </c>
      <c r="F267" s="1060">
        <f>CALCULATIONS!FW5</f>
        <v>0.1448238320606966</v>
      </c>
      <c r="G267" s="2710"/>
      <c r="I267" s="162"/>
      <c r="J267" s="162"/>
      <c r="K267" s="165"/>
      <c r="L267" s="1200"/>
      <c r="M267" s="73"/>
      <c r="N267" s="152"/>
      <c r="O267" s="152"/>
      <c r="P267" s="152"/>
      <c r="Q267" s="152"/>
      <c r="R267" s="152"/>
      <c r="S267" s="152"/>
      <c r="T267" s="152"/>
      <c r="AV267" s="670"/>
    </row>
    <row r="268" spans="1:48" s="1304" customFormat="1">
      <c r="A268" s="877" t="s">
        <v>389</v>
      </c>
      <c r="B268" s="878" t="s">
        <v>278</v>
      </c>
      <c r="C268" s="1962"/>
      <c r="D268" s="1435">
        <f>CALCULATIONS!FV6</f>
        <v>4.4503654862327</v>
      </c>
      <c r="E268" s="522">
        <f>CALCULATIONS!FU6</f>
        <v>4.0530525032062261</v>
      </c>
      <c r="F268" s="1060">
        <f>CALCULATIONS!FW6</f>
        <v>-2.9835823683801648E-2</v>
      </c>
      <c r="G268" s="2710">
        <v>1</v>
      </c>
      <c r="I268" s="162"/>
      <c r="J268" s="1440" t="s">
        <v>2146</v>
      </c>
      <c r="K268" s="165"/>
      <c r="L268" s="1200"/>
      <c r="M268" s="73"/>
      <c r="N268" s="152"/>
      <c r="O268" s="152"/>
      <c r="P268" s="152"/>
      <c r="Q268" s="152"/>
      <c r="R268" s="152"/>
      <c r="S268" s="152"/>
      <c r="T268" s="152"/>
      <c r="AV268" s="670"/>
    </row>
    <row r="269" spans="1:48" s="1304" customFormat="1">
      <c r="A269" s="686" t="s">
        <v>323</v>
      </c>
      <c r="B269" s="695" t="s">
        <v>280</v>
      </c>
      <c r="C269" s="1956"/>
      <c r="D269" s="1436">
        <f>CALCULATIONS!FV7</f>
        <v>4.8426442674927213</v>
      </c>
      <c r="E269" s="716">
        <f>CALCULATIONS!FU7</f>
        <v>4.6619962755533297</v>
      </c>
      <c r="F269" s="1061">
        <f>CALCULATIONS!FW7</f>
        <v>0.1951757211867983</v>
      </c>
      <c r="G269" s="2710"/>
      <c r="I269" s="162"/>
      <c r="J269" s="162"/>
      <c r="K269" s="165"/>
      <c r="L269" s="1200"/>
      <c r="M269" s="73"/>
      <c r="N269" s="152"/>
      <c r="O269" s="152"/>
      <c r="P269" s="152"/>
      <c r="Q269" s="152"/>
      <c r="R269" s="152"/>
      <c r="S269" s="152"/>
      <c r="T269" s="152"/>
      <c r="AV269" s="670"/>
    </row>
    <row r="270" spans="1:48" s="1304" customFormat="1">
      <c r="A270" s="686" t="s">
        <v>323</v>
      </c>
      <c r="B270" s="695" t="s">
        <v>277</v>
      </c>
      <c r="C270" s="1956"/>
      <c r="D270" s="1436">
        <f>CALCULATIONS!FV8</f>
        <v>4.9107929634600707</v>
      </c>
      <c r="E270" s="716">
        <f>CALCULATIONS!FU8</f>
        <v>3.6764587184436395</v>
      </c>
      <c r="F270" s="1061">
        <f>CALCULATIONS!FW8</f>
        <v>-0.2975700901517318</v>
      </c>
      <c r="G270" s="2710"/>
      <c r="I270" s="162"/>
      <c r="J270" s="162"/>
      <c r="K270" s="165"/>
      <c r="L270" s="1200"/>
      <c r="M270" s="73"/>
      <c r="N270" s="152"/>
      <c r="O270" s="152"/>
      <c r="P270" s="152"/>
      <c r="Q270" s="152"/>
      <c r="R270" s="152"/>
      <c r="S270" s="152"/>
      <c r="T270" s="152"/>
      <c r="AV270" s="670"/>
    </row>
    <row r="271" spans="1:48" s="1304" customFormat="1">
      <c r="A271" s="686" t="s">
        <v>323</v>
      </c>
      <c r="B271" s="695" t="s">
        <v>283</v>
      </c>
      <c r="C271" s="1956"/>
      <c r="D271" s="1436">
        <f>CALCULATIONS!FV9</f>
        <v>8.6861758729657641</v>
      </c>
      <c r="E271" s="716">
        <f>CALCULATIONS!FU9</f>
        <v>9.0506669895995948</v>
      </c>
      <c r="F271" s="1061">
        <f>CALCULATIONS!FW9</f>
        <v>0.26215680659638446</v>
      </c>
      <c r="G271" s="2710"/>
      <c r="I271" s="162"/>
      <c r="J271" s="162"/>
      <c r="K271" s="165"/>
      <c r="L271" s="1200"/>
      <c r="M271" s="73"/>
      <c r="N271" s="152"/>
      <c r="O271" s="152"/>
      <c r="P271" s="152"/>
      <c r="Q271" s="152"/>
      <c r="R271" s="152"/>
      <c r="S271" s="152"/>
      <c r="T271" s="152"/>
      <c r="AV271" s="670"/>
    </row>
    <row r="272" spans="1:48" s="1304" customFormat="1">
      <c r="A272" s="527" t="s">
        <v>545</v>
      </c>
      <c r="B272" s="307" t="s">
        <v>39</v>
      </c>
      <c r="C272" s="1939"/>
      <c r="D272" s="1435">
        <f>CALCULATIONS!FV10</f>
        <v>5.8927844479191869</v>
      </c>
      <c r="E272" s="522">
        <f>CALCULATIONS!FU10</f>
        <v>5.9052222685092017</v>
      </c>
      <c r="F272" s="1060">
        <f>CALCULATIONS!FW10</f>
        <v>-0.19036897853308513</v>
      </c>
      <c r="G272" s="2710">
        <v>1</v>
      </c>
      <c r="I272" s="162"/>
      <c r="J272" s="162"/>
      <c r="K272" s="165"/>
      <c r="L272" s="1200"/>
      <c r="M272" s="73"/>
      <c r="N272" s="152"/>
      <c r="O272" s="152"/>
      <c r="P272" s="152"/>
      <c r="Q272" s="152"/>
      <c r="R272" s="152"/>
      <c r="S272" s="152"/>
      <c r="T272" s="152"/>
      <c r="AV272" s="670"/>
    </row>
    <row r="273" spans="1:48" s="1304" customFormat="1">
      <c r="A273" s="528" t="s">
        <v>219</v>
      </c>
      <c r="B273" s="308" t="s">
        <v>53</v>
      </c>
      <c r="C273" s="1956"/>
      <c r="D273" s="1435">
        <f>CALCULATIONS!FV11</f>
        <v>5.6943354572509941</v>
      </c>
      <c r="E273" s="522">
        <f>CALCULATIONS!FU11</f>
        <v>5.1937231412225326</v>
      </c>
      <c r="F273" s="1060">
        <f>CALCULATIONS!FW11</f>
        <v>-7.3155042359885195E-2</v>
      </c>
      <c r="G273" s="2710"/>
      <c r="I273" s="162"/>
      <c r="J273" s="162"/>
      <c r="K273" s="165"/>
      <c r="L273" s="1200"/>
      <c r="M273" s="73"/>
      <c r="N273" s="152"/>
      <c r="O273" s="152"/>
      <c r="P273" s="152"/>
      <c r="Q273" s="152"/>
      <c r="R273" s="152"/>
      <c r="S273" s="152"/>
      <c r="T273" s="152"/>
      <c r="AV273" s="670"/>
    </row>
    <row r="274" spans="1:48" s="1304" customFormat="1">
      <c r="A274" s="877" t="s">
        <v>73</v>
      </c>
      <c r="B274" s="878" t="s">
        <v>285</v>
      </c>
      <c r="C274" s="1962"/>
      <c r="D274" s="1435">
        <f>CALCULATIONS!FV12</f>
        <v>6.7052926466266065</v>
      </c>
      <c r="E274" s="522">
        <f>CALCULATIONS!FU12</f>
        <v>7.0127743881429545</v>
      </c>
      <c r="F274" s="1060">
        <f>CALCULATIONS!FW12</f>
        <v>0.14721542174528052</v>
      </c>
      <c r="G274" s="2710"/>
      <c r="I274" s="162"/>
      <c r="J274" s="162"/>
      <c r="K274" s="165"/>
      <c r="L274" s="1200"/>
      <c r="M274" s="73"/>
      <c r="N274" s="152"/>
      <c r="O274" s="152"/>
      <c r="P274" s="152"/>
      <c r="Q274" s="152"/>
      <c r="R274" s="152"/>
      <c r="S274" s="152"/>
      <c r="T274" s="152"/>
      <c r="AV274" s="670"/>
    </row>
    <row r="275" spans="1:48" s="1304" customFormat="1">
      <c r="A275" s="420" t="s">
        <v>19</v>
      </c>
      <c r="B275" s="308" t="s">
        <v>287</v>
      </c>
      <c r="C275" s="1956"/>
      <c r="D275" s="1435">
        <f>CALCULATIONS!FV13</f>
        <v>7.8889454092528393</v>
      </c>
      <c r="E275" s="522">
        <f>CALCULATIONS!FU13</f>
        <v>9.6719476082953495</v>
      </c>
      <c r="F275" s="1060">
        <f>CALCULATIONS!FW13</f>
        <v>0.8464659845431286</v>
      </c>
      <c r="G275" s="2710"/>
      <c r="I275" s="162"/>
      <c r="J275" s="162"/>
      <c r="K275" s="165"/>
      <c r="L275" s="1200"/>
      <c r="M275" s="73"/>
      <c r="N275" s="152"/>
      <c r="O275" s="152"/>
      <c r="P275" s="152"/>
      <c r="Q275" s="152"/>
      <c r="R275" s="152"/>
      <c r="S275" s="152"/>
      <c r="T275" s="152"/>
      <c r="AV275" s="670"/>
    </row>
    <row r="276" spans="1:48" s="1304" customFormat="1">
      <c r="A276" s="420" t="s">
        <v>19</v>
      </c>
      <c r="B276" s="308" t="s">
        <v>288</v>
      </c>
      <c r="C276" s="1956"/>
      <c r="D276" s="1435">
        <f>CALCULATIONS!FV14</f>
        <v>4.7838493303826084</v>
      </c>
      <c r="E276" s="522">
        <f>CALCULATIONS!FU14</f>
        <v>4.438539176760524</v>
      </c>
      <c r="F276" s="1060">
        <f>CALCULATIONS!FW14</f>
        <v>-0.19812930900653591</v>
      </c>
      <c r="G276" s="2710"/>
      <c r="I276" s="162"/>
      <c r="J276" s="162"/>
      <c r="K276" s="165"/>
      <c r="L276" s="1200"/>
      <c r="M276" s="73"/>
      <c r="N276" s="152"/>
      <c r="O276" s="152"/>
      <c r="P276" s="152"/>
      <c r="Q276" s="152"/>
      <c r="R276" s="152"/>
      <c r="S276" s="152"/>
      <c r="T276" s="152"/>
      <c r="AV276" s="670"/>
    </row>
    <row r="277" spans="1:48" s="1304" customFormat="1">
      <c r="A277" s="420" t="s">
        <v>378</v>
      </c>
      <c r="B277" s="308" t="s">
        <v>42</v>
      </c>
      <c r="C277" s="1956"/>
      <c r="D277" s="1435">
        <f>CALCULATIONS!FV15</f>
        <v>3.7488610975650749</v>
      </c>
      <c r="E277" s="522">
        <f>CALCULATIONS!FU15</f>
        <v>3.7439277362047823</v>
      </c>
      <c r="F277" s="1060">
        <f>CALCULATIONS!FW15</f>
        <v>3.4291324439135469E-2</v>
      </c>
      <c r="G277" s="2710"/>
      <c r="I277" s="162"/>
      <c r="J277" s="162"/>
      <c r="K277" s="165"/>
      <c r="L277" s="1200"/>
      <c r="M277" s="73"/>
      <c r="N277" s="152"/>
      <c r="O277" s="152"/>
      <c r="P277" s="152"/>
      <c r="Q277" s="152"/>
      <c r="R277" s="152"/>
      <c r="S277" s="152"/>
      <c r="T277" s="152"/>
      <c r="AV277" s="670"/>
    </row>
    <row r="278" spans="1:48" s="1304" customFormat="1">
      <c r="A278" s="877" t="s">
        <v>503</v>
      </c>
      <c r="B278" s="878" t="s">
        <v>286</v>
      </c>
      <c r="C278" s="1962"/>
      <c r="D278" s="1435">
        <f>CALCULATIONS!FV16</f>
        <v>4.5606838408134944</v>
      </c>
      <c r="E278" s="522">
        <f>CALCULATIONS!FU16</f>
        <v>4.0606354500113753</v>
      </c>
      <c r="F278" s="1060">
        <f>CALCULATIONS!FW16</f>
        <v>-0.18379111287045302</v>
      </c>
      <c r="G278" s="2710">
        <v>1</v>
      </c>
      <c r="I278" s="162"/>
      <c r="J278" s="162"/>
      <c r="K278" s="165"/>
      <c r="L278" s="1200"/>
      <c r="M278" s="73"/>
      <c r="N278" s="152"/>
      <c r="O278" s="152"/>
      <c r="P278" s="152"/>
      <c r="Q278" s="152"/>
      <c r="R278" s="152"/>
      <c r="S278" s="152"/>
      <c r="T278" s="152"/>
      <c r="AV278" s="670"/>
    </row>
    <row r="279" spans="1:48" s="1304" customFormat="1">
      <c r="A279" s="420" t="s">
        <v>504</v>
      </c>
      <c r="B279" s="308" t="s">
        <v>281</v>
      </c>
      <c r="C279" s="1956"/>
      <c r="D279" s="1435">
        <f>CALCULATIONS!FV17</f>
        <v>5.8033589040079683</v>
      </c>
      <c r="E279" s="522">
        <f>CALCULATIONS!FU17</f>
        <v>6.1939465303838475</v>
      </c>
      <c r="F279" s="1060">
        <f>CALCULATIONS!FW17</f>
        <v>4.5724350121793801E-2</v>
      </c>
      <c r="G279" s="2710"/>
      <c r="I279" s="162"/>
      <c r="J279" s="162"/>
      <c r="K279" s="165"/>
      <c r="L279" s="1200"/>
      <c r="M279" s="73"/>
      <c r="N279" s="152"/>
      <c r="O279" s="152"/>
      <c r="P279" s="152"/>
      <c r="Q279" s="152"/>
      <c r="R279" s="152"/>
      <c r="S279" s="152"/>
      <c r="T279" s="152"/>
      <c r="AV279" s="670"/>
    </row>
    <row r="280" spans="1:48" s="1304" customFormat="1">
      <c r="A280" s="420" t="s">
        <v>505</v>
      </c>
      <c r="B280" s="308" t="s">
        <v>44</v>
      </c>
      <c r="C280" s="1956"/>
      <c r="D280" s="1435">
        <f>CALCULATIONS!FV18</f>
        <v>4.9270605931091591</v>
      </c>
      <c r="E280" s="522">
        <f>CALCULATIONS!FU18</f>
        <v>4.0325018858098245</v>
      </c>
      <c r="F280" s="1060">
        <f>CALCULATIONS!FW18</f>
        <v>-0.26680842971581226</v>
      </c>
      <c r="G280" s="2710">
        <v>1</v>
      </c>
      <c r="I280" s="162"/>
      <c r="J280" s="162"/>
      <c r="K280" s="165"/>
      <c r="L280" s="1200"/>
      <c r="M280" s="73"/>
      <c r="N280" s="152"/>
      <c r="O280" s="152"/>
      <c r="P280" s="152"/>
      <c r="Q280" s="152"/>
      <c r="R280" s="152"/>
      <c r="S280" s="152"/>
      <c r="T280" s="152"/>
      <c r="AV280" s="670"/>
    </row>
    <row r="281" spans="1:48" s="1304" customFormat="1">
      <c r="A281" s="420" t="s">
        <v>506</v>
      </c>
      <c r="B281" s="308" t="s">
        <v>289</v>
      </c>
      <c r="C281" s="1956"/>
      <c r="D281" s="1435">
        <f>CALCULATIONS!FV19</f>
        <v>4.3871958272574467</v>
      </c>
      <c r="E281" s="522">
        <f>CALCULATIONS!FU19</f>
        <v>3.4400754167452243</v>
      </c>
      <c r="F281" s="1060">
        <f>CALCULATIONS!FW19</f>
        <v>-8.1025400882275472E-2</v>
      </c>
      <c r="G281" s="2710">
        <v>1</v>
      </c>
      <c r="I281" s="162"/>
      <c r="J281" s="162"/>
      <c r="K281" s="165"/>
      <c r="L281" s="1200"/>
      <c r="M281" s="73"/>
      <c r="N281" s="152"/>
      <c r="O281" s="152"/>
      <c r="P281" s="152"/>
      <c r="Q281" s="152"/>
      <c r="R281" s="152"/>
      <c r="S281" s="152"/>
      <c r="T281" s="152"/>
      <c r="AV281" s="670"/>
    </row>
    <row r="282" spans="1:48" s="1304" customFormat="1">
      <c r="A282" s="877" t="s">
        <v>27</v>
      </c>
      <c r="B282" s="878" t="s">
        <v>54</v>
      </c>
      <c r="C282" s="1962"/>
      <c r="D282" s="1435">
        <f>CALCULATIONS!FV20</f>
        <v>6.4063105209788551</v>
      </c>
      <c r="E282" s="522">
        <f>CALCULATIONS!FU20</f>
        <v>5.3369406950798908</v>
      </c>
      <c r="F282" s="1060">
        <f>CALCULATIONS!FW20</f>
        <v>-0.24924595564935845</v>
      </c>
      <c r="G282" s="2710"/>
      <c r="I282" s="162"/>
      <c r="J282" s="162"/>
      <c r="K282" s="165"/>
      <c r="L282" s="1200"/>
      <c r="M282" s="73"/>
      <c r="N282" s="152"/>
      <c r="O282" s="152"/>
      <c r="P282" s="152"/>
      <c r="Q282" s="152"/>
      <c r="R282" s="152"/>
      <c r="S282" s="152"/>
      <c r="T282" s="152"/>
      <c r="AV282" s="670"/>
    </row>
    <row r="283" spans="1:48" s="1304" customFormat="1">
      <c r="A283" s="420" t="s">
        <v>32</v>
      </c>
      <c r="B283" s="308" t="s">
        <v>50</v>
      </c>
      <c r="C283" s="1956"/>
      <c r="D283" s="1435">
        <f>CALCULATIONS!FV21</f>
        <v>4.6985221679038922</v>
      </c>
      <c r="E283" s="522">
        <f>CALCULATIONS!FU21</f>
        <v>5.7096258695546744</v>
      </c>
      <c r="F283" s="1060">
        <f>CALCULATIONS!FW21</f>
        <v>0.4140020451008824</v>
      </c>
      <c r="G283" s="2710"/>
      <c r="I283" s="162"/>
      <c r="J283" s="3212" t="s">
        <v>2147</v>
      </c>
      <c r="K283" s="3212"/>
      <c r="L283" s="1200"/>
      <c r="M283" s="73"/>
      <c r="N283" s="152"/>
      <c r="O283" s="152"/>
      <c r="P283" s="152"/>
      <c r="Q283" s="152"/>
      <c r="R283" s="152"/>
      <c r="S283" s="152"/>
      <c r="T283" s="152"/>
      <c r="AV283" s="670"/>
    </row>
    <row r="284" spans="1:48" s="1304" customFormat="1">
      <c r="A284" s="420" t="s">
        <v>32</v>
      </c>
      <c r="B284" s="308" t="s">
        <v>279</v>
      </c>
      <c r="C284" s="1956"/>
      <c r="D284" s="1435">
        <f>CALCULATIONS!FV22</f>
        <v>7.5360879751187033</v>
      </c>
      <c r="E284" s="522">
        <f>CALCULATIONS!FU22</f>
        <v>8.6584668441025876</v>
      </c>
      <c r="F284" s="1060">
        <f>CALCULATIONS!FW22</f>
        <v>0.12910548637067604</v>
      </c>
      <c r="G284" s="2710"/>
      <c r="I284" s="162"/>
      <c r="J284" s="3212"/>
      <c r="K284" s="3212"/>
      <c r="L284" s="1200"/>
      <c r="M284" s="73"/>
      <c r="N284" s="152"/>
      <c r="O284" s="152"/>
      <c r="P284" s="152"/>
      <c r="Q284" s="152"/>
      <c r="R284" s="152"/>
      <c r="S284" s="152"/>
      <c r="T284" s="152"/>
      <c r="AV284" s="670"/>
    </row>
    <row r="285" spans="1:48" s="1304" customFormat="1">
      <c r="A285" s="420" t="s">
        <v>507</v>
      </c>
      <c r="B285" s="308" t="s">
        <v>284</v>
      </c>
      <c r="C285" s="1956"/>
      <c r="D285" s="1435">
        <f>CALCULATIONS!FV23</f>
        <v>7.5421176018870622</v>
      </c>
      <c r="E285" s="522">
        <f>CALCULATIONS!FU23</f>
        <v>7.6896404016441506</v>
      </c>
      <c r="F285" s="1060">
        <f>CALCULATIONS!FW23</f>
        <v>2.1076957712408067E-2</v>
      </c>
      <c r="G285" s="2710"/>
      <c r="I285" s="162"/>
      <c r="J285" s="3212"/>
      <c r="K285" s="3212"/>
      <c r="L285" s="1200"/>
      <c r="M285" s="73"/>
      <c r="N285" s="152"/>
      <c r="O285" s="152"/>
      <c r="P285" s="152"/>
      <c r="Q285" s="152"/>
      <c r="R285" s="152"/>
      <c r="S285" s="152"/>
      <c r="T285" s="152"/>
      <c r="AV285" s="670"/>
    </row>
    <row r="286" spans="1:48" s="1304" customFormat="1">
      <c r="A286" s="420" t="s">
        <v>507</v>
      </c>
      <c r="B286" s="308" t="s">
        <v>282</v>
      </c>
      <c r="C286" s="1956"/>
      <c r="D286" s="1435">
        <f>CALCULATIONS!FV24</f>
        <v>6.6837223425180285</v>
      </c>
      <c r="E286" s="522">
        <f>CALCULATIONS!FU24</f>
        <v>5.5145354419406587</v>
      </c>
      <c r="F286" s="1060">
        <f>CALCULATIONS!FW24</f>
        <v>1.2127469272410992E-3</v>
      </c>
      <c r="G286" s="2710"/>
      <c r="I286" s="162"/>
      <c r="J286" s="3212"/>
      <c r="K286" s="3212"/>
      <c r="L286" s="1200"/>
      <c r="M286" s="73"/>
      <c r="N286" s="152"/>
      <c r="O286" s="152"/>
      <c r="P286" s="152"/>
      <c r="Q286" s="152"/>
      <c r="R286" s="152"/>
      <c r="S286" s="152"/>
      <c r="T286" s="152"/>
      <c r="AV286" s="670"/>
    </row>
    <row r="287" spans="1:48" s="1304" customFormat="1">
      <c r="A287" s="420" t="s">
        <v>508</v>
      </c>
      <c r="B287" s="308" t="s">
        <v>290</v>
      </c>
      <c r="C287" s="1956"/>
      <c r="D287" s="1435">
        <f>CALCULATIONS!FV25</f>
        <v>6.7995363362554677</v>
      </c>
      <c r="E287" s="522">
        <f>CALCULATIONS!FU25</f>
        <v>7.5822149145373468</v>
      </c>
      <c r="F287" s="1060">
        <f>CALCULATIONS!FW25</f>
        <v>0.2149868566781509</v>
      </c>
      <c r="G287" s="2710">
        <v>1</v>
      </c>
      <c r="I287" s="162"/>
      <c r="J287" s="3212"/>
      <c r="K287" s="3212"/>
      <c r="L287" s="1200"/>
      <c r="M287" s="73"/>
      <c r="N287" s="152"/>
      <c r="O287" s="152"/>
      <c r="P287" s="152"/>
      <c r="Q287" s="152"/>
      <c r="R287" s="152"/>
      <c r="S287" s="152"/>
      <c r="T287" s="152"/>
      <c r="AV287" s="670"/>
    </row>
    <row r="288" spans="1:48" s="1304" customFormat="1">
      <c r="A288" s="420" t="s">
        <v>27</v>
      </c>
      <c r="B288" s="308" t="s">
        <v>357</v>
      </c>
      <c r="C288" s="1956"/>
      <c r="D288" s="1435">
        <f>CALCULATIONS!FV26</f>
        <v>3.8552632920912293</v>
      </c>
      <c r="E288" s="522">
        <f>CALCULATIONS!FU26</f>
        <v>3.9063069179772585</v>
      </c>
      <c r="F288" s="1060">
        <f>CALCULATIONS!FW26</f>
        <v>-0.11001004882442665</v>
      </c>
      <c r="G288" s="2710"/>
      <c r="I288" s="162"/>
      <c r="J288" s="162"/>
      <c r="K288" s="165"/>
      <c r="L288" s="1200"/>
      <c r="M288" s="73"/>
      <c r="N288" s="152"/>
      <c r="O288" s="152"/>
      <c r="P288" s="152"/>
      <c r="Q288" s="152"/>
      <c r="R288" s="152"/>
      <c r="S288" s="152"/>
      <c r="T288" s="152"/>
      <c r="AV288" s="670"/>
    </row>
    <row r="289" spans="1:48" s="1421" customFormat="1">
      <c r="A289" s="519" t="s">
        <v>2159</v>
      </c>
      <c r="B289" s="307" t="s">
        <v>2162</v>
      </c>
      <c r="C289" s="1939"/>
      <c r="D289" s="1435">
        <f>SUMPRODUCT(D267:D288,$G$267:$G$288)/6</f>
        <v>5.1696044219312425</v>
      </c>
      <c r="E289" s="1435">
        <f>SUMPRODUCT(E267:E288,$G$267:$G$288)/6</f>
        <v>4.8456170731365331</v>
      </c>
      <c r="F289" s="1060">
        <f>SUMPRODUCT(F267:F288,$G$267:$G$288)/6</f>
        <v>-8.9473814834546098E-2</v>
      </c>
      <c r="I289" s="1425"/>
      <c r="J289" s="1425"/>
      <c r="K289" s="165"/>
      <c r="L289" s="1200"/>
      <c r="M289" s="73"/>
      <c r="N289" s="152"/>
      <c r="O289" s="152"/>
      <c r="P289" s="152"/>
      <c r="Q289" s="152"/>
      <c r="R289" s="152"/>
      <c r="S289" s="152"/>
      <c r="T289" s="152"/>
      <c r="AV289" s="670"/>
    </row>
    <row r="290" spans="1:48" s="2746" customFormat="1">
      <c r="A290" s="152"/>
      <c r="B290" s="1424"/>
      <c r="C290" s="1939"/>
      <c r="D290" s="1286"/>
      <c r="I290" s="2747"/>
      <c r="J290" s="2747"/>
      <c r="K290" s="165"/>
      <c r="L290" s="1200"/>
      <c r="M290" s="73"/>
      <c r="N290" s="152"/>
      <c r="O290" s="152"/>
      <c r="P290" s="152"/>
      <c r="Q290" s="152"/>
      <c r="R290" s="152"/>
      <c r="S290" s="152"/>
      <c r="T290" s="152"/>
      <c r="AV290" s="670"/>
    </row>
    <row r="291" spans="1:48" s="1421" customFormat="1">
      <c r="A291" s="1517" t="s">
        <v>2275</v>
      </c>
      <c r="B291" s="2790"/>
      <c r="C291" s="1939"/>
      <c r="D291" s="2752" t="s">
        <v>2211</v>
      </c>
      <c r="E291" s="1588"/>
      <c r="F291" s="1588"/>
      <c r="G291" s="1588"/>
      <c r="H291" s="1588"/>
      <c r="I291" s="1588"/>
      <c r="L291" s="1200"/>
      <c r="M291" s="156" t="s">
        <v>1351</v>
      </c>
      <c r="N291" s="156"/>
      <c r="O291" s="156"/>
      <c r="P291" s="156"/>
      <c r="Q291" s="156"/>
      <c r="R291" s="156"/>
      <c r="S291" s="156"/>
      <c r="T291" s="156"/>
      <c r="U291" s="156"/>
      <c r="Y291" s="156" t="s">
        <v>1353</v>
      </c>
      <c r="Z291" s="2259"/>
      <c r="AA291" s="2259"/>
      <c r="AB291" s="2259"/>
      <c r="AC291" s="2259"/>
      <c r="AD291" s="2259"/>
      <c r="AE291" s="2259"/>
      <c r="AF291" s="2259"/>
      <c r="AG291" s="2259"/>
      <c r="AV291" s="670"/>
    </row>
    <row r="292" spans="1:48" s="1421" customFormat="1" ht="13.2" customHeight="1">
      <c r="A292" s="670"/>
      <c r="B292" s="1424"/>
      <c r="C292" s="1939"/>
      <c r="D292" s="962" t="s">
        <v>1350</v>
      </c>
      <c r="E292" s="962"/>
      <c r="F292" s="962"/>
      <c r="G292" s="962"/>
      <c r="H292" s="962"/>
      <c r="I292" s="962"/>
      <c r="J292" s="962" t="s">
        <v>1256</v>
      </c>
      <c r="K292" s="962"/>
      <c r="L292" s="1200"/>
      <c r="M292" s="3275" t="s">
        <v>1352</v>
      </c>
      <c r="N292" s="3275"/>
      <c r="O292" s="3275"/>
      <c r="P292" s="3275"/>
      <c r="Q292" s="3275"/>
      <c r="R292" s="3275"/>
      <c r="S292" s="3275"/>
      <c r="T292" s="3275"/>
      <c r="U292" s="2416"/>
      <c r="Y292" s="3235" t="s">
        <v>1257</v>
      </c>
      <c r="Z292" s="3235"/>
      <c r="AA292" s="3235"/>
      <c r="AB292" s="3235"/>
      <c r="AC292" s="3235"/>
      <c r="AD292" s="3235"/>
      <c r="AE292" s="3235"/>
      <c r="AF292" s="3235"/>
      <c r="AG292" s="152"/>
      <c r="AH292" s="152"/>
      <c r="AV292" s="670"/>
    </row>
    <row r="293" spans="1:48" s="1421" customFormat="1" ht="13.2" customHeight="1">
      <c r="A293" s="670"/>
      <c r="B293" s="1424"/>
      <c r="C293" s="1939"/>
      <c r="D293" s="3221" t="s">
        <v>2230</v>
      </c>
      <c r="E293" s="3221"/>
      <c r="F293" s="3221"/>
      <c r="G293" s="3221"/>
      <c r="H293" s="3221"/>
      <c r="I293" s="3221"/>
      <c r="J293" s="2808"/>
      <c r="K293" s="2806" t="str">
        <f>CONCATENATE("Since 1Q11 : ", ROUND(CALCULATIONS!FX7,1), " for BELG")</f>
        <v>Since 1Q11 : 5.1 for BELG</v>
      </c>
      <c r="L293" s="1058"/>
      <c r="M293" s="3276"/>
      <c r="N293" s="3276"/>
      <c r="O293" s="3276"/>
      <c r="P293" s="3276"/>
      <c r="Q293" s="3276"/>
      <c r="R293" s="3276"/>
      <c r="S293" s="3276"/>
      <c r="T293" s="3276"/>
      <c r="U293" s="2416"/>
      <c r="Y293" s="3222"/>
      <c r="Z293" s="3222"/>
      <c r="AA293" s="3222"/>
      <c r="AB293" s="3222"/>
      <c r="AC293" s="3222"/>
      <c r="AD293" s="3222"/>
      <c r="AE293" s="3222"/>
      <c r="AF293" s="3222"/>
      <c r="AG293" s="152"/>
      <c r="AH293" s="152"/>
      <c r="AV293" s="670"/>
    </row>
    <row r="294" spans="1:48" s="1421" customFormat="1" ht="13.2" customHeight="1">
      <c r="A294" s="670"/>
      <c r="B294" s="1424"/>
      <c r="C294" s="1939"/>
      <c r="D294" s="3222"/>
      <c r="E294" s="3222"/>
      <c r="F294" s="3222"/>
      <c r="G294" s="3222"/>
      <c r="H294" s="3222"/>
      <c r="I294" s="3222"/>
      <c r="J294" s="2840">
        <v>5</v>
      </c>
      <c r="K294" s="2807" t="str">
        <f>CONCATENATE( ROUND(CALCULATIONS!FX32,1), " for peers")</f>
        <v>5.1 for peers</v>
      </c>
      <c r="L294" s="1058"/>
      <c r="M294" s="3235" t="s">
        <v>1833</v>
      </c>
      <c r="N294" s="3235"/>
      <c r="O294" s="3235"/>
      <c r="P294" s="3235"/>
      <c r="Q294" s="3235"/>
      <c r="R294" s="3235"/>
      <c r="S294" s="3235"/>
      <c r="T294" s="3235"/>
      <c r="Y294" s="3273" t="s">
        <v>1258</v>
      </c>
      <c r="Z294" s="3273"/>
      <c r="AA294" s="3273"/>
      <c r="AB294" s="3273"/>
      <c r="AC294" s="3273"/>
      <c r="AD294" s="3273"/>
      <c r="AE294" s="3273"/>
      <c r="AF294" s="3273"/>
      <c r="AG294" s="152"/>
      <c r="AV294" s="670"/>
    </row>
    <row r="295" spans="1:48" s="1421" customFormat="1" ht="13.2" customHeight="1">
      <c r="A295" s="670"/>
      <c r="B295" s="1424"/>
      <c r="C295" s="1939"/>
      <c r="D295" s="3218" t="s">
        <v>2148</v>
      </c>
      <c r="E295" s="3218"/>
      <c r="F295" s="3218"/>
      <c r="G295" s="3218"/>
      <c r="H295" s="3218"/>
      <c r="I295" s="3218"/>
      <c r="J295" s="962"/>
      <c r="K295" s="962"/>
      <c r="L295" s="1200"/>
      <c r="M295" s="3221"/>
      <c r="N295" s="3221"/>
      <c r="O295" s="3221"/>
      <c r="P295" s="3221"/>
      <c r="Q295" s="3221"/>
      <c r="R295" s="3221"/>
      <c r="S295" s="3221"/>
      <c r="T295" s="3221"/>
      <c r="U295" s="152"/>
      <c r="Y295" s="3274"/>
      <c r="Z295" s="3274"/>
      <c r="AA295" s="3274"/>
      <c r="AB295" s="3274"/>
      <c r="AC295" s="3274"/>
      <c r="AD295" s="3274"/>
      <c r="AE295" s="3274"/>
      <c r="AF295" s="3274"/>
      <c r="AG295" s="2415"/>
      <c r="AV295" s="670"/>
    </row>
    <row r="296" spans="1:48" s="1421" customFormat="1">
      <c r="A296" s="670"/>
      <c r="B296" s="1424"/>
      <c r="C296" s="1939"/>
      <c r="D296" s="3219"/>
      <c r="E296" s="3219"/>
      <c r="F296" s="3219"/>
      <c r="G296" s="3219"/>
      <c r="H296" s="3219"/>
      <c r="I296" s="3219"/>
      <c r="J296" s="152"/>
      <c r="K296" s="152"/>
      <c r="L296" s="1200"/>
      <c r="M296" s="2417" t="s">
        <v>1834</v>
      </c>
      <c r="N296" s="152"/>
      <c r="O296" s="152"/>
      <c r="P296" s="152"/>
      <c r="Q296" s="152"/>
      <c r="R296" s="152"/>
      <c r="S296" s="152"/>
      <c r="T296" s="152"/>
      <c r="U296" s="152"/>
      <c r="Y296" s="2415"/>
      <c r="Z296" s="2415"/>
      <c r="AA296" s="2415"/>
      <c r="AB296" s="2415"/>
      <c r="AC296" s="2415"/>
      <c r="AD296" s="2415"/>
      <c r="AE296" s="2415"/>
      <c r="AF296" s="2415"/>
      <c r="AG296" s="2415"/>
      <c r="AV296" s="670"/>
    </row>
    <row r="297" spans="1:48" s="1484" customFormat="1" ht="13.2" customHeight="1">
      <c r="A297" s="670"/>
      <c r="B297" s="1424"/>
      <c r="C297" s="1939"/>
      <c r="D297" s="3220"/>
      <c r="E297" s="3220"/>
      <c r="F297" s="3220"/>
      <c r="G297" s="3220"/>
      <c r="H297" s="3220"/>
      <c r="I297" s="3220"/>
      <c r="J297" s="2839">
        <v>5</v>
      </c>
      <c r="K297" s="2839">
        <v>6</v>
      </c>
      <c r="L297" s="1200"/>
      <c r="M297" s="2418" t="s">
        <v>2152</v>
      </c>
      <c r="N297" s="963"/>
      <c r="O297" s="963"/>
      <c r="P297" s="963"/>
      <c r="Q297" s="963"/>
      <c r="R297" s="963"/>
      <c r="S297" s="963"/>
      <c r="T297" s="963"/>
      <c r="U297" s="152"/>
      <c r="Y297" s="152"/>
      <c r="Z297" s="152"/>
      <c r="AA297" s="152"/>
      <c r="AB297" s="152"/>
      <c r="AC297" s="152"/>
      <c r="AD297" s="152"/>
      <c r="AE297" s="152"/>
      <c r="AF297" s="152"/>
      <c r="AG297" s="152"/>
      <c r="AV297" s="670"/>
    </row>
    <row r="298" spans="1:48" s="1421" customFormat="1">
      <c r="A298" s="670"/>
      <c r="B298" s="1424"/>
      <c r="C298" s="1939"/>
      <c r="D298" s="3235" t="s">
        <v>1260</v>
      </c>
      <c r="E298" s="3235"/>
      <c r="F298" s="3235"/>
      <c r="G298" s="3235"/>
      <c r="H298" s="3235"/>
      <c r="I298" s="3235"/>
      <c r="J298" s="1588"/>
      <c r="K298" s="165"/>
      <c r="L298" s="1200"/>
      <c r="U298" s="152"/>
      <c r="AV298" s="670"/>
    </row>
    <row r="299" spans="1:48" s="1421" customFormat="1">
      <c r="A299" s="670"/>
      <c r="B299" s="1424"/>
      <c r="C299" s="1939"/>
      <c r="D299" s="3221"/>
      <c r="E299" s="3221"/>
      <c r="F299" s="3221"/>
      <c r="G299" s="3221"/>
      <c r="H299" s="3221"/>
      <c r="I299" s="3221"/>
      <c r="J299" s="1588"/>
      <c r="K299" s="165"/>
      <c r="L299" s="1200"/>
      <c r="M299" s="73"/>
      <c r="N299" s="152"/>
      <c r="O299" s="152"/>
      <c r="P299" s="152"/>
      <c r="Q299" s="152"/>
      <c r="R299" s="152"/>
      <c r="S299" s="152"/>
      <c r="T299" s="152"/>
      <c r="AV299" s="670"/>
    </row>
    <row r="300" spans="1:48" s="1421" customFormat="1">
      <c r="A300" s="670"/>
      <c r="B300" s="1424"/>
      <c r="C300" s="1939"/>
      <c r="D300" s="3221"/>
      <c r="E300" s="3221"/>
      <c r="F300" s="3221"/>
      <c r="G300" s="3221"/>
      <c r="H300" s="3221"/>
      <c r="I300" s="3221"/>
      <c r="J300" s="1588"/>
      <c r="K300" s="165"/>
      <c r="L300" s="1200"/>
      <c r="M300" s="73"/>
      <c r="N300" s="152"/>
      <c r="O300" s="152"/>
      <c r="P300" s="152"/>
      <c r="Q300" s="152"/>
      <c r="R300" s="152"/>
      <c r="S300" s="152"/>
      <c r="T300" s="152"/>
      <c r="AV300" s="670"/>
    </row>
    <row r="301" spans="1:48" s="1421" customFormat="1" ht="13.2" customHeight="1">
      <c r="A301" s="670"/>
      <c r="B301" s="1424"/>
      <c r="C301" s="1939"/>
      <c r="D301" s="3212" t="s">
        <v>2150</v>
      </c>
      <c r="E301" s="3212"/>
      <c r="F301" s="3212"/>
      <c r="G301" s="3212"/>
      <c r="H301" s="3212"/>
      <c r="I301" s="3212"/>
      <c r="J301" s="1588"/>
      <c r="K301" s="165"/>
      <c r="L301" s="1200"/>
      <c r="M301" s="73"/>
      <c r="N301" s="152"/>
      <c r="O301" s="152"/>
      <c r="P301" s="152"/>
      <c r="Q301" s="152"/>
      <c r="R301" s="152"/>
      <c r="S301" s="152"/>
      <c r="T301" s="152"/>
      <c r="AV301" s="670"/>
    </row>
    <row r="302" spans="1:48" s="1304" customFormat="1">
      <c r="A302" s="670"/>
      <c r="B302" s="1424"/>
      <c r="C302" s="1939"/>
      <c r="D302" s="3212"/>
      <c r="E302" s="3212"/>
      <c r="F302" s="3212"/>
      <c r="G302" s="3212"/>
      <c r="H302" s="3212"/>
      <c r="I302" s="3212"/>
      <c r="J302" s="152"/>
      <c r="K302" s="960"/>
      <c r="L302" s="1200"/>
      <c r="M302" s="73"/>
      <c r="N302" s="152"/>
      <c r="O302" s="152"/>
      <c r="P302" s="152"/>
      <c r="Q302" s="152"/>
      <c r="R302" s="152"/>
      <c r="S302" s="152"/>
      <c r="T302" s="152"/>
      <c r="AV302" s="670"/>
    </row>
    <row r="303" spans="1:48" s="1421" customFormat="1" ht="13.2" customHeight="1">
      <c r="A303" s="670"/>
      <c r="B303" s="1424"/>
      <c r="C303" s="1939"/>
      <c r="D303" s="3212" t="s">
        <v>2151</v>
      </c>
      <c r="E303" s="3212"/>
      <c r="F303" s="3212"/>
      <c r="G303" s="3212"/>
      <c r="H303" s="3212"/>
      <c r="I303" s="3212"/>
      <c r="J303" s="2808"/>
      <c r="K303" s="2806" t="s">
        <v>2229</v>
      </c>
      <c r="L303" s="1200"/>
      <c r="M303" s="73"/>
      <c r="N303" s="152"/>
      <c r="O303" s="152"/>
      <c r="P303" s="152"/>
      <c r="Q303" s="152"/>
      <c r="R303" s="152"/>
      <c r="S303" s="152"/>
      <c r="T303" s="152"/>
      <c r="AV303" s="670"/>
    </row>
    <row r="304" spans="1:48" s="1421" customFormat="1">
      <c r="A304" s="670"/>
      <c r="B304" s="1424"/>
      <c r="C304" s="1939"/>
      <c r="D304" s="3222"/>
      <c r="E304" s="3222"/>
      <c r="F304" s="3222"/>
      <c r="G304" s="3222"/>
      <c r="H304" s="3222"/>
      <c r="I304" s="3222"/>
      <c r="J304" s="2841">
        <v>9</v>
      </c>
      <c r="K304" s="2838">
        <f>CALCULATIONS!FX9</f>
        <v>8.9637673547847445</v>
      </c>
      <c r="L304" s="1200"/>
      <c r="M304" s="73"/>
      <c r="N304" s="152"/>
      <c r="O304" s="152"/>
      <c r="P304" s="152"/>
      <c r="Q304" s="152"/>
      <c r="R304" s="152"/>
      <c r="S304" s="152"/>
      <c r="T304" s="152"/>
      <c r="AV304" s="670"/>
    </row>
    <row r="305" spans="1:48" s="1421" customFormat="1">
      <c r="A305" s="670"/>
      <c r="B305" s="1424"/>
      <c r="C305" s="1939"/>
      <c r="D305" s="1393" t="s">
        <v>2149</v>
      </c>
      <c r="E305" s="1588"/>
      <c r="F305" s="1588"/>
      <c r="G305" s="1588"/>
      <c r="H305" s="1588"/>
      <c r="I305" s="1588"/>
      <c r="J305" s="1588"/>
      <c r="K305" s="1588"/>
      <c r="L305" s="1200"/>
      <c r="M305" s="73"/>
      <c r="N305" s="152"/>
      <c r="O305" s="152"/>
      <c r="P305" s="152"/>
      <c r="Q305" s="152"/>
      <c r="R305" s="152"/>
      <c r="S305" s="152"/>
      <c r="T305" s="152"/>
      <c r="AV305" s="670"/>
    </row>
    <row r="306" spans="1:48" s="1484" customFormat="1">
      <c r="A306" s="670"/>
      <c r="B306" s="1424"/>
      <c r="C306" s="1939"/>
      <c r="D306" s="1393"/>
      <c r="I306" s="1485"/>
      <c r="J306" s="1485"/>
      <c r="K306" s="165"/>
      <c r="L306" s="1200"/>
      <c r="M306" s="73"/>
      <c r="N306" s="152"/>
      <c r="O306" s="152"/>
      <c r="P306" s="152"/>
      <c r="Q306" s="152"/>
      <c r="R306" s="152"/>
      <c r="S306" s="152"/>
      <c r="T306" s="152"/>
      <c r="AV306" s="670"/>
    </row>
    <row r="307" spans="1:48" s="1484" customFormat="1">
      <c r="A307" s="1512" t="s">
        <v>1525</v>
      </c>
      <c r="B307" s="2783"/>
      <c r="C307" s="1945"/>
      <c r="D307" s="1954"/>
      <c r="E307" s="1954"/>
      <c r="F307" s="1954"/>
      <c r="G307" s="1954"/>
      <c r="H307" s="1954"/>
      <c r="I307" s="1954"/>
      <c r="J307" s="1954"/>
      <c r="K307" s="1954"/>
      <c r="L307" s="1200"/>
      <c r="M307" s="73"/>
      <c r="N307" s="152"/>
      <c r="O307" s="152"/>
      <c r="P307" s="152"/>
      <c r="Q307" s="152"/>
      <c r="R307" s="152"/>
      <c r="S307" s="152"/>
      <c r="T307" s="152"/>
      <c r="AV307" s="670"/>
    </row>
    <row r="308" spans="1:48" s="1484" customFormat="1">
      <c r="A308" s="670"/>
      <c r="B308" s="1424"/>
      <c r="C308" s="1939"/>
      <c r="D308" s="1954"/>
      <c r="E308" s="1954"/>
      <c r="F308" s="1954"/>
      <c r="G308" s="1954"/>
      <c r="H308" s="1954"/>
      <c r="I308" s="1954"/>
      <c r="J308" s="1954"/>
      <c r="K308" s="1954"/>
      <c r="L308" s="1200"/>
      <c r="M308" s="73"/>
      <c r="N308" s="152"/>
      <c r="O308" s="152"/>
      <c r="P308" s="152"/>
      <c r="Q308" s="152"/>
      <c r="R308" s="152"/>
      <c r="S308" s="152"/>
      <c r="T308" s="152"/>
      <c r="AV308" s="670"/>
    </row>
    <row r="309" spans="1:48" s="1484" customFormat="1">
      <c r="A309" s="670"/>
      <c r="B309" s="1424"/>
      <c r="C309" s="1939"/>
      <c r="D309" s="1954"/>
      <c r="E309" s="1954"/>
      <c r="F309" s="1954"/>
      <c r="G309" s="1954"/>
      <c r="H309" s="1954"/>
      <c r="I309" s="1954"/>
      <c r="J309" s="1954"/>
      <c r="K309" s="1954"/>
      <c r="L309" s="1200"/>
      <c r="M309" s="73"/>
      <c r="N309" s="152"/>
      <c r="O309" s="152"/>
      <c r="P309" s="152"/>
      <c r="Q309" s="152"/>
      <c r="R309" s="152"/>
      <c r="S309" s="152"/>
      <c r="T309" s="152"/>
      <c r="AV309" s="670"/>
    </row>
    <row r="310" spans="1:48" s="1484" customFormat="1">
      <c r="A310" s="670"/>
      <c r="B310" s="1424"/>
      <c r="C310" s="1939"/>
      <c r="D310" s="1954"/>
      <c r="E310" s="1954"/>
      <c r="F310" s="1954"/>
      <c r="G310" s="1954"/>
      <c r="H310" s="1954"/>
      <c r="I310" s="1954"/>
      <c r="J310" s="1954"/>
      <c r="K310" s="1954"/>
      <c r="L310" s="1200"/>
      <c r="M310" s="73"/>
      <c r="N310" s="152"/>
      <c r="O310" s="152"/>
      <c r="P310" s="152"/>
      <c r="Q310" s="152"/>
      <c r="R310" s="152"/>
      <c r="S310" s="152"/>
      <c r="T310" s="152"/>
      <c r="AV310" s="670"/>
    </row>
    <row r="311" spans="1:48" s="166" customFormat="1">
      <c r="A311" s="1525"/>
      <c r="B311" s="2782"/>
      <c r="C311" s="1939"/>
      <c r="D311" s="1954"/>
      <c r="E311" s="1954"/>
      <c r="F311" s="1954"/>
      <c r="G311" s="1954"/>
      <c r="H311" s="1954"/>
      <c r="I311" s="1954"/>
      <c r="J311" s="1954"/>
      <c r="K311" s="1954"/>
      <c r="L311" s="1514"/>
      <c r="M311" s="77"/>
      <c r="N311" s="156"/>
      <c r="O311" s="156"/>
      <c r="P311" s="156"/>
      <c r="Q311" s="156"/>
      <c r="R311" s="156"/>
      <c r="S311" s="156"/>
      <c r="T311" s="156"/>
      <c r="AV311" s="1525"/>
    </row>
    <row r="312" spans="1:48" ht="13.2" customHeight="1">
      <c r="A312" s="801"/>
      <c r="G312" s="3260"/>
      <c r="H312" s="3260"/>
      <c r="I312" s="3260"/>
      <c r="J312" s="3234"/>
      <c r="K312" s="3234"/>
      <c r="M312" s="3211"/>
      <c r="N312" s="3211"/>
      <c r="O312" s="3211"/>
      <c r="P312" s="3211"/>
      <c r="Q312" s="3211"/>
      <c r="R312" s="3211"/>
      <c r="S312" s="3211"/>
      <c r="T312" s="3211"/>
    </row>
    <row r="313" spans="1:48" s="956" customFormat="1" ht="13.2" customHeight="1">
      <c r="A313" s="999"/>
      <c r="B313" s="2799"/>
      <c r="C313" s="1967"/>
      <c r="D313" s="3224" t="s">
        <v>1261</v>
      </c>
      <c r="E313" s="3224"/>
      <c r="F313" s="3224"/>
      <c r="G313" s="3224"/>
      <c r="H313" s="3224"/>
      <c r="I313" s="3224"/>
      <c r="J313" s="1441"/>
      <c r="K313" s="1441"/>
      <c r="L313" s="71"/>
      <c r="M313" s="954"/>
      <c r="N313" s="954"/>
      <c r="O313" s="954"/>
      <c r="P313" s="954"/>
      <c r="Q313" s="954"/>
      <c r="R313" s="954"/>
      <c r="S313" s="954"/>
      <c r="T313" s="954"/>
      <c r="AV313" s="670"/>
    </row>
    <row r="314" spans="1:48" s="956" customFormat="1" ht="13.2" customHeight="1">
      <c r="A314" s="999"/>
      <c r="B314" s="2799"/>
      <c r="C314" s="1967"/>
      <c r="D314" s="3224"/>
      <c r="E314" s="3224"/>
      <c r="F314" s="3224"/>
      <c r="G314" s="3224"/>
      <c r="H314" s="3224"/>
      <c r="I314" s="3224"/>
      <c r="J314" s="1441"/>
      <c r="K314" s="1441"/>
      <c r="L314" s="71"/>
      <c r="M314" s="954"/>
      <c r="N314" s="954"/>
      <c r="O314" s="954"/>
      <c r="P314" s="954"/>
      <c r="Q314" s="954"/>
      <c r="R314" s="954"/>
      <c r="S314" s="954"/>
      <c r="T314" s="954"/>
      <c r="AV314" s="670"/>
    </row>
    <row r="315" spans="1:48" s="956" customFormat="1" ht="13.2" customHeight="1">
      <c r="A315" s="999"/>
      <c r="B315" s="2799"/>
      <c r="C315" s="1967"/>
      <c r="D315" s="3224"/>
      <c r="E315" s="3224"/>
      <c r="F315" s="3224"/>
      <c r="G315" s="3224"/>
      <c r="H315" s="3224"/>
      <c r="I315" s="3224"/>
      <c r="J315" s="75"/>
      <c r="K315" s="75"/>
      <c r="L315" s="71"/>
      <c r="M315" s="954"/>
      <c r="N315" s="954"/>
      <c r="O315" s="954"/>
      <c r="P315" s="954"/>
      <c r="Q315" s="954"/>
      <c r="R315" s="954"/>
      <c r="S315" s="954"/>
      <c r="T315" s="954"/>
      <c r="AV315" s="670"/>
    </row>
    <row r="316" spans="1:48" s="956" customFormat="1" ht="13.2" customHeight="1">
      <c r="A316" s="801"/>
      <c r="B316" s="1424"/>
      <c r="C316" s="1939"/>
      <c r="G316" s="955"/>
      <c r="H316" s="955"/>
      <c r="I316" s="955"/>
      <c r="J316" s="953"/>
      <c r="K316" s="953"/>
      <c r="L316" s="71"/>
      <c r="M316" s="954"/>
      <c r="N316" s="954"/>
      <c r="O316" s="954"/>
      <c r="P316" s="954"/>
      <c r="Q316" s="954"/>
      <c r="R316" s="954"/>
      <c r="S316" s="954"/>
      <c r="T316" s="954"/>
      <c r="AV316" s="670"/>
    </row>
    <row r="317" spans="1:48" s="956" customFormat="1" ht="13.2" customHeight="1">
      <c r="A317" s="801"/>
      <c r="B317" s="1424"/>
      <c r="C317" s="1939"/>
      <c r="D317" s="75"/>
      <c r="G317" s="955"/>
      <c r="H317" s="955"/>
      <c r="I317" s="955"/>
      <c r="J317" s="3277" t="s">
        <v>1026</v>
      </c>
      <c r="K317" s="3277"/>
      <c r="L317" s="2419"/>
      <c r="M317" s="954"/>
      <c r="N317" s="954"/>
      <c r="O317" s="954"/>
      <c r="P317" s="954"/>
      <c r="Q317" s="954"/>
      <c r="R317" s="954"/>
      <c r="S317" s="954"/>
      <c r="T317" s="954"/>
      <c r="AV317" s="670"/>
    </row>
    <row r="318" spans="1:48" s="956" customFormat="1" ht="13.2" customHeight="1">
      <c r="A318" s="801"/>
      <c r="B318" s="1424"/>
      <c r="C318" s="1939"/>
      <c r="D318" s="3282" t="s">
        <v>2153</v>
      </c>
      <c r="E318" s="3282"/>
      <c r="F318" s="3282"/>
      <c r="G318" s="3282"/>
      <c r="H318" s="955"/>
      <c r="I318" s="955"/>
      <c r="J318" s="3277"/>
      <c r="K318" s="3277"/>
      <c r="L318" s="2419"/>
      <c r="M318" s="954"/>
      <c r="N318" s="954"/>
      <c r="O318" s="954"/>
      <c r="P318" s="954"/>
      <c r="Q318" s="954"/>
      <c r="R318" s="954"/>
      <c r="S318" s="954"/>
      <c r="T318" s="954"/>
      <c r="AV318" s="670"/>
    </row>
    <row r="319" spans="1:48" s="956" customFormat="1" ht="13.2" customHeight="1">
      <c r="A319" s="801"/>
      <c r="B319" s="1424"/>
      <c r="C319" s="1939"/>
      <c r="D319" s="3282"/>
      <c r="E319" s="3282"/>
      <c r="F319" s="3282"/>
      <c r="G319" s="3282"/>
      <c r="H319" s="955"/>
      <c r="I319" s="955"/>
      <c r="J319" s="3277"/>
      <c r="K319" s="3277"/>
      <c r="L319" s="2419"/>
      <c r="M319" s="954"/>
      <c r="N319" s="954"/>
      <c r="O319" s="954"/>
      <c r="P319" s="954"/>
      <c r="Q319" s="954"/>
      <c r="R319" s="954"/>
      <c r="S319" s="954"/>
      <c r="T319" s="954"/>
      <c r="AV319" s="670"/>
    </row>
    <row r="320" spans="1:48" s="956" customFormat="1" ht="13.2" customHeight="1">
      <c r="A320" s="801"/>
      <c r="B320" s="1424"/>
      <c r="C320" s="1939"/>
      <c r="D320" s="3282"/>
      <c r="E320" s="3282"/>
      <c r="F320" s="3282"/>
      <c r="G320" s="3282"/>
      <c r="H320" s="955"/>
      <c r="I320" s="955"/>
      <c r="J320" s="3277"/>
      <c r="K320" s="3277"/>
      <c r="L320" s="2419"/>
      <c r="M320" s="954"/>
      <c r="N320" s="954"/>
      <c r="O320" s="954"/>
      <c r="P320" s="954"/>
      <c r="Q320" s="954"/>
      <c r="R320" s="954"/>
      <c r="S320" s="954"/>
      <c r="T320" s="954"/>
      <c r="AV320" s="670"/>
    </row>
    <row r="321" spans="1:48" s="956" customFormat="1" ht="13.2" customHeight="1">
      <c r="A321" s="801"/>
      <c r="B321" s="1424"/>
      <c r="C321" s="1939"/>
      <c r="D321" s="3282"/>
      <c r="E321" s="3282"/>
      <c r="F321" s="3282"/>
      <c r="G321" s="3282"/>
      <c r="H321" s="955"/>
      <c r="I321" s="955"/>
      <c r="J321" s="3277"/>
      <c r="K321" s="3277"/>
      <c r="L321" s="2419"/>
      <c r="M321" s="954"/>
      <c r="N321" s="954"/>
      <c r="O321" s="954"/>
      <c r="P321" s="954"/>
      <c r="Q321" s="954"/>
      <c r="R321" s="954"/>
      <c r="S321" s="954"/>
      <c r="T321" s="954"/>
      <c r="AV321" s="670"/>
    </row>
    <row r="322" spans="1:48" s="956" customFormat="1" ht="13.2" customHeight="1">
      <c r="A322" s="801"/>
      <c r="B322" s="1424"/>
      <c r="C322" s="1939"/>
      <c r="D322" s="3282"/>
      <c r="E322" s="3282"/>
      <c r="F322" s="3282"/>
      <c r="G322" s="3282"/>
      <c r="H322" s="955"/>
      <c r="I322" s="955"/>
      <c r="J322" s="3277"/>
      <c r="K322" s="3277"/>
      <c r="L322" s="2419"/>
      <c r="M322" s="954"/>
      <c r="N322" s="954"/>
      <c r="O322" s="954"/>
      <c r="P322" s="954"/>
      <c r="Q322" s="954"/>
      <c r="R322" s="954"/>
      <c r="S322" s="954"/>
      <c r="T322" s="954"/>
      <c r="AV322" s="670"/>
    </row>
    <row r="323" spans="1:48" s="956" customFormat="1" ht="13.2" customHeight="1">
      <c r="A323" s="801"/>
      <c r="B323" s="1424"/>
      <c r="C323" s="1939"/>
      <c r="D323" s="3282"/>
      <c r="E323" s="3282"/>
      <c r="F323" s="3282"/>
      <c r="G323" s="3282"/>
      <c r="H323" s="955"/>
      <c r="I323" s="955"/>
      <c r="J323" s="3277"/>
      <c r="K323" s="3277"/>
      <c r="L323" s="2419"/>
      <c r="M323" s="954"/>
      <c r="N323" s="954"/>
      <c r="O323" s="954"/>
      <c r="P323" s="954"/>
      <c r="Q323" s="954"/>
      <c r="R323" s="954"/>
      <c r="S323" s="954"/>
      <c r="T323" s="954"/>
      <c r="AV323" s="670"/>
    </row>
    <row r="324" spans="1:48" s="956" customFormat="1" ht="13.2" customHeight="1">
      <c r="A324" s="801"/>
      <c r="B324" s="1424"/>
      <c r="C324" s="1939"/>
      <c r="D324" s="3282"/>
      <c r="E324" s="3282"/>
      <c r="F324" s="3282"/>
      <c r="G324" s="3282"/>
      <c r="H324" s="955"/>
      <c r="I324" s="955"/>
      <c r="J324" s="3277"/>
      <c r="K324" s="3277"/>
      <c r="L324" s="2419"/>
      <c r="M324" s="954"/>
      <c r="N324" s="954"/>
      <c r="O324" s="954"/>
      <c r="P324" s="954"/>
      <c r="Q324" s="954"/>
      <c r="R324" s="954"/>
      <c r="S324" s="954"/>
      <c r="T324" s="954"/>
      <c r="AV324" s="670"/>
    </row>
    <row r="325" spans="1:48" s="956" customFormat="1" ht="13.2" customHeight="1">
      <c r="A325" s="801"/>
      <c r="B325" s="1424"/>
      <c r="C325" s="1939"/>
      <c r="D325" s="1441"/>
      <c r="E325" s="1441"/>
      <c r="F325" s="1441"/>
      <c r="G325" s="1441"/>
      <c r="H325" s="955"/>
      <c r="I325" s="955"/>
      <c r="J325" s="3277" t="s">
        <v>1262</v>
      </c>
      <c r="K325" s="3277"/>
      <c r="L325" s="2419"/>
      <c r="M325" s="954"/>
      <c r="N325" s="954"/>
      <c r="O325" s="954"/>
      <c r="P325" s="954"/>
      <c r="Q325" s="954"/>
      <c r="R325" s="954"/>
      <c r="S325" s="954"/>
      <c r="T325" s="954"/>
      <c r="AV325" s="670"/>
    </row>
    <row r="326" spans="1:48" s="956" customFormat="1" ht="13.2" customHeight="1">
      <c r="A326" s="801"/>
      <c r="B326" s="1424"/>
      <c r="C326" s="1939"/>
      <c r="D326" s="1441"/>
      <c r="E326" s="1441"/>
      <c r="F326" s="1441"/>
      <c r="G326" s="1441"/>
      <c r="H326" s="955"/>
      <c r="I326" s="955"/>
      <c r="J326" s="3277"/>
      <c r="K326" s="3277"/>
      <c r="L326" s="1058"/>
      <c r="M326" s="954"/>
      <c r="N326" s="954"/>
      <c r="O326" s="954"/>
      <c r="P326" s="954"/>
      <c r="Q326" s="954"/>
      <c r="R326" s="954"/>
      <c r="S326" s="954"/>
      <c r="T326" s="954"/>
      <c r="AV326" s="670"/>
    </row>
    <row r="327" spans="1:48" s="956" customFormat="1" ht="13.2" customHeight="1">
      <c r="A327" s="801"/>
      <c r="B327" s="1424"/>
      <c r="C327" s="1939"/>
      <c r="G327" s="955"/>
      <c r="H327" s="955"/>
      <c r="I327" s="955"/>
      <c r="J327" s="3277"/>
      <c r="K327" s="3277"/>
      <c r="L327" s="71"/>
      <c r="M327" s="954"/>
      <c r="N327" s="954"/>
      <c r="O327" s="954"/>
      <c r="P327" s="954"/>
      <c r="Q327" s="954"/>
      <c r="R327" s="954"/>
      <c r="S327" s="954"/>
      <c r="T327" s="954"/>
      <c r="AV327" s="670"/>
    </row>
    <row r="328" spans="1:48" s="956" customFormat="1" ht="13.2" customHeight="1">
      <c r="A328" s="801"/>
      <c r="B328" s="1424"/>
      <c r="C328" s="1939"/>
      <c r="G328" s="955"/>
      <c r="H328" s="955"/>
      <c r="I328" s="955"/>
      <c r="J328" s="3277"/>
      <c r="K328" s="3277"/>
      <c r="L328" s="71"/>
      <c r="M328" s="954"/>
      <c r="N328" s="954"/>
      <c r="O328" s="954"/>
      <c r="P328" s="954"/>
      <c r="Q328" s="954"/>
      <c r="R328" s="954"/>
      <c r="S328" s="954"/>
      <c r="T328" s="954"/>
      <c r="AV328" s="670"/>
    </row>
    <row r="329" spans="1:48" s="956" customFormat="1" ht="13.2" customHeight="1">
      <c r="A329" s="801"/>
      <c r="B329" s="1424"/>
      <c r="C329" s="1939"/>
      <c r="G329" s="955"/>
      <c r="H329" s="955"/>
      <c r="I329" s="955"/>
      <c r="J329" s="3277"/>
      <c r="K329" s="3277"/>
      <c r="L329" s="71"/>
      <c r="M329" s="954"/>
      <c r="N329" s="954"/>
      <c r="O329" s="954"/>
      <c r="P329" s="954"/>
      <c r="Q329" s="954"/>
      <c r="R329" s="954"/>
      <c r="S329" s="954"/>
      <c r="T329" s="954"/>
      <c r="AV329" s="670"/>
    </row>
    <row r="330" spans="1:48" s="956" customFormat="1" ht="13.2" customHeight="1">
      <c r="A330" s="801"/>
      <c r="B330" s="1424"/>
      <c r="C330" s="1939"/>
      <c r="G330" s="955"/>
      <c r="H330" s="955"/>
      <c r="I330" s="955"/>
      <c r="J330" s="3277"/>
      <c r="K330" s="3277"/>
      <c r="L330" s="71"/>
      <c r="M330" s="954"/>
      <c r="N330" s="954"/>
      <c r="O330" s="954"/>
      <c r="P330" s="954"/>
      <c r="Q330" s="954"/>
      <c r="R330" s="954"/>
      <c r="S330" s="954"/>
      <c r="T330" s="954"/>
      <c r="AV330" s="670"/>
    </row>
    <row r="331" spans="1:48" s="956" customFormat="1" ht="13.2" customHeight="1">
      <c r="A331" s="801"/>
      <c r="B331" s="1424"/>
      <c r="C331" s="1939"/>
      <c r="G331" s="955"/>
      <c r="H331" s="955"/>
      <c r="I331" s="955"/>
      <c r="J331" s="3277"/>
      <c r="K331" s="3277"/>
      <c r="L331" s="71"/>
      <c r="M331" s="954"/>
      <c r="N331" s="954"/>
      <c r="O331" s="954"/>
      <c r="P331" s="954"/>
      <c r="Q331" s="954"/>
      <c r="R331" s="954"/>
      <c r="S331" s="954"/>
      <c r="T331" s="954"/>
      <c r="AV331" s="670"/>
    </row>
    <row r="332" spans="1:48" s="956" customFormat="1" ht="13.2" customHeight="1">
      <c r="A332" s="801"/>
      <c r="B332" s="1424"/>
      <c r="C332" s="1939"/>
      <c r="G332" s="955"/>
      <c r="H332" s="955"/>
      <c r="I332" s="955"/>
      <c r="K332" s="2260"/>
      <c r="L332" s="2260"/>
      <c r="M332" s="954"/>
      <c r="N332" s="954"/>
      <c r="O332" s="954"/>
      <c r="P332" s="954"/>
      <c r="Q332" s="954"/>
      <c r="R332" s="954"/>
      <c r="S332" s="954"/>
      <c r="T332" s="954"/>
      <c r="AV332" s="670"/>
    </row>
    <row r="333" spans="1:48" s="956" customFormat="1" ht="13.2" customHeight="1">
      <c r="A333" s="801"/>
      <c r="B333" s="1424"/>
      <c r="C333" s="1939"/>
      <c r="G333" s="955"/>
      <c r="H333" s="955"/>
      <c r="I333" s="955"/>
      <c r="J333" s="3225" t="s">
        <v>2212</v>
      </c>
      <c r="K333" s="3225"/>
      <c r="L333" s="2260"/>
      <c r="M333" s="954"/>
      <c r="N333" s="954"/>
      <c r="O333" s="954"/>
      <c r="P333" s="954"/>
      <c r="Q333" s="954"/>
      <c r="R333" s="954"/>
      <c r="S333" s="954"/>
      <c r="T333" s="954"/>
      <c r="AV333" s="670"/>
    </row>
    <row r="334" spans="1:48" s="956" customFormat="1" ht="13.2" customHeight="1">
      <c r="A334" s="801"/>
      <c r="B334" s="1424"/>
      <c r="C334" s="1939"/>
      <c r="G334" s="955"/>
      <c r="H334" s="955"/>
      <c r="I334" s="955"/>
      <c r="J334" s="3225"/>
      <c r="K334" s="3225"/>
      <c r="M334" s="954"/>
      <c r="N334" s="954"/>
      <c r="O334" s="954"/>
      <c r="P334" s="954"/>
      <c r="Q334" s="954"/>
      <c r="R334" s="954"/>
      <c r="S334" s="954"/>
      <c r="T334" s="954"/>
      <c r="AV334" s="670"/>
    </row>
    <row r="335" spans="1:48" s="956" customFormat="1" ht="13.2" customHeight="1">
      <c r="A335" s="801"/>
      <c r="B335" s="1424"/>
      <c r="C335" s="1939"/>
      <c r="G335" s="955"/>
      <c r="H335" s="955"/>
      <c r="I335" s="955"/>
      <c r="J335" s="953"/>
      <c r="K335" s="953"/>
      <c r="L335" s="71"/>
      <c r="M335" s="954"/>
      <c r="N335" s="954"/>
      <c r="O335" s="954"/>
      <c r="P335" s="954"/>
      <c r="Q335" s="954"/>
      <c r="R335" s="954"/>
      <c r="S335" s="954"/>
      <c r="T335" s="954"/>
      <c r="AV335" s="670"/>
    </row>
    <row r="336" spans="1:48" s="956" customFormat="1" ht="13.2" customHeight="1">
      <c r="A336" s="801"/>
      <c r="B336" s="1424"/>
      <c r="C336" s="1939"/>
      <c r="G336" s="955"/>
      <c r="H336" s="955"/>
      <c r="I336" s="955"/>
      <c r="J336" s="953"/>
      <c r="K336" s="953"/>
      <c r="L336" s="71"/>
      <c r="M336" s="954"/>
      <c r="N336" s="954"/>
      <c r="O336" s="954"/>
      <c r="P336" s="954"/>
      <c r="Q336" s="954"/>
      <c r="R336" s="954"/>
      <c r="S336" s="954"/>
      <c r="T336" s="954"/>
      <c r="AV336" s="670"/>
    </row>
    <row r="337" spans="1:48" s="956" customFormat="1" ht="13.2" customHeight="1">
      <c r="A337" s="801"/>
      <c r="B337" s="1424"/>
      <c r="C337" s="1939"/>
      <c r="G337" s="955"/>
      <c r="H337" s="955"/>
      <c r="I337" s="955"/>
      <c r="J337" s="953"/>
      <c r="K337" s="953"/>
      <c r="L337" s="71"/>
      <c r="M337" s="954"/>
      <c r="N337" s="954"/>
      <c r="O337" s="954"/>
      <c r="P337" s="954"/>
      <c r="Q337" s="954"/>
      <c r="R337" s="954"/>
      <c r="S337" s="954"/>
      <c r="T337" s="954"/>
      <c r="AV337" s="670"/>
    </row>
    <row r="338" spans="1:48" s="956" customFormat="1" ht="13.2" customHeight="1">
      <c r="A338" s="801"/>
      <c r="B338" s="1424"/>
      <c r="C338" s="1939"/>
      <c r="G338" s="955"/>
      <c r="H338" s="955"/>
      <c r="I338" s="955"/>
      <c r="J338" s="953"/>
      <c r="K338" s="953"/>
      <c r="L338" s="71"/>
      <c r="M338" s="954"/>
      <c r="N338" s="954"/>
      <c r="O338" s="954"/>
      <c r="P338" s="954"/>
      <c r="Q338" s="954"/>
      <c r="R338" s="954"/>
      <c r="S338" s="954"/>
      <c r="T338" s="954"/>
      <c r="AV338" s="670"/>
    </row>
    <row r="339" spans="1:48" s="956" customFormat="1" ht="13.2" customHeight="1">
      <c r="A339" s="801"/>
      <c r="B339" s="1424"/>
      <c r="C339" s="1939"/>
      <c r="G339" s="955"/>
      <c r="H339" s="955"/>
      <c r="I339" s="955"/>
      <c r="J339" s="953"/>
      <c r="K339" s="953"/>
      <c r="L339" s="71"/>
      <c r="M339" s="954"/>
      <c r="N339" s="954"/>
      <c r="O339" s="954"/>
      <c r="P339" s="954"/>
      <c r="Q339" s="954"/>
      <c r="R339" s="954"/>
      <c r="S339" s="954"/>
      <c r="T339" s="954"/>
      <c r="AV339" s="670"/>
    </row>
    <row r="340" spans="1:48" s="956" customFormat="1" ht="13.2" customHeight="1">
      <c r="A340" s="801"/>
      <c r="B340" s="1424"/>
      <c r="C340" s="1939"/>
      <c r="D340" s="3236" t="s">
        <v>1263</v>
      </c>
      <c r="E340" s="3236"/>
      <c r="F340" s="3236"/>
      <c r="G340" s="3236"/>
      <c r="H340" s="3236"/>
      <c r="I340" s="3236"/>
      <c r="J340" s="3236"/>
      <c r="K340" s="3236"/>
      <c r="L340" s="71"/>
      <c r="N340" s="954"/>
      <c r="O340" s="954"/>
      <c r="P340" s="954"/>
      <c r="Q340" s="954"/>
      <c r="R340" s="954"/>
      <c r="S340" s="954"/>
      <c r="T340" s="954"/>
      <c r="AV340" s="670"/>
    </row>
    <row r="341" spans="1:48">
      <c r="D341" s="3236"/>
      <c r="E341" s="3236"/>
      <c r="F341" s="3236"/>
      <c r="G341" s="3236"/>
      <c r="H341" s="3236"/>
      <c r="I341" s="3236"/>
      <c r="J341" s="3236"/>
      <c r="K341" s="3236"/>
    </row>
    <row r="343" spans="1:48" s="75" customFormat="1" ht="13.2" customHeight="1">
      <c r="A343" s="3267" t="s">
        <v>768</v>
      </c>
      <c r="B343" s="3268"/>
      <c r="C343" s="1972"/>
      <c r="D343" s="3216" t="s">
        <v>2233</v>
      </c>
      <c r="E343" s="3217"/>
      <c r="F343" s="718" t="s">
        <v>775</v>
      </c>
      <c r="I343" s="986"/>
      <c r="J343" s="3216" t="s">
        <v>846</v>
      </c>
      <c r="K343" s="3217"/>
      <c r="L343" s="718" t="s">
        <v>775</v>
      </c>
      <c r="V343" s="3216" t="s">
        <v>776</v>
      </c>
      <c r="W343" s="3217"/>
      <c r="X343" s="718" t="s">
        <v>775</v>
      </c>
      <c r="AH343" s="3216" t="s">
        <v>777</v>
      </c>
      <c r="AI343" s="3217"/>
      <c r="AJ343" s="718"/>
      <c r="AV343" s="988"/>
    </row>
    <row r="344" spans="1:48" s="987" customFormat="1" ht="13.2" customHeight="1">
      <c r="A344" s="3246" t="s">
        <v>769</v>
      </c>
      <c r="B344" s="3247"/>
      <c r="C344" s="1973"/>
      <c r="D344" s="719" t="s">
        <v>770</v>
      </c>
      <c r="E344" s="719" t="s">
        <v>733</v>
      </c>
      <c r="I344" s="800" t="s">
        <v>1177</v>
      </c>
      <c r="J344" s="719" t="s">
        <v>770</v>
      </c>
      <c r="K344" s="719" t="s">
        <v>848</v>
      </c>
      <c r="L344" s="720"/>
      <c r="O344" s="798" t="s">
        <v>851</v>
      </c>
      <c r="V344" s="719" t="s">
        <v>770</v>
      </c>
      <c r="W344" s="719" t="s">
        <v>733</v>
      </c>
      <c r="X344" s="720"/>
      <c r="AA344" s="798" t="s">
        <v>852</v>
      </c>
      <c r="AH344" s="719" t="s">
        <v>770</v>
      </c>
      <c r="AI344" s="719" t="s">
        <v>733</v>
      </c>
      <c r="AJ344" s="720"/>
      <c r="AV344" s="2377"/>
    </row>
    <row r="345" spans="1:48" s="75" customFormat="1">
      <c r="A345" s="988"/>
      <c r="B345" s="674"/>
      <c r="C345" s="1966"/>
      <c r="I345" s="986"/>
      <c r="L345" s="989"/>
      <c r="AV345" s="988"/>
    </row>
    <row r="346" spans="1:48" s="75" customFormat="1">
      <c r="A346" s="990" t="s">
        <v>502</v>
      </c>
      <c r="B346" s="2800" t="s">
        <v>52</v>
      </c>
      <c r="C346" s="1974"/>
      <c r="D346" s="908">
        <f>J74</f>
        <v>0.61</v>
      </c>
      <c r="E346" s="991">
        <f>CALCULATIONS!EA5</f>
        <v>1.4833076923076924</v>
      </c>
      <c r="I346" s="986"/>
      <c r="J346" s="908">
        <f>G74</f>
        <v>0.60734824281150157</v>
      </c>
      <c r="K346" s="992">
        <f>'Bloom Cleaner Data'!DV5</f>
        <v>1.4755</v>
      </c>
      <c r="L346" s="989"/>
      <c r="V346" s="721">
        <f>H74</f>
        <v>0.60938914027149316</v>
      </c>
      <c r="W346" s="991">
        <f>'Bloom Cleaner Data'!DR5</f>
        <v>1.4647999999999999</v>
      </c>
      <c r="AH346" s="721"/>
      <c r="AI346" s="722">
        <f>CALCULATIONS!EB5</f>
        <v>2.6584049570257725E-2</v>
      </c>
      <c r="AV346" s="988"/>
    </row>
    <row r="347" spans="1:48" s="75" customFormat="1">
      <c r="A347" s="990" t="s">
        <v>389</v>
      </c>
      <c r="B347" s="2800" t="s">
        <v>278</v>
      </c>
      <c r="C347" s="1974"/>
      <c r="D347" s="908">
        <f t="shared" ref="D347:D367" si="14">J75</f>
        <v>0.60910298289809772</v>
      </c>
      <c r="E347" s="991">
        <f>CALCULATIONS!EA6</f>
        <v>1.5272923076923075</v>
      </c>
      <c r="I347" s="986"/>
      <c r="J347" s="908">
        <f t="shared" ref="J347:J367" si="15">D75</f>
        <v>0.5981133158250882</v>
      </c>
      <c r="K347" s="991">
        <f>CALCULATIONS!DZ6</f>
        <v>1.3078000000000001</v>
      </c>
      <c r="L347" s="989"/>
      <c r="V347" s="721">
        <f t="shared" ref="V347:V367" si="16">H75</f>
        <v>0.63280000000000003</v>
      </c>
      <c r="W347" s="991">
        <f>'Bloom Cleaner Data'!DR6</f>
        <v>1.5726</v>
      </c>
      <c r="AH347" s="721">
        <f>N75</f>
        <v>-5.2071170724915891E-2</v>
      </c>
      <c r="AI347" s="722">
        <f>CALCULATIONS!EB6</f>
        <v>-0.13909551708248294</v>
      </c>
      <c r="AV347" s="988"/>
    </row>
    <row r="348" spans="1:48" s="987" customFormat="1">
      <c r="A348" s="993" t="s">
        <v>323</v>
      </c>
      <c r="B348" s="2801" t="s">
        <v>280</v>
      </c>
      <c r="C348" s="1966"/>
      <c r="D348" s="723">
        <f t="shared" si="14"/>
        <v>0.37158673775730477</v>
      </c>
      <c r="E348" s="994">
        <f>CALCULATIONS!EA7</f>
        <v>1.5174769230769232</v>
      </c>
      <c r="I348" s="995"/>
      <c r="J348" s="723">
        <f t="shared" si="15"/>
        <v>0.33871396895787137</v>
      </c>
      <c r="K348" s="994">
        <f>CALCULATIONS!DZ7</f>
        <v>1.2703</v>
      </c>
      <c r="L348" s="720"/>
      <c r="V348" s="723">
        <f t="shared" si="16"/>
        <v>0.38496530454895916</v>
      </c>
      <c r="W348" s="994">
        <f>'Bloom Cleaner Data'!DR7</f>
        <v>1.6858</v>
      </c>
      <c r="AH348" s="723">
        <f>N76</f>
        <v>-0.1153634304384116</v>
      </c>
      <c r="AI348" s="724">
        <f>CALCULATIONS!EB7</f>
        <v>-0.26333797262816061</v>
      </c>
      <c r="AJ348" s="75"/>
      <c r="AV348" s="2377"/>
    </row>
    <row r="349" spans="1:48" s="987" customFormat="1">
      <c r="A349" s="993" t="s">
        <v>323</v>
      </c>
      <c r="B349" s="2801" t="s">
        <v>277</v>
      </c>
      <c r="C349" s="1966"/>
      <c r="D349" s="723">
        <f t="shared" si="14"/>
        <v>0.91288970849739615</v>
      </c>
      <c r="E349" s="994">
        <f>CALCULATIONS!EA8</f>
        <v>1.5173461538461537</v>
      </c>
      <c r="I349" s="995"/>
      <c r="J349" s="723">
        <f t="shared" si="15"/>
        <v>0.94</v>
      </c>
      <c r="K349" s="994">
        <f>CALCULATIONS!DZ8</f>
        <v>0.89280000000000004</v>
      </c>
      <c r="L349" s="720"/>
      <c r="V349" s="723">
        <f t="shared" si="16"/>
        <v>0.94497650196875393</v>
      </c>
      <c r="W349" s="994">
        <f>'Bloom Cleaner Data'!DR8</f>
        <v>2.0177999999999998</v>
      </c>
      <c r="AH349" s="723">
        <f>N77</f>
        <v>1.1907948675707087E-2</v>
      </c>
      <c r="AI349" s="724">
        <f>CALCULATIONS!EB8</f>
        <v>-0.50701270016565425</v>
      </c>
      <c r="AJ349" s="75"/>
      <c r="AV349" s="2377"/>
    </row>
    <row r="350" spans="1:48" s="987" customFormat="1">
      <c r="A350" s="993" t="s">
        <v>323</v>
      </c>
      <c r="B350" s="2801" t="s">
        <v>283</v>
      </c>
      <c r="C350" s="1966"/>
      <c r="D350" s="723">
        <f t="shared" si="14"/>
        <v>6.4385445236561381E-2</v>
      </c>
      <c r="E350" s="994">
        <f>CALCULATIONS!EA9</f>
        <v>4.4188461538461548</v>
      </c>
      <c r="I350" s="995"/>
      <c r="J350" s="723">
        <f t="shared" si="15"/>
        <v>0.14257620452310718</v>
      </c>
      <c r="K350" s="994">
        <f>CALCULATIONS!DZ9</f>
        <v>4.9602000000000004</v>
      </c>
      <c r="L350" s="720"/>
      <c r="V350" s="723">
        <f t="shared" si="16"/>
        <v>5.8479532163742687E-3</v>
      </c>
      <c r="W350" s="994">
        <f>'Bloom Cleaner Data'!DR9</f>
        <v>3.7174</v>
      </c>
      <c r="AH350" s="723"/>
      <c r="AI350" s="724"/>
      <c r="AJ350" s="75"/>
      <c r="AV350" s="2377"/>
    </row>
    <row r="351" spans="1:48" s="75" customFormat="1">
      <c r="A351" s="672" t="s">
        <v>545</v>
      </c>
      <c r="B351" s="1543" t="s">
        <v>39</v>
      </c>
      <c r="C351" s="1966"/>
      <c r="D351" s="996">
        <f t="shared" si="14"/>
        <v>0.31054928118178421</v>
      </c>
      <c r="E351" s="991">
        <f>CALCULATIONS!EA10</f>
        <v>2.362423076923077</v>
      </c>
      <c r="I351" s="986"/>
      <c r="J351" s="996">
        <f t="shared" si="15"/>
        <v>0.28165979767703259</v>
      </c>
      <c r="K351" s="991">
        <f>CALCULATIONS!DZ10</f>
        <v>2.4035000000000002</v>
      </c>
      <c r="L351" s="989"/>
      <c r="V351" s="721">
        <f t="shared" si="16"/>
        <v>0.3141425389755011</v>
      </c>
      <c r="W351" s="991">
        <f>'Bloom Cleaner Data'!DR10</f>
        <v>3.1469</v>
      </c>
      <c r="AH351" s="721">
        <f>N79</f>
        <v>-0.11491916916279199</v>
      </c>
      <c r="AI351" s="722">
        <f>CALCULATIONS!EB10</f>
        <v>-0.24676423579554355</v>
      </c>
      <c r="AV351" s="988"/>
    </row>
    <row r="352" spans="1:48" s="75" customFormat="1">
      <c r="A352" s="997" t="s">
        <v>219</v>
      </c>
      <c r="B352" s="1543" t="s">
        <v>53</v>
      </c>
      <c r="C352" s="1966"/>
      <c r="D352" s="996">
        <f t="shared" si="14"/>
        <v>0.6158872479982318</v>
      </c>
      <c r="E352" s="991">
        <f>CALCULATIONS!EA11</f>
        <v>2.0117846153846157</v>
      </c>
      <c r="I352" s="986"/>
      <c r="J352" s="996">
        <f t="shared" si="15"/>
        <v>0.63960508302071395</v>
      </c>
      <c r="K352" s="991">
        <f>CALCULATIONS!DZ11</f>
        <v>1.7326999999999999</v>
      </c>
      <c r="L352" s="989"/>
      <c r="V352" s="721">
        <f t="shared" si="16"/>
        <v>0.58023511894181368</v>
      </c>
      <c r="W352" s="991">
        <f>'Bloom Cleaner Data'!DR11</f>
        <v>2.4198</v>
      </c>
      <c r="AH352" s="721">
        <f>N80</f>
        <v>0.11044311863454735</v>
      </c>
      <c r="AI352" s="722">
        <f>CALCULATIONS!EB11</f>
        <v>-0.19416798437354665</v>
      </c>
      <c r="AV352" s="988"/>
    </row>
    <row r="353" spans="1:48" s="75" customFormat="1">
      <c r="A353" s="990" t="s">
        <v>73</v>
      </c>
      <c r="B353" s="2800" t="s">
        <v>285</v>
      </c>
      <c r="C353" s="1974"/>
      <c r="D353" s="911">
        <f t="shared" si="14"/>
        <v>0.62657499999999999</v>
      </c>
      <c r="E353" s="991">
        <f>CALCULATIONS!EA12</f>
        <v>2.1973000000000003</v>
      </c>
      <c r="I353" s="986"/>
      <c r="J353" s="911">
        <f>E81</f>
        <v>0.64439999999999997</v>
      </c>
      <c r="K353" s="992">
        <f>'Bloom Cleaner Data'!ED12</f>
        <v>2.2311999999999999</v>
      </c>
      <c r="L353" s="989"/>
      <c r="V353" s="721">
        <f t="shared" si="16"/>
        <v>0.59929999999999994</v>
      </c>
      <c r="W353" s="991">
        <f>'Bloom Cleaner Data'!DR12</f>
        <v>2.2391999999999999</v>
      </c>
      <c r="AH353" s="721">
        <f>N81</f>
        <v>5.5614710459497153E-2</v>
      </c>
      <c r="AI353" s="722">
        <f>CALCULATIONS!EB12</f>
        <v>8.6435331230283755E-2</v>
      </c>
      <c r="AV353" s="988"/>
    </row>
    <row r="354" spans="1:48" s="75" customFormat="1">
      <c r="A354" s="672" t="s">
        <v>19</v>
      </c>
      <c r="B354" s="1543" t="s">
        <v>287</v>
      </c>
      <c r="C354" s="1966"/>
      <c r="D354" s="996">
        <f t="shared" si="14"/>
        <v>0.12852484759899571</v>
      </c>
      <c r="E354" s="991">
        <f>CALCULATIONS!EA13</f>
        <v>2.7539884615384618</v>
      </c>
      <c r="I354" s="986"/>
      <c r="J354" s="996">
        <f t="shared" si="15"/>
        <v>0.32841368754782985</v>
      </c>
      <c r="K354" s="991">
        <f>CALCULATIONS!DZ13</f>
        <v>3.0099</v>
      </c>
      <c r="L354" s="989"/>
      <c r="V354" s="721">
        <f t="shared" si="16"/>
        <v>0</v>
      </c>
      <c r="W354" s="991">
        <f>'Bloom Cleaner Data'!DR13</f>
        <v>2.6703000000000001</v>
      </c>
      <c r="AH354" s="721"/>
      <c r="AI354" s="722"/>
      <c r="AV354" s="988"/>
    </row>
    <row r="355" spans="1:48" s="75" customFormat="1">
      <c r="A355" s="672" t="s">
        <v>19</v>
      </c>
      <c r="B355" s="1543" t="s">
        <v>288</v>
      </c>
      <c r="C355" s="1966"/>
      <c r="D355" s="996">
        <f t="shared" si="14"/>
        <v>0.60741568747204655</v>
      </c>
      <c r="E355" s="991">
        <f>CALCULATIONS!EA14</f>
        <v>1.4515346153846156</v>
      </c>
      <c r="I355" s="986"/>
      <c r="J355" s="996">
        <f t="shared" si="15"/>
        <v>0.60484412483227945</v>
      </c>
      <c r="K355" s="991">
        <f>CALCULATIONS!DZ14</f>
        <v>1.21</v>
      </c>
      <c r="L355" s="989"/>
      <c r="V355" s="721">
        <f t="shared" si="16"/>
        <v>0.56769999999999998</v>
      </c>
      <c r="W355" s="991">
        <f>'Bloom Cleaner Data'!DR14</f>
        <v>1.823</v>
      </c>
      <c r="AH355" s="721">
        <f t="shared" ref="AH355:AH367" si="17">N83</f>
        <v>4.0950219141690898E-2</v>
      </c>
      <c r="AI355" s="722">
        <f>CALCULATIONS!EB14</f>
        <v>-0.28185648999940643</v>
      </c>
      <c r="AV355" s="988"/>
    </row>
    <row r="356" spans="1:48" s="75" customFormat="1">
      <c r="A356" s="672" t="s">
        <v>378</v>
      </c>
      <c r="B356" s="1543" t="s">
        <v>42</v>
      </c>
      <c r="C356" s="1966"/>
      <c r="D356" s="996">
        <f t="shared" si="14"/>
        <v>0.50129449294861916</v>
      </c>
      <c r="E356" s="991">
        <f>CALCULATIONS!EA15</f>
        <v>1.2066538461538463</v>
      </c>
      <c r="I356" s="986"/>
      <c r="J356" s="996">
        <f t="shared" si="15"/>
        <v>0.46153846153846151</v>
      </c>
      <c r="K356" s="991">
        <f>CALCULATIONS!DZ15</f>
        <v>1.1727000000000001</v>
      </c>
      <c r="L356" s="989"/>
      <c r="V356" s="721">
        <f t="shared" si="16"/>
        <v>0.48849999999999999</v>
      </c>
      <c r="W356" s="991">
        <f>'Bloom Cleaner Data'!DR15</f>
        <v>1.7317</v>
      </c>
      <c r="AH356" s="721">
        <f t="shared" si="17"/>
        <v>-6.0545455382306421E-2</v>
      </c>
      <c r="AI356" s="722">
        <f>CALCULATIONS!EB15</f>
        <v>-0.24239291943924024</v>
      </c>
      <c r="AV356" s="988"/>
    </row>
    <row r="357" spans="1:48" s="75" customFormat="1">
      <c r="A357" s="990" t="s">
        <v>503</v>
      </c>
      <c r="B357" s="2800" t="s">
        <v>286</v>
      </c>
      <c r="C357" s="1974"/>
      <c r="D357" s="911">
        <f t="shared" si="14"/>
        <v>0.34534166666666666</v>
      </c>
      <c r="E357" s="991">
        <f>CALCULATIONS!EA16</f>
        <v>1.8478384615384618</v>
      </c>
      <c r="I357" s="986"/>
      <c r="J357" s="911">
        <f>E85</f>
        <v>0.34090000000000004</v>
      </c>
      <c r="K357" s="992">
        <f>'Bloom Cleaner Data'!ED16</f>
        <v>1.6389</v>
      </c>
      <c r="L357" s="989"/>
      <c r="V357" s="721">
        <f t="shared" si="16"/>
        <v>0.36840000000000006</v>
      </c>
      <c r="W357" s="991">
        <f>'Bloom Cleaner Data'!DR16</f>
        <v>2.2124000000000001</v>
      </c>
      <c r="AH357" s="721">
        <f t="shared" si="17"/>
        <v>-5.4500069338510607E-2</v>
      </c>
      <c r="AI357" s="722">
        <f>CALCULATIONS!EB16</f>
        <v>-0.25569061810672544</v>
      </c>
      <c r="AV357" s="988"/>
    </row>
    <row r="358" spans="1:48" s="75" customFormat="1">
      <c r="A358" s="672" t="s">
        <v>504</v>
      </c>
      <c r="B358" s="1543" t="s">
        <v>281</v>
      </c>
      <c r="C358" s="1966"/>
      <c r="D358" s="996">
        <f t="shared" si="14"/>
        <v>0.7344324868237998</v>
      </c>
      <c r="E358" s="991">
        <f>CALCULATIONS!EA17</f>
        <v>2.0217230769230765</v>
      </c>
      <c r="I358" s="986"/>
      <c r="J358" s="996">
        <f t="shared" si="15"/>
        <v>0.74956908795771016</v>
      </c>
      <c r="K358" s="991">
        <f>CALCULATIONS!DZ17</f>
        <v>2.2671999999999999</v>
      </c>
      <c r="L358" s="989"/>
      <c r="V358" s="721">
        <f t="shared" si="16"/>
        <v>0.62585722455497383</v>
      </c>
      <c r="W358" s="991">
        <f>'Bloom Cleaner Data'!DR17</f>
        <v>1.8862000000000001</v>
      </c>
      <c r="AH358" s="721">
        <f t="shared" si="17"/>
        <v>0.10784712869930438</v>
      </c>
      <c r="AI358" s="722">
        <f>CALCULATIONS!EB17</f>
        <v>0.13752445938487773</v>
      </c>
      <c r="AV358" s="988"/>
    </row>
    <row r="359" spans="1:48" s="75" customFormat="1">
      <c r="A359" s="672" t="s">
        <v>505</v>
      </c>
      <c r="B359" s="1543" t="s">
        <v>44</v>
      </c>
      <c r="C359" s="1966"/>
      <c r="D359" s="911">
        <f t="shared" si="14"/>
        <v>0.5805147103617575</v>
      </c>
      <c r="E359" s="991">
        <f>CALCULATIONS!EA18</f>
        <v>1.8971769230769233</v>
      </c>
      <c r="I359" s="986"/>
      <c r="J359" s="996">
        <f t="shared" si="15"/>
        <v>0.60384301884652736</v>
      </c>
      <c r="K359" s="991">
        <f>CALCULATIONS!DZ18</f>
        <v>1.3995</v>
      </c>
      <c r="L359" s="989"/>
      <c r="V359" s="721">
        <f t="shared" si="16"/>
        <v>0.5497633776823857</v>
      </c>
      <c r="W359" s="991">
        <f>'Bloom Cleaner Data'!DR18</f>
        <v>2.2279</v>
      </c>
      <c r="AH359" s="721">
        <f t="shared" si="17"/>
        <v>8.4948466413752491E-2</v>
      </c>
      <c r="AI359" s="722">
        <f>CALCULATIONS!EB18</f>
        <v>-0.36579507862419003</v>
      </c>
      <c r="AV359" s="988"/>
    </row>
    <row r="360" spans="1:48" s="75" customFormat="1">
      <c r="A360" s="672" t="s">
        <v>506</v>
      </c>
      <c r="B360" s="1543" t="s">
        <v>289</v>
      </c>
      <c r="C360" s="1966"/>
      <c r="D360" s="996">
        <f t="shared" si="14"/>
        <v>0.5033608700542046</v>
      </c>
      <c r="E360" s="991">
        <f>CALCULATIONS!EA19</f>
        <v>1.5614461538461539</v>
      </c>
      <c r="I360" s="986"/>
      <c r="J360" s="996">
        <f t="shared" si="15"/>
        <v>0.51013567438148444</v>
      </c>
      <c r="K360" s="991">
        <f>CALCULATIONS!DZ19</f>
        <v>1.075</v>
      </c>
      <c r="L360" s="989"/>
      <c r="V360" s="721">
        <f t="shared" si="16"/>
        <v>0.4566820303658996</v>
      </c>
      <c r="W360" s="991">
        <f>'Bloom Cleaner Data'!DR19</f>
        <v>1.5324</v>
      </c>
      <c r="AH360" s="721">
        <f t="shared" si="17"/>
        <v>9.1811010201268306E-2</v>
      </c>
      <c r="AI360" s="722">
        <f>CALCULATIONS!EB19</f>
        <v>-0.22483415056244596</v>
      </c>
      <c r="AV360" s="988"/>
    </row>
    <row r="361" spans="1:48" s="75" customFormat="1">
      <c r="A361" s="990" t="s">
        <v>27</v>
      </c>
      <c r="B361" s="2800" t="s">
        <v>54</v>
      </c>
      <c r="C361" s="1974"/>
      <c r="D361" s="908">
        <f t="shared" si="14"/>
        <v>0.48460704112825509</v>
      </c>
      <c r="E361" s="991">
        <f>CALCULATIONS!EA20</f>
        <v>2.2663538461538462</v>
      </c>
      <c r="I361" s="986"/>
      <c r="J361" s="908">
        <f>E89</f>
        <v>0.47118282781144899</v>
      </c>
      <c r="K361" s="992">
        <f>'Bloom Cleaner Data'!ED20</f>
        <v>1.7673999999999999</v>
      </c>
      <c r="L361" s="989"/>
      <c r="V361" s="721">
        <f t="shared" si="16"/>
        <v>0.5101</v>
      </c>
      <c r="W361" s="991">
        <f>'Bloom Cleaner Data'!DR20</f>
        <v>2.4291</v>
      </c>
      <c r="AH361" s="721">
        <f t="shared" si="17"/>
        <v>-0.18079580514885477</v>
      </c>
      <c r="AI361" s="722">
        <f>CALCULATIONS!EB20</f>
        <v>-0.34895927601809962</v>
      </c>
      <c r="AV361" s="988"/>
    </row>
    <row r="362" spans="1:48" s="75" customFormat="1">
      <c r="A362" s="672" t="s">
        <v>32</v>
      </c>
      <c r="B362" s="1543" t="s">
        <v>50</v>
      </c>
      <c r="C362" s="1966"/>
      <c r="D362" s="996">
        <f t="shared" si="14"/>
        <v>0</v>
      </c>
      <c r="E362" s="991">
        <f>CALCULATIONS!EA21</f>
        <v>1.3321076923076924</v>
      </c>
      <c r="I362" s="986"/>
      <c r="J362" s="996">
        <f t="shared" si="15"/>
        <v>0</v>
      </c>
      <c r="K362" s="991">
        <f>CALCULATIONS!DZ21</f>
        <v>1.8414000000000001</v>
      </c>
      <c r="L362" s="989"/>
      <c r="V362" s="721">
        <f t="shared" si="16"/>
        <v>0</v>
      </c>
      <c r="W362" s="991">
        <f>'Bloom Cleaner Data'!DR21</f>
        <v>1.0441</v>
      </c>
      <c r="AH362" s="721">
        <f t="shared" si="17"/>
        <v>0</v>
      </c>
      <c r="AI362" s="722">
        <f>CALCULATIONS!EB21</f>
        <v>0.82624218982445718</v>
      </c>
      <c r="AV362" s="988"/>
    </row>
    <row r="363" spans="1:48" s="75" customFormat="1">
      <c r="A363" s="672" t="s">
        <v>32</v>
      </c>
      <c r="B363" s="1543" t="s">
        <v>279</v>
      </c>
      <c r="C363" s="1966"/>
      <c r="D363" s="996">
        <f t="shared" si="14"/>
        <v>0.91487499999999988</v>
      </c>
      <c r="E363" s="991">
        <f>CALCULATIONS!EA22</f>
        <v>2.543480769230769</v>
      </c>
      <c r="I363" s="986"/>
      <c r="J363" s="996">
        <f>E91</f>
        <v>0.88549999999999995</v>
      </c>
      <c r="K363" s="992">
        <f>'Bloom Cleaner Data'!EE22</f>
        <v>2.7191000000000001</v>
      </c>
      <c r="L363" s="989"/>
      <c r="V363" s="721">
        <f t="shared" si="16"/>
        <v>0.92599999999999993</v>
      </c>
      <c r="W363" s="991">
        <f>'Bloom Cleaner Data'!DR22</f>
        <v>2.5385999999999997</v>
      </c>
      <c r="AH363" s="721">
        <f t="shared" si="17"/>
        <v>-4.3736501079913587E-2</v>
      </c>
      <c r="AI363" s="722">
        <f>CALCULATIONS!EB22</f>
        <v>7.0785831019749279E-2</v>
      </c>
      <c r="AV363" s="988"/>
    </row>
    <row r="364" spans="1:48" s="75" customFormat="1">
      <c r="A364" s="672" t="s">
        <v>507</v>
      </c>
      <c r="B364" s="1543" t="s">
        <v>284</v>
      </c>
      <c r="C364" s="1966"/>
      <c r="D364" s="996">
        <f t="shared" si="14"/>
        <v>0.65501722002617635</v>
      </c>
      <c r="E364" s="991">
        <f>CALCULATIONS!EA23</f>
        <v>2.6416384615384612</v>
      </c>
      <c r="I364" s="986"/>
      <c r="J364" s="996">
        <f t="shared" si="15"/>
        <v>0.68421052631578949</v>
      </c>
      <c r="K364" s="991">
        <f>CALCULATIONS!DZ23</f>
        <v>2.548</v>
      </c>
      <c r="L364" s="989"/>
      <c r="V364" s="721">
        <f t="shared" si="16"/>
        <v>0.60165593376264948</v>
      </c>
      <c r="W364" s="991">
        <f>'Bloom Cleaner Data'!DR23</f>
        <v>2.6501999999999999</v>
      </c>
      <c r="AH364" s="721">
        <f t="shared" si="17"/>
        <v>0.11334582604034234</v>
      </c>
      <c r="AI364" s="722">
        <f>CALCULATIONS!EB23</f>
        <v>-4.7476635514018616E-2</v>
      </c>
      <c r="AV364" s="988"/>
    </row>
    <row r="365" spans="1:48" s="75" customFormat="1">
      <c r="A365" s="672" t="s">
        <v>507</v>
      </c>
      <c r="B365" s="1543" t="s">
        <v>282</v>
      </c>
      <c r="C365" s="1966"/>
      <c r="D365" s="996">
        <f t="shared" si="14"/>
        <v>0.69332936189191507</v>
      </c>
      <c r="E365" s="991">
        <f>CALCULATIONS!EA24</f>
        <v>1.6592076923076922</v>
      </c>
      <c r="I365" s="986"/>
      <c r="J365" s="996">
        <f t="shared" si="15"/>
        <v>0.70854203330174637</v>
      </c>
      <c r="K365" s="991">
        <f>CALCULATIONS!DZ24</f>
        <v>1.19</v>
      </c>
      <c r="L365" s="989"/>
      <c r="V365" s="721">
        <f t="shared" si="16"/>
        <v>0.62427731007201537</v>
      </c>
      <c r="W365" s="991">
        <f>'Bloom Cleaner Data'!DR24</f>
        <v>1.3028999999999999</v>
      </c>
      <c r="AH365" s="721">
        <f t="shared" si="17"/>
        <v>9.3304513312571363E-2</v>
      </c>
      <c r="AI365" s="722">
        <f>CALCULATIONS!EB24</f>
        <v>-0.15782024062278846</v>
      </c>
      <c r="AV365" s="988"/>
    </row>
    <row r="366" spans="1:48" s="75" customFormat="1">
      <c r="A366" s="672" t="s">
        <v>508</v>
      </c>
      <c r="B366" s="1543" t="s">
        <v>290</v>
      </c>
      <c r="C366" s="1966"/>
      <c r="D366" s="996">
        <f t="shared" si="14"/>
        <v>0.32615050588405037</v>
      </c>
      <c r="E366" s="991">
        <f>CALCULATIONS!EA25</f>
        <v>2.5073538461538467</v>
      </c>
      <c r="I366" s="986"/>
      <c r="J366" s="996">
        <f t="shared" si="15"/>
        <v>0.30985103942866765</v>
      </c>
      <c r="K366" s="991">
        <f>CALCULATIONS!DZ25</f>
        <v>2.6587000000000001</v>
      </c>
      <c r="L366" s="989"/>
      <c r="V366" s="721">
        <f t="shared" si="16"/>
        <v>0.35321659907288117</v>
      </c>
      <c r="W366" s="991">
        <f>'Bloom Cleaner Data'!DR25</f>
        <v>2.5263999999999998</v>
      </c>
      <c r="AH366" s="721">
        <f t="shared" si="17"/>
        <v>-8.7660674172335792E-2</v>
      </c>
      <c r="AI366" s="722">
        <f>CALCULATIONS!EB25</f>
        <v>0.1071458315982345</v>
      </c>
      <c r="AV366" s="988"/>
    </row>
    <row r="367" spans="1:48" s="75" customFormat="1">
      <c r="A367" s="672" t="s">
        <v>27</v>
      </c>
      <c r="B367" s="1543" t="s">
        <v>357</v>
      </c>
      <c r="C367" s="1966"/>
      <c r="D367" s="996">
        <f t="shared" si="14"/>
        <v>0.61617346049174182</v>
      </c>
      <c r="E367" s="991">
        <f>CALCULATIONS!EA26</f>
        <v>0.9397923076923077</v>
      </c>
      <c r="I367" s="986"/>
      <c r="J367" s="996">
        <f t="shared" si="15"/>
        <v>0.58457772337821301</v>
      </c>
      <c r="K367" s="991">
        <f>CALCULATIONS!DZ26</f>
        <v>1.1364000000000001</v>
      </c>
      <c r="L367" s="989"/>
      <c r="V367" s="721">
        <f t="shared" si="16"/>
        <v>0.60573232366632679</v>
      </c>
      <c r="W367" s="991">
        <f>'Bloom Cleaner Data'!DR26</f>
        <v>1.0457000000000001</v>
      </c>
      <c r="AH367" s="721">
        <f t="shared" si="17"/>
        <v>-3.771277618520176E-2</v>
      </c>
      <c r="AI367" s="722">
        <f>CALCULATIONS!EB26</f>
        <v>0.3437389145086911</v>
      </c>
      <c r="AV367" s="988"/>
    </row>
    <row r="368" spans="1:48" s="75" customFormat="1" ht="13.2" customHeight="1">
      <c r="A368" s="988"/>
      <c r="B368" s="674"/>
      <c r="C368" s="1966"/>
      <c r="I368" s="986"/>
      <c r="J368" s="3214" t="s">
        <v>847</v>
      </c>
      <c r="K368" s="3214"/>
      <c r="L368" s="989"/>
      <c r="AH368" s="2772" t="s">
        <v>778</v>
      </c>
      <c r="AI368" s="2772"/>
      <c r="AV368" s="988"/>
    </row>
    <row r="369" spans="1:48" s="75" customFormat="1">
      <c r="A369" s="988"/>
      <c r="B369" s="674"/>
      <c r="C369" s="1966"/>
      <c r="I369" s="986"/>
      <c r="J369" s="3214"/>
      <c r="K369" s="3214"/>
      <c r="L369" s="989"/>
      <c r="AH369" s="2772" t="s">
        <v>779</v>
      </c>
      <c r="AI369" s="2772"/>
      <c r="AV369" s="988"/>
    </row>
    <row r="370" spans="1:48" s="75" customFormat="1">
      <c r="A370" s="988"/>
      <c r="B370" s="674"/>
      <c r="C370" s="1966"/>
      <c r="I370" s="986"/>
      <c r="J370" s="3214"/>
      <c r="K370" s="3214"/>
      <c r="L370" s="989"/>
      <c r="AH370" s="2772" t="s">
        <v>780</v>
      </c>
      <c r="AI370" s="2772"/>
      <c r="AV370" s="988"/>
    </row>
    <row r="371" spans="1:48" s="75" customFormat="1">
      <c r="A371" s="988"/>
      <c r="B371" s="674"/>
      <c r="C371" s="1966"/>
      <c r="I371" s="986"/>
      <c r="J371" s="3214"/>
      <c r="K371" s="3214"/>
      <c r="L371" s="989"/>
      <c r="AV371" s="988"/>
    </row>
    <row r="372" spans="1:48">
      <c r="J372" s="1058"/>
      <c r="K372" s="1058"/>
    </row>
    <row r="373" spans="1:48" s="1908" customFormat="1">
      <c r="A373" s="709" t="s">
        <v>1049</v>
      </c>
      <c r="B373" s="2802"/>
      <c r="C373" s="1939"/>
      <c r="D373" s="706"/>
      <c r="E373" s="706"/>
      <c r="F373" s="706"/>
      <c r="G373" s="706"/>
      <c r="H373" s="706"/>
      <c r="I373" s="1062"/>
      <c r="J373" s="1063"/>
      <c r="K373" s="1063"/>
      <c r="L373" s="506"/>
      <c r="M373" s="1064"/>
      <c r="N373" s="706"/>
      <c r="AV373" s="1525"/>
    </row>
    <row r="374" spans="1:48" s="958" customFormat="1">
      <c r="A374" s="670"/>
      <c r="B374" s="1424"/>
      <c r="C374" s="1939"/>
      <c r="I374" s="162"/>
      <c r="J374" s="1058"/>
      <c r="K374" s="1058"/>
      <c r="L374" s="71"/>
      <c r="M374" s="72"/>
      <c r="AV374" s="670"/>
    </row>
    <row r="375" spans="1:48">
      <c r="D375" s="958"/>
      <c r="E375" s="958"/>
      <c r="F375" s="958"/>
      <c r="G375" s="958"/>
      <c r="H375" s="958"/>
      <c r="I375" s="958"/>
      <c r="K375" s="1058"/>
    </row>
    <row r="376" spans="1:48" s="958" customFormat="1" ht="13.2" customHeight="1">
      <c r="A376" s="3269" t="s">
        <v>2234</v>
      </c>
      <c r="B376" s="3270"/>
      <c r="C376" s="1975"/>
      <c r="D376" s="3255" t="s">
        <v>2233</v>
      </c>
      <c r="E376" s="3256"/>
      <c r="F376" s="3255" t="s">
        <v>1046</v>
      </c>
      <c r="G376" s="3256"/>
      <c r="H376" s="3160" t="s">
        <v>2213</v>
      </c>
      <c r="I376" s="3257"/>
      <c r="J376" s="1065" t="s">
        <v>1075</v>
      </c>
      <c r="M376" s="2423" t="s">
        <v>1837</v>
      </c>
      <c r="N376" s="2423" t="s">
        <v>367</v>
      </c>
      <c r="Q376" s="957"/>
      <c r="R376" s="957"/>
      <c r="S376" s="957"/>
      <c r="T376" s="957"/>
      <c r="AV376" s="670"/>
    </row>
    <row r="377" spans="1:48" s="958" customFormat="1" ht="13.2" customHeight="1">
      <c r="A377" s="3244"/>
      <c r="B377" s="3245"/>
      <c r="C377" s="1976"/>
      <c r="D377" s="685" t="s">
        <v>1838</v>
      </c>
      <c r="E377" s="1065" t="s">
        <v>1045</v>
      </c>
      <c r="F377" s="685" t="s">
        <v>1838</v>
      </c>
      <c r="G377" s="1065" t="s">
        <v>1045</v>
      </c>
      <c r="H377" s="3258"/>
      <c r="I377" s="3259"/>
      <c r="J377" s="1065" t="s">
        <v>1835</v>
      </c>
      <c r="M377" s="2424" t="s">
        <v>1836</v>
      </c>
      <c r="N377" s="2424" t="s">
        <v>1836</v>
      </c>
      <c r="Q377" s="957"/>
      <c r="R377" s="957"/>
      <c r="S377" s="957"/>
      <c r="T377" s="957"/>
      <c r="AV377" s="670"/>
    </row>
    <row r="378" spans="1:48" s="958" customFormat="1" ht="13.2" customHeight="1">
      <c r="A378" s="420" t="s">
        <v>502</v>
      </c>
      <c r="B378" s="308" t="s">
        <v>52</v>
      </c>
      <c r="C378" s="1964"/>
      <c r="D378" s="1051">
        <f t="shared" ref="D378:D399" si="18">$K$254</f>
        <v>0</v>
      </c>
      <c r="E378" s="1050">
        <f t="shared" ref="E378:E399" si="19">D204*(1+D378)/(1+D204*D378)</f>
        <v>0.61</v>
      </c>
      <c r="F378" s="1052">
        <f>$K$255</f>
        <v>0.1</v>
      </c>
      <c r="G378" s="1050">
        <f t="shared" ref="G378:G399" si="20">J204*(1+F378)/(1+J204*F378)</f>
        <v>0.62983042679437373</v>
      </c>
      <c r="H378" s="3147" t="s">
        <v>2214</v>
      </c>
      <c r="I378" s="3148"/>
      <c r="J378" s="1060">
        <f>E378-S100</f>
        <v>2.5689045276652278E-3</v>
      </c>
      <c r="K378" s="2420" t="s">
        <v>1275</v>
      </c>
      <c r="L378" s="2422" t="str">
        <f>B378</f>
        <v>DT</v>
      </c>
      <c r="M378" s="721">
        <f t="shared" ref="M378:M399" si="21">E378-D204</f>
        <v>0</v>
      </c>
      <c r="N378" s="721">
        <f t="shared" ref="N378:N399" si="22">G378-J204</f>
        <v>2.2482183982872161E-2</v>
      </c>
      <c r="Q378" s="957"/>
      <c r="R378" s="957"/>
      <c r="S378" s="957"/>
      <c r="T378" s="957"/>
      <c r="AV378" s="670"/>
    </row>
    <row r="379" spans="1:48" s="958" customFormat="1" ht="13.2" customHeight="1">
      <c r="A379" s="877" t="s">
        <v>389</v>
      </c>
      <c r="B379" s="878" t="s">
        <v>278</v>
      </c>
      <c r="C379" s="1965"/>
      <c r="D379" s="1052">
        <f t="shared" si="18"/>
        <v>0</v>
      </c>
      <c r="E379" s="1050">
        <f t="shared" si="19"/>
        <v>0.60910298289809772</v>
      </c>
      <c r="F379" s="1052">
        <f>$K$255</f>
        <v>0.1</v>
      </c>
      <c r="G379" s="1050">
        <f t="shared" si="20"/>
        <v>0.6207941242005639</v>
      </c>
      <c r="H379" s="3149"/>
      <c r="I379" s="3150"/>
      <c r="J379" s="1060">
        <f>E379-S101</f>
        <v>-4.7512239282893276E-2</v>
      </c>
      <c r="K379" s="2420" t="s">
        <v>1275</v>
      </c>
      <c r="L379" s="2422" t="str">
        <f t="shared" ref="L379:L399" si="23">B379</f>
        <v>TKA</v>
      </c>
      <c r="M379" s="721">
        <f t="shared" si="21"/>
        <v>0</v>
      </c>
      <c r="N379" s="721">
        <f t="shared" si="22"/>
        <v>2.2680808375475703E-2</v>
      </c>
      <c r="Q379" s="957"/>
      <c r="R379" s="957"/>
      <c r="S379" s="957"/>
      <c r="T379" s="957"/>
      <c r="AV379" s="670"/>
    </row>
    <row r="380" spans="1:48" s="958" customFormat="1" ht="13.2" customHeight="1">
      <c r="A380" s="686" t="s">
        <v>323</v>
      </c>
      <c r="B380" s="695" t="s">
        <v>280</v>
      </c>
      <c r="C380" s="1964"/>
      <c r="D380" s="1055">
        <f t="shared" si="18"/>
        <v>0</v>
      </c>
      <c r="E380" s="1054">
        <f t="shared" si="19"/>
        <v>0.37158673775730477</v>
      </c>
      <c r="F380" s="1055">
        <f>$K$255</f>
        <v>0.1</v>
      </c>
      <c r="G380" s="1056">
        <f t="shared" si="20"/>
        <v>0.36037883142173305</v>
      </c>
      <c r="H380" s="3149"/>
      <c r="I380" s="3150"/>
      <c r="J380" s="1061">
        <f>E380-S102</f>
        <v>-0.12544407366800187</v>
      </c>
      <c r="K380" s="2420" t="s">
        <v>1275</v>
      </c>
      <c r="L380" s="2422" t="str">
        <f t="shared" si="23"/>
        <v>BELG</v>
      </c>
      <c r="M380" s="723">
        <f t="shared" si="21"/>
        <v>0</v>
      </c>
      <c r="N380" s="723">
        <f t="shared" si="22"/>
        <v>2.1664862463861678E-2</v>
      </c>
      <c r="Q380" s="957"/>
      <c r="R380" s="957"/>
      <c r="S380" s="957"/>
      <c r="T380" s="957"/>
      <c r="AV380" s="670"/>
    </row>
    <row r="381" spans="1:48" s="958" customFormat="1" ht="13.2" customHeight="1">
      <c r="A381" s="686" t="s">
        <v>323</v>
      </c>
      <c r="B381" s="695" t="s">
        <v>277</v>
      </c>
      <c r="C381" s="1964"/>
      <c r="D381" s="1055">
        <f t="shared" si="18"/>
        <v>0</v>
      </c>
      <c r="E381" s="1054">
        <f t="shared" si="19"/>
        <v>0.95644485424869818</v>
      </c>
      <c r="F381" s="1055">
        <f>$K$255</f>
        <v>0.1</v>
      </c>
      <c r="G381" s="1056">
        <f t="shared" si="20"/>
        <v>0.97265268915223335</v>
      </c>
      <c r="H381" s="3213" t="s">
        <v>2215</v>
      </c>
      <c r="I381" s="3145"/>
      <c r="J381" s="1061">
        <f>E381-S103</f>
        <v>-3.5924508690751811E-2</v>
      </c>
      <c r="K381" s="2420" t="s">
        <v>55</v>
      </c>
      <c r="L381" s="2422" t="str">
        <f t="shared" si="23"/>
        <v>MOB</v>
      </c>
      <c r="M381" s="723">
        <f t="shared" si="21"/>
        <v>0</v>
      </c>
      <c r="N381" s="723">
        <f t="shared" si="22"/>
        <v>2.6526891522333784E-3</v>
      </c>
      <c r="Q381" s="957"/>
      <c r="R381" s="957"/>
      <c r="S381" s="957"/>
      <c r="T381" s="957"/>
      <c r="AV381" s="670"/>
    </row>
    <row r="382" spans="1:48" s="958" customFormat="1" ht="13.2" customHeight="1">
      <c r="A382" s="686" t="s">
        <v>323</v>
      </c>
      <c r="B382" s="695" t="s">
        <v>283</v>
      </c>
      <c r="C382" s="1964"/>
      <c r="D382" s="1055">
        <f t="shared" si="18"/>
        <v>0</v>
      </c>
      <c r="E382" s="1054">
        <f t="shared" si="19"/>
        <v>6.4385445236561381E-2</v>
      </c>
      <c r="F382" s="1055">
        <f>$K$255</f>
        <v>0.1</v>
      </c>
      <c r="G382" s="1056">
        <f t="shared" si="20"/>
        <v>0.15462918080465343</v>
      </c>
      <c r="H382" s="3146"/>
      <c r="I382" s="3145"/>
      <c r="J382" s="1067" t="s">
        <v>513</v>
      </c>
      <c r="K382" s="2420" t="s">
        <v>372</v>
      </c>
      <c r="L382" s="2422" t="str">
        <f t="shared" si="23"/>
        <v>TNET</v>
      </c>
      <c r="M382" s="723">
        <f t="shared" si="21"/>
        <v>0</v>
      </c>
      <c r="N382" s="723">
        <f t="shared" si="22"/>
        <v>1.2052976281546252E-2</v>
      </c>
      <c r="Q382" s="957"/>
      <c r="R382" s="957"/>
      <c r="S382" s="957"/>
      <c r="T382" s="957"/>
      <c r="AV382" s="670"/>
    </row>
    <row r="383" spans="1:48" s="958" customFormat="1" ht="13.2" customHeight="1">
      <c r="A383" s="420" t="s">
        <v>545</v>
      </c>
      <c r="B383" s="308" t="s">
        <v>39</v>
      </c>
      <c r="C383" s="1964"/>
      <c r="D383" s="1052">
        <f t="shared" si="18"/>
        <v>0</v>
      </c>
      <c r="E383" s="1050">
        <f t="shared" si="19"/>
        <v>0.31054928118178421</v>
      </c>
      <c r="F383" s="1524">
        <v>0</v>
      </c>
      <c r="G383" s="1050">
        <f t="shared" si="20"/>
        <v>0.28165979767703259</v>
      </c>
      <c r="H383" s="3144" t="s">
        <v>2216</v>
      </c>
      <c r="I383" s="3145"/>
      <c r="J383" s="1066" t="s">
        <v>513</v>
      </c>
      <c r="K383" s="2421" t="s">
        <v>1275</v>
      </c>
      <c r="L383" s="2422" t="str">
        <f t="shared" si="23"/>
        <v>TDC</v>
      </c>
      <c r="M383" s="721">
        <f t="shared" si="21"/>
        <v>0</v>
      </c>
      <c r="N383" s="721">
        <f t="shared" si="22"/>
        <v>0</v>
      </c>
      <c r="Q383" s="957"/>
      <c r="R383" s="957"/>
      <c r="S383" s="957"/>
      <c r="T383" s="957"/>
      <c r="AV383" s="670"/>
    </row>
    <row r="384" spans="1:48" s="958" customFormat="1" ht="13.2" customHeight="1">
      <c r="A384" s="528" t="s">
        <v>219</v>
      </c>
      <c r="B384" s="308" t="s">
        <v>53</v>
      </c>
      <c r="C384" s="1964"/>
      <c r="D384" s="1052">
        <f t="shared" si="18"/>
        <v>0</v>
      </c>
      <c r="E384" s="1050">
        <f t="shared" si="19"/>
        <v>0.6158872479982318</v>
      </c>
      <c r="F384" s="1052">
        <f>$K$255</f>
        <v>0.1</v>
      </c>
      <c r="G384" s="1050">
        <f t="shared" si="20"/>
        <v>0.66127040038880336</v>
      </c>
      <c r="H384" s="3146"/>
      <c r="I384" s="3145"/>
      <c r="J384" s="1060">
        <f>E384-S106</f>
        <v>5.3804748498359811E-2</v>
      </c>
      <c r="K384" s="2420" t="s">
        <v>1275</v>
      </c>
      <c r="L384" s="2422" t="str">
        <f t="shared" si="23"/>
        <v>TEF</v>
      </c>
      <c r="M384" s="721">
        <f t="shared" si="21"/>
        <v>0</v>
      </c>
      <c r="N384" s="721">
        <f t="shared" si="22"/>
        <v>2.166531736808941E-2</v>
      </c>
      <c r="Q384" s="957"/>
      <c r="R384" s="957"/>
      <c r="S384" s="957"/>
      <c r="T384" s="957"/>
      <c r="AV384" s="670"/>
    </row>
    <row r="385" spans="1:48" s="958" customFormat="1" ht="13.2" customHeight="1">
      <c r="A385" s="877" t="s">
        <v>73</v>
      </c>
      <c r="B385" s="878" t="s">
        <v>285</v>
      </c>
      <c r="C385" s="1965"/>
      <c r="D385" s="1052">
        <f t="shared" si="18"/>
        <v>0</v>
      </c>
      <c r="E385" s="1050">
        <f t="shared" si="19"/>
        <v>0.62657499999999999</v>
      </c>
      <c r="F385" s="1524">
        <v>0</v>
      </c>
      <c r="G385" s="1050">
        <f t="shared" si="20"/>
        <v>0.64439999999999997</v>
      </c>
      <c r="H385" s="3146"/>
      <c r="I385" s="3145"/>
      <c r="J385" s="1066" t="s">
        <v>513</v>
      </c>
      <c r="K385" s="2420" t="s">
        <v>1275</v>
      </c>
      <c r="L385" s="2422" t="str">
        <f t="shared" si="23"/>
        <v>ELI</v>
      </c>
      <c r="M385" s="721">
        <f t="shared" si="21"/>
        <v>0</v>
      </c>
      <c r="N385" s="721">
        <f t="shared" si="22"/>
        <v>0</v>
      </c>
      <c r="Q385" s="957"/>
      <c r="R385" s="957"/>
      <c r="S385" s="957"/>
      <c r="T385" s="957"/>
      <c r="AV385" s="670"/>
    </row>
    <row r="386" spans="1:48" s="958" customFormat="1" ht="13.2" customHeight="1">
      <c r="A386" s="420" t="s">
        <v>19</v>
      </c>
      <c r="B386" s="308" t="s">
        <v>287</v>
      </c>
      <c r="C386" s="1964"/>
      <c r="D386" s="1052">
        <f t="shared" si="18"/>
        <v>0</v>
      </c>
      <c r="E386" s="1050">
        <f t="shared" si="19"/>
        <v>9.1630231095150338E-2</v>
      </c>
      <c r="F386" s="1052">
        <f>$K$255</f>
        <v>0.1</v>
      </c>
      <c r="G386" s="1050">
        <f t="shared" si="20"/>
        <v>0.34976819018989347</v>
      </c>
      <c r="H386" s="3146" t="s">
        <v>2217</v>
      </c>
      <c r="I386" s="3145"/>
      <c r="J386" s="1060">
        <f t="shared" ref="J386:J391" si="24">E386-S108</f>
        <v>9.1630231095150338E-2</v>
      </c>
      <c r="K386" s="2420" t="s">
        <v>372</v>
      </c>
      <c r="L386" s="2422" t="str">
        <f t="shared" si="23"/>
        <v>ILD</v>
      </c>
      <c r="M386" s="721">
        <f t="shared" si="21"/>
        <v>0</v>
      </c>
      <c r="N386" s="721">
        <f t="shared" si="22"/>
        <v>2.1354502642063622E-2</v>
      </c>
      <c r="Q386" s="957"/>
      <c r="R386" s="957"/>
      <c r="S386" s="957"/>
      <c r="T386" s="957"/>
      <c r="AV386" s="670"/>
    </row>
    <row r="387" spans="1:48" s="958" customFormat="1" ht="13.2" customHeight="1">
      <c r="A387" s="420" t="s">
        <v>19</v>
      </c>
      <c r="B387" s="308" t="s">
        <v>288</v>
      </c>
      <c r="C387" s="1964"/>
      <c r="D387" s="1052">
        <f t="shared" si="18"/>
        <v>0</v>
      </c>
      <c r="E387" s="1050">
        <f t="shared" si="19"/>
        <v>0.60741568747204655</v>
      </c>
      <c r="F387" s="1052">
        <f>$K$255</f>
        <v>0.1</v>
      </c>
      <c r="G387" s="1050">
        <f t="shared" si="20"/>
        <v>0.62738172243152124</v>
      </c>
      <c r="H387" s="3146"/>
      <c r="I387" s="3145"/>
      <c r="J387" s="1060">
        <f t="shared" si="24"/>
        <v>2.7551188741110066E-2</v>
      </c>
      <c r="K387" s="2420" t="s">
        <v>1275</v>
      </c>
      <c r="L387" s="2422" t="str">
        <f t="shared" si="23"/>
        <v>ORA</v>
      </c>
      <c r="M387" s="721">
        <f t="shared" si="21"/>
        <v>0</v>
      </c>
      <c r="N387" s="721">
        <f t="shared" si="22"/>
        <v>2.2537597599241788E-2</v>
      </c>
      <c r="Q387" s="957"/>
      <c r="R387" s="957"/>
      <c r="S387" s="957"/>
      <c r="T387" s="957"/>
      <c r="AV387" s="670"/>
    </row>
    <row r="388" spans="1:48" s="958" customFormat="1" ht="13.2" customHeight="1">
      <c r="A388" s="420" t="s">
        <v>378</v>
      </c>
      <c r="B388" s="308" t="s">
        <v>42</v>
      </c>
      <c r="C388" s="1964"/>
      <c r="D388" s="1052">
        <f t="shared" si="18"/>
        <v>0</v>
      </c>
      <c r="E388" s="1050">
        <f t="shared" si="19"/>
        <v>0.56323171407839789</v>
      </c>
      <c r="F388" s="1052">
        <f>$K$255</f>
        <v>0.1</v>
      </c>
      <c r="G388" s="1050">
        <f t="shared" si="20"/>
        <v>0.53987730061349704</v>
      </c>
      <c r="H388" s="3146"/>
      <c r="I388" s="3145"/>
      <c r="J388" s="1060">
        <f t="shared" si="24"/>
        <v>-4.0819123251359501E-2</v>
      </c>
      <c r="K388" s="2420" t="s">
        <v>1275</v>
      </c>
      <c r="L388" s="2422" t="str">
        <f t="shared" si="23"/>
        <v>OTE</v>
      </c>
      <c r="M388" s="721">
        <f t="shared" si="21"/>
        <v>0</v>
      </c>
      <c r="N388" s="721">
        <f t="shared" si="22"/>
        <v>2.3748268355432534E-2</v>
      </c>
      <c r="Q388" s="957"/>
      <c r="R388" s="957"/>
      <c r="S388" s="957"/>
      <c r="T388" s="957"/>
      <c r="AV388" s="670"/>
    </row>
    <row r="389" spans="1:48" s="958" customFormat="1" ht="13.2" customHeight="1">
      <c r="A389" s="877" t="s">
        <v>503</v>
      </c>
      <c r="B389" s="878" t="s">
        <v>286</v>
      </c>
      <c r="C389" s="1965"/>
      <c r="D389" s="1052">
        <f t="shared" si="18"/>
        <v>0</v>
      </c>
      <c r="E389" s="1050">
        <f t="shared" si="19"/>
        <v>0.34534166666666666</v>
      </c>
      <c r="F389" s="1052">
        <f>$K$255</f>
        <v>0.1</v>
      </c>
      <c r="G389" s="1050">
        <f t="shared" si="20"/>
        <v>0.3626280111015483</v>
      </c>
      <c r="H389" s="3158" t="s">
        <v>1047</v>
      </c>
      <c r="I389" s="3159"/>
      <c r="J389" s="1060">
        <f t="shared" si="24"/>
        <v>-0.15341065199475185</v>
      </c>
      <c r="K389" s="2420" t="s">
        <v>1275</v>
      </c>
      <c r="L389" s="2422" t="str">
        <f t="shared" si="23"/>
        <v>TIT</v>
      </c>
      <c r="M389" s="721">
        <f t="shared" si="21"/>
        <v>0</v>
      </c>
      <c r="N389" s="721">
        <f t="shared" si="22"/>
        <v>2.1728011101548261E-2</v>
      </c>
      <c r="Q389" s="957"/>
      <c r="R389" s="957"/>
      <c r="S389" s="957"/>
      <c r="T389" s="957"/>
      <c r="AV389" s="670"/>
    </row>
    <row r="390" spans="1:48" s="958" customFormat="1" ht="13.2" customHeight="1">
      <c r="A390" s="420" t="s">
        <v>504</v>
      </c>
      <c r="B390" s="308" t="s">
        <v>281</v>
      </c>
      <c r="C390" s="1964"/>
      <c r="D390" s="1052">
        <f t="shared" si="18"/>
        <v>0</v>
      </c>
      <c r="E390" s="1050">
        <f t="shared" si="19"/>
        <v>0.7344324868237998</v>
      </c>
      <c r="F390" s="1524">
        <v>0</v>
      </c>
      <c r="G390" s="1050">
        <f t="shared" si="20"/>
        <v>0.74956908795771016</v>
      </c>
      <c r="H390" s="3160" t="s">
        <v>2219</v>
      </c>
      <c r="I390" s="3161"/>
      <c r="J390" s="1060">
        <f t="shared" si="24"/>
        <v>-8.2752997256007932E-2</v>
      </c>
      <c r="K390" s="2420" t="s">
        <v>55</v>
      </c>
      <c r="L390" s="2422" t="str">
        <f t="shared" si="23"/>
        <v>TEL</v>
      </c>
      <c r="M390" s="721">
        <f t="shared" si="21"/>
        <v>0</v>
      </c>
      <c r="N390" s="721">
        <f t="shared" si="22"/>
        <v>0</v>
      </c>
      <c r="Q390" s="957"/>
      <c r="R390" s="957"/>
      <c r="S390" s="957"/>
      <c r="T390" s="957"/>
      <c r="AV390" s="670"/>
    </row>
    <row r="391" spans="1:48" s="958" customFormat="1" ht="13.2" customHeight="1">
      <c r="A391" s="420" t="s">
        <v>505</v>
      </c>
      <c r="B391" s="308" t="s">
        <v>44</v>
      </c>
      <c r="C391" s="1964"/>
      <c r="D391" s="1052">
        <f t="shared" si="18"/>
        <v>0</v>
      </c>
      <c r="E391" s="1050">
        <f t="shared" si="19"/>
        <v>0.5805147103617575</v>
      </c>
      <c r="F391" s="1052">
        <f>$K$255</f>
        <v>0.1</v>
      </c>
      <c r="G391" s="1050">
        <f t="shared" si="20"/>
        <v>0.6264024463118032</v>
      </c>
      <c r="H391" s="3146"/>
      <c r="I391" s="3145"/>
      <c r="J391" s="1060">
        <f t="shared" si="24"/>
        <v>3.3827236605694644E-2</v>
      </c>
      <c r="K391" s="2420" t="s">
        <v>1275</v>
      </c>
      <c r="L391" s="2422" t="str">
        <f t="shared" si="23"/>
        <v>KPN</v>
      </c>
      <c r="M391" s="721">
        <f t="shared" si="21"/>
        <v>0</v>
      </c>
      <c r="N391" s="721">
        <f t="shared" si="22"/>
        <v>2.2559427465275839E-2</v>
      </c>
      <c r="Q391" s="957"/>
      <c r="R391" s="957"/>
      <c r="S391" s="957"/>
      <c r="T391" s="957"/>
      <c r="AV391" s="670"/>
    </row>
    <row r="392" spans="1:48" s="958" customFormat="1" ht="13.2" customHeight="1">
      <c r="A392" s="420" t="s">
        <v>506</v>
      </c>
      <c r="B392" s="308" t="s">
        <v>289</v>
      </c>
      <c r="C392" s="1964"/>
      <c r="D392" s="1052">
        <f t="shared" si="18"/>
        <v>0</v>
      </c>
      <c r="E392" s="1050">
        <f t="shared" si="19"/>
        <v>0.42290073595624156</v>
      </c>
      <c r="F392" s="1052">
        <f>$K$255</f>
        <v>0.1</v>
      </c>
      <c r="G392" s="1050">
        <f t="shared" si="20"/>
        <v>0.44946685046944856</v>
      </c>
      <c r="H392" s="3158" t="s">
        <v>2218</v>
      </c>
      <c r="I392" s="3159"/>
      <c r="J392" s="1066" t="s">
        <v>513</v>
      </c>
      <c r="K392" s="2420" t="s">
        <v>1275</v>
      </c>
      <c r="L392" s="2422" t="str">
        <f t="shared" si="23"/>
        <v>TPS</v>
      </c>
      <c r="M392" s="721">
        <f t="shared" si="21"/>
        <v>0</v>
      </c>
      <c r="N392" s="721">
        <f t="shared" si="22"/>
        <v>2.3453449914948965E-2</v>
      </c>
      <c r="Q392" s="957"/>
      <c r="R392" s="957"/>
      <c r="S392" s="957"/>
      <c r="T392" s="957"/>
      <c r="AV392" s="670"/>
    </row>
    <row r="393" spans="1:48" s="958" customFormat="1" ht="13.2" customHeight="1">
      <c r="A393" s="420" t="s">
        <v>27</v>
      </c>
      <c r="B393" s="308" t="s">
        <v>54</v>
      </c>
      <c r="C393" s="1964"/>
      <c r="D393" s="1052">
        <f t="shared" si="18"/>
        <v>0</v>
      </c>
      <c r="E393" s="1050">
        <f t="shared" si="19"/>
        <v>0.48460704112825509</v>
      </c>
      <c r="F393" s="1052">
        <f>$K$255</f>
        <v>0.1</v>
      </c>
      <c r="G393" s="1050">
        <f t="shared" si="20"/>
        <v>0.49497857034449522</v>
      </c>
      <c r="H393" s="3160" t="s">
        <v>2220</v>
      </c>
      <c r="I393" s="3161"/>
      <c r="J393" s="1060">
        <f t="shared" ref="J393:J398" si="25">E393-S115</f>
        <v>-0.1414347806339627</v>
      </c>
      <c r="K393" s="2420" t="s">
        <v>1275</v>
      </c>
      <c r="L393" s="2422" t="str">
        <f t="shared" si="23"/>
        <v>PT</v>
      </c>
      <c r="M393" s="721">
        <f t="shared" si="21"/>
        <v>0</v>
      </c>
      <c r="N393" s="721">
        <f t="shared" si="22"/>
        <v>2.3795742533046227E-2</v>
      </c>
      <c r="Q393" s="957"/>
      <c r="R393" s="957"/>
      <c r="S393" s="957"/>
      <c r="T393" s="957"/>
      <c r="AV393" s="670"/>
    </row>
    <row r="394" spans="1:48" s="958" customFormat="1" ht="13.2" customHeight="1">
      <c r="A394" s="420" t="s">
        <v>32</v>
      </c>
      <c r="B394" s="308" t="s">
        <v>50</v>
      </c>
      <c r="C394" s="1964"/>
      <c r="D394" s="1052">
        <f t="shared" si="18"/>
        <v>0</v>
      </c>
      <c r="E394" s="1050">
        <f t="shared" si="19"/>
        <v>0</v>
      </c>
      <c r="F394" s="1052">
        <f>$K$255</f>
        <v>0.1</v>
      </c>
      <c r="G394" s="1050">
        <f t="shared" si="20"/>
        <v>0</v>
      </c>
      <c r="H394" s="3146"/>
      <c r="I394" s="3145"/>
      <c r="J394" s="1060">
        <f t="shared" si="25"/>
        <v>0</v>
      </c>
      <c r="K394" s="2420" t="s">
        <v>372</v>
      </c>
      <c r="L394" s="2422" t="str">
        <f t="shared" si="23"/>
        <v>BT</v>
      </c>
      <c r="M394" s="721">
        <f t="shared" si="21"/>
        <v>0</v>
      </c>
      <c r="N394" s="721">
        <f t="shared" si="22"/>
        <v>0</v>
      </c>
      <c r="Q394" s="957"/>
      <c r="R394" s="957"/>
      <c r="S394" s="957"/>
      <c r="T394" s="957"/>
      <c r="AV394" s="670"/>
    </row>
    <row r="395" spans="1:48" s="958" customFormat="1" ht="13.2" customHeight="1">
      <c r="A395" s="420" t="s">
        <v>32</v>
      </c>
      <c r="B395" s="308" t="s">
        <v>279</v>
      </c>
      <c r="C395" s="1964"/>
      <c r="D395" s="1052">
        <f t="shared" si="18"/>
        <v>0</v>
      </c>
      <c r="E395" s="1050">
        <f t="shared" si="19"/>
        <v>0.91487499999999988</v>
      </c>
      <c r="F395" s="1052">
        <f>$K$255</f>
        <v>0.1</v>
      </c>
      <c r="G395" s="1050">
        <f t="shared" si="20"/>
        <v>0.89481420237931208</v>
      </c>
      <c r="H395" s="3149" t="s">
        <v>2221</v>
      </c>
      <c r="I395" s="3145"/>
      <c r="J395" s="1060">
        <f t="shared" si="25"/>
        <v>-6.4704334286297738E-2</v>
      </c>
      <c r="K395" s="2420" t="s">
        <v>55</v>
      </c>
      <c r="L395" s="2422" t="str">
        <f t="shared" si="23"/>
        <v>VOD</v>
      </c>
      <c r="M395" s="721">
        <f t="shared" si="21"/>
        <v>0</v>
      </c>
      <c r="N395" s="721">
        <f t="shared" si="22"/>
        <v>9.3142023793121309E-3</v>
      </c>
      <c r="Q395" s="957"/>
      <c r="R395" s="957"/>
      <c r="S395" s="957"/>
      <c r="T395" s="957"/>
      <c r="AV395" s="670"/>
    </row>
    <row r="396" spans="1:48" s="958" customFormat="1" ht="13.2" customHeight="1">
      <c r="A396" s="420" t="s">
        <v>507</v>
      </c>
      <c r="B396" s="308" t="s">
        <v>284</v>
      </c>
      <c r="C396" s="1964"/>
      <c r="D396" s="1052">
        <f t="shared" si="18"/>
        <v>0</v>
      </c>
      <c r="E396" s="1050">
        <f t="shared" si="19"/>
        <v>0.67984865616162071</v>
      </c>
      <c r="F396" s="1524">
        <v>0</v>
      </c>
      <c r="G396" s="1050">
        <f t="shared" si="20"/>
        <v>0.7167630057803468</v>
      </c>
      <c r="H396" s="3146"/>
      <c r="I396" s="3145"/>
      <c r="J396" s="1060">
        <f t="shared" si="25"/>
        <v>8.9815037331044345E-2</v>
      </c>
      <c r="K396" s="2420" t="s">
        <v>55</v>
      </c>
      <c r="L396" s="2422" t="str">
        <f t="shared" si="23"/>
        <v>TLSN</v>
      </c>
      <c r="M396" s="721">
        <f t="shared" si="21"/>
        <v>0</v>
      </c>
      <c r="N396" s="721">
        <f t="shared" si="22"/>
        <v>0</v>
      </c>
      <c r="Q396" s="957"/>
      <c r="R396" s="957"/>
      <c r="S396" s="957"/>
      <c r="T396" s="957"/>
      <c r="AV396" s="670"/>
    </row>
    <row r="397" spans="1:48" s="958" customFormat="1" ht="13.2" customHeight="1">
      <c r="A397" s="420" t="s">
        <v>507</v>
      </c>
      <c r="B397" s="308" t="s">
        <v>282</v>
      </c>
      <c r="C397" s="1964"/>
      <c r="D397" s="1052">
        <f t="shared" si="18"/>
        <v>0</v>
      </c>
      <c r="E397" s="1050">
        <f t="shared" si="19"/>
        <v>0.67083419702973635</v>
      </c>
      <c r="F397" s="1524">
        <v>0</v>
      </c>
      <c r="G397" s="1050">
        <f t="shared" si="20"/>
        <v>0.63639387890884902</v>
      </c>
      <c r="H397" s="3146"/>
      <c r="I397" s="3145"/>
      <c r="J397" s="1060">
        <f t="shared" si="25"/>
        <v>-0.10069658760673372</v>
      </c>
      <c r="K397" s="2420" t="s">
        <v>55</v>
      </c>
      <c r="L397" s="2422" t="str">
        <f t="shared" si="23"/>
        <v>TEL2</v>
      </c>
      <c r="M397" s="721">
        <f t="shared" si="21"/>
        <v>0</v>
      </c>
      <c r="N397" s="721">
        <f t="shared" si="22"/>
        <v>0</v>
      </c>
      <c r="Q397" s="957"/>
      <c r="R397" s="957"/>
      <c r="S397" s="957"/>
      <c r="T397" s="957"/>
      <c r="AV397" s="670"/>
    </row>
    <row r="398" spans="1:48" s="958" customFormat="1" ht="13.2" customHeight="1">
      <c r="A398" s="420" t="s">
        <v>508</v>
      </c>
      <c r="B398" s="308" t="s">
        <v>290</v>
      </c>
      <c r="C398" s="1964"/>
      <c r="D398" s="1052">
        <f t="shared" si="18"/>
        <v>0</v>
      </c>
      <c r="E398" s="1050">
        <f t="shared" si="19"/>
        <v>0.32615050588405037</v>
      </c>
      <c r="F398" s="1524">
        <v>0</v>
      </c>
      <c r="G398" s="1050">
        <f t="shared" si="20"/>
        <v>0.30985103942866765</v>
      </c>
      <c r="H398" s="3146"/>
      <c r="I398" s="3145"/>
      <c r="J398" s="1060">
        <f t="shared" si="25"/>
        <v>-0.1740840928707893</v>
      </c>
      <c r="K398" s="2420" t="s">
        <v>1275</v>
      </c>
      <c r="L398" s="2422" t="str">
        <f t="shared" si="23"/>
        <v>SCM</v>
      </c>
      <c r="M398" s="721">
        <f t="shared" si="21"/>
        <v>0</v>
      </c>
      <c r="N398" s="721">
        <f t="shared" si="22"/>
        <v>0</v>
      </c>
      <c r="Q398" s="957"/>
      <c r="R398" s="957"/>
      <c r="S398" s="957"/>
      <c r="T398" s="957"/>
      <c r="AV398" s="670"/>
    </row>
    <row r="399" spans="1:48" s="958" customFormat="1" ht="13.2" customHeight="1">
      <c r="A399" s="420" t="s">
        <v>27</v>
      </c>
      <c r="B399" s="308" t="s">
        <v>357</v>
      </c>
      <c r="C399" s="1964"/>
      <c r="D399" s="1053">
        <f t="shared" si="18"/>
        <v>0</v>
      </c>
      <c r="E399" s="1050">
        <f t="shared" si="19"/>
        <v>0.90539538726018864</v>
      </c>
      <c r="F399" s="1053">
        <f>$K$255</f>
        <v>0.1</v>
      </c>
      <c r="G399" s="1050">
        <f t="shared" si="20"/>
        <v>0.90138346931536006</v>
      </c>
      <c r="H399" s="3156"/>
      <c r="I399" s="3157"/>
      <c r="J399" s="1066" t="s">
        <v>513</v>
      </c>
      <c r="K399" s="2420" t="s">
        <v>55</v>
      </c>
      <c r="L399" s="2422" t="str">
        <f t="shared" si="23"/>
        <v>SNC</v>
      </c>
      <c r="M399" s="721">
        <f t="shared" si="21"/>
        <v>0</v>
      </c>
      <c r="N399" s="721">
        <f t="shared" si="22"/>
        <v>8.8023255750200313E-3</v>
      </c>
      <c r="Q399" s="957"/>
      <c r="R399" s="957"/>
      <c r="S399" s="957"/>
      <c r="T399" s="957"/>
      <c r="AV399" s="670"/>
    </row>
    <row r="400" spans="1:48" s="958" customFormat="1" ht="13.2" customHeight="1">
      <c r="A400" s="801"/>
      <c r="B400" s="1424"/>
      <c r="C400" s="1939"/>
      <c r="H400" s="519"/>
      <c r="I400" s="1459" t="s">
        <v>1274</v>
      </c>
      <c r="J400" s="1060">
        <f>AVERAGE(J378:J381,J384,J386:J391,J393:J398)</f>
        <v>-3.9269767220148549E-2</v>
      </c>
      <c r="M400" s="1420"/>
      <c r="N400" s="957"/>
      <c r="O400" s="957"/>
      <c r="P400" s="957"/>
      <c r="Q400" s="957"/>
      <c r="R400" s="957"/>
      <c r="S400" s="957"/>
      <c r="T400" s="957"/>
      <c r="AV400" s="670"/>
    </row>
    <row r="401" spans="1:48">
      <c r="H401" s="1460"/>
      <c r="I401" s="1459" t="s">
        <v>2156</v>
      </c>
      <c r="J401" s="258">
        <f>AVERAGE(J378,J379,J380,J384,J387:J389,J391,J393,J398)</f>
        <v>-5.6495288332892878E-2</v>
      </c>
    </row>
    <row r="402" spans="1:48" s="1421" customFormat="1">
      <c r="A402" s="670"/>
      <c r="B402" s="1424"/>
      <c r="C402" s="1939"/>
      <c r="I402" s="1425"/>
      <c r="J402" s="1425"/>
      <c r="K402" s="1417"/>
      <c r="L402" s="1458"/>
      <c r="M402" s="72"/>
      <c r="AV402" s="670"/>
    </row>
    <row r="403" spans="1:48" s="1785" customFormat="1">
      <c r="A403" s="670"/>
      <c r="B403" s="1424"/>
      <c r="C403" s="1939"/>
      <c r="I403" s="1784"/>
      <c r="J403" s="1784"/>
      <c r="K403" s="1417"/>
      <c r="L403" s="1458"/>
      <c r="M403" s="72"/>
      <c r="AV403" s="670"/>
    </row>
    <row r="404" spans="1:48" s="1785" customFormat="1">
      <c r="A404" s="1512" t="s">
        <v>1525</v>
      </c>
      <c r="B404" s="2783"/>
      <c r="C404" s="1945"/>
      <c r="D404" s="1905"/>
      <c r="E404" s="1905"/>
      <c r="F404" s="3166"/>
      <c r="G404" s="3166"/>
      <c r="H404" s="3166"/>
      <c r="I404" s="3166"/>
      <c r="J404" s="3166"/>
      <c r="K404" s="3166"/>
      <c r="L404" s="1458"/>
      <c r="M404" s="72"/>
      <c r="AV404" s="670"/>
    </row>
    <row r="405" spans="1:48" s="1785" customFormat="1">
      <c r="A405" s="670"/>
      <c r="B405" s="1424"/>
      <c r="C405" s="1939"/>
      <c r="D405" s="1905"/>
      <c r="E405" s="1905"/>
      <c r="F405" s="3166"/>
      <c r="G405" s="3166"/>
      <c r="H405" s="3166"/>
      <c r="I405" s="3166"/>
      <c r="J405" s="3166"/>
      <c r="K405" s="3166"/>
      <c r="L405" s="1458"/>
      <c r="M405" s="72"/>
      <c r="AV405" s="670"/>
    </row>
    <row r="406" spans="1:48" s="1421" customFormat="1">
      <c r="A406" s="670"/>
      <c r="B406" s="1424"/>
      <c r="C406" s="1939"/>
      <c r="D406" s="1905"/>
      <c r="E406" s="1905"/>
      <c r="F406" s="3166"/>
      <c r="G406" s="3166"/>
      <c r="H406" s="3166"/>
      <c r="I406" s="3166"/>
      <c r="J406" s="3166"/>
      <c r="K406" s="3166"/>
      <c r="L406" s="1458"/>
      <c r="M406" s="72"/>
      <c r="AV406" s="670"/>
    </row>
    <row r="407" spans="1:48" s="1785" customFormat="1">
      <c r="A407" s="670"/>
      <c r="B407" s="1424"/>
      <c r="C407" s="1939"/>
      <c r="D407" s="1905"/>
      <c r="E407" s="1905"/>
      <c r="F407" s="3166"/>
      <c r="G407" s="3166"/>
      <c r="H407" s="3166"/>
      <c r="I407" s="3166"/>
      <c r="J407" s="3166"/>
      <c r="K407" s="3166"/>
      <c r="L407" s="1458"/>
      <c r="M407" s="72"/>
      <c r="AV407" s="670"/>
    </row>
    <row r="408" spans="1:48" s="1785" customFormat="1">
      <c r="A408" s="670"/>
      <c r="B408" s="1424"/>
      <c r="C408" s="1939"/>
      <c r="I408" s="1784"/>
      <c r="J408" s="1784"/>
      <c r="K408" s="1417"/>
      <c r="L408" s="1458"/>
      <c r="M408" s="72"/>
      <c r="AV408" s="670"/>
    </row>
    <row r="410" spans="1:48" s="1908" customFormat="1">
      <c r="A410" s="709" t="s">
        <v>1200</v>
      </c>
      <c r="B410" s="2802"/>
      <c r="C410" s="1939"/>
      <c r="D410" s="706"/>
      <c r="E410" s="706"/>
      <c r="F410" s="706"/>
      <c r="G410" s="706"/>
      <c r="H410" s="706"/>
      <c r="I410" s="1062"/>
      <c r="J410" s="1063"/>
      <c r="K410" s="1063"/>
      <c r="L410" s="506"/>
      <c r="M410" s="1064"/>
      <c r="N410" s="706"/>
      <c r="O410" s="706"/>
      <c r="P410" s="706"/>
      <c r="Q410" s="706"/>
      <c r="R410" s="706"/>
      <c r="S410" s="706"/>
      <c r="T410" s="706"/>
      <c r="U410" s="706"/>
      <c r="V410" s="706"/>
      <c r="W410" s="706"/>
      <c r="X410" s="706"/>
      <c r="Y410" s="706"/>
      <c r="Z410" s="706"/>
      <c r="AA410" s="706"/>
      <c r="AB410" s="706"/>
      <c r="AV410" s="1525"/>
    </row>
    <row r="411" spans="1:48" s="1304" customFormat="1">
      <c r="A411" s="670"/>
      <c r="B411" s="1424"/>
      <c r="C411" s="1939"/>
      <c r="I411" s="162"/>
      <c r="J411" s="162"/>
      <c r="K411" s="165"/>
      <c r="L411" s="71"/>
      <c r="M411" s="72"/>
      <c r="AV411" s="670"/>
    </row>
    <row r="412" spans="1:48" s="1392" customFormat="1" ht="13.2" customHeight="1">
      <c r="A412" s="152"/>
      <c r="B412" s="2803"/>
      <c r="C412" s="1939"/>
      <c r="D412" s="3176" t="s">
        <v>2223</v>
      </c>
      <c r="E412" s="3176"/>
      <c r="F412" s="3176"/>
      <c r="G412" s="3176"/>
      <c r="H412" s="3176"/>
      <c r="I412" s="3176"/>
      <c r="J412" s="3176"/>
      <c r="K412" s="3176"/>
      <c r="L412" s="1522"/>
      <c r="M412" s="72"/>
      <c r="AV412" s="670"/>
    </row>
    <row r="413" spans="1:48" s="1392" customFormat="1">
      <c r="A413" s="152"/>
      <c r="B413" s="1424"/>
      <c r="C413" s="1939"/>
      <c r="D413" s="3176"/>
      <c r="E413" s="3176"/>
      <c r="F413" s="3176"/>
      <c r="G413" s="3176"/>
      <c r="H413" s="3176"/>
      <c r="I413" s="3176"/>
      <c r="J413" s="3176"/>
      <c r="K413" s="3176"/>
      <c r="L413" s="1522"/>
      <c r="M413" s="2768" t="s">
        <v>2222</v>
      </c>
      <c r="AV413" s="670"/>
    </row>
    <row r="414" spans="1:48" s="2746" customFormat="1">
      <c r="A414" s="152"/>
      <c r="B414" s="1424"/>
      <c r="C414" s="1939"/>
      <c r="D414" s="3176"/>
      <c r="E414" s="3176"/>
      <c r="F414" s="3176"/>
      <c r="G414" s="3176"/>
      <c r="H414" s="3176"/>
      <c r="I414" s="3176"/>
      <c r="J414" s="3176"/>
      <c r="K414" s="3176"/>
      <c r="L414" s="2749"/>
      <c r="M414" s="75" t="s">
        <v>2228</v>
      </c>
      <c r="AV414" s="670"/>
    </row>
    <row r="415" spans="1:48" s="1392" customFormat="1" ht="13.2" customHeight="1">
      <c r="A415" s="152"/>
      <c r="B415" s="1424"/>
      <c r="C415" s="1939"/>
      <c r="D415" s="3177" t="s">
        <v>2224</v>
      </c>
      <c r="E415" s="3178"/>
      <c r="F415" s="3178"/>
      <c r="G415" s="3178"/>
      <c r="H415" s="3178"/>
      <c r="I415" s="3178"/>
      <c r="J415" s="3178"/>
      <c r="K415" s="3178"/>
      <c r="L415" s="1522"/>
      <c r="M415" s="72"/>
      <c r="AV415" s="670"/>
    </row>
    <row r="416" spans="1:48" s="1392" customFormat="1">
      <c r="A416" s="152"/>
      <c r="B416" s="1424"/>
      <c r="C416" s="1939"/>
      <c r="D416" s="3178"/>
      <c r="E416" s="3178"/>
      <c r="F416" s="3178"/>
      <c r="G416" s="3178"/>
      <c r="H416" s="3178"/>
      <c r="I416" s="3178"/>
      <c r="J416" s="3178"/>
      <c r="K416" s="3178"/>
      <c r="L416" s="1522"/>
      <c r="M416" s="72"/>
      <c r="AV416" s="670"/>
    </row>
    <row r="417" spans="1:48" s="1392" customFormat="1">
      <c r="A417" s="152"/>
      <c r="B417" s="1424"/>
      <c r="C417" s="1939"/>
      <c r="D417" s="3177" t="s">
        <v>2225</v>
      </c>
      <c r="E417" s="3177"/>
      <c r="F417" s="3177"/>
      <c r="G417" s="3177"/>
      <c r="H417" s="3177"/>
      <c r="I417" s="3177"/>
      <c r="J417" s="3177"/>
      <c r="K417" s="3177"/>
      <c r="L417" s="1522"/>
      <c r="M417" s="72"/>
      <c r="AV417" s="670"/>
    </row>
    <row r="418" spans="1:48" s="1392" customFormat="1">
      <c r="A418" s="152"/>
      <c r="B418" s="1424"/>
      <c r="C418" s="1939"/>
      <c r="D418" s="3177"/>
      <c r="E418" s="3177"/>
      <c r="F418" s="3177"/>
      <c r="G418" s="3177"/>
      <c r="H418" s="3177"/>
      <c r="I418" s="3177"/>
      <c r="J418" s="3177"/>
      <c r="K418" s="3177"/>
      <c r="L418" s="1522"/>
      <c r="M418" s="72"/>
      <c r="AV418" s="670"/>
    </row>
    <row r="419" spans="1:48" s="1484" customFormat="1">
      <c r="A419" s="152"/>
      <c r="B419" s="1424"/>
      <c r="C419" s="1939"/>
      <c r="D419" s="3178" t="s">
        <v>2231</v>
      </c>
      <c r="E419" s="3178"/>
      <c r="F419" s="3178"/>
      <c r="G419" s="3178"/>
      <c r="H419" s="3178"/>
      <c r="I419" s="3178"/>
      <c r="J419" s="3178"/>
      <c r="K419" s="3178"/>
      <c r="L419" s="1485"/>
      <c r="M419" s="72"/>
      <c r="AV419" s="670"/>
    </row>
    <row r="420" spans="1:48" s="1598" customFormat="1">
      <c r="A420" s="152"/>
      <c r="B420" s="1424"/>
      <c r="C420" s="1939"/>
      <c r="D420" s="3178"/>
      <c r="E420" s="3178"/>
      <c r="F420" s="3178"/>
      <c r="G420" s="3178"/>
      <c r="H420" s="3178"/>
      <c r="I420" s="3178"/>
      <c r="J420" s="3178"/>
      <c r="K420" s="3178"/>
      <c r="L420" s="1597"/>
      <c r="M420" s="3151" t="s">
        <v>2235</v>
      </c>
      <c r="N420" s="3151"/>
      <c r="O420" s="3151"/>
      <c r="P420" s="3151"/>
      <c r="Q420" s="3151"/>
      <c r="AV420" s="670"/>
    </row>
    <row r="421" spans="1:48" s="2746" customFormat="1">
      <c r="A421" s="152"/>
      <c r="B421" s="1424"/>
      <c r="C421" s="1939"/>
      <c r="D421" s="3178"/>
      <c r="E421" s="3178"/>
      <c r="F421" s="3178"/>
      <c r="G421" s="3178"/>
      <c r="H421" s="3178"/>
      <c r="I421" s="3178"/>
      <c r="J421" s="3178"/>
      <c r="K421" s="3178"/>
      <c r="L421" s="2747"/>
      <c r="M421" s="3151"/>
      <c r="N421" s="3151"/>
      <c r="O421" s="3151"/>
      <c r="P421" s="3151"/>
      <c r="Q421" s="3151"/>
      <c r="AV421" s="670"/>
    </row>
    <row r="422" spans="1:48" s="1392" customFormat="1">
      <c r="A422" s="152"/>
      <c r="B422" s="1424"/>
      <c r="C422" s="1939"/>
      <c r="D422" s="1421"/>
      <c r="E422" s="1421"/>
      <c r="F422" s="1421"/>
      <c r="G422" s="1421"/>
      <c r="H422" s="1421"/>
      <c r="I422" s="1421"/>
      <c r="J422" s="1421"/>
      <c r="K422" s="1421"/>
      <c r="L422" s="1421"/>
      <c r="M422" s="3151"/>
      <c r="N422" s="3151"/>
      <c r="O422" s="3151"/>
      <c r="P422" s="3151"/>
      <c r="Q422" s="3151"/>
      <c r="AV422" s="670"/>
    </row>
    <row r="423" spans="1:48" s="1392" customFormat="1">
      <c r="B423" s="1424"/>
      <c r="C423" s="1939"/>
      <c r="D423" s="1393"/>
      <c r="H423" s="945"/>
      <c r="I423" s="162"/>
      <c r="J423" s="162"/>
      <c r="K423" s="165"/>
      <c r="L423" s="71"/>
      <c r="M423" s="3151"/>
      <c r="N423" s="3151"/>
      <c r="O423" s="3151"/>
      <c r="P423" s="3151"/>
      <c r="Q423" s="3151"/>
      <c r="AV423" s="670"/>
    </row>
    <row r="424" spans="1:48" s="1392" customFormat="1" ht="15.6">
      <c r="A424" s="670"/>
      <c r="B424" s="1424" t="s">
        <v>1249</v>
      </c>
      <c r="C424" s="1971"/>
      <c r="D424" s="1357">
        <f>1-(E424+F424)</f>
        <v>0.10000000000000009</v>
      </c>
      <c r="E424" s="1358">
        <v>0.6</v>
      </c>
      <c r="F424" s="1358">
        <v>0.3</v>
      </c>
      <c r="G424" s="1404" t="s">
        <v>509</v>
      </c>
      <c r="H424" s="4" t="s">
        <v>1273</v>
      </c>
      <c r="I424" s="1457" t="s">
        <v>2085</v>
      </c>
      <c r="J424" s="2259"/>
      <c r="K424" s="2710"/>
      <c r="L424" s="71"/>
      <c r="M424" s="72"/>
      <c r="AV424" s="670"/>
    </row>
    <row r="425" spans="1:48" s="1392" customFormat="1">
      <c r="A425" s="670"/>
      <c r="B425" s="1424" t="s">
        <v>1250</v>
      </c>
      <c r="C425" s="1939"/>
      <c r="D425" s="1359" t="s">
        <v>1186</v>
      </c>
      <c r="E425" s="1298" t="s">
        <v>87</v>
      </c>
      <c r="F425" s="1351" t="s">
        <v>785</v>
      </c>
      <c r="G425" s="1405" t="s">
        <v>1208</v>
      </c>
      <c r="H425" s="3152"/>
      <c r="I425" s="3153"/>
      <c r="J425" s="2712"/>
      <c r="K425" s="2712"/>
      <c r="L425" s="2712"/>
      <c r="M425" s="1288"/>
      <c r="N425" s="1289" t="s">
        <v>1186</v>
      </c>
      <c r="O425" s="1406" t="s">
        <v>1208</v>
      </c>
      <c r="P425" s="72"/>
      <c r="Q425" s="1411"/>
      <c r="R425" s="1289" t="s">
        <v>87</v>
      </c>
      <c r="S425" s="1357" t="s">
        <v>1208</v>
      </c>
      <c r="V425" s="1352" t="s">
        <v>785</v>
      </c>
      <c r="W425" s="1357" t="s">
        <v>1208</v>
      </c>
      <c r="X425" s="1397" t="s">
        <v>1239</v>
      </c>
      <c r="Y425" s="1397" t="s">
        <v>1240</v>
      </c>
      <c r="Z425" s="75" t="s">
        <v>1241</v>
      </c>
      <c r="AV425" s="670"/>
    </row>
    <row r="426" spans="1:48" s="1392" customFormat="1">
      <c r="A426" s="1040" t="s">
        <v>323</v>
      </c>
      <c r="B426" s="695" t="s">
        <v>772</v>
      </c>
      <c r="C426" s="1964"/>
      <c r="D426" s="1399">
        <f t="shared" ref="D426:D438" si="26">VLOOKUP($B426,$M$426:$N$438,2,FALSE)</f>
        <v>7616.907214285714</v>
      </c>
      <c r="E426" s="1400">
        <f t="shared" ref="E426:E438" si="27">VLOOKUP($B426,$Q$426:$R$438,2,FALSE)</f>
        <v>4.8426442674927213</v>
      </c>
      <c r="F426" s="1061">
        <f t="shared" ref="F426:F438" si="28">VLOOKUP($B426,$U$426:$V$438,2,FALSE)</f>
        <v>0.37158673775730477</v>
      </c>
      <c r="G426" s="1401">
        <f t="shared" ref="G426:G438" si="29">VLOOKUP($B426,$U$426:$Z$438,6,FALSE)</f>
        <v>0</v>
      </c>
      <c r="H426" s="3154" t="s">
        <v>2170</v>
      </c>
      <c r="I426" s="3155"/>
      <c r="J426" s="2713"/>
      <c r="K426" s="2713"/>
      <c r="L426" s="2713"/>
      <c r="M426" s="1398" t="s">
        <v>53</v>
      </c>
      <c r="N426" s="1354">
        <f>VLOOKUP($M426,Ranking!$B$7:$AC$28,2,FALSE)</f>
        <v>60036.853628571422</v>
      </c>
      <c r="O426" s="1293">
        <f t="shared" ref="O426:O432" si="30">N426/$N$432-1</f>
        <v>6.8820513286509115</v>
      </c>
      <c r="P426" s="72"/>
      <c r="Q426" s="1398" t="s">
        <v>290</v>
      </c>
      <c r="R426" s="1402">
        <f>VLOOKUP($Q426,Ranking!$B$7:$AC$28,10,FALSE)</f>
        <v>6.7995363362554677</v>
      </c>
      <c r="S426" s="1293">
        <f t="shared" ref="S426:S433" si="31">R426/$R$433-1</f>
        <v>0.40409577096108418</v>
      </c>
      <c r="U426" s="1412" t="s">
        <v>285</v>
      </c>
      <c r="V426" s="1296">
        <f>VLOOKUP($U426,Ranking!$B$7:$AC$28,13,FALSE)</f>
        <v>0.62657499999999999</v>
      </c>
      <c r="W426" s="1293">
        <f t="shared" ref="W426:W435" si="32">V426/$V$435-1</f>
        <v>0.68621464743781102</v>
      </c>
      <c r="X426" s="1413">
        <f t="shared" ref="X426:X438" si="33">VLOOKUP(U426,$M$426:$O$438,3,FALSE)</f>
        <v>2.0943929130963586</v>
      </c>
      <c r="Y426" s="1413">
        <f t="shared" ref="Y426:Y438" si="34">VLOOKUP(U426,$Q$426:$S$438,3,FALSE)</f>
        <v>0.38463456662247686</v>
      </c>
      <c r="Z426" s="1414">
        <f>SQRT($D$424*X426^2+$E$424*Y426^2+$F$424*W426^2)</f>
        <v>0.81772952744462002</v>
      </c>
      <c r="AV426" s="670"/>
    </row>
    <row r="427" spans="1:48" s="1392" customFormat="1">
      <c r="A427" s="670" t="s">
        <v>506</v>
      </c>
      <c r="B427" s="1360" t="s">
        <v>289</v>
      </c>
      <c r="C427" s="1961"/>
      <c r="D427" s="1290">
        <f t="shared" si="26"/>
        <v>4580.8423286191064</v>
      </c>
      <c r="E427" s="1287">
        <f t="shared" si="27"/>
        <v>4.3871958272574467</v>
      </c>
      <c r="F427" s="1201">
        <f t="shared" si="28"/>
        <v>0.42290073595624156</v>
      </c>
      <c r="G427" s="1294">
        <f t="shared" si="29"/>
        <v>0.23688455301582265</v>
      </c>
      <c r="H427" s="3167" t="s">
        <v>2226</v>
      </c>
      <c r="I427" s="3168"/>
      <c r="J427" s="2713"/>
      <c r="K427" s="2713"/>
      <c r="L427" s="2713"/>
      <c r="M427" s="656" t="s">
        <v>52</v>
      </c>
      <c r="N427" s="1290">
        <f>VLOOKUP($M427,Ranking!$B$7:$AC$28,2,FALSE)</f>
        <v>40464.923042857146</v>
      </c>
      <c r="O427" s="1294">
        <f t="shared" si="30"/>
        <v>4.31251358385515</v>
      </c>
      <c r="P427" s="72"/>
      <c r="Q427" s="803" t="s">
        <v>285</v>
      </c>
      <c r="R427" s="1287">
        <f>VLOOKUP($Q427,Ranking!$B$7:$AC$28,10,FALSE)</f>
        <v>6.7052926466266065</v>
      </c>
      <c r="S427" s="1294">
        <f t="shared" si="31"/>
        <v>0.38463456662247686</v>
      </c>
      <c r="U427" s="803" t="s">
        <v>53</v>
      </c>
      <c r="V427" s="1299">
        <f>VLOOKUP($U427,Ranking!$B$7:$AC$28,13,FALSE)</f>
        <v>0.6158872479982318</v>
      </c>
      <c r="W427" s="1294">
        <f t="shared" si="32"/>
        <v>0.6574521785018268</v>
      </c>
      <c r="X427" s="1413">
        <f t="shared" si="33"/>
        <v>6.8820513286509115</v>
      </c>
      <c r="Y427" s="1413">
        <f t="shared" si="34"/>
        <v>0.17587316819354881</v>
      </c>
      <c r="Z427" s="1414">
        <f t="shared" ref="Z427:Z438" si="35">SQRT($D$424*X427^2+$E$424*Y427^2+$F$424*W427^2)</f>
        <v>2.2100893379901825</v>
      </c>
      <c r="AV427" s="670"/>
    </row>
    <row r="428" spans="1:48" s="1392" customFormat="1">
      <c r="A428" s="670" t="s">
        <v>545</v>
      </c>
      <c r="B428" s="1360" t="s">
        <v>39</v>
      </c>
      <c r="C428" s="1961"/>
      <c r="D428" s="1290">
        <f t="shared" si="26"/>
        <v>5059.5155870714543</v>
      </c>
      <c r="E428" s="1287">
        <f t="shared" si="27"/>
        <v>5.8927844479191869</v>
      </c>
      <c r="F428" s="1201">
        <f t="shared" si="28"/>
        <v>0.31054928118178421</v>
      </c>
      <c r="G428" s="1294">
        <f t="shared" si="29"/>
        <v>0.25564308627440069</v>
      </c>
      <c r="H428" s="3162"/>
      <c r="I428" s="3163"/>
      <c r="M428" s="656" t="s">
        <v>288</v>
      </c>
      <c r="N428" s="1290">
        <f>VLOOKUP($M428,Ranking!$B$7:$AC$28,2,FALSE)</f>
        <v>31174.883771428573</v>
      </c>
      <c r="O428" s="1294">
        <f t="shared" si="30"/>
        <v>3.092853292601391</v>
      </c>
      <c r="P428" s="72"/>
      <c r="Q428" s="803" t="s">
        <v>54</v>
      </c>
      <c r="R428" s="1287">
        <f>VLOOKUP($Q428,Ranking!$B$7:$AC$28,10,FALSE)</f>
        <v>6.4063105209788551</v>
      </c>
      <c r="S428" s="1294">
        <f t="shared" si="31"/>
        <v>0.32289513065879638</v>
      </c>
      <c r="U428" s="803" t="s">
        <v>52</v>
      </c>
      <c r="V428" s="1201">
        <f>VLOOKUP($U428,Ranking!$B$7:$AC$28,13,FALSE)</f>
        <v>0.61</v>
      </c>
      <c r="W428" s="1294">
        <f t="shared" si="32"/>
        <v>0.6416086421211582</v>
      </c>
      <c r="X428" s="1413">
        <f t="shared" si="33"/>
        <v>4.31251358385515</v>
      </c>
      <c r="Y428" s="1413">
        <f t="shared" si="34"/>
        <v>3.0546765235594631E-2</v>
      </c>
      <c r="Z428" s="1414">
        <f t="shared" si="35"/>
        <v>1.4084870247562462</v>
      </c>
      <c r="AV428" s="670"/>
    </row>
    <row r="429" spans="1:48" s="1392" customFormat="1">
      <c r="A429" s="670" t="s">
        <v>503</v>
      </c>
      <c r="B429" s="1360" t="s">
        <v>286</v>
      </c>
      <c r="C429" s="1961"/>
      <c r="D429" s="1290">
        <f t="shared" si="26"/>
        <v>15596.516285714286</v>
      </c>
      <c r="E429" s="1287">
        <f t="shared" si="27"/>
        <v>4.5606838408134944</v>
      </c>
      <c r="F429" s="1201">
        <f t="shared" si="28"/>
        <v>0.34534166666666666</v>
      </c>
      <c r="G429" s="1294">
        <f t="shared" si="29"/>
        <v>0.33730752143371534</v>
      </c>
      <c r="H429" s="3170"/>
      <c r="I429" s="3171"/>
      <c r="M429" s="669" t="s">
        <v>290</v>
      </c>
      <c r="N429" s="1290">
        <f>VLOOKUP($M429,Ranking!$B$7:$AC$28,2,FALSE)</f>
        <v>16250.837973523972</v>
      </c>
      <c r="O429" s="1294">
        <f t="shared" si="30"/>
        <v>1.1335218503180777</v>
      </c>
      <c r="P429" s="72"/>
      <c r="Q429" s="803" t="str">
        <f>Ranking!B124</f>
        <v>TDC</v>
      </c>
      <c r="R429" s="1287">
        <f>VLOOKUP($Q429,Ranking!$B$7:$AC$28,10,FALSE)</f>
        <v>5.8927844479191869</v>
      </c>
      <c r="S429" s="1294">
        <f t="shared" si="31"/>
        <v>0.21685263719983627</v>
      </c>
      <c r="U429" s="803" t="s">
        <v>278</v>
      </c>
      <c r="V429" s="1201">
        <f>VLOOKUP($U429,Ranking!$B$7:$AC$28,13,FALSE)</f>
        <v>0.60910298289809772</v>
      </c>
      <c r="W429" s="1294">
        <f t="shared" si="32"/>
        <v>0.63919462404474303</v>
      </c>
      <c r="X429" s="1413">
        <f t="shared" si="33"/>
        <v>1.1492084940153529</v>
      </c>
      <c r="Y429" s="1413">
        <f t="shared" si="34"/>
        <v>8.8145295588315964E-2</v>
      </c>
      <c r="Z429" s="1414">
        <f t="shared" si="35"/>
        <v>0.50921577192249723</v>
      </c>
      <c r="AV429" s="670"/>
    </row>
    <row r="430" spans="1:48" s="1392" customFormat="1" ht="13.2" customHeight="1">
      <c r="A430" s="670" t="s">
        <v>27</v>
      </c>
      <c r="B430" s="83" t="s">
        <v>54</v>
      </c>
      <c r="C430" s="1964"/>
      <c r="D430" s="1290">
        <f t="shared" si="26"/>
        <v>4745.1447857142857</v>
      </c>
      <c r="E430" s="1287">
        <f t="shared" si="27"/>
        <v>6.4063105209788551</v>
      </c>
      <c r="F430" s="1201">
        <f t="shared" si="28"/>
        <v>0.48460704112825509</v>
      </c>
      <c r="G430" s="1294">
        <f t="shared" si="29"/>
        <v>0.3562818119504782</v>
      </c>
      <c r="H430" s="3169" t="s">
        <v>2171</v>
      </c>
      <c r="I430" s="3163"/>
      <c r="J430" s="1417"/>
      <c r="L430" s="2711"/>
      <c r="M430" s="669" t="s">
        <v>286</v>
      </c>
      <c r="N430" s="1290">
        <f>VLOOKUP($M430,Ranking!$B$7:$AC$28,2,FALSE)</f>
        <v>15596.516285714286</v>
      </c>
      <c r="O430" s="1294">
        <f t="shared" si="30"/>
        <v>1.0476179959843281</v>
      </c>
      <c r="P430" s="72"/>
      <c r="Q430" s="803" t="str">
        <f>Ranking!B126</f>
        <v>TEF</v>
      </c>
      <c r="R430" s="1287">
        <f>VLOOKUP($Q430,Ranking!$B$7:$AC$28,10,FALSE)</f>
        <v>5.6943354572509941</v>
      </c>
      <c r="S430" s="1294">
        <f t="shared" si="31"/>
        <v>0.17587316819354881</v>
      </c>
      <c r="U430" s="656" t="s">
        <v>288</v>
      </c>
      <c r="V430" s="1201">
        <f>VLOOKUP($U430,Ranking!$B$7:$AC$28,13,FALSE)</f>
        <v>0.60741568747204655</v>
      </c>
      <c r="W430" s="1294">
        <f t="shared" si="32"/>
        <v>0.63465383920340357</v>
      </c>
      <c r="X430" s="1413">
        <f t="shared" si="33"/>
        <v>3.092853292601391</v>
      </c>
      <c r="Y430" s="1413">
        <f t="shared" si="34"/>
        <v>1.2290298679914935E-2</v>
      </c>
      <c r="Z430" s="1414">
        <f t="shared" si="35"/>
        <v>1.0380271810050052</v>
      </c>
      <c r="AV430" s="670"/>
    </row>
    <row r="431" spans="1:48" s="1392" customFormat="1">
      <c r="A431" s="670" t="s">
        <v>505</v>
      </c>
      <c r="B431" s="1360" t="s">
        <v>44</v>
      </c>
      <c r="C431" s="1961"/>
      <c r="D431" s="1290">
        <f t="shared" si="26"/>
        <v>12234.494271428572</v>
      </c>
      <c r="E431" s="1287">
        <f t="shared" si="27"/>
        <v>4.9270605931091591</v>
      </c>
      <c r="F431" s="1201">
        <f t="shared" si="28"/>
        <v>0.5805147103617575</v>
      </c>
      <c r="G431" s="1294">
        <f t="shared" si="29"/>
        <v>0.36300712913047462</v>
      </c>
      <c r="H431" s="3162"/>
      <c r="I431" s="3163"/>
      <c r="J431" s="1417"/>
      <c r="K431" s="2693"/>
      <c r="M431" s="669" t="s">
        <v>44</v>
      </c>
      <c r="N431" s="1290">
        <f>VLOOKUP($M431,Ranking!$B$7:$AC$28,2,FALSE)</f>
        <v>12234.494271428572</v>
      </c>
      <c r="O431" s="1294">
        <f t="shared" si="30"/>
        <v>0.60622860791614341</v>
      </c>
      <c r="P431" s="72"/>
      <c r="Q431" s="803" t="str">
        <f>Ranking!B127</f>
        <v>DT</v>
      </c>
      <c r="R431" s="1287">
        <f>VLOOKUP($Q431,Ranking!$B$7:$AC$28,10,FALSE)</f>
        <v>4.9905713850513198</v>
      </c>
      <c r="S431" s="1294">
        <f t="shared" si="31"/>
        <v>3.0546765235594631E-2</v>
      </c>
      <c r="U431" s="803" t="s">
        <v>44</v>
      </c>
      <c r="V431" s="1201">
        <f>VLOOKUP($U431,Ranking!$B$7:$AC$28,13,FALSE)</f>
        <v>0.5805147103617575</v>
      </c>
      <c r="W431" s="1294">
        <f t="shared" si="32"/>
        <v>0.56225895968577411</v>
      </c>
      <c r="X431" s="1413">
        <f t="shared" si="33"/>
        <v>0.60622860791614341</v>
      </c>
      <c r="Y431" s="1413">
        <f t="shared" si="34"/>
        <v>1.7431865929756762E-2</v>
      </c>
      <c r="Z431" s="1414">
        <f t="shared" si="35"/>
        <v>0.36300712913047462</v>
      </c>
      <c r="AA431" s="1426"/>
      <c r="AB431" s="1426" t="s">
        <v>1245</v>
      </c>
      <c r="AV431" s="670"/>
    </row>
    <row r="432" spans="1:48" s="1392" customFormat="1">
      <c r="A432" s="670" t="s">
        <v>508</v>
      </c>
      <c r="B432" s="1360" t="s">
        <v>290</v>
      </c>
      <c r="C432" s="1961"/>
      <c r="D432" s="1290">
        <f t="shared" si="26"/>
        <v>16250.837973523972</v>
      </c>
      <c r="E432" s="1287">
        <f t="shared" si="27"/>
        <v>6.7995363362554677</v>
      </c>
      <c r="F432" s="1201">
        <f t="shared" si="28"/>
        <v>0.32615050588405037</v>
      </c>
      <c r="G432" s="1294">
        <f t="shared" si="29"/>
        <v>0.48196000780318182</v>
      </c>
      <c r="H432" s="3164"/>
      <c r="I432" s="3165"/>
      <c r="K432" s="2693"/>
      <c r="M432" s="1407" t="s">
        <v>772</v>
      </c>
      <c r="N432" s="1291">
        <f>VLOOKUP($M432,Ranking!$B$7:$AC$28,2,FALSE)</f>
        <v>7616.907214285714</v>
      </c>
      <c r="O432" s="1356">
        <f t="shared" si="30"/>
        <v>0</v>
      </c>
      <c r="P432" s="72"/>
      <c r="Q432" s="803" t="str">
        <f>Ranking!B129</f>
        <v>KPN</v>
      </c>
      <c r="R432" s="1287">
        <f>VLOOKUP($Q432,Ranking!$B$7:$AC$28,10,FALSE)</f>
        <v>4.9270605931091591</v>
      </c>
      <c r="S432" s="1294">
        <f t="shared" si="31"/>
        <v>1.7431865929756762E-2</v>
      </c>
      <c r="U432" s="803" t="s">
        <v>42</v>
      </c>
      <c r="V432" s="1350">
        <f>VLOOKUP($U432,Ranking!$B$7:$AC$28,13,FALSE)</f>
        <v>0.56323171407839789</v>
      </c>
      <c r="W432" s="1294">
        <f t="shared" si="32"/>
        <v>0.51574762188165768</v>
      </c>
      <c r="X432" s="1413">
        <f t="shared" si="33"/>
        <v>2.1312485338335492</v>
      </c>
      <c r="Y432" s="1413">
        <f t="shared" si="34"/>
        <v>0.2917641228793646</v>
      </c>
      <c r="Z432" s="1414">
        <f t="shared" si="35"/>
        <v>0.7649160059637139</v>
      </c>
      <c r="AA432" s="1426" t="s">
        <v>545</v>
      </c>
      <c r="AB432" s="1427">
        <v>5.6</v>
      </c>
      <c r="AV432" s="670"/>
    </row>
    <row r="433" spans="1:48" s="1392" customFormat="1">
      <c r="A433" s="670" t="s">
        <v>389</v>
      </c>
      <c r="B433" s="1360" t="s">
        <v>278</v>
      </c>
      <c r="C433" s="1961"/>
      <c r="D433" s="1290">
        <f t="shared" si="26"/>
        <v>3544.0522571428578</v>
      </c>
      <c r="E433" s="1287">
        <f t="shared" si="27"/>
        <v>4.4503654862327</v>
      </c>
      <c r="F433" s="1201">
        <f t="shared" si="28"/>
        <v>0.60910298289809772</v>
      </c>
      <c r="G433" s="1294">
        <f t="shared" si="29"/>
        <v>0.50921577192249723</v>
      </c>
      <c r="H433" s="3172" t="s">
        <v>2462</v>
      </c>
      <c r="I433" s="3173"/>
      <c r="K433" s="2693"/>
      <c r="M433" s="669" t="s">
        <v>39</v>
      </c>
      <c r="N433" s="1290">
        <f>VLOOKUP($M433,Ranking!$B$7:$AC$28,2,FALSE)</f>
        <v>5059.5155870714543</v>
      </c>
      <c r="O433" s="1294">
        <f t="shared" ref="O433:O438" si="36">$N$432/N433-1</f>
        <v>0.50546175482671596</v>
      </c>
      <c r="P433" s="72"/>
      <c r="Q433" s="1408" t="str">
        <f>Ranking!B130</f>
        <v>BELGACOM</v>
      </c>
      <c r="R433" s="1349">
        <f>VLOOKUP($Q433,Ranking!$B$7:$AC$28,10,FALSE)</f>
        <v>4.8426442674927213</v>
      </c>
      <c r="S433" s="1356">
        <f t="shared" si="31"/>
        <v>0</v>
      </c>
      <c r="U433" s="803" t="s">
        <v>54</v>
      </c>
      <c r="V433" s="1201">
        <f>VLOOKUP($U433,Ranking!$B$7:$AC$28,13,FALSE)</f>
        <v>0.48460704112825509</v>
      </c>
      <c r="W433" s="1294">
        <f t="shared" si="32"/>
        <v>0.30415591270312636</v>
      </c>
      <c r="X433" s="1413">
        <f t="shared" si="33"/>
        <v>0.60520016949053801</v>
      </c>
      <c r="Y433" s="1413">
        <f t="shared" si="34"/>
        <v>0.32289513065879638</v>
      </c>
      <c r="Z433" s="1414">
        <f t="shared" si="35"/>
        <v>0.3562818119504782</v>
      </c>
      <c r="AA433" s="1426" t="s">
        <v>508</v>
      </c>
      <c r="AB433" s="1428">
        <v>8</v>
      </c>
      <c r="AV433" s="670"/>
    </row>
    <row r="434" spans="1:48" s="1392" customFormat="1">
      <c r="A434" s="1455" t="s">
        <v>378</v>
      </c>
      <c r="B434" s="82" t="s">
        <v>42</v>
      </c>
      <c r="C434" s="1964"/>
      <c r="D434" s="1354">
        <f t="shared" si="26"/>
        <v>2432.5463571428577</v>
      </c>
      <c r="E434" s="1402">
        <f t="shared" si="27"/>
        <v>3.7488610975650749</v>
      </c>
      <c r="F434" s="1403">
        <f t="shared" si="28"/>
        <v>0.56323171407839789</v>
      </c>
      <c r="G434" s="1293">
        <f t="shared" si="29"/>
        <v>0.7649160059637139</v>
      </c>
      <c r="H434" s="3174"/>
      <c r="I434" s="3175"/>
      <c r="K434" s="2693"/>
      <c r="M434" s="669" t="s">
        <v>54</v>
      </c>
      <c r="N434" s="1290">
        <f>VLOOKUP($M434,Ranking!$B$7:$AC$28,2,FALSE)</f>
        <v>4745.1447857142857</v>
      </c>
      <c r="O434" s="1294">
        <f t="shared" si="36"/>
        <v>0.60520016949053801</v>
      </c>
      <c r="P434" s="72"/>
      <c r="Q434" s="803" t="str">
        <f>Ranking!B131</f>
        <v>ORA</v>
      </c>
      <c r="R434" s="1287">
        <f>VLOOKUP($Q434,Ranking!$B$7:$AC$28,10,FALSE)</f>
        <v>4.7838493303826084</v>
      </c>
      <c r="S434" s="1294">
        <f>$R$433/R434-1</f>
        <v>1.2290298679914935E-2</v>
      </c>
      <c r="U434" s="803" t="s">
        <v>289</v>
      </c>
      <c r="V434" s="1201">
        <f>VLOOKUP($U434,Ranking!$B$7:$AC$28,13,FALSE)</f>
        <v>0.42290073595624156</v>
      </c>
      <c r="W434" s="1294">
        <f t="shared" si="32"/>
        <v>0.13809426705764616</v>
      </c>
      <c r="X434" s="1413">
        <f t="shared" si="33"/>
        <v>0.66277436939896339</v>
      </c>
      <c r="Y434" s="1413">
        <f t="shared" si="34"/>
        <v>0.10381310936831101</v>
      </c>
      <c r="Z434" s="1414">
        <f t="shared" si="35"/>
        <v>0.23688455301582265</v>
      </c>
      <c r="AA434" s="1426" t="s">
        <v>389</v>
      </c>
      <c r="AB434" s="1427">
        <v>8.5</v>
      </c>
      <c r="AV434" s="670"/>
    </row>
    <row r="435" spans="1:48" s="1392" customFormat="1">
      <c r="A435" s="1183" t="s">
        <v>73</v>
      </c>
      <c r="B435" s="83" t="s">
        <v>285</v>
      </c>
      <c r="C435" s="1964"/>
      <c r="D435" s="1290">
        <f t="shared" si="26"/>
        <v>2461.5190857142857</v>
      </c>
      <c r="E435" s="1287">
        <f t="shared" si="27"/>
        <v>6.7052926466266065</v>
      </c>
      <c r="F435" s="1201">
        <f t="shared" si="28"/>
        <v>0.62657499999999999</v>
      </c>
      <c r="G435" s="1294">
        <f t="shared" si="29"/>
        <v>0.81772952744462002</v>
      </c>
      <c r="H435" s="3162" t="s">
        <v>2227</v>
      </c>
      <c r="I435" s="3163"/>
      <c r="K435" s="2693"/>
      <c r="M435" s="669" t="s">
        <v>289</v>
      </c>
      <c r="N435" s="1290">
        <f>VLOOKUP($M435,Ranking!$B$7:$AC$28,2,FALSE)</f>
        <v>4580.8423286191064</v>
      </c>
      <c r="O435" s="1294">
        <f t="shared" si="36"/>
        <v>0.66277436939896339</v>
      </c>
      <c r="P435" s="72"/>
      <c r="Q435" s="803" t="str">
        <f>Ranking!B133</f>
        <v>TIT</v>
      </c>
      <c r="R435" s="1287">
        <f>VLOOKUP($Q435,Ranking!$B$7:$AC$28,10,FALSE)</f>
        <v>4.5606838408134944</v>
      </c>
      <c r="S435" s="1294">
        <f>$R$433/R435-1</f>
        <v>6.1824155438262807E-2</v>
      </c>
      <c r="U435" s="1408" t="s">
        <v>772</v>
      </c>
      <c r="V435" s="1355">
        <f>VLOOKUP($U435,Ranking!$B$7:$AC$28,13,FALSE)</f>
        <v>0.37158673775730477</v>
      </c>
      <c r="W435" s="1356">
        <f t="shared" si="32"/>
        <v>0</v>
      </c>
      <c r="X435" s="1413">
        <f t="shared" si="33"/>
        <v>0</v>
      </c>
      <c r="Y435" s="1413">
        <f t="shared" si="34"/>
        <v>0</v>
      </c>
      <c r="Z435" s="1414">
        <f t="shared" si="35"/>
        <v>0</v>
      </c>
      <c r="AA435" s="1426" t="s">
        <v>323</v>
      </c>
      <c r="AB435" s="1427">
        <v>11.1</v>
      </c>
      <c r="AV435" s="670"/>
    </row>
    <row r="436" spans="1:48" s="1392" customFormat="1" ht="13.2" customHeight="1">
      <c r="A436" s="670" t="s">
        <v>19</v>
      </c>
      <c r="B436" s="1424" t="s">
        <v>288</v>
      </c>
      <c r="C436" s="1971"/>
      <c r="D436" s="1290">
        <f t="shared" si="26"/>
        <v>31174.883771428573</v>
      </c>
      <c r="E436" s="1287">
        <f t="shared" si="27"/>
        <v>4.7838493303826084</v>
      </c>
      <c r="F436" s="1201">
        <f t="shared" si="28"/>
        <v>0.60741568747204655</v>
      </c>
      <c r="G436" s="1294">
        <f t="shared" si="29"/>
        <v>1.0380271810050052</v>
      </c>
      <c r="H436" s="3162"/>
      <c r="I436" s="3163"/>
      <c r="K436" s="2693"/>
      <c r="M436" s="669" t="s">
        <v>278</v>
      </c>
      <c r="N436" s="1290">
        <f>VLOOKUP($M436,Ranking!$B$7:$AC$28,2,FALSE)</f>
        <v>3544.0522571428578</v>
      </c>
      <c r="O436" s="1294">
        <f t="shared" si="36"/>
        <v>1.1492084940153529</v>
      </c>
      <c r="P436" s="72"/>
      <c r="Q436" s="803" t="str">
        <f>Ranking!B134</f>
        <v>TKA</v>
      </c>
      <c r="R436" s="1287">
        <f>VLOOKUP($Q436,Ranking!$B$7:$AC$28,10,FALSE)</f>
        <v>4.4503654862327</v>
      </c>
      <c r="S436" s="1294">
        <f>$R$433/R436-1</f>
        <v>8.8145295588315964E-2</v>
      </c>
      <c r="U436" s="803" t="s">
        <v>286</v>
      </c>
      <c r="V436" s="1201">
        <f>VLOOKUP($U436,Ranking!$B$7:$AC$28,13,FALSE)</f>
        <v>0.34534166666666666</v>
      </c>
      <c r="W436" s="1294">
        <f>$V$435/V436-1</f>
        <v>7.5997406695701653E-2</v>
      </c>
      <c r="X436" s="1413">
        <f t="shared" si="33"/>
        <v>1.0476179959843281</v>
      </c>
      <c r="Y436" s="1413">
        <f t="shared" si="34"/>
        <v>6.1824155438262807E-2</v>
      </c>
      <c r="Z436" s="1414">
        <f t="shared" si="35"/>
        <v>0.33730752143371534</v>
      </c>
      <c r="AA436" s="1426" t="s">
        <v>1244</v>
      </c>
      <c r="AB436" s="1427">
        <v>16.8</v>
      </c>
      <c r="AV436" s="670"/>
    </row>
    <row r="437" spans="1:48" s="1392" customFormat="1">
      <c r="A437" s="670" t="s">
        <v>502</v>
      </c>
      <c r="B437" s="1424" t="s">
        <v>52</v>
      </c>
      <c r="C437" s="1971"/>
      <c r="D437" s="1290">
        <f t="shared" si="26"/>
        <v>40464.923042857146</v>
      </c>
      <c r="E437" s="1287">
        <f t="shared" si="27"/>
        <v>4.9905713850513198</v>
      </c>
      <c r="F437" s="1201">
        <f t="shared" si="28"/>
        <v>0.61</v>
      </c>
      <c r="G437" s="1294">
        <f t="shared" si="29"/>
        <v>1.4084870247562462</v>
      </c>
      <c r="H437" s="3162"/>
      <c r="I437" s="3163"/>
      <c r="M437" s="669" t="s">
        <v>285</v>
      </c>
      <c r="N437" s="1290">
        <f>VLOOKUP($M437,Ranking!$B$7:$AC$28,2,FALSE)</f>
        <v>2461.5190857142857</v>
      </c>
      <c r="O437" s="1294">
        <f t="shared" si="36"/>
        <v>2.0943929130963586</v>
      </c>
      <c r="P437" s="72"/>
      <c r="Q437" s="803" t="str">
        <f>Ranking!B135</f>
        <v>TPS</v>
      </c>
      <c r="R437" s="1287">
        <f>VLOOKUP($Q437,Ranking!$B$7:$AC$28,10,FALSE)</f>
        <v>4.3871958272574467</v>
      </c>
      <c r="S437" s="1294">
        <f>$R$433/R437-1</f>
        <v>0.10381310936831101</v>
      </c>
      <c r="U437" s="803" t="s">
        <v>290</v>
      </c>
      <c r="V437" s="1201">
        <f>VLOOKUP($U437,Ranking!$B$7:$AC$28,13,FALSE)</f>
        <v>0.32615050588405037</v>
      </c>
      <c r="W437" s="1294">
        <f>$V$435/V437-1</f>
        <v>0.13931062823311224</v>
      </c>
      <c r="X437" s="1413">
        <f t="shared" si="33"/>
        <v>1.1335218503180777</v>
      </c>
      <c r="Y437" s="1413">
        <f t="shared" si="34"/>
        <v>0.40409577096108418</v>
      </c>
      <c r="Z437" s="1414">
        <f t="shared" si="35"/>
        <v>0.48196000780318182</v>
      </c>
      <c r="AA437" s="1426" t="s">
        <v>506</v>
      </c>
      <c r="AB437" s="1427">
        <v>38.5</v>
      </c>
      <c r="AV437" s="670"/>
    </row>
    <row r="438" spans="1:48" s="1392" customFormat="1">
      <c r="A438" s="1456" t="s">
        <v>219</v>
      </c>
      <c r="B438" s="2750" t="s">
        <v>53</v>
      </c>
      <c r="C438" s="1971"/>
      <c r="D438" s="1292">
        <f t="shared" si="26"/>
        <v>60036.853628571422</v>
      </c>
      <c r="E438" s="1295">
        <f t="shared" si="27"/>
        <v>5.6943354572509941</v>
      </c>
      <c r="F438" s="1353">
        <f t="shared" si="28"/>
        <v>0.6158872479982318</v>
      </c>
      <c r="G438" s="1295">
        <f t="shared" si="29"/>
        <v>2.2100893379901825</v>
      </c>
      <c r="H438" s="3164"/>
      <c r="I438" s="3165"/>
      <c r="M438" s="327" t="s">
        <v>42</v>
      </c>
      <c r="N438" s="1292">
        <f>VLOOKUP($M438,Ranking!$B$7:$AC$28,2,FALSE)</f>
        <v>2432.5463571428577</v>
      </c>
      <c r="O438" s="1295">
        <f t="shared" si="36"/>
        <v>2.1312485338335492</v>
      </c>
      <c r="P438" s="72"/>
      <c r="Q438" s="1409" t="str">
        <f>Ranking!B137</f>
        <v>OTE</v>
      </c>
      <c r="R438" s="1410">
        <f>VLOOKUP($Q438,Ranking!$B$7:$AC$28,10,FALSE)</f>
        <v>3.7488610975650749</v>
      </c>
      <c r="S438" s="1295">
        <f>$R$433/R438-1</f>
        <v>0.2917641228793646</v>
      </c>
      <c r="U438" s="1409" t="s">
        <v>39</v>
      </c>
      <c r="V438" s="1297">
        <f>VLOOKUP($U438,Ranking!$B$7:$AC$28,13,FALSE)</f>
        <v>0.31054928118178421</v>
      </c>
      <c r="W438" s="1295">
        <f>$V$435/V438-1</f>
        <v>0.19654676495545154</v>
      </c>
      <c r="X438" s="1413">
        <f t="shared" si="33"/>
        <v>0.50546175482671596</v>
      </c>
      <c r="Y438" s="1413">
        <f t="shared" si="34"/>
        <v>0.21685263719983627</v>
      </c>
      <c r="Z438" s="1414">
        <f t="shared" si="35"/>
        <v>0.25564308627440069</v>
      </c>
      <c r="AA438" s="1426" t="s">
        <v>503</v>
      </c>
      <c r="AB438" s="1427">
        <v>60.9</v>
      </c>
      <c r="AV438" s="670"/>
    </row>
    <row r="439" spans="1:48" s="1392" customFormat="1">
      <c r="B439" s="1424"/>
      <c r="C439" s="1939"/>
      <c r="D439" s="1397"/>
      <c r="E439" s="1397"/>
      <c r="F439" s="1397"/>
      <c r="H439" s="945"/>
      <c r="I439" s="162"/>
      <c r="P439" s="72"/>
      <c r="AV439" s="670"/>
    </row>
    <row r="440" spans="1:48" s="1392" customFormat="1">
      <c r="B440" s="1424"/>
      <c r="C440" s="1939"/>
      <c r="H440" s="945"/>
      <c r="I440" s="1361"/>
      <c r="J440" s="162"/>
      <c r="K440" s="165"/>
      <c r="L440" s="71"/>
      <c r="M440" s="72"/>
      <c r="AV440" s="670"/>
    </row>
    <row r="441" spans="1:48" s="1484" customFormat="1">
      <c r="A441" s="1512" t="s">
        <v>1525</v>
      </c>
      <c r="B441" s="2783"/>
      <c r="C441" s="1945"/>
      <c r="D441" s="1905"/>
      <c r="E441" s="1905"/>
      <c r="F441" s="1905"/>
      <c r="G441" s="1905"/>
      <c r="H441" s="1905"/>
      <c r="I441" s="1905"/>
      <c r="J441" s="1905"/>
      <c r="K441" s="1905"/>
      <c r="L441" s="1200"/>
      <c r="M441" s="73"/>
      <c r="N441" s="152"/>
      <c r="O441" s="152"/>
      <c r="P441" s="152"/>
      <c r="Q441" s="152"/>
      <c r="R441" s="152"/>
      <c r="S441" s="152"/>
      <c r="T441" s="152"/>
      <c r="AV441" s="670"/>
    </row>
    <row r="442" spans="1:48" s="1484" customFormat="1">
      <c r="A442" s="670"/>
      <c r="B442" s="1424"/>
      <c r="C442" s="1939"/>
      <c r="D442" s="1905"/>
      <c r="E442" s="1905"/>
      <c r="F442" s="1905"/>
      <c r="G442" s="1905"/>
      <c r="H442" s="1905"/>
      <c r="I442" s="1905"/>
      <c r="J442" s="1905"/>
      <c r="K442" s="1905"/>
      <c r="L442" s="1200"/>
      <c r="M442" s="73"/>
      <c r="N442" s="152"/>
      <c r="O442" s="152"/>
      <c r="P442" s="152"/>
      <c r="Q442" s="152"/>
      <c r="R442" s="152"/>
      <c r="S442" s="152"/>
      <c r="T442" s="152"/>
      <c r="AV442" s="670"/>
    </row>
    <row r="443" spans="1:48" s="1484" customFormat="1">
      <c r="A443" s="670"/>
      <c r="B443" s="1424"/>
      <c r="C443" s="1939"/>
      <c r="D443" s="1905"/>
      <c r="E443" s="1905"/>
      <c r="F443" s="1905"/>
      <c r="G443" s="1905"/>
      <c r="H443" s="1905"/>
      <c r="I443" s="1905"/>
      <c r="J443" s="1905"/>
      <c r="K443" s="1905"/>
      <c r="L443" s="1200"/>
      <c r="M443" s="73"/>
      <c r="N443" s="152"/>
      <c r="O443" s="152"/>
      <c r="P443" s="152"/>
      <c r="Q443" s="152"/>
      <c r="R443" s="152"/>
      <c r="S443" s="152"/>
      <c r="T443" s="152"/>
      <c r="AV443" s="670"/>
    </row>
    <row r="444" spans="1:48" s="1484" customFormat="1">
      <c r="A444" s="670"/>
      <c r="B444" s="1424"/>
      <c r="C444" s="1939"/>
      <c r="D444" s="1905"/>
      <c r="E444" s="1905"/>
      <c r="F444" s="1905"/>
      <c r="G444" s="1905"/>
      <c r="H444" s="1905"/>
      <c r="I444" s="1905"/>
      <c r="J444" s="1905"/>
      <c r="K444" s="1905"/>
      <c r="L444" s="1200"/>
      <c r="M444" s="73"/>
      <c r="N444" s="152"/>
      <c r="O444" s="152"/>
      <c r="P444" s="152"/>
      <c r="Q444" s="152"/>
      <c r="R444" s="152"/>
      <c r="S444" s="152"/>
      <c r="T444" s="152"/>
      <c r="AV444" s="670"/>
    </row>
    <row r="445" spans="1:48" s="166" customFormat="1">
      <c r="A445" s="1525"/>
      <c r="B445" s="2782"/>
      <c r="C445" s="1939"/>
      <c r="D445" s="1905"/>
      <c r="E445" s="1905"/>
      <c r="F445" s="1905"/>
      <c r="G445" s="1905"/>
      <c r="H445" s="1905"/>
      <c r="I445" s="1905"/>
      <c r="J445" s="1905"/>
      <c r="K445" s="1905"/>
      <c r="L445" s="1514"/>
      <c r="M445" s="77"/>
      <c r="N445" s="156"/>
      <c r="O445" s="156"/>
      <c r="P445" s="156"/>
      <c r="Q445" s="156"/>
      <c r="R445" s="156"/>
      <c r="S445" s="156"/>
      <c r="T445" s="156"/>
      <c r="AV445" s="1525"/>
    </row>
    <row r="446" spans="1:48" s="1159" customFormat="1">
      <c r="B446" s="1424"/>
      <c r="C446" s="1939"/>
      <c r="I446" s="162"/>
      <c r="L446" s="71"/>
      <c r="M446" s="72"/>
      <c r="AV446" s="670"/>
    </row>
    <row r="447" spans="1:48" s="1159" customFormat="1">
      <c r="B447" s="1424"/>
      <c r="C447" s="1939"/>
      <c r="I447" s="162"/>
      <c r="L447" s="71"/>
      <c r="M447" s="72"/>
      <c r="AV447" s="670"/>
    </row>
    <row r="448" spans="1:48" s="2179" customFormat="1">
      <c r="A448" s="1455" t="s">
        <v>1816</v>
      </c>
      <c r="B448" s="2804"/>
      <c r="C448" s="2237"/>
      <c r="I448" s="2238"/>
      <c r="J448" s="2238"/>
      <c r="K448" s="2239"/>
      <c r="L448" s="2240"/>
      <c r="M448" s="76"/>
      <c r="AV448" s="1455"/>
    </row>
    <row r="449" spans="1:48" s="1159" customFormat="1">
      <c r="A449" s="670"/>
      <c r="B449" s="1424"/>
      <c r="C449" s="1939"/>
      <c r="I449" s="162"/>
      <c r="J449" s="162"/>
      <c r="K449" s="165"/>
      <c r="L449" s="71"/>
      <c r="M449" s="72"/>
      <c r="AV449" s="670"/>
    </row>
    <row r="450" spans="1:48" s="1159" customFormat="1">
      <c r="A450" s="670"/>
      <c r="B450" s="1424"/>
      <c r="C450" s="1939"/>
      <c r="I450" s="162"/>
      <c r="J450" s="162"/>
      <c r="K450" s="165"/>
      <c r="L450" s="71"/>
      <c r="M450" s="72"/>
      <c r="AV450" s="670"/>
    </row>
    <row r="451" spans="1:48" s="1159" customFormat="1">
      <c r="A451" s="670"/>
      <c r="B451" s="1424"/>
      <c r="C451" s="1939"/>
      <c r="I451" s="162"/>
      <c r="J451" s="162"/>
      <c r="K451" s="165"/>
      <c r="L451" s="71"/>
      <c r="M451" s="72"/>
      <c r="AV451" s="670"/>
    </row>
    <row r="452" spans="1:48" s="1159" customFormat="1">
      <c r="A452" s="670"/>
      <c r="B452" s="1424"/>
      <c r="C452" s="1939"/>
      <c r="I452" s="162"/>
      <c r="J452" s="162"/>
      <c r="K452" s="165"/>
      <c r="L452" s="71"/>
      <c r="M452" s="72"/>
      <c r="AV452" s="670"/>
    </row>
    <row r="453" spans="1:48" s="1159" customFormat="1">
      <c r="A453" s="670"/>
      <c r="B453" s="1424"/>
      <c r="C453" s="1939"/>
      <c r="I453" s="162"/>
      <c r="J453" s="162"/>
      <c r="K453" s="165"/>
      <c r="L453" s="71"/>
      <c r="M453" s="72"/>
      <c r="AV453" s="670"/>
    </row>
    <row r="454" spans="1:48" s="1159" customFormat="1">
      <c r="A454" s="670"/>
      <c r="B454" s="1424"/>
      <c r="C454" s="1939"/>
      <c r="I454" s="162"/>
      <c r="J454" s="162"/>
      <c r="K454" s="165"/>
      <c r="L454" s="71"/>
      <c r="M454" s="72"/>
      <c r="AV454" s="670"/>
    </row>
    <row r="455" spans="1:48" s="1159" customFormat="1">
      <c r="A455" s="670"/>
      <c r="B455" s="1424"/>
      <c r="C455" s="1939"/>
      <c r="I455" s="162"/>
      <c r="J455" s="162"/>
      <c r="K455" s="165"/>
      <c r="L455" s="71"/>
      <c r="M455" s="72"/>
      <c r="AV455" s="670"/>
    </row>
    <row r="456" spans="1:48" s="1159" customFormat="1">
      <c r="A456" s="670"/>
      <c r="B456" s="1424"/>
      <c r="C456" s="1939"/>
      <c r="I456" s="162"/>
      <c r="J456" s="162"/>
      <c r="K456" s="165"/>
      <c r="L456" s="71"/>
      <c r="M456" s="72"/>
      <c r="AV456" s="670"/>
    </row>
    <row r="457" spans="1:48" s="1159" customFormat="1">
      <c r="A457" s="670"/>
      <c r="B457" s="1424"/>
      <c r="C457" s="1939"/>
      <c r="I457" s="162"/>
      <c r="J457" s="162"/>
      <c r="K457" s="165"/>
      <c r="L457" s="71"/>
      <c r="M457" s="72"/>
      <c r="AV457" s="670"/>
    </row>
    <row r="458" spans="1:48" s="1159" customFormat="1">
      <c r="A458" s="670"/>
      <c r="B458" s="1424"/>
      <c r="C458" s="1939"/>
      <c r="I458" s="162"/>
      <c r="J458" s="162"/>
      <c r="K458" s="165"/>
      <c r="L458" s="71"/>
      <c r="M458" s="72"/>
      <c r="AV458" s="670"/>
    </row>
    <row r="459" spans="1:48" s="1159" customFormat="1">
      <c r="A459" s="670"/>
      <c r="B459" s="1424"/>
      <c r="C459" s="1939"/>
      <c r="I459" s="162"/>
      <c r="J459" s="162"/>
      <c r="K459" s="165"/>
      <c r="L459" s="71"/>
      <c r="M459" s="72"/>
      <c r="AV459" s="670"/>
    </row>
    <row r="460" spans="1:48" s="1159" customFormat="1">
      <c r="A460" s="670"/>
      <c r="B460" s="1424"/>
      <c r="C460" s="1939"/>
      <c r="I460" s="162"/>
      <c r="J460" s="162"/>
      <c r="K460" s="165"/>
      <c r="L460" s="71"/>
      <c r="M460" s="72"/>
      <c r="AV460" s="670"/>
    </row>
    <row r="461" spans="1:48" s="1159" customFormat="1">
      <c r="A461" s="670"/>
      <c r="B461" s="1424"/>
      <c r="C461" s="1939"/>
      <c r="I461" s="162"/>
      <c r="J461" s="162"/>
      <c r="K461" s="165"/>
      <c r="L461" s="71"/>
      <c r="M461" s="72"/>
      <c r="AV461" s="670"/>
    </row>
    <row r="462" spans="1:48" s="1159" customFormat="1">
      <c r="A462" s="670"/>
      <c r="B462" s="1424"/>
      <c r="C462" s="1939"/>
      <c r="I462" s="162"/>
      <c r="J462" s="162"/>
      <c r="K462" s="165"/>
      <c r="L462" s="71"/>
      <c r="M462" s="72"/>
      <c r="AV462" s="670"/>
    </row>
    <row r="463" spans="1:48" s="1159" customFormat="1">
      <c r="A463" s="670"/>
      <c r="B463" s="1424"/>
      <c r="C463" s="1939"/>
      <c r="I463" s="162"/>
      <c r="J463" s="162"/>
      <c r="K463" s="165"/>
      <c r="L463" s="71"/>
      <c r="M463" s="72"/>
      <c r="AV463" s="670"/>
    </row>
    <row r="464" spans="1:48" s="1159" customFormat="1">
      <c r="A464" s="670"/>
      <c r="B464" s="1424"/>
      <c r="C464" s="1939"/>
      <c r="I464" s="162"/>
      <c r="J464" s="162"/>
      <c r="K464" s="165"/>
      <c r="L464" s="71"/>
      <c r="M464" s="72"/>
      <c r="AV464" s="670"/>
    </row>
  </sheetData>
  <sortState ref="M380:N386">
    <sortCondition ref="M380:M386"/>
  </sortState>
  <mergeCells count="141">
    <mergeCell ref="M181:Q182"/>
    <mergeCell ref="M191:Q192"/>
    <mergeCell ref="Y292:AF293"/>
    <mergeCell ref="Y294:AF295"/>
    <mergeCell ref="M292:T293"/>
    <mergeCell ref="M294:T295"/>
    <mergeCell ref="J317:K324"/>
    <mergeCell ref="J325:K331"/>
    <mergeCell ref="R98:S98"/>
    <mergeCell ref="J226:K228"/>
    <mergeCell ref="D191:K193"/>
    <mergeCell ref="D301:I302"/>
    <mergeCell ref="D303:I304"/>
    <mergeCell ref="D318:G324"/>
    <mergeCell ref="O148:P148"/>
    <mergeCell ref="D165:K165"/>
    <mergeCell ref="I141:I143"/>
    <mergeCell ref="I144:I145"/>
    <mergeCell ref="I124:I125"/>
    <mergeCell ref="J153:K157"/>
    <mergeCell ref="I158:K158"/>
    <mergeCell ref="I107:I108"/>
    <mergeCell ref="I109:I110"/>
    <mergeCell ref="I111:I113"/>
    <mergeCell ref="A377:B377"/>
    <mergeCell ref="A344:B344"/>
    <mergeCell ref="A68:B68"/>
    <mergeCell ref="A124:B124"/>
    <mergeCell ref="A202:B202"/>
    <mergeCell ref="A201:B201"/>
    <mergeCell ref="F376:G376"/>
    <mergeCell ref="H376:I377"/>
    <mergeCell ref="G312:I312"/>
    <mergeCell ref="A98:B98"/>
    <mergeCell ref="I72:I73"/>
    <mergeCell ref="A72:B72"/>
    <mergeCell ref="I98:I99"/>
    <mergeCell ref="D340:K341"/>
    <mergeCell ref="D227:I227"/>
    <mergeCell ref="D376:E376"/>
    <mergeCell ref="D232:I234"/>
    <mergeCell ref="D230:I231"/>
    <mergeCell ref="A343:B343"/>
    <mergeCell ref="A376:B376"/>
    <mergeCell ref="D298:I300"/>
    <mergeCell ref="D241:I242"/>
    <mergeCell ref="D169:K170"/>
    <mergeCell ref="L7:M7"/>
    <mergeCell ref="L6:M6"/>
    <mergeCell ref="M227:T227"/>
    <mergeCell ref="X46:AD46"/>
    <mergeCell ref="D235:I236"/>
    <mergeCell ref="AH201:AI201"/>
    <mergeCell ref="AH343:AI343"/>
    <mergeCell ref="V343:W343"/>
    <mergeCell ref="V201:W201"/>
    <mergeCell ref="J312:K312"/>
    <mergeCell ref="Y241:AF242"/>
    <mergeCell ref="J237:K238"/>
    <mergeCell ref="J230:K231"/>
    <mergeCell ref="J232:K232"/>
    <mergeCell ref="Y228:AF229"/>
    <mergeCell ref="M228:T229"/>
    <mergeCell ref="M240:T242"/>
    <mergeCell ref="D245:K246"/>
    <mergeCell ref="D42:J42"/>
    <mergeCell ref="I33:K33"/>
    <mergeCell ref="D6:E6"/>
    <mergeCell ref="G6:H6"/>
    <mergeCell ref="D249:K250"/>
    <mergeCell ref="I114:I116"/>
    <mergeCell ref="D251:K252"/>
    <mergeCell ref="M312:T312"/>
    <mergeCell ref="J283:K287"/>
    <mergeCell ref="H381:I382"/>
    <mergeCell ref="J368:K371"/>
    <mergeCell ref="D237:I238"/>
    <mergeCell ref="D343:E343"/>
    <mergeCell ref="J343:K343"/>
    <mergeCell ref="D295:I297"/>
    <mergeCell ref="D293:I294"/>
    <mergeCell ref="D265:F265"/>
    <mergeCell ref="D313:I315"/>
    <mergeCell ref="D247:K248"/>
    <mergeCell ref="J333:K334"/>
    <mergeCell ref="Y239:AF239"/>
    <mergeCell ref="M239:T239"/>
    <mergeCell ref="Y230:AF231"/>
    <mergeCell ref="Y232:AF234"/>
    <mergeCell ref="Y235:AF236"/>
    <mergeCell ref="Y237:AF238"/>
    <mergeCell ref="M230:T231"/>
    <mergeCell ref="M232:T234"/>
    <mergeCell ref="M235:T236"/>
    <mergeCell ref="M237:T238"/>
    <mergeCell ref="D56:J58"/>
    <mergeCell ref="D50:J52"/>
    <mergeCell ref="D53:J54"/>
    <mergeCell ref="D228:I229"/>
    <mergeCell ref="D201:E201"/>
    <mergeCell ref="J201:K201"/>
    <mergeCell ref="D35:J36"/>
    <mergeCell ref="D37:J38"/>
    <mergeCell ref="D39:J41"/>
    <mergeCell ref="D44:J45"/>
    <mergeCell ref="J149:K151"/>
    <mergeCell ref="D168:I168"/>
    <mergeCell ref="I130:I132"/>
    <mergeCell ref="I100:I101"/>
    <mergeCell ref="D184:K186"/>
    <mergeCell ref="K93:L93"/>
    <mergeCell ref="K72:L72"/>
    <mergeCell ref="K73:L73"/>
    <mergeCell ref="I135:I137"/>
    <mergeCell ref="I138:I139"/>
    <mergeCell ref="D195:K198"/>
    <mergeCell ref="H435:I438"/>
    <mergeCell ref="F404:K404"/>
    <mergeCell ref="F405:K405"/>
    <mergeCell ref="F406:K406"/>
    <mergeCell ref="F407:K407"/>
    <mergeCell ref="H427:I428"/>
    <mergeCell ref="H430:I432"/>
    <mergeCell ref="H429:I429"/>
    <mergeCell ref="H433:I433"/>
    <mergeCell ref="H434:I434"/>
    <mergeCell ref="D412:K414"/>
    <mergeCell ref="D415:K416"/>
    <mergeCell ref="D417:K418"/>
    <mergeCell ref="D419:K421"/>
    <mergeCell ref="H383:I385"/>
    <mergeCell ref="H378:I380"/>
    <mergeCell ref="M420:Q423"/>
    <mergeCell ref="H386:I388"/>
    <mergeCell ref="H425:I425"/>
    <mergeCell ref="H426:I426"/>
    <mergeCell ref="H395:I399"/>
    <mergeCell ref="H392:I392"/>
    <mergeCell ref="H393:I394"/>
    <mergeCell ref="H389:I389"/>
    <mergeCell ref="H390:I391"/>
  </mergeCells>
  <dataValidations count="1">
    <dataValidation type="list" allowBlank="1" showInputMessage="1" showErrorMessage="1" sqref="H1">
      <formula1>$X$1:$Z$1</formula1>
    </dataValidation>
  </dataValidations>
  <hyperlinks>
    <hyperlink ref="M193" r:id="rId1" display="More on EV/x multiples (Damodaran, pdf)"/>
    <hyperlink ref="O173" location="PROFILES!P98" display="BIPT 2009"/>
    <hyperlink ref="G1" location="PROFILES!A191" display="Ratios :"/>
    <hyperlink ref="L50" r:id="rId2" display="Fitch 2014 Outlook: European Telecoms and Cable "/>
    <hyperlink ref="J32" location="PROFILES!H433" display="KPN &amp; TDC."/>
    <hyperlink ref="L256" location="PROFILES!N381" display="See impact."/>
    <hyperlink ref="D43" location="PROFILES!S30" display="&quot;Why should customers pay for any size effect?&quot; "/>
  </hyperlinks>
  <pageMargins left="0.7" right="0.7" top="0.75" bottom="0.75" header="0.3" footer="0.3"/>
  <pageSetup paperSize="9" orientation="portrait" r:id="rId3"/>
  <drawing r:id="rId4"/>
  <legacyDrawing r:id="rId5"/>
</worksheet>
</file>

<file path=xl/worksheets/sheet4.xml><?xml version="1.0" encoding="utf-8"?>
<worksheet xmlns="http://schemas.openxmlformats.org/spreadsheetml/2006/main" xmlns:r="http://schemas.openxmlformats.org/officeDocument/2006/relationships">
  <sheetPr>
    <tabColor rgb="FFFFC000"/>
  </sheetPr>
  <dimension ref="A1:AU528"/>
  <sheetViews>
    <sheetView showGridLines="0" zoomScale="90" zoomScaleNormal="90" workbookViewId="0">
      <pane xSplit="2" ySplit="6" topLeftCell="S7" activePane="bottomRight" state="frozen"/>
      <selection activeCell="E443" sqref="E443"/>
      <selection pane="topRight" activeCell="E443" sqref="E443"/>
      <selection pane="bottomLeft" activeCell="E443" sqref="E443"/>
      <selection pane="bottomRight" activeCell="AE26" sqref="AE26"/>
    </sheetView>
  </sheetViews>
  <sheetFormatPr baseColWidth="10" defaultRowHeight="13.2"/>
  <cols>
    <col min="1" max="1" width="17.44140625" style="1155" customWidth="1"/>
    <col min="2" max="2" width="15.5546875" style="1158" customWidth="1"/>
    <col min="3" max="3" width="7.44140625" style="1158" customWidth="1"/>
    <col min="4" max="4" width="8.21875" style="1158" customWidth="1"/>
    <col min="5" max="5" width="6.33203125" style="1158" customWidth="1"/>
    <col min="6" max="6" width="6.88671875" style="1158" customWidth="1"/>
    <col min="7" max="7" width="8.109375" style="1158" customWidth="1"/>
    <col min="8" max="8" width="8.33203125" style="1158" customWidth="1"/>
    <col min="9" max="9" width="6.33203125" style="1158" customWidth="1"/>
    <col min="10" max="10" width="8.109375" style="1158" customWidth="1"/>
    <col min="11" max="11" width="6.77734375" style="1158" customWidth="1"/>
    <col min="12" max="12" width="8.21875" style="1158" customWidth="1"/>
    <col min="13" max="13" width="7.88671875" style="1158" customWidth="1"/>
    <col min="14" max="14" width="9.44140625" style="1158" hidden="1" customWidth="1"/>
    <col min="15" max="15" width="8" style="1158" hidden="1" customWidth="1"/>
    <col min="16" max="16" width="5.44140625" style="1158" customWidth="1"/>
    <col min="17" max="17" width="7.5546875" style="1158" customWidth="1"/>
    <col min="18" max="18" width="7.109375" style="1158" customWidth="1"/>
    <col min="19" max="19" width="1.109375" style="1158" customWidth="1"/>
    <col min="20" max="20" width="11.77734375" style="1158" customWidth="1"/>
    <col min="21" max="22" width="11.5546875" style="1158"/>
    <col min="23" max="23" width="11.5546875" style="1158" customWidth="1"/>
    <col min="24" max="28" width="11.5546875" style="1158"/>
    <col min="29" max="29" width="11.6640625" style="1158" customWidth="1"/>
    <col min="30" max="31" width="11.5546875" style="1158"/>
    <col min="32" max="32" width="11.5546875" style="1880"/>
    <col min="33" max="33" width="11.5546875" style="2263"/>
    <col min="34" max="46" width="11.5546875" style="1158"/>
    <col min="47" max="47" width="11.5546875" style="80" customWidth="1"/>
    <col min="48" max="16384" width="11.5546875" style="1158"/>
  </cols>
  <sheetData>
    <row r="1" spans="1:47">
      <c r="A1" s="1192" t="s">
        <v>1781</v>
      </c>
      <c r="B1" s="1193"/>
      <c r="C1" s="3334" t="s">
        <v>1318</v>
      </c>
      <c r="D1" s="3335"/>
      <c r="E1" s="3336"/>
      <c r="F1" s="3337" t="s">
        <v>1071</v>
      </c>
      <c r="G1" s="3338"/>
      <c r="H1" s="3339"/>
      <c r="I1" s="3334" t="s">
        <v>1078</v>
      </c>
      <c r="J1" s="3335"/>
      <c r="K1" s="3340"/>
      <c r="L1" s="3325" t="s">
        <v>1072</v>
      </c>
      <c r="M1" s="3326"/>
      <c r="N1" s="3327" t="s">
        <v>103</v>
      </c>
      <c r="O1" s="3328"/>
      <c r="P1" s="3325" t="s">
        <v>1064</v>
      </c>
      <c r="Q1" s="3329"/>
      <c r="R1" s="3330"/>
      <c r="S1" s="1272"/>
      <c r="T1" s="3323" t="s">
        <v>1194</v>
      </c>
      <c r="U1" s="3323"/>
      <c r="V1" s="3323"/>
      <c r="W1" s="3323"/>
      <c r="X1" s="3323"/>
      <c r="Y1" s="1431"/>
      <c r="Z1" s="1431"/>
      <c r="AA1" s="1463" t="s">
        <v>1281</v>
      </c>
      <c r="AB1" s="2863">
        <v>1</v>
      </c>
      <c r="AC1" s="1431" t="s">
        <v>1283</v>
      </c>
      <c r="AD1" s="1431"/>
      <c r="AE1" s="1431"/>
      <c r="AG1" s="2430">
        <v>1</v>
      </c>
    </row>
    <row r="2" spans="1:47" s="149" customFormat="1">
      <c r="A2" s="1904" t="s">
        <v>1674</v>
      </c>
      <c r="B2" s="1275"/>
      <c r="C2" s="3331" t="s">
        <v>483</v>
      </c>
      <c r="D2" s="3332"/>
      <c r="E2" s="1103" t="s">
        <v>367</v>
      </c>
      <c r="F2" s="3331" t="s">
        <v>483</v>
      </c>
      <c r="G2" s="3332"/>
      <c r="H2" s="1103" t="s">
        <v>1278</v>
      </c>
      <c r="I2" s="3331" t="s">
        <v>483</v>
      </c>
      <c r="J2" s="3332"/>
      <c r="K2" s="1103" t="s">
        <v>1278</v>
      </c>
      <c r="L2" s="3331" t="s">
        <v>483</v>
      </c>
      <c r="M2" s="3333"/>
      <c r="N2" s="3331" t="s">
        <v>511</v>
      </c>
      <c r="O2" s="3333"/>
      <c r="P2" s="3331" t="s">
        <v>483</v>
      </c>
      <c r="Q2" s="3332"/>
      <c r="R2" s="1103" t="s">
        <v>1278</v>
      </c>
      <c r="S2" s="1273"/>
      <c r="T2" s="3323" t="s">
        <v>1142</v>
      </c>
      <c r="U2" s="3323"/>
      <c r="V2" s="3323"/>
      <c r="W2" s="3323"/>
      <c r="X2" s="3323"/>
      <c r="Y2" s="1464"/>
      <c r="Z2" s="1464"/>
      <c r="AC2" s="1153" t="s">
        <v>2251</v>
      </c>
      <c r="AF2" s="2434"/>
      <c r="AG2" s="2430">
        <v>0.75</v>
      </c>
      <c r="AU2" s="80" t="s">
        <v>1843</v>
      </c>
    </row>
    <row r="3" spans="1:47">
      <c r="A3" s="1183" t="s">
        <v>1070</v>
      </c>
      <c r="B3" s="1195">
        <f>COUNT(C7:C28)</f>
        <v>22</v>
      </c>
      <c r="C3" s="1110" t="s">
        <v>377</v>
      </c>
      <c r="D3" s="1111" t="s">
        <v>1052</v>
      </c>
      <c r="E3" s="1083" t="s">
        <v>800</v>
      </c>
      <c r="F3" s="1110" t="s">
        <v>377</v>
      </c>
      <c r="G3" s="1111" t="s">
        <v>1052</v>
      </c>
      <c r="H3" s="1083" t="s">
        <v>800</v>
      </c>
      <c r="I3" s="1110" t="s">
        <v>377</v>
      </c>
      <c r="J3" s="1111" t="s">
        <v>1052</v>
      </c>
      <c r="K3" s="1083" t="s">
        <v>800</v>
      </c>
      <c r="L3" s="1105" t="s">
        <v>1080</v>
      </c>
      <c r="M3" s="1105" t="s">
        <v>1081</v>
      </c>
      <c r="N3" s="143" t="s">
        <v>101</v>
      </c>
      <c r="O3" s="157" t="s">
        <v>104</v>
      </c>
      <c r="P3" s="1110" t="s">
        <v>377</v>
      </c>
      <c r="Q3" s="1111" t="s">
        <v>1052</v>
      </c>
      <c r="R3" s="1083" t="s">
        <v>800</v>
      </c>
      <c r="S3" s="1233"/>
      <c r="T3" s="3323" t="s">
        <v>1143</v>
      </c>
      <c r="U3" s="3323"/>
      <c r="V3" s="3323"/>
      <c r="W3" s="3323"/>
      <c r="X3" s="3323"/>
      <c r="Y3" s="1431"/>
      <c r="Z3" s="1431"/>
      <c r="AA3" s="1465" t="s">
        <v>1282</v>
      </c>
      <c r="AB3" s="2862">
        <v>1</v>
      </c>
      <c r="AC3" s="2818" t="s">
        <v>2276</v>
      </c>
      <c r="AD3" s="1431"/>
      <c r="AE3" s="1431"/>
      <c r="AG3" s="2430">
        <v>0.5</v>
      </c>
    </row>
    <row r="4" spans="1:47" ht="13.2" customHeight="1">
      <c r="A4" s="1183" t="s">
        <v>1185</v>
      </c>
      <c r="B4" s="2143" t="s">
        <v>1069</v>
      </c>
      <c r="C4" s="103">
        <f>AVERAGE(C7:C28)</f>
        <v>0.52235043496539046</v>
      </c>
      <c r="D4" s="150"/>
      <c r="E4" s="104">
        <f>AVERAGE(E7:E28)</f>
        <v>0.54476787389417491</v>
      </c>
      <c r="F4" s="103">
        <f>AVERAGE(F7:F28)</f>
        <v>0.35910504197369392</v>
      </c>
      <c r="G4" s="150"/>
      <c r="H4" s="104">
        <f>AVERAGE(H7:H28)</f>
        <v>0.397913766092787</v>
      </c>
      <c r="I4" s="103">
        <f>AVERAGE(I7:I28)</f>
        <v>0.39802437502436577</v>
      </c>
      <c r="J4" s="150"/>
      <c r="K4" s="104">
        <f>AVERAGE(K7:K28)</f>
        <v>0.43949371451150621</v>
      </c>
      <c r="L4" s="117">
        <f>AVERAGE(L7:L28)</f>
        <v>3.8919333050671863E-2</v>
      </c>
      <c r="M4" s="117">
        <f>AVERAGE(M7:M28)</f>
        <v>0.14674042712667107</v>
      </c>
      <c r="N4" s="80" t="s">
        <v>1053</v>
      </c>
      <c r="O4" s="85"/>
      <c r="P4" s="132">
        <f>AVERAGE(P7:P28)</f>
        <v>2.1121798431666194</v>
      </c>
      <c r="Q4" s="151"/>
      <c r="R4" s="131">
        <f>AVERAGE(R7:R28)</f>
        <v>2.2702022099742205</v>
      </c>
      <c r="S4" s="1274"/>
      <c r="T4" s="3323" t="s">
        <v>1144</v>
      </c>
      <c r="U4" s="3323"/>
      <c r="V4" s="3323"/>
      <c r="W4" s="3323"/>
      <c r="X4" s="3323"/>
      <c r="Y4" s="1431"/>
      <c r="Z4" s="1431"/>
      <c r="AA4" s="1431"/>
      <c r="AB4" s="1431"/>
      <c r="AC4" s="1431"/>
      <c r="AD4" s="1431"/>
      <c r="AE4" s="1431"/>
      <c r="AG4" s="2430">
        <v>0</v>
      </c>
    </row>
    <row r="5" spans="1:47" ht="13.2" customHeight="1">
      <c r="A5" s="1183"/>
      <c r="B5" s="84" t="s">
        <v>1124</v>
      </c>
      <c r="C5" s="103">
        <f>MEDIAN(C7:C28)</f>
        <v>0.59396519891690203</v>
      </c>
      <c r="D5" s="150"/>
      <c r="E5" s="104">
        <f>MEDIAN(E7:E28)</f>
        <v>0.62359828525618355</v>
      </c>
      <c r="F5" s="103">
        <f>MEDIAN(F7:F28)</f>
        <v>0.37592759247651186</v>
      </c>
      <c r="G5" s="150"/>
      <c r="H5" s="104">
        <f>MEDIAN(H7:H28)</f>
        <v>0.35324048893528481</v>
      </c>
      <c r="I5" s="103">
        <f>MEDIAN(I7:I28)</f>
        <v>0.43894270290351611</v>
      </c>
      <c r="J5" s="150"/>
      <c r="K5" s="104">
        <f>MEDIAN(K7:K28)</f>
        <v>0.44222220232602294</v>
      </c>
      <c r="L5" s="117">
        <f>MEDIAN(L7:L28)</f>
        <v>2.838003076872446E-2</v>
      </c>
      <c r="M5" s="117">
        <f>MEDIAN(M7:M28)</f>
        <v>0.10749583518266115</v>
      </c>
      <c r="N5" s="80"/>
      <c r="O5" s="85"/>
      <c r="P5" s="132">
        <f>MEDIAN(P7:P28)</f>
        <v>2.1652734031482241</v>
      </c>
      <c r="Q5" s="151"/>
      <c r="R5" s="131">
        <f>MEDIAN(R7:R28)</f>
        <v>2.266022980733382</v>
      </c>
      <c r="S5" s="1235"/>
      <c r="T5" s="3324" t="s">
        <v>1145</v>
      </c>
      <c r="U5" s="3324"/>
      <c r="V5" s="3324"/>
      <c r="W5" s="3324"/>
      <c r="X5" s="3324"/>
      <c r="Y5" s="1431"/>
      <c r="Z5" s="1429"/>
      <c r="AA5" s="1477" t="s">
        <v>2277</v>
      </c>
      <c r="AB5" s="2818" t="s">
        <v>2278</v>
      </c>
      <c r="AD5" s="1431"/>
      <c r="AE5" s="1466"/>
      <c r="AH5" s="3343" t="s">
        <v>1279</v>
      </c>
      <c r="AI5" s="3344"/>
      <c r="AJ5" s="3343" t="s">
        <v>1280</v>
      </c>
      <c r="AK5" s="3344"/>
      <c r="AL5" s="3345" t="s">
        <v>1277</v>
      </c>
      <c r="AM5" s="3346"/>
    </row>
    <row r="6" spans="1:47" ht="13.2" customHeight="1">
      <c r="A6" s="1256"/>
      <c r="B6" s="91" t="s">
        <v>1068</v>
      </c>
      <c r="C6" s="160">
        <f>Ranking!N6</f>
        <v>0.62585595875210631</v>
      </c>
      <c r="D6" s="122"/>
      <c r="E6" s="1117">
        <f>Ranking!P6</f>
        <v>0.62875409332854482</v>
      </c>
      <c r="F6" s="160">
        <f>Ranking!Q6</f>
        <v>0.36588419844568371</v>
      </c>
      <c r="G6" s="122"/>
      <c r="H6" s="1117">
        <f>Ranking!S6</f>
        <v>0.35933567043362463</v>
      </c>
      <c r="I6" s="160">
        <f>Ranking!T6</f>
        <v>0.4049663112071929</v>
      </c>
      <c r="J6" s="122"/>
      <c r="K6" s="1117">
        <f>Ranking!V6</f>
        <v>0.40108137654546638</v>
      </c>
      <c r="L6" s="122">
        <f>Ranking!W6</f>
        <v>3.908211276150933E-2</v>
      </c>
      <c r="M6" s="122">
        <f>Ranking!X6</f>
        <v>0.12470220094796375</v>
      </c>
      <c r="N6" s="89"/>
      <c r="O6" s="1118"/>
      <c r="P6" s="158">
        <f>Ranking!AA6</f>
        <v>2.2700754333431159</v>
      </c>
      <c r="Q6" s="161"/>
      <c r="R6" s="159">
        <f>Ranking!AC6</f>
        <v>2.3687197914973996</v>
      </c>
      <c r="S6" s="1462"/>
      <c r="T6" s="3323" t="s">
        <v>1146</v>
      </c>
      <c r="U6" s="3323"/>
      <c r="V6" s="3323"/>
      <c r="W6" s="3323"/>
      <c r="X6" s="3323"/>
      <c r="Y6" s="1431"/>
      <c r="Z6" s="1429"/>
      <c r="AA6" s="1431"/>
      <c r="AB6" s="1431"/>
      <c r="AC6" s="1431"/>
      <c r="AD6" s="1431"/>
      <c r="AE6" s="1431"/>
      <c r="AH6" s="143" t="s">
        <v>806</v>
      </c>
      <c r="AI6" s="1470" t="s">
        <v>1278</v>
      </c>
      <c r="AJ6" s="143" t="s">
        <v>806</v>
      </c>
      <c r="AK6" s="1470" t="s">
        <v>1278</v>
      </c>
      <c r="AL6" s="143" t="s">
        <v>806</v>
      </c>
      <c r="AM6" s="1470" t="s">
        <v>1278</v>
      </c>
    </row>
    <row r="7" spans="1:47">
      <c r="A7" s="1191" t="s">
        <v>502</v>
      </c>
      <c r="B7" s="82" t="s">
        <v>52</v>
      </c>
      <c r="C7" s="103">
        <f>PROFILES!E378</f>
        <v>0.61</v>
      </c>
      <c r="D7" s="117">
        <f>PROFILES!N100</f>
        <v>0</v>
      </c>
      <c r="E7" s="101">
        <f>PROFILES!G378</f>
        <v>0.62983042679437373</v>
      </c>
      <c r="F7" s="103">
        <f>CALCULATIONS!GP5</f>
        <v>0.51528895508035288</v>
      </c>
      <c r="G7" s="117">
        <f>CALCULATIONS!GQ5</f>
        <v>-2.4931247740904369E-2</v>
      </c>
      <c r="H7" s="104">
        <f>CALCULATIONS!GO5</f>
        <v>0.51939744871548044</v>
      </c>
      <c r="I7" s="103">
        <f>CALCULATIONS!HZ5*$AB$3+F7*(1-$AB$3)</f>
        <v>0.58808850315066874</v>
      </c>
      <c r="J7" s="117">
        <f>CALCULATIONS!IA5</f>
        <v>-2.8226553900756759E-2</v>
      </c>
      <c r="K7" s="101">
        <f>CALCULATIONS!HY5*$AB$3+H7*(1-$AB$3)</f>
        <v>0.59074959904524027</v>
      </c>
      <c r="L7" s="117">
        <f>I7-F7</f>
        <v>7.2799548070315856E-2</v>
      </c>
      <c r="M7" s="117">
        <f>L7/F7</f>
        <v>0.14127907721011346</v>
      </c>
      <c r="N7" s="80" t="e">
        <f>#REF!</f>
        <v>#REF!</v>
      </c>
      <c r="O7" s="85" t="s">
        <v>291</v>
      </c>
      <c r="P7" s="132">
        <f>CALCULATIONS!LF5</f>
        <v>2.7906818261625395</v>
      </c>
      <c r="Q7" s="151">
        <f>CALCULATIONS!LG5</f>
        <v>8.5841806528642844E-2</v>
      </c>
      <c r="R7" s="131">
        <f>CALCULATIONS!LC5</f>
        <v>2.9178287645268703</v>
      </c>
      <c r="S7" s="1231"/>
      <c r="U7" s="1589"/>
      <c r="V7" s="1589"/>
      <c r="W7" s="1589"/>
      <c r="X7" s="1589"/>
      <c r="Y7" s="1589"/>
      <c r="Z7" s="1589"/>
      <c r="AA7" s="1589"/>
      <c r="AB7" s="1589"/>
      <c r="AC7" s="1589"/>
      <c r="AD7" s="1589"/>
      <c r="AE7" s="1589"/>
      <c r="AF7" s="2263"/>
      <c r="AG7" s="1412" t="s">
        <v>52</v>
      </c>
      <c r="AH7" s="1467">
        <f>CALCULATIONS!KM5/CALCULATIONS!JP5</f>
        <v>0.19546365873753277</v>
      </c>
      <c r="AI7" s="1471">
        <f>(CALCULATIONS!KH5-CALCULATIONS!JM5)/CALCULATIONS!JM5</f>
        <v>0.18723512523090133</v>
      </c>
      <c r="AJ7" s="1467">
        <f>CALCULATIONS!FD5/CALCULATIONS!EH5</f>
        <v>3.8840001499831259E-2</v>
      </c>
      <c r="AK7" s="1471">
        <f>(CALCULATIONS!FA5-CALCULATIONS!EG5)/CALCULATIONS!EG5</f>
        <v>3.1704739136800976E-2</v>
      </c>
      <c r="AL7" s="1467">
        <f>CALCULATIONS!CX5</f>
        <v>5.0454438985023969E-2</v>
      </c>
      <c r="AM7" s="1471">
        <f>CALCULATIONS!CW5</f>
        <v>7.2332690236133868E-2</v>
      </c>
    </row>
    <row r="8" spans="1:47" ht="13.2" customHeight="1">
      <c r="A8" s="1183" t="s">
        <v>389</v>
      </c>
      <c r="B8" s="73" t="s">
        <v>278</v>
      </c>
      <c r="C8" s="103">
        <f>PROFILES!E379</f>
        <v>0.60910298289809772</v>
      </c>
      <c r="D8" s="117">
        <f>PROFILES!N101</f>
        <v>-5.2071170724915891E-2</v>
      </c>
      <c r="E8" s="101">
        <f>PROFILES!G379</f>
        <v>0.6207941242005639</v>
      </c>
      <c r="F8" s="103">
        <f>CALCULATIONS!GP6</f>
        <v>0.49050145598877937</v>
      </c>
      <c r="G8" s="117">
        <f>CALCULATIONS!GQ6</f>
        <v>0.42102559519407173</v>
      </c>
      <c r="H8" s="104">
        <f>CALCULATIONS!GO6</f>
        <v>0.61744816018521742</v>
      </c>
      <c r="I8" s="103">
        <f>CALCULATIONS!HZ6*$AB$3+F8*(1-$AB$3)</f>
        <v>0.49698573886957192</v>
      </c>
      <c r="J8" s="117">
        <f>CALCULATIONS!IA6</f>
        <v>0.41032171167013903</v>
      </c>
      <c r="K8" s="101">
        <f>CALCULATIONS!HY6*$AB$3+H8*(1-$AB$3)</f>
        <v>0.62319136029119382</v>
      </c>
      <c r="L8" s="117">
        <f t="shared" ref="L8:L28" si="0">I8-F8</f>
        <v>6.4842828807925579E-3</v>
      </c>
      <c r="M8" s="117">
        <f t="shared" ref="M8:M28" si="1">L8/F8</f>
        <v>1.3219701596443154E-2</v>
      </c>
      <c r="N8" s="80" t="e">
        <f>#REF!</f>
        <v>#REF!</v>
      </c>
      <c r="O8" s="85" t="s">
        <v>296</v>
      </c>
      <c r="P8" s="132">
        <f>CALCULATIONS!LF6</f>
        <v>2.1902281092407181</v>
      </c>
      <c r="Q8" s="151">
        <f>CALCULATIONS!LG6</f>
        <v>0.36844726500440206</v>
      </c>
      <c r="R8" s="131">
        <f>CALCULATIONS!LC6</f>
        <v>2.5252968522290931</v>
      </c>
      <c r="S8" s="1231"/>
      <c r="T8" s="1836" t="s">
        <v>2236</v>
      </c>
      <c r="U8" s="2266"/>
      <c r="V8" s="2266"/>
      <c r="W8" s="2266"/>
      <c r="X8" s="2266"/>
      <c r="Y8" s="2266"/>
      <c r="Z8" s="2266"/>
      <c r="AA8" s="2266"/>
      <c r="AB8" s="2266"/>
      <c r="AC8" s="2266"/>
      <c r="AD8" s="2266"/>
      <c r="AE8" s="2266"/>
      <c r="AF8" s="2267"/>
      <c r="AG8" s="803" t="s">
        <v>278</v>
      </c>
      <c r="AH8" s="1468">
        <f>CALCULATIONS!KM6/CALCULATIONS!JP6</f>
        <v>1.7596583248728766E-2</v>
      </c>
      <c r="AI8" s="1472">
        <f>(CALCULATIONS!KH6-CALCULATIONS!JM6)/CALCULATIONS!JM6</f>
        <v>1.5078189800298012E-2</v>
      </c>
      <c r="AJ8" s="1468">
        <f>CALCULATIONS!FD6/CALCULATIONS!EH6</f>
        <v>4.0148849430108897E-3</v>
      </c>
      <c r="AK8" s="1472">
        <f>(CALCULATIONS!FA6-CALCULATIONS!EG6)/CALCULATIONS!EG6</f>
        <v>5.7202241206515811E-3</v>
      </c>
      <c r="AL8" s="1468">
        <f>CALCULATIONS!CX6</f>
        <v>2.3486110793804812E-4</v>
      </c>
      <c r="AM8" s="1472">
        <f>CALCULATIONS!CW6</f>
        <v>2.1005474075441732E-4</v>
      </c>
    </row>
    <row r="9" spans="1:47" s="92" customFormat="1" ht="13.2" customHeight="1">
      <c r="A9" s="1185" t="s">
        <v>323</v>
      </c>
      <c r="B9" s="726" t="s">
        <v>772</v>
      </c>
      <c r="C9" s="1076">
        <f>PROFILES!E380</f>
        <v>0.37158673775730477</v>
      </c>
      <c r="D9" s="1071">
        <f>PROFILES!N102</f>
        <v>-0.1153634304384116</v>
      </c>
      <c r="E9" s="1251">
        <f>PROFILES!G380</f>
        <v>0.36037883142173305</v>
      </c>
      <c r="F9" s="1076">
        <f>CALCULATIONS!GP7</f>
        <v>0.17383796150947908</v>
      </c>
      <c r="G9" s="1071">
        <f>CALCULATIONS!GQ7</f>
        <v>0.54445307336528614</v>
      </c>
      <c r="H9" s="1077">
        <f>CALCULATIONS!GO7</f>
        <v>0.26356163003804695</v>
      </c>
      <c r="I9" s="1076">
        <f>CALCULATIONS!HZ7*$AB$3+F9*(1-$AB$3)</f>
        <v>0.19702478682132593</v>
      </c>
      <c r="J9" s="1071">
        <f>CALCULATIONS!IA7</f>
        <v>0.50034734616182497</v>
      </c>
      <c r="K9" s="1251">
        <f>CALCULATIONS!HY7*$AB$3+H9*(1-$AB$3)</f>
        <v>0.28756363720088318</v>
      </c>
      <c r="L9" s="1071">
        <f t="shared" si="0"/>
        <v>2.3186825311846848E-2</v>
      </c>
      <c r="M9" s="1071">
        <f t="shared" si="1"/>
        <v>0.13338182932260462</v>
      </c>
      <c r="N9" s="1079" t="e">
        <f>#REF!</f>
        <v>#REF!</v>
      </c>
      <c r="O9" s="1080" t="s">
        <v>292</v>
      </c>
      <c r="P9" s="1074">
        <f>CALCULATIONS!LF7</f>
        <v>0.93248540191552354</v>
      </c>
      <c r="Q9" s="1078">
        <f>CALCULATIONS!LG7</f>
        <v>0.78949919521054279</v>
      </c>
      <c r="R9" s="1075">
        <f>CALCULATIONS!LC7</f>
        <v>1.3109622071604587</v>
      </c>
      <c r="S9" s="1231"/>
      <c r="T9" s="3356" t="s">
        <v>2279</v>
      </c>
      <c r="U9" s="3356"/>
      <c r="V9" s="3356"/>
      <c r="W9" s="3356"/>
      <c r="X9" s="3356"/>
      <c r="Y9" s="3356"/>
      <c r="Z9" s="3356"/>
      <c r="AA9" s="3356"/>
      <c r="AB9" s="3356"/>
      <c r="AC9" s="3356"/>
      <c r="AD9" s="3356"/>
      <c r="AE9" s="3356"/>
      <c r="AF9" s="3357"/>
      <c r="AG9" s="1408" t="s">
        <v>772</v>
      </c>
      <c r="AH9" s="1474">
        <f>CALCULATIONS!KM7/CALCULATIONS!JP7</f>
        <v>0.14308029679887177</v>
      </c>
      <c r="AI9" s="1475">
        <f>(CALCULATIONS!KH7-CALCULATIONS!JM7)/CALCULATIONS!JM7</f>
        <v>0.10283286488640483</v>
      </c>
      <c r="AJ9" s="1474">
        <f>CALCULATIONS!FD7/CALCULATIONS!EH7</f>
        <v>7.5343846610208291E-3</v>
      </c>
      <c r="AK9" s="1475">
        <f>(CALCULATIONS!FA7-CALCULATIONS!EG7)/CALCULATIONS!EG7</f>
        <v>1.0030174307976987E-2</v>
      </c>
      <c r="AL9" s="2707">
        <f>CALCULATIONS!CX7</f>
        <v>2.3342807395063121E-2</v>
      </c>
      <c r="AM9" s="2706">
        <f>CALCULATIONS!CW7</f>
        <v>2.2623381736432746E-2</v>
      </c>
      <c r="AU9" s="2425"/>
    </row>
    <row r="10" spans="1:47" s="92" customFormat="1" ht="13.2" customHeight="1">
      <c r="A10" s="1185" t="s">
        <v>323</v>
      </c>
      <c r="B10" s="726" t="s">
        <v>773</v>
      </c>
      <c r="C10" s="1076">
        <f>PROFILES!E381</f>
        <v>0.95644485424869818</v>
      </c>
      <c r="D10" s="1071">
        <f>PROFILES!N103</f>
        <v>5.7346309608293736E-3</v>
      </c>
      <c r="E10" s="1251">
        <f>PROFILES!G381</f>
        <v>0.97265268915223335</v>
      </c>
      <c r="F10" s="1076">
        <f>CALCULATIONS!GP8</f>
        <v>0.16489915086810925</v>
      </c>
      <c r="G10" s="1071">
        <f>CALCULATIONS!GQ8</f>
        <v>2.0043608623878186</v>
      </c>
      <c r="H10" s="1077">
        <f>CALCULATIONS!GO8</f>
        <v>0.32988338723452482</v>
      </c>
      <c r="I10" s="1076">
        <f>CALCULATIONS!HZ8*$AB$3+F10*(1-$AB$3)</f>
        <v>0.27218937885351913</v>
      </c>
      <c r="J10" s="1071">
        <f>CALCULATIONS!IA8</f>
        <v>1.2181747217666232</v>
      </c>
      <c r="K10" s="1251">
        <f>CALCULATIONS!HY8*$AB$3+H10*(1-$AB$3)</f>
        <v>0.4561905930983241</v>
      </c>
      <c r="L10" s="1071">
        <f t="shared" si="0"/>
        <v>0.10729022798540988</v>
      </c>
      <c r="M10" s="1071">
        <f t="shared" si="1"/>
        <v>0.65064148250965514</v>
      </c>
      <c r="N10" s="1079" t="s">
        <v>512</v>
      </c>
      <c r="O10" s="1081"/>
      <c r="P10" s="1074">
        <f>CALCULATIONS!LF8</f>
        <v>1.2440956586918632</v>
      </c>
      <c r="Q10" s="1078">
        <f>CALCULATIONS!LG8</f>
        <v>0.5581122698382367</v>
      </c>
      <c r="R10" s="1075">
        <f>CALCULATIONS!LC8</f>
        <v>1.6771658832683087</v>
      </c>
      <c r="S10" s="1234"/>
      <c r="T10" s="3356"/>
      <c r="U10" s="3356"/>
      <c r="V10" s="3356"/>
      <c r="W10" s="3356"/>
      <c r="X10" s="3356"/>
      <c r="Y10" s="3356"/>
      <c r="Z10" s="3356"/>
      <c r="AA10" s="3356"/>
      <c r="AB10" s="3356"/>
      <c r="AC10" s="3356"/>
      <c r="AD10" s="3356"/>
      <c r="AE10" s="3356"/>
      <c r="AF10" s="3357"/>
      <c r="AG10" s="1408" t="s">
        <v>773</v>
      </c>
      <c r="AH10" s="1474">
        <f>CALCULATIONS!KM8/CALCULATIONS!JP8</f>
        <v>0.7768793662145832</v>
      </c>
      <c r="AI10" s="1475">
        <f>(CALCULATIONS!KH8-CALCULATIONS!JM8)/CALCULATIONS!JM8</f>
        <v>0.50846114503391682</v>
      </c>
      <c r="AJ10" s="1474">
        <f>CALCULATIONS!FD8/CALCULATIONS!EH8</f>
        <v>3.0538407305760816E-2</v>
      </c>
      <c r="AK10" s="1475">
        <f>(CALCULATIONS!FA8-CALCULATIONS!EG8)/CALCULATIONS!EG8</f>
        <v>9.0807832436399061E-2</v>
      </c>
      <c r="AL10" s="2707">
        <f>CALCULATIONS!CX8</f>
        <v>0</v>
      </c>
      <c r="AM10" s="2706">
        <f>CALCULATIONS!CW8</f>
        <v>0</v>
      </c>
      <c r="AU10" s="2425"/>
    </row>
    <row r="11" spans="1:47" s="92" customFormat="1">
      <c r="A11" s="1185" t="s">
        <v>323</v>
      </c>
      <c r="B11" s="726" t="s">
        <v>774</v>
      </c>
      <c r="C11" s="1076">
        <f>PROFILES!E382</f>
        <v>6.4385445236561381E-2</v>
      </c>
      <c r="D11" s="1071">
        <f>PROFILES!N104</f>
        <v>14.697799124913645</v>
      </c>
      <c r="E11" s="1251">
        <f>PROFILES!G382</f>
        <v>0.15462918080465343</v>
      </c>
      <c r="F11" s="1076">
        <f>CALCULATIONS!GP9</f>
        <v>0.42399287000325037</v>
      </c>
      <c r="G11" s="1071">
        <f>CALCULATIONS!GQ9</f>
        <v>4.5742782667206161E-2</v>
      </c>
      <c r="H11" s="1077">
        <f>CALCULATIONS!GO9</f>
        <v>0.48144640266975475</v>
      </c>
      <c r="I11" s="1076">
        <f>CALCULATIONS!HZ9*$AB$3+F11*(1-$AB$3)</f>
        <v>0.42695023434228802</v>
      </c>
      <c r="J11" s="1071">
        <f>CALCULATIONS!IA9</f>
        <v>4.1366838913311048E-2</v>
      </c>
      <c r="K11" s="1251">
        <f>CALCULATIONS!HY9*$AB$3+H11*(1-$AB$3)</f>
        <v>0.4832654138496531</v>
      </c>
      <c r="L11" s="1071">
        <f t="shared" si="0"/>
        <v>2.9573643390376492E-3</v>
      </c>
      <c r="M11" s="1071">
        <f t="shared" si="1"/>
        <v>6.9750331863245195E-3</v>
      </c>
      <c r="N11" s="1079" t="e">
        <f>#REF!</f>
        <v>#REF!</v>
      </c>
      <c r="O11" s="1080" t="s">
        <v>292</v>
      </c>
      <c r="P11" s="1074">
        <f>CALCULATIONS!LF9</f>
        <v>3.7014756930154613</v>
      </c>
      <c r="Q11" s="1078">
        <f>CALCULATIONS!LG9</f>
        <v>0.31334582285320112</v>
      </c>
      <c r="R11" s="1075">
        <f>CALCULATIONS!LC9</f>
        <v>4.3704719780651446</v>
      </c>
      <c r="S11" s="1235"/>
      <c r="T11" s="3356"/>
      <c r="U11" s="3356"/>
      <c r="V11" s="3356"/>
      <c r="W11" s="3356"/>
      <c r="X11" s="3356"/>
      <c r="Y11" s="3356"/>
      <c r="Z11" s="3356"/>
      <c r="AA11" s="3356"/>
      <c r="AB11" s="3356"/>
      <c r="AC11" s="3356"/>
      <c r="AD11" s="3356"/>
      <c r="AE11" s="3356"/>
      <c r="AF11" s="3357"/>
      <c r="AG11" s="1408" t="s">
        <v>774</v>
      </c>
      <c r="AH11" s="1474">
        <f>CALCULATIONS!KM9/CALCULATIONS!JP9</f>
        <v>3.8096428424693601E-3</v>
      </c>
      <c r="AI11" s="1475">
        <f>(CALCULATIONS!KH9-CALCULATIONS!JM9)/CALCULATIONS!JM9</f>
        <v>1.1998337920916019E-3</v>
      </c>
      <c r="AJ11" s="1474">
        <f>CALCULATIONS!FD9/CALCULATIONS!EH9</f>
        <v>-3.096235147964282E-3</v>
      </c>
      <c r="AK11" s="1475">
        <f>(CALCULATIONS!FA9-CALCULATIONS!EG9)/CALCULATIONS!EG9</f>
        <v>-2.5714139740362608E-3</v>
      </c>
      <c r="AL11" s="2707">
        <f>CALCULATIONS!CX9</f>
        <v>3.2162558560311361E-4</v>
      </c>
      <c r="AM11" s="2706">
        <f>CALCULATIONS!CW9</f>
        <v>7.7848577823469434E-4</v>
      </c>
      <c r="AU11" s="2425"/>
    </row>
    <row r="12" spans="1:47" ht="13.2" customHeight="1">
      <c r="A12" s="1183" t="s">
        <v>545</v>
      </c>
      <c r="B12" s="73" t="s">
        <v>39</v>
      </c>
      <c r="C12" s="103">
        <f>PROFILES!E383</f>
        <v>0.31054928118178421</v>
      </c>
      <c r="D12" s="117">
        <f>PROFILES!N105</f>
        <v>-0.11491916916279199</v>
      </c>
      <c r="E12" s="101">
        <f>PROFILES!G383</f>
        <v>0.28165979767703259</v>
      </c>
      <c r="F12" s="103">
        <f>CALCULATIONS!GP10</f>
        <v>0.3899242463002407</v>
      </c>
      <c r="G12" s="117">
        <f>CALCULATIONS!GQ10</f>
        <v>-0.1197676600756727</v>
      </c>
      <c r="H12" s="104">
        <f>CALCULATIONS!GO10</f>
        <v>0.37944762378701169</v>
      </c>
      <c r="I12" s="103">
        <f>CALCULATIONS!HZ10*$AB$3+F12*(1-$AB$3)</f>
        <v>0.45093517146474416</v>
      </c>
      <c r="J12" s="117">
        <f>CALCULATIONS!IA10</f>
        <v>-8.3572610535330494E-2</v>
      </c>
      <c r="K12" s="101">
        <f>CALCULATIONS!HY10*$AB$3+H12*(1-$AB$3)</f>
        <v>0.43916945384982109</v>
      </c>
      <c r="L12" s="117">
        <f t="shared" si="0"/>
        <v>6.101092516450346E-2</v>
      </c>
      <c r="M12" s="117">
        <f t="shared" si="1"/>
        <v>0.15646866216553562</v>
      </c>
      <c r="N12" s="80" t="e">
        <f>#REF!</f>
        <v>#REF!</v>
      </c>
      <c r="O12" s="86" t="s">
        <v>297</v>
      </c>
      <c r="P12" s="132">
        <f>CALCULATIONS!LF10</f>
        <v>2.6587814840492587</v>
      </c>
      <c r="Q12" s="151">
        <f>CALCULATIONS!LG10</f>
        <v>-0.25803195656746131</v>
      </c>
      <c r="R12" s="131">
        <f>CALCULATIONS!LC10</f>
        <v>2.5933932385229874</v>
      </c>
      <c r="S12" s="2171"/>
      <c r="T12" s="2842" t="s">
        <v>2333</v>
      </c>
      <c r="U12" s="2268"/>
      <c r="V12" s="2268"/>
      <c r="W12" s="2268"/>
      <c r="X12" s="2268"/>
      <c r="Y12" s="2268"/>
      <c r="Z12" s="2268"/>
      <c r="AA12" s="2268"/>
      <c r="AB12" s="2268"/>
      <c r="AC12" s="2908" t="s">
        <v>2334</v>
      </c>
      <c r="AD12" s="2909"/>
      <c r="AE12" s="2909"/>
      <c r="AF12" s="2909"/>
      <c r="AG12" s="803" t="s">
        <v>39</v>
      </c>
      <c r="AH12" s="1468">
        <f>CALCULATIONS!KM10/CALCULATIONS!JP10</f>
        <v>0.16436734396786273</v>
      </c>
      <c r="AI12" s="1472">
        <f>(CALCULATIONS!KH10-CALCULATIONS!JM10)/CALCULATIONS!JM10</f>
        <v>0.1684767232423979</v>
      </c>
      <c r="AJ12" s="1468">
        <f>CALCULATIONS!FD10/CALCULATIONS!EH10</f>
        <v>8.6279138621061791E-3</v>
      </c>
      <c r="AK12" s="1472">
        <f>(CALCULATIONS!FA10-CALCULATIONS!EG10)/CALCULATIONS!EG10</f>
        <v>9.5777659353761205E-3</v>
      </c>
      <c r="AL12" s="1468">
        <f>CALCULATIONS!CX10</f>
        <v>0</v>
      </c>
      <c r="AM12" s="1472">
        <f>CALCULATIONS!CW10</f>
        <v>0</v>
      </c>
    </row>
    <row r="13" spans="1:47">
      <c r="A13" s="1183" t="s">
        <v>219</v>
      </c>
      <c r="B13" s="73" t="s">
        <v>53</v>
      </c>
      <c r="C13" s="103">
        <f>PROFILES!E384</f>
        <v>0.6158872479982318</v>
      </c>
      <c r="D13" s="117">
        <f>PROFILES!N106</f>
        <v>0.11044311863454735</v>
      </c>
      <c r="E13" s="101">
        <f>PROFILES!G384</f>
        <v>0.66127040038880336</v>
      </c>
      <c r="F13" s="103">
        <f>CALCULATIONS!GP11</f>
        <v>0.48384306036910518</v>
      </c>
      <c r="G13" s="117">
        <f>CALCULATIONS!GQ11</f>
        <v>0.2595878527386451</v>
      </c>
      <c r="H13" s="104">
        <f>CALCULATIONS!GO11</f>
        <v>0.54381370963962039</v>
      </c>
      <c r="I13" s="103">
        <f>CALCULATIONS!HZ11*$AB$3+F13*(1-$AB$3)</f>
        <v>0.51513010935716153</v>
      </c>
      <c r="J13" s="117">
        <f>CALCULATIONS!IA11</f>
        <v>0.26130995158024306</v>
      </c>
      <c r="K13" s="101">
        <f>CALCULATIONS!HY11*$AB$3+H13*(1-$AB$3)</f>
        <v>0.57929804018594233</v>
      </c>
      <c r="L13" s="117">
        <f t="shared" si="0"/>
        <v>3.1287048988056343E-2</v>
      </c>
      <c r="M13" s="117">
        <f t="shared" si="1"/>
        <v>6.4663630732222685E-2</v>
      </c>
      <c r="N13" s="80" t="e">
        <f>#REF!</f>
        <v>#REF!</v>
      </c>
      <c r="O13" s="87" t="s">
        <v>341</v>
      </c>
      <c r="P13" s="132">
        <f>CALCULATIONS!LF11</f>
        <v>2.7929780820851775</v>
      </c>
      <c r="Q13" s="151">
        <f>CALCULATIONS!LG11</f>
        <v>0.12404595260605845</v>
      </c>
      <c r="R13" s="131">
        <f>CALCULATIONS!LC11</f>
        <v>2.8353348809740444</v>
      </c>
      <c r="S13" s="1237"/>
      <c r="T13" s="1837" t="s">
        <v>2280</v>
      </c>
      <c r="U13" s="2268"/>
      <c r="V13" s="2268"/>
      <c r="W13" s="2268"/>
      <c r="X13" s="2268"/>
      <c r="Y13" s="2268"/>
      <c r="Z13" s="2268"/>
      <c r="AA13" s="2268"/>
      <c r="AB13" s="2268"/>
      <c r="AC13" s="2268"/>
      <c r="AD13" s="2268"/>
      <c r="AE13" s="2268"/>
      <c r="AF13" s="2268"/>
      <c r="AG13" s="803" t="s">
        <v>53</v>
      </c>
      <c r="AH13" s="1468">
        <f>CALCULATIONS!KM11/CALCULATIONS!JP11</f>
        <v>7.5708784447632613E-2</v>
      </c>
      <c r="AI13" s="1472">
        <f>(CALCULATIONS!KH11-CALCULATIONS!JM11)/CALCULATIONS!JM11</f>
        <v>8.7328236037975127E-2</v>
      </c>
      <c r="AJ13" s="1468">
        <f>CALCULATIONS!FD11/CALCULATIONS!EH11</f>
        <v>7.1284875631670878E-3</v>
      </c>
      <c r="AK13" s="1472">
        <f>(CALCULATIONS!FA11-CALCULATIONS!EG11)/CALCULATIONS!EG11</f>
        <v>1.5787823434878195E-2</v>
      </c>
      <c r="AL13" s="1468">
        <f>CALCULATIONS!CX11</f>
        <v>4.9318861699930633E-2</v>
      </c>
      <c r="AM13" s="1472">
        <f>CALCULATIONS!CW11</f>
        <v>6.1149304502959634E-2</v>
      </c>
    </row>
    <row r="14" spans="1:47">
      <c r="A14" s="1183" t="s">
        <v>73</v>
      </c>
      <c r="B14" s="73" t="s">
        <v>285</v>
      </c>
      <c r="C14" s="103">
        <f>PROFILES!E385</f>
        <v>0.62657499999999999</v>
      </c>
      <c r="D14" s="117">
        <f>PROFILES!N107</f>
        <v>5.5614710459497153E-2</v>
      </c>
      <c r="E14" s="101">
        <f>PROFILES!G385</f>
        <v>0.64439999999999997</v>
      </c>
      <c r="F14" s="103">
        <f>CALCULATIONS!GP12</f>
        <v>0.24190098439360719</v>
      </c>
      <c r="G14" s="117">
        <f>CALCULATIONS!GQ12</f>
        <v>0.20667512064869559</v>
      </c>
      <c r="H14" s="104">
        <f>CALCULATIONS!GO12</f>
        <v>0.30597960586046052</v>
      </c>
      <c r="I14" s="103">
        <f>CALCULATIONS!HZ12*$AB$3+F14*(1-$AB$3)</f>
        <v>0.2616424852780464</v>
      </c>
      <c r="J14" s="117">
        <f>CALCULATIONS!IA12</f>
        <v>0.20296552626351777</v>
      </c>
      <c r="K14" s="101">
        <f>CALCULATIONS!HY12*$AB$3+H14*(1-$AB$3)</f>
        <v>0.32061814749302248</v>
      </c>
      <c r="L14" s="117">
        <f t="shared" si="0"/>
        <v>1.9741500884439211E-2</v>
      </c>
      <c r="M14" s="117">
        <f t="shared" si="1"/>
        <v>8.1609841042717679E-2</v>
      </c>
      <c r="N14" s="80" t="e">
        <f>#REF!</f>
        <v>#REF!</v>
      </c>
      <c r="O14" s="85" t="s">
        <v>292</v>
      </c>
      <c r="P14" s="132">
        <f>CALCULATIONS!LF12</f>
        <v>1.7511002028712532</v>
      </c>
      <c r="Q14" s="151">
        <f>CALCULATIONS!LG12</f>
        <v>0.37093258903528414</v>
      </c>
      <c r="R14" s="131">
        <f>CALCULATIONS!LC12</f>
        <v>2.2311132077757287</v>
      </c>
      <c r="S14" s="2171"/>
      <c r="AG14" s="803" t="s">
        <v>285</v>
      </c>
      <c r="AH14" s="1468">
        <f>CALCULATIONS!KM12/CALCULATIONS!JP12</f>
        <v>8.0231982964738463E-2</v>
      </c>
      <c r="AI14" s="1472">
        <f>(CALCULATIONS!KH12-CALCULATIONS!JM12)/CALCULATIONS!JM12</f>
        <v>4.620640545187437E-2</v>
      </c>
      <c r="AJ14" s="1468">
        <f>CALCULATIONS!FD12/CALCULATIONS!EH12</f>
        <v>-9.5808933455270701E-4</v>
      </c>
      <c r="AK14" s="1472">
        <f>(CALCULATIONS!FA12-CALCULATIONS!EG12)/CALCULATIONS!EG12</f>
        <v>-1.7260903154557635E-3</v>
      </c>
      <c r="AL14" s="1468">
        <f>CALCULATIONS!CX12</f>
        <v>1.440263907604698E-3</v>
      </c>
      <c r="AM14" s="1472">
        <f>CALCULATIONS!CW12</f>
        <v>7.7582460974428002E-3</v>
      </c>
    </row>
    <row r="15" spans="1:47" ht="13.2" customHeight="1">
      <c r="A15" s="1183" t="s">
        <v>19</v>
      </c>
      <c r="B15" s="73" t="s">
        <v>287</v>
      </c>
      <c r="C15" s="103">
        <f>PROFILES!E386</f>
        <v>9.1630231095150338E-2</v>
      </c>
      <c r="D15" s="1122" t="s">
        <v>276</v>
      </c>
      <c r="E15" s="101">
        <f>PROFILES!G386</f>
        <v>0.34976819018989347</v>
      </c>
      <c r="F15" s="103">
        <f>CALCULATIONS!GP13</f>
        <v>0.13477545507373562</v>
      </c>
      <c r="G15" s="117">
        <f>CALCULATIONS!GQ13</f>
        <v>-0.4264373226073967</v>
      </c>
      <c r="H15" s="104">
        <f>CALCULATIONS!GO13</f>
        <v>9.7905485588969735E-2</v>
      </c>
      <c r="I15" s="103">
        <f>CALCULATIONS!HZ13*$AB$3+F15*(1-$AB$3)</f>
        <v>0.16024846762312819</v>
      </c>
      <c r="J15" s="117">
        <f>CALCULATIONS!IA13</f>
        <v>-0.25253039609468159</v>
      </c>
      <c r="K15" s="101">
        <f>CALCULATIONS!HY13*$AB$3+H15*(1-$AB$3)</f>
        <v>0.12849893093161849</v>
      </c>
      <c r="L15" s="117">
        <f t="shared" si="0"/>
        <v>2.5473012549392576E-2</v>
      </c>
      <c r="M15" s="117">
        <f t="shared" si="1"/>
        <v>0.18900335031669008</v>
      </c>
      <c r="N15" s="80" t="s">
        <v>512</v>
      </c>
      <c r="O15" s="87"/>
      <c r="P15" s="132">
        <f>CALCULATIONS!LF13</f>
        <v>1.265551414722516</v>
      </c>
      <c r="Q15" s="151">
        <f>CALCULATIONS!LG13</f>
        <v>0.38040351489576829</v>
      </c>
      <c r="R15" s="131">
        <f>CALCULATIONS!LC13</f>
        <v>1.242834927692577</v>
      </c>
      <c r="S15" s="1235"/>
      <c r="T15" s="3312" t="s">
        <v>2283</v>
      </c>
      <c r="U15" s="3312"/>
      <c r="V15" s="3312"/>
      <c r="W15" s="3312"/>
      <c r="X15" s="3312"/>
      <c r="Y15" s="3312"/>
      <c r="Z15" s="3312"/>
      <c r="AA15" s="3312"/>
      <c r="AB15" s="3312"/>
      <c r="AC15" s="3312"/>
      <c r="AD15" s="3312"/>
      <c r="AE15" s="3312"/>
      <c r="AF15" s="3363"/>
      <c r="AG15" s="803" t="s">
        <v>287</v>
      </c>
      <c r="AH15" s="1468">
        <f>CALCULATIONS!KM13/CALCULATIONS!JP13</f>
        <v>0.19689593992455756</v>
      </c>
      <c r="AI15" s="1472">
        <f>(CALCULATIONS!KH13-CALCULATIONS!JM13)/CALCULATIONS!JM13</f>
        <v>0.29155452201034526</v>
      </c>
      <c r="AJ15" s="1468">
        <f>CALCULATIONS!FD13/CALCULATIONS!EH13</f>
        <v>-1.0036631867785114E-2</v>
      </c>
      <c r="AK15" s="1472">
        <f>(CALCULATIONS!FA13-CALCULATIONS!EG13)/CALCULATIONS!EG13</f>
        <v>-1.594299870600609E-2</v>
      </c>
      <c r="AL15" s="1468">
        <f>CALCULATIONS!CX13</f>
        <v>5.850613816296488E-5</v>
      </c>
      <c r="AM15" s="1472">
        <f>CALCULATIONS!CW13</f>
        <v>0</v>
      </c>
    </row>
    <row r="16" spans="1:47">
      <c r="A16" s="1183" t="s">
        <v>19</v>
      </c>
      <c r="B16" s="152" t="s">
        <v>288</v>
      </c>
      <c r="C16" s="103">
        <f>PROFILES!E387</f>
        <v>0.60741568747204655</v>
      </c>
      <c r="D16" s="117">
        <f>PROFILES!N109</f>
        <v>4.0950219141690898E-2</v>
      </c>
      <c r="E16" s="101">
        <f>PROFILES!G387</f>
        <v>0.62738172243152124</v>
      </c>
      <c r="F16" s="103">
        <f>CALCULATIONS!GP14</f>
        <v>0.50834561454306215</v>
      </c>
      <c r="G16" s="117">
        <f>CALCULATIONS!GQ14</f>
        <v>0.27477182203191691</v>
      </c>
      <c r="H16" s="104">
        <f>CALCULATIONS!GO14</f>
        <v>0.61196382356206247</v>
      </c>
      <c r="I16" s="103">
        <f>CALCULATIONS!HZ14*$AB$3+F16*(1-$AB$3)</f>
        <v>0.54898628094174651</v>
      </c>
      <c r="J16" s="117">
        <f>CALCULATIONS!IA14</f>
        <v>0.26756473067663017</v>
      </c>
      <c r="K16" s="101">
        <f>CALCULATIONS!HY14*$AB$3+H16*(1-$AB$3)</f>
        <v>0.65530118542007598</v>
      </c>
      <c r="L16" s="117">
        <f t="shared" si="0"/>
        <v>4.0640666398684355E-2</v>
      </c>
      <c r="M16" s="117">
        <f t="shared" si="1"/>
        <v>7.9946920433679999E-2</v>
      </c>
      <c r="N16" s="80" t="e">
        <f>#REF!</f>
        <v>#REF!</v>
      </c>
      <c r="O16" s="85" t="s">
        <v>298</v>
      </c>
      <c r="P16" s="132">
        <f>CALCULATIONS!LF14</f>
        <v>2.5321561588471506</v>
      </c>
      <c r="Q16" s="151">
        <f>CALCULATIONS!LG14</f>
        <v>1.3257606300410854E-2</v>
      </c>
      <c r="R16" s="131">
        <f>CALCULATIONS!LC14</f>
        <v>2.8138910595815916</v>
      </c>
      <c r="S16" s="1231"/>
      <c r="T16" s="3312"/>
      <c r="U16" s="3312"/>
      <c r="V16" s="3312"/>
      <c r="W16" s="3312"/>
      <c r="X16" s="3312"/>
      <c r="Y16" s="3312"/>
      <c r="Z16" s="3312"/>
      <c r="AA16" s="3312"/>
      <c r="AB16" s="3312"/>
      <c r="AC16" s="3312"/>
      <c r="AD16" s="3312"/>
      <c r="AE16" s="3312"/>
      <c r="AF16" s="3363"/>
      <c r="AG16" s="656" t="s">
        <v>288</v>
      </c>
      <c r="AH16" s="1468">
        <f>CALCULATIONS!KM14/CALCULATIONS!JP14</f>
        <v>0.11098445661072022</v>
      </c>
      <c r="AI16" s="1472">
        <f>(CALCULATIONS!KH14-CALCULATIONS!JM14)/CALCULATIONS!JM14</f>
        <v>0.11852905134750405</v>
      </c>
      <c r="AJ16" s="1468">
        <f>CALCULATIONS!FD14/CALCULATIONS!EH14</f>
        <v>2.4498686141418188E-2</v>
      </c>
      <c r="AK16" s="1472">
        <f>(CALCULATIONS!FA14-CALCULATIONS!EG14)/CALCULATIONS!EG14</f>
        <v>4.0298874223157456E-2</v>
      </c>
      <c r="AL16" s="1468">
        <f>CALCULATIONS!CX14</f>
        <v>3.0286005368541528E-2</v>
      </c>
      <c r="AM16" s="1472">
        <f>CALCULATIONS!CW14</f>
        <v>3.3650529632482495E-2</v>
      </c>
    </row>
    <row r="17" spans="1:47" ht="13.2" customHeight="1">
      <c r="A17" s="1183" t="s">
        <v>378</v>
      </c>
      <c r="B17" s="73" t="s">
        <v>42</v>
      </c>
      <c r="C17" s="103">
        <f>PROFILES!E388</f>
        <v>0.56323171407839789</v>
      </c>
      <c r="D17" s="117">
        <f>PROFILES!N110</f>
        <v>-0.12023286586287618</v>
      </c>
      <c r="E17" s="101">
        <f>PROFILES!G388</f>
        <v>0.53987730061349704</v>
      </c>
      <c r="F17" s="103">
        <f>CALCULATIONS!GP15</f>
        <v>0.60887331285954671</v>
      </c>
      <c r="G17" s="117">
        <f>CALCULATIONS!GQ15</f>
        <v>-0.37303497156800469</v>
      </c>
      <c r="H17" s="104">
        <f>CALCULATIONS!GO15</f>
        <v>0.37659759063604481</v>
      </c>
      <c r="I17" s="103">
        <f>CALCULATIONS!HZ15*$AB$3+F17*(1-$AB$3)</f>
        <v>0.63388271448107447</v>
      </c>
      <c r="J17" s="117">
        <f>CALCULATIONS!IA15</f>
        <v>-0.25869992498286548</v>
      </c>
      <c r="K17" s="101">
        <f>CALCULATIONS!HY15*$AB$3+H17*(1-$AB$3)</f>
        <v>0.44527495080222473</v>
      </c>
      <c r="L17" s="117">
        <f t="shared" si="0"/>
        <v>2.500940162152776E-2</v>
      </c>
      <c r="M17" s="117">
        <f t="shared" si="1"/>
        <v>4.1074885519406669E-2</v>
      </c>
      <c r="N17" s="80" t="e">
        <f>#REF!</f>
        <v>#REF!</v>
      </c>
      <c r="O17" s="85" t="s">
        <v>292</v>
      </c>
      <c r="P17" s="132">
        <f>CALCULATIONS!LF15</f>
        <v>2.172629043332774</v>
      </c>
      <c r="Q17" s="151">
        <f>CALCULATIONS!LG15</f>
        <v>-0.22035736928264804</v>
      </c>
      <c r="R17" s="131">
        <f>CALCULATIONS!LC15</f>
        <v>1.5517268924243866</v>
      </c>
      <c r="S17" s="1231"/>
      <c r="T17" s="3312" t="s">
        <v>2284</v>
      </c>
      <c r="U17" s="3312"/>
      <c r="V17" s="3312"/>
      <c r="W17" s="3312"/>
      <c r="X17" s="3312"/>
      <c r="Y17" s="3312"/>
      <c r="Z17" s="3312"/>
      <c r="AA17" s="3312"/>
      <c r="AB17" s="3312"/>
      <c r="AC17" s="3312"/>
      <c r="AD17" s="3312"/>
      <c r="AE17" s="3312"/>
      <c r="AF17" s="3363"/>
      <c r="AG17" s="803" t="s">
        <v>42</v>
      </c>
      <c r="AH17" s="1468">
        <f>CALCULATIONS!KM15/CALCULATIONS!JP15</f>
        <v>6.341230640320604E-2</v>
      </c>
      <c r="AI17" s="1472">
        <f>(CALCULATIONS!KH15-CALCULATIONS!JM15)/CALCULATIONS!JM15</f>
        <v>0.22462115548571929</v>
      </c>
      <c r="AJ17" s="1468">
        <f>CALCULATIONS!FD15/CALCULATIONS!EH15</f>
        <v>1.6689077511849029E-2</v>
      </c>
      <c r="AK17" s="1472">
        <f>(CALCULATIONS!FA15-CALCULATIONS!EG15)/CALCULATIONS!EG15</f>
        <v>2.694345014805993E-2</v>
      </c>
      <c r="AL17" s="1468">
        <f>CALCULATIONS!CX15</f>
        <v>7.5929108039760676E-2</v>
      </c>
      <c r="AM17" s="1472">
        <f>CALCULATIONS!CW15</f>
        <v>7.4336757766092276E-2</v>
      </c>
    </row>
    <row r="18" spans="1:47">
      <c r="A18" s="1183" t="s">
        <v>503</v>
      </c>
      <c r="B18" s="73" t="s">
        <v>286</v>
      </c>
      <c r="C18" s="103">
        <f>PROFILES!E389</f>
        <v>0.34534166666666666</v>
      </c>
      <c r="D18" s="117">
        <f>PROFILES!N111</f>
        <v>-5.4500069338510607E-2</v>
      </c>
      <c r="E18" s="101">
        <f>PROFILES!G389</f>
        <v>0.3626280111015483</v>
      </c>
      <c r="F18" s="103">
        <f>CALCULATIONS!GP16</f>
        <v>0.67997702229572432</v>
      </c>
      <c r="G18" s="117">
        <f>CALCULATIONS!GQ16</f>
        <v>0.10658020511075152</v>
      </c>
      <c r="H18" s="104">
        <f>CALCULATIONS!GO16</f>
        <v>0.75270955685414354</v>
      </c>
      <c r="I18" s="103">
        <f>CALCULATIONS!HZ16*$AB$3+F18*(1-$AB$3)</f>
        <v>0.68457317243488636</v>
      </c>
      <c r="J18" s="117">
        <f>CALCULATIONS!IA16</f>
        <v>0.10522314957078965</v>
      </c>
      <c r="K18" s="101">
        <f>CALCULATIONS!HY16*$AB$3+H18*(1-$AB$3)</f>
        <v>0.75672107111582532</v>
      </c>
      <c r="L18" s="117">
        <f t="shared" si="0"/>
        <v>4.5961501391620363E-3</v>
      </c>
      <c r="M18" s="117">
        <f t="shared" si="1"/>
        <v>6.7592727231349809E-3</v>
      </c>
      <c r="N18" s="80" t="e">
        <f>#REF!</f>
        <v>#REF!</v>
      </c>
      <c r="O18" s="85" t="s">
        <v>299</v>
      </c>
      <c r="P18" s="132">
        <f>CALCULATIONS!LF16</f>
        <v>2.9152503149286035</v>
      </c>
      <c r="Q18" s="151">
        <f>CALCULATIONS!LG16</f>
        <v>-0.14664752669478531</v>
      </c>
      <c r="R18" s="131">
        <f>CALCULATIONS!LC16</f>
        <v>2.8370691340232916</v>
      </c>
      <c r="S18" s="1231"/>
      <c r="T18" s="3312"/>
      <c r="U18" s="3312"/>
      <c r="V18" s="3312"/>
      <c r="W18" s="3312"/>
      <c r="X18" s="3312"/>
      <c r="Y18" s="3312"/>
      <c r="Z18" s="3312"/>
      <c r="AA18" s="3312"/>
      <c r="AB18" s="3312"/>
      <c r="AC18" s="3312"/>
      <c r="AD18" s="3312"/>
      <c r="AE18" s="3312"/>
      <c r="AF18" s="3363"/>
      <c r="AG18" s="803" t="s">
        <v>286</v>
      </c>
      <c r="AH18" s="1468">
        <f>CALCULATIONS!KM16/CALCULATIONS!JP16</f>
        <v>1.1514593933750301E-2</v>
      </c>
      <c r="AI18" s="1472">
        <f>(CALCULATIONS!KH16-CALCULATIONS!JM16)/CALCULATIONS!JM16</f>
        <v>1.2118290592888535E-2</v>
      </c>
      <c r="AJ18" s="1468">
        <f>CALCULATIONS!FD16/CALCULATIONS!EH16</f>
        <v>3.7157975292696106E-3</v>
      </c>
      <c r="AK18" s="1472">
        <f>(CALCULATIONS!FA16-CALCULATIONS!EG16)/CALCULATIONS!EG16</f>
        <v>5.4811068494181724E-3</v>
      </c>
      <c r="AL18" s="1468">
        <f>CALCULATIONS!CX16</f>
        <v>6.8080808466247547E-2</v>
      </c>
      <c r="AM18" s="1472">
        <f>CALCULATIONS!CW16</f>
        <v>8.307843834103501E-2</v>
      </c>
    </row>
    <row r="19" spans="1:47" ht="13.2" customHeight="1">
      <c r="A19" s="1183" t="s">
        <v>504</v>
      </c>
      <c r="B19" s="73" t="s">
        <v>281</v>
      </c>
      <c r="C19" s="103">
        <f>PROFILES!E390</f>
        <v>0.7344324868237998</v>
      </c>
      <c r="D19" s="117">
        <f>PROFILES!N112</f>
        <v>0.10784712869930438</v>
      </c>
      <c r="E19" s="101">
        <f>PROFILES!G390</f>
        <v>0.74956908795771016</v>
      </c>
      <c r="F19" s="103">
        <f>CALCULATIONS!GP17</f>
        <v>0.14726898954609682</v>
      </c>
      <c r="G19" s="117">
        <f>CALCULATIONS!GQ17</f>
        <v>4.9939774449528171E-2</v>
      </c>
      <c r="H19" s="104">
        <f>CALCULATIONS!GO17</f>
        <v>0.17272839211728983</v>
      </c>
      <c r="I19" s="103">
        <f>CALCULATIONS!HZ17*$AB$3+F19*(1-$AB$3)</f>
        <v>0.18443136241749356</v>
      </c>
      <c r="J19" s="117">
        <f>CALCULATIONS!IA17</f>
        <v>-5.7258906752796622E-2</v>
      </c>
      <c r="K19" s="101">
        <f>CALCULATIONS!HY17*$AB$3+H19*(1-$AB$3)</f>
        <v>0.198117589718218</v>
      </c>
      <c r="L19" s="117">
        <f t="shared" si="0"/>
        <v>3.7162372871396732E-2</v>
      </c>
      <c r="M19" s="117">
        <f t="shared" si="1"/>
        <v>0.25234350412762557</v>
      </c>
      <c r="N19" s="80" t="e">
        <f>#REF!</f>
        <v>#REF!</v>
      </c>
      <c r="O19" s="85" t="s">
        <v>292</v>
      </c>
      <c r="P19" s="132">
        <f>CALCULATIONS!LF17</f>
        <v>1.0395975936863313</v>
      </c>
      <c r="Q19" s="151">
        <f>CALCULATIONS!LG17</f>
        <v>2.9438923535487854E-2</v>
      </c>
      <c r="R19" s="131">
        <f>CALCULATIONS!LC17</f>
        <v>1.2087727199953455</v>
      </c>
      <c r="S19" s="2171"/>
      <c r="T19" s="3358" t="s">
        <v>2281</v>
      </c>
      <c r="U19" s="3359"/>
      <c r="V19" s="3359"/>
      <c r="W19" s="3359"/>
      <c r="X19" s="3359"/>
      <c r="Y19" s="3359"/>
      <c r="Z19" s="3359"/>
      <c r="AA19" s="3359"/>
      <c r="AB19" s="3359"/>
      <c r="AC19" s="3359"/>
      <c r="AD19" s="3359"/>
      <c r="AE19" s="3359"/>
      <c r="AF19" s="3360"/>
      <c r="AG19" s="803" t="s">
        <v>281</v>
      </c>
      <c r="AH19" s="1468">
        <f>CALCULATIONS!KM17/CALCULATIONS!JP17</f>
        <v>0.26041292952681755</v>
      </c>
      <c r="AI19" s="1472">
        <f>(CALCULATIONS!KH17-CALCULATIONS!JM17)/CALCULATIONS!JM17</f>
        <v>0.14999180274464091</v>
      </c>
      <c r="AJ19" s="1468">
        <f>CALCULATIONS!FD17/CALCULATIONS!EH17</f>
        <v>4.8865395448871619E-3</v>
      </c>
      <c r="AK19" s="1472">
        <f>(CALCULATIONS!FA17-CALCULATIONS!EG17)/CALCULATIONS!EG17</f>
        <v>2.1432087601481386E-3</v>
      </c>
      <c r="AL19" s="1468">
        <f>CALCULATIONS!CX17</f>
        <v>2.8324929642768303E-2</v>
      </c>
      <c r="AM19" s="1472">
        <f>CALCULATIONS!CW17</f>
        <v>1.5186508715957947E-2</v>
      </c>
    </row>
    <row r="20" spans="1:47">
      <c r="A20" s="1183" t="s">
        <v>505</v>
      </c>
      <c r="B20" s="73" t="s">
        <v>44</v>
      </c>
      <c r="C20" s="103">
        <f>PROFILES!E391</f>
        <v>0.5805147103617575</v>
      </c>
      <c r="D20" s="117">
        <f>PROFILES!N113</f>
        <v>8.4948466413752491E-2</v>
      </c>
      <c r="E20" s="101">
        <f>PROFILES!G391</f>
        <v>0.6264024463118032</v>
      </c>
      <c r="F20" s="103">
        <f>CALCULATIONS!GP18</f>
        <v>0.51826084585195908</v>
      </c>
      <c r="G20" s="117">
        <f>CALCULATIONS!GQ18</f>
        <v>0.40005999871326348</v>
      </c>
      <c r="H20" s="104">
        <f>CALCULATIONS!GO18</f>
        <v>0.58973938770950263</v>
      </c>
      <c r="I20" s="103">
        <f>CALCULATIONS!HZ18*$AB$3+F20*(1-$AB$3)</f>
        <v>0.5495689942142129</v>
      </c>
      <c r="J20" s="117">
        <f>CALCULATIONS!IA18</f>
        <v>0.40637993517884302</v>
      </c>
      <c r="K20" s="101">
        <f>CALCULATIONS!HY18*$AB$3+H20*(1-$AB$3)</f>
        <v>0.63323863537070213</v>
      </c>
      <c r="L20" s="117">
        <f t="shared" si="0"/>
        <v>3.1308148362253818E-2</v>
      </c>
      <c r="M20" s="117">
        <f t="shared" si="1"/>
        <v>6.0410020577161203E-2</v>
      </c>
      <c r="N20" s="80" t="e">
        <f>#REF!</f>
        <v>#REF!</v>
      </c>
      <c r="O20" s="85" t="s">
        <v>298</v>
      </c>
      <c r="P20" s="132">
        <f>CALCULATIONS!LF18</f>
        <v>2.643581803383519</v>
      </c>
      <c r="Q20" s="151">
        <f>CALCULATIONS!LG18</f>
        <v>2.8580691559688957E-2</v>
      </c>
      <c r="R20" s="131">
        <f>CALCULATIONS!LC18</f>
        <v>2.5466878830879209</v>
      </c>
      <c r="S20" s="1231"/>
      <c r="T20" s="3359"/>
      <c r="U20" s="3359"/>
      <c r="V20" s="3359"/>
      <c r="W20" s="3359"/>
      <c r="X20" s="3359"/>
      <c r="Y20" s="3359"/>
      <c r="Z20" s="3359"/>
      <c r="AA20" s="3359"/>
      <c r="AB20" s="3359"/>
      <c r="AC20" s="3359"/>
      <c r="AD20" s="3359"/>
      <c r="AE20" s="3359"/>
      <c r="AF20" s="3360"/>
      <c r="AG20" s="803" t="s">
        <v>44</v>
      </c>
      <c r="AH20" s="1468">
        <f>CALCULATIONS!KM18/CALCULATIONS!JP18</f>
        <v>8.25563069657205E-2</v>
      </c>
      <c r="AI20" s="1472">
        <f>(CALCULATIONS!KH18-CALCULATIONS!JM18)/CALCULATIONS!JM18</f>
        <v>0.1204482870718994</v>
      </c>
      <c r="AJ20" s="1468">
        <f>CALCULATIONS!FD18/CALCULATIONS!EH18</f>
        <v>1.6903266072244627E-2</v>
      </c>
      <c r="AK20" s="1472">
        <f>(CALCULATIONS!FA18-CALCULATIONS!EG18)/CALCULATIONS!EG18</f>
        <v>4.3149206045431508E-2</v>
      </c>
      <c r="AL20" s="1468">
        <f>CALCULATIONS!CX18</f>
        <v>6.0023051177316735E-4</v>
      </c>
      <c r="AM20" s="1472">
        <f>CALCULATIONS!CW18</f>
        <v>2.6890253248352813E-3</v>
      </c>
    </row>
    <row r="21" spans="1:47" ht="13.2" customHeight="1">
      <c r="A21" s="1183" t="s">
        <v>506</v>
      </c>
      <c r="B21" s="73" t="s">
        <v>289</v>
      </c>
      <c r="C21" s="103">
        <f>PROFILES!E392</f>
        <v>0.42290073595624156</v>
      </c>
      <c r="D21" s="117">
        <f>PROFILES!N114</f>
        <v>-9.0086339251873371E-2</v>
      </c>
      <c r="E21" s="101">
        <f>PROFILES!G392</f>
        <v>0.44946685046944856</v>
      </c>
      <c r="F21" s="103">
        <f>CALCULATIONS!GP19</f>
        <v>0.16307046534988884</v>
      </c>
      <c r="G21" s="117">
        <f>CALCULATIONS!GQ19</f>
        <v>1.3005419282788433</v>
      </c>
      <c r="H21" s="104">
        <f>CALCULATIONS!GO19</f>
        <v>0.30950096360373897</v>
      </c>
      <c r="I21" s="103">
        <f>CALCULATIONS!HZ19*$AB$3+F21*(1-$AB$3)</f>
        <v>0.18570292678335293</v>
      </c>
      <c r="J21" s="117">
        <f>CALCULATIONS!IA19</f>
        <v>1.251733079461073</v>
      </c>
      <c r="K21" s="101">
        <f>CALCULATIONS!HY19*$AB$3+H21*(1-$AB$3)</f>
        <v>0.34197601038246805</v>
      </c>
      <c r="L21" s="117">
        <f t="shared" si="0"/>
        <v>2.2632461433464091E-2</v>
      </c>
      <c r="M21" s="117">
        <f t="shared" si="1"/>
        <v>0.13878945758144007</v>
      </c>
      <c r="N21" s="80" t="e">
        <f>#REF!</f>
        <v>#REF!</v>
      </c>
      <c r="O21" s="88" t="s">
        <v>293</v>
      </c>
      <c r="P21" s="132">
        <f>CALCULATIONS!LF19</f>
        <v>0.77886477042851432</v>
      </c>
      <c r="Q21" s="151">
        <f>CALCULATIONS!LG19</f>
        <v>1.0703005310133176</v>
      </c>
      <c r="R21" s="131">
        <f>CALCULATIONS!LC19</f>
        <v>1.1762690733772538</v>
      </c>
      <c r="S21" s="1231"/>
      <c r="T21" s="3361" t="s">
        <v>2282</v>
      </c>
      <c r="U21" s="3361"/>
      <c r="V21" s="3361"/>
      <c r="W21" s="3361"/>
      <c r="X21" s="3361"/>
      <c r="Y21" s="3361"/>
      <c r="Z21" s="3361"/>
      <c r="AA21" s="3361"/>
      <c r="AB21" s="3361"/>
      <c r="AC21" s="3361"/>
      <c r="AD21" s="3361"/>
      <c r="AE21" s="3361"/>
      <c r="AF21" s="3362"/>
      <c r="AG21" s="803" t="s">
        <v>289</v>
      </c>
      <c r="AH21" s="1468">
        <f>CALCULATIONS!KM19/CALCULATIONS!JP19</f>
        <v>0.15630452176834131</v>
      </c>
      <c r="AI21" s="1472">
        <f>(CALCULATIONS!KH19-CALCULATIONS!JM19)/CALCULATIONS!JM19</f>
        <v>0.13103140199311555</v>
      </c>
      <c r="AJ21" s="1468">
        <f>CALCULATIONS!FD19/CALCULATIONS!EH19</f>
        <v>9.3200255959325386E-3</v>
      </c>
      <c r="AK21" s="1472">
        <f>(CALCULATIONS!FA19-CALCULATIONS!EG19)/CALCULATIONS!EG19</f>
        <v>2.3618715370376499E-2</v>
      </c>
      <c r="AL21" s="1468">
        <f>CALCULATIONS!CX19</f>
        <v>3.046770118873682E-4</v>
      </c>
      <c r="AM21" s="1472">
        <f>CALCULATIONS!CW19</f>
        <v>1.3108655117610724E-4</v>
      </c>
    </row>
    <row r="22" spans="1:47" ht="13.2" customHeight="1">
      <c r="A22" s="1183" t="s">
        <v>27</v>
      </c>
      <c r="B22" s="73" t="s">
        <v>54</v>
      </c>
      <c r="C22" s="103">
        <f>PROFILES!E393</f>
        <v>0.48460704112825509</v>
      </c>
      <c r="D22" s="117">
        <f>PROFILES!N115</f>
        <v>-0.18079580514885477</v>
      </c>
      <c r="E22" s="101">
        <f>PROFILES!G393</f>
        <v>0.49497857034449522</v>
      </c>
      <c r="F22" s="103">
        <f>CALCULATIONS!GP20</f>
        <v>0.56717095077467305</v>
      </c>
      <c r="G22" s="117">
        <f>CALCULATIONS!GQ20</f>
        <v>0.64731222518720821</v>
      </c>
      <c r="H22" s="104">
        <f>CALCULATIONS!GO20</f>
        <v>0.74754623070756221</v>
      </c>
      <c r="I22" s="103">
        <f>CALCULATIONS!HZ20*$AB$3+F22*(1-$AB$3)</f>
        <v>0.5748403529709204</v>
      </c>
      <c r="J22" s="117">
        <f>CALCULATIONS!IA20</f>
        <v>0.5906099669472562</v>
      </c>
      <c r="K22" s="101">
        <f>CALCULATIONS!HY20*$AB$3+H22*(1-$AB$3)</f>
        <v>0.7506672643344422</v>
      </c>
      <c r="L22" s="117">
        <f t="shared" si="0"/>
        <v>7.6694021962473435E-3</v>
      </c>
      <c r="M22" s="117">
        <f t="shared" si="1"/>
        <v>1.3522205581530675E-2</v>
      </c>
      <c r="N22" s="80" t="e">
        <f>#REF!</f>
        <v>#REF!</v>
      </c>
      <c r="O22" s="88" t="s">
        <v>294</v>
      </c>
      <c r="P22" s="132">
        <f>CALCULATIONS!LF20</f>
        <v>3.4278891827637503</v>
      </c>
      <c r="Q22" s="151">
        <f>CALCULATIONS!LG20</f>
        <v>0.24423537898737996</v>
      </c>
      <c r="R22" s="131">
        <f>CALCULATIONS!LC20</f>
        <v>3.8230610288109381</v>
      </c>
      <c r="S22" s="1237"/>
      <c r="T22" s="3361"/>
      <c r="U22" s="3361"/>
      <c r="V22" s="3361"/>
      <c r="W22" s="3361"/>
      <c r="X22" s="3361"/>
      <c r="Y22" s="3361"/>
      <c r="Z22" s="3361"/>
      <c r="AA22" s="3361"/>
      <c r="AB22" s="3361"/>
      <c r="AC22" s="3361"/>
      <c r="AD22" s="3361"/>
      <c r="AE22" s="3361"/>
      <c r="AF22" s="3362"/>
      <c r="AG22" s="803" t="s">
        <v>54</v>
      </c>
      <c r="AH22" s="1468">
        <f>CALCULATIONS!KM20/CALCULATIONS!JP20</f>
        <v>1.3549749912289405E-2</v>
      </c>
      <c r="AI22" s="1472">
        <f>(CALCULATIONS!KH20-CALCULATIONS!JM20)/CALCULATIONS!JM20</f>
        <v>6.662606627995284E-3</v>
      </c>
      <c r="AJ22" s="1468">
        <f>CALCULATIONS!FD20/CALCULATIONS!EH20</f>
        <v>-1.2050144542542619E-3</v>
      </c>
      <c r="AK22" s="1472">
        <f>(CALCULATIONS!FA20-CALCULATIONS!EG20)/CALCULATIONS!EG20</f>
        <v>1.9037123751389855E-3</v>
      </c>
      <c r="AL22" s="1468">
        <f>CALCULATIONS!CX20</f>
        <v>5.3987269214191252E-2</v>
      </c>
      <c r="AM22" s="1472">
        <f>CALCULATIONS!CW20</f>
        <v>4.7921192285235392E-2</v>
      </c>
    </row>
    <row r="23" spans="1:47">
      <c r="A23" s="1183" t="s">
        <v>32</v>
      </c>
      <c r="B23" s="73" t="s">
        <v>50</v>
      </c>
      <c r="C23" s="103">
        <f>PROFILES!E394</f>
        <v>0</v>
      </c>
      <c r="D23" s="117">
        <f>PROFILES!N116</f>
        <v>0</v>
      </c>
      <c r="E23" s="101">
        <f>PROFILES!G394</f>
        <v>0</v>
      </c>
      <c r="F23" s="103">
        <f>CALCULATIONS!GP21</f>
        <v>0.37025195227815472</v>
      </c>
      <c r="G23" s="117">
        <f>CALCULATIONS!GQ21</f>
        <v>-0.46222821771061889</v>
      </c>
      <c r="H23" s="104">
        <f>CALCULATIONS!GO21</f>
        <v>0.26403640782716253</v>
      </c>
      <c r="I23" s="103">
        <f>CALCULATIONS!HZ21*$AB$3+F23*(1-$AB$3)</f>
        <v>0.48927059752514818</v>
      </c>
      <c r="J23" s="117">
        <f>CALCULATIONS!IA21</f>
        <v>-0.38189416595312975</v>
      </c>
      <c r="K23" s="101">
        <f>CALCULATIONS!HY21*$AB$3+H23*(1-$AB$3)</f>
        <v>0.37414035756341019</v>
      </c>
      <c r="L23" s="117">
        <f t="shared" si="0"/>
        <v>0.11901864524699346</v>
      </c>
      <c r="M23" s="117">
        <f t="shared" si="1"/>
        <v>0.32145312000294263</v>
      </c>
      <c r="N23" s="80" t="e">
        <f>#REF!</f>
        <v>#REF!</v>
      </c>
      <c r="O23" s="85" t="s">
        <v>292</v>
      </c>
      <c r="P23" s="132">
        <f>CALCULATIONS!LF21</f>
        <v>2.2664974928712622</v>
      </c>
      <c r="Q23" s="151">
        <f>CALCULATIONS!LG21</f>
        <v>-0.12537902502142731</v>
      </c>
      <c r="R23" s="131">
        <f>CALCULATIONS!LC21</f>
        <v>2.136201464388483</v>
      </c>
      <c r="S23" s="1233"/>
      <c r="AG23" s="803" t="s">
        <v>50</v>
      </c>
      <c r="AH23" s="1468">
        <f>CALCULATIONS!KM21/CALCULATIONS!JP21</f>
        <v>0.41521246792865546</v>
      </c>
      <c r="AI23" s="1472">
        <f>(CALCULATIONS!KH21-CALCULATIONS!JM21)/CALCULATIONS!JM21</f>
        <v>0.44693847046472451</v>
      </c>
      <c r="AJ23" s="1468">
        <f>CALCULATIONS!FD21/CALCULATIONS!EH21</f>
        <v>6.2925272214478981E-2</v>
      </c>
      <c r="AK23" s="1472">
        <f>(CALCULATIONS!FA21-CALCULATIONS!EG21)/CALCULATIONS!EG21</f>
        <v>2.1125971484337751E-2</v>
      </c>
      <c r="AL23" s="1468">
        <f>CALCULATIONS!CX21</f>
        <v>4.705041811957206E-4</v>
      </c>
      <c r="AM23" s="1472">
        <f>CALCULATIONS!CW21</f>
        <v>0</v>
      </c>
    </row>
    <row r="24" spans="1:47" ht="13.2" customHeight="1">
      <c r="A24" s="1183" t="s">
        <v>32</v>
      </c>
      <c r="B24" s="73" t="s">
        <v>279</v>
      </c>
      <c r="C24" s="103">
        <f>PROFILES!E395</f>
        <v>0.91487499999999988</v>
      </c>
      <c r="D24" s="117">
        <f>PROFILES!N117</f>
        <v>-4.3736501079913587E-2</v>
      </c>
      <c r="E24" s="101">
        <f>PROFILES!G395</f>
        <v>0.89481420237931208</v>
      </c>
      <c r="F24" s="103">
        <f>CALCULATIONS!GP22</f>
        <v>0.24509229252810941</v>
      </c>
      <c r="G24" s="117">
        <f>CALCULATIONS!GQ22</f>
        <v>-0.16501821733667812</v>
      </c>
      <c r="H24" s="104">
        <f>CALCULATIONS!GO22</f>
        <v>0.23828807339295358</v>
      </c>
      <c r="I24" s="103">
        <f>CALCULATIONS!HZ22*$AB$3+F24*(1-$AB$3)</f>
        <v>0.27870192226407053</v>
      </c>
      <c r="J24" s="117">
        <f>CALCULATIONS!IA22</f>
        <v>-0.14309331637647091</v>
      </c>
      <c r="K24" s="101">
        <f>CALCULATIONS!HY22*$AB$3+H24*(1-$AB$3)</f>
        <v>0.2718321660431175</v>
      </c>
      <c r="L24" s="117">
        <f t="shared" si="0"/>
        <v>3.3609629735961127E-2</v>
      </c>
      <c r="M24" s="117">
        <f t="shared" si="1"/>
        <v>0.13713050455108242</v>
      </c>
      <c r="N24" s="80" t="e">
        <f>#REF!</f>
        <v>#REF!</v>
      </c>
      <c r="O24" s="85" t="s">
        <v>291</v>
      </c>
      <c r="P24" s="132">
        <f>CALCULATIONS!LF22</f>
        <v>2.0880314655341889</v>
      </c>
      <c r="Q24" s="151">
        <f>CALCULATIONS!LG22</f>
        <v>-3.7762767487534328E-2</v>
      </c>
      <c r="R24" s="131">
        <f>CALCULATIONS!LC22</f>
        <v>2.3348198024327131</v>
      </c>
      <c r="S24" s="1233"/>
      <c r="T24" s="3312" t="s">
        <v>2237</v>
      </c>
      <c r="U24" s="3312"/>
      <c r="V24" s="3312"/>
      <c r="W24" s="3312"/>
      <c r="X24" s="3312"/>
      <c r="Y24" s="3312"/>
      <c r="Z24" s="3312"/>
      <c r="AA24" s="3312"/>
      <c r="AB24" s="3312"/>
      <c r="AC24" s="3312"/>
      <c r="AD24" s="3312"/>
      <c r="AE24" s="3312"/>
      <c r="AF24" s="3363"/>
      <c r="AG24" s="803" t="s">
        <v>279</v>
      </c>
      <c r="AH24" s="1468">
        <f>CALCULATIONS!KM22/CALCULATIONS!JP22</f>
        <v>0.12891181605714278</v>
      </c>
      <c r="AI24" s="1472">
        <f>(CALCULATIONS!KH22-CALCULATIONS!JM22)/CALCULATIONS!JM22</f>
        <v>0.12545927176926702</v>
      </c>
      <c r="AJ24" s="1468">
        <f>CALCULATIONS!FD22/CALCULATIONS!EH22</f>
        <v>-7.2931841722508285E-3</v>
      </c>
      <c r="AK24" s="1472">
        <f>(CALCULATIONS!FA22-CALCULATIONS!EG22)/CALCULATIONS!EG22</f>
        <v>-1.3785882555659539E-2</v>
      </c>
      <c r="AL24" s="1468">
        <f>CALCULATIONS!CX22</f>
        <v>6.7687661896775886E-3</v>
      </c>
      <c r="AM24" s="1472">
        <f>CALCULATIONS!CW22</f>
        <v>8.0648598202692767E-3</v>
      </c>
    </row>
    <row r="25" spans="1:47">
      <c r="A25" s="1183" t="s">
        <v>507</v>
      </c>
      <c r="B25" s="73" t="s">
        <v>284</v>
      </c>
      <c r="C25" s="103">
        <f>PROFILES!E396</f>
        <v>0.67984865616162071</v>
      </c>
      <c r="D25" s="117">
        <f>PROFILES!N118</f>
        <v>0.13956056160252914</v>
      </c>
      <c r="E25" s="101">
        <f>PROFILES!G396</f>
        <v>0.7167630057803468</v>
      </c>
      <c r="F25" s="103">
        <f>CALCULATIONS!GP23</f>
        <v>0.23215418017261674</v>
      </c>
      <c r="G25" s="117">
        <f>CALCULATIONS!GQ23</f>
        <v>0.36187217108516367</v>
      </c>
      <c r="H25" s="104">
        <f>CALCULATIONS!GO23</f>
        <v>0.26525179681706468</v>
      </c>
      <c r="I25" s="103">
        <f>CALCULATIONS!HZ23*$AB$3+F25*(1-$AB$3)</f>
        <v>0.2501311526811702</v>
      </c>
      <c r="J25" s="117">
        <f>CALCULATIONS!IA23</f>
        <v>0.31916438327965047</v>
      </c>
      <c r="K25" s="101">
        <f>CALCULATIONS!HY23*$AB$3+H25*(1-$AB$3)</f>
        <v>0.28287599661626001</v>
      </c>
      <c r="L25" s="117">
        <f t="shared" si="0"/>
        <v>1.7976972508553457E-2</v>
      </c>
      <c r="M25" s="117">
        <f t="shared" si="1"/>
        <v>7.7435489187344358E-2</v>
      </c>
      <c r="N25" s="80" t="e">
        <f>#REF!</f>
        <v>#REF!</v>
      </c>
      <c r="O25" s="85" t="s">
        <v>292</v>
      </c>
      <c r="P25" s="132">
        <f>CALCULATIONS!LF23</f>
        <v>1.845874038975184</v>
      </c>
      <c r="Q25" s="151">
        <f>CALCULATIONS!LG23</f>
        <v>0.36079457239176377</v>
      </c>
      <c r="R25" s="131">
        <f>CALCULATIONS!LC23</f>
        <v>2.1424428051274771</v>
      </c>
      <c r="S25" s="2171"/>
      <c r="T25" s="3312"/>
      <c r="U25" s="3312"/>
      <c r="V25" s="3312"/>
      <c r="W25" s="3312"/>
      <c r="X25" s="3312"/>
      <c r="Y25" s="3312"/>
      <c r="Z25" s="3312"/>
      <c r="AA25" s="3312"/>
      <c r="AB25" s="3312"/>
      <c r="AC25" s="3312"/>
      <c r="AD25" s="3312"/>
      <c r="AE25" s="3312"/>
      <c r="AF25" s="3363"/>
      <c r="AG25" s="803" t="s">
        <v>284</v>
      </c>
      <c r="AH25" s="1468">
        <f>CALCULATIONS!KM23/CALCULATIONS!JP23</f>
        <v>7.45252775299627E-2</v>
      </c>
      <c r="AI25" s="1472">
        <f>(CALCULATIONS!KH23-CALCULATIONS!JM23)/CALCULATIONS!JM23</f>
        <v>6.2807915519344934E-2</v>
      </c>
      <c r="AJ25" s="1468">
        <f>CALCULATIONS!FD23/CALCULATIONS!EH23</f>
        <v>-3.3865501614462556E-3</v>
      </c>
      <c r="AK25" s="1472">
        <f>(CALCULATIONS!FA23-CALCULATIONS!EG23)/CALCULATIONS!EG23</f>
        <v>-3.7777372591399246E-3</v>
      </c>
      <c r="AL25" s="1468">
        <f>CALCULATIONS!CX23</f>
        <v>2.0538338510218059E-2</v>
      </c>
      <c r="AM25" s="1472">
        <f>CALCULATIONS!CW23</f>
        <v>1.5296505012799777E-2</v>
      </c>
    </row>
    <row r="26" spans="1:47">
      <c r="A26" s="1183" t="s">
        <v>507</v>
      </c>
      <c r="B26" s="73" t="s">
        <v>282</v>
      </c>
      <c r="C26" s="103">
        <f>PROFILES!E397</f>
        <v>0.67083419702973635</v>
      </c>
      <c r="D26" s="117">
        <f>PROFILES!N119</f>
        <v>-0.11335389957676706</v>
      </c>
      <c r="E26" s="101">
        <f>PROFILES!G397</f>
        <v>0.63639387890884902</v>
      </c>
      <c r="F26" s="103">
        <f>CALCULATIONS!GP24</f>
        <v>0.1536920907726812</v>
      </c>
      <c r="G26" s="117">
        <f>CALCULATIONS!GQ24</f>
        <v>1.6283818604559013</v>
      </c>
      <c r="H26" s="104">
        <f>CALCULATIONS!GO24</f>
        <v>0.2022242346359609</v>
      </c>
      <c r="I26" s="103">
        <f>CALCULATIONS!HZ24*$AB$3+F26*(1-$AB$3)</f>
        <v>0.20961441125119315</v>
      </c>
      <c r="J26" s="117">
        <f>CALCULATIONS!IA24</f>
        <v>0.84200521424561081</v>
      </c>
      <c r="K26" s="101">
        <f>CALCULATIONS!HY24*$AB$3+H26*(1-$AB$3)</f>
        <v>0.28147528322389997</v>
      </c>
      <c r="L26" s="117">
        <f t="shared" si="0"/>
        <v>5.592232047851195E-2</v>
      </c>
      <c r="M26" s="117">
        <f t="shared" si="1"/>
        <v>0.36385945559959909</v>
      </c>
      <c r="N26" s="80" t="s">
        <v>512</v>
      </c>
      <c r="O26" s="87"/>
      <c r="P26" s="132">
        <f>CALCULATIONS!LF24</f>
        <v>1.4399592566697517</v>
      </c>
      <c r="Q26" s="151">
        <f>CALCULATIONS!LG24</f>
        <v>0.8442860967329926</v>
      </c>
      <c r="R26" s="131">
        <f>CALCULATIONS!LC24</f>
        <v>1.5521418473212367</v>
      </c>
      <c r="S26" s="2171"/>
      <c r="AG26" s="803" t="s">
        <v>282</v>
      </c>
      <c r="AH26" s="1468">
        <f>CALCULATIONS!KM24/CALCULATIONS!JP24</f>
        <v>0.334783334414332</v>
      </c>
      <c r="AI26" s="1472">
        <f>(CALCULATIONS!KH24-CALCULATIONS!JM24)/CALCULATIONS!JM24</f>
        <v>0.41495371297418665</v>
      </c>
      <c r="AJ26" s="1468">
        <f>CALCULATIONS!FD24/CALCULATIONS!EH24</f>
        <v>-2.4970702015091931E-3</v>
      </c>
      <c r="AK26" s="1472">
        <f>(CALCULATIONS!FA24-CALCULATIONS!EG24)/CALCULATIONS!EG24</f>
        <v>1.6560444253259917E-2</v>
      </c>
      <c r="AL26" s="1468">
        <f>CALCULATIONS!CX24</f>
        <v>4.3854276012013677E-5</v>
      </c>
      <c r="AM26" s="1472">
        <f>CALCULATIONS!CW24</f>
        <v>4.0961492890900786E-5</v>
      </c>
    </row>
    <row r="27" spans="1:47" ht="13.2" customHeight="1">
      <c r="A27" s="1183" t="s">
        <v>508</v>
      </c>
      <c r="B27" s="73" t="s">
        <v>290</v>
      </c>
      <c r="C27" s="103">
        <f>PROFILES!E398</f>
        <v>0.32615050588405037</v>
      </c>
      <c r="D27" s="117">
        <f>PROFILES!N120</f>
        <v>-8.7660674172335792E-2</v>
      </c>
      <c r="E27" s="101">
        <f>PROFILES!G398</f>
        <v>0.30985103942866765</v>
      </c>
      <c r="F27" s="103">
        <f>CALCULATIONS!GP25</f>
        <v>0.30558583418722468</v>
      </c>
      <c r="G27" s="117">
        <f>CALCULATIONS!GQ25</f>
        <v>-0.13620468181810452</v>
      </c>
      <c r="H27" s="104">
        <f>CALCULATIONS!GO25</f>
        <v>0.29018390059321952</v>
      </c>
      <c r="I27" s="103">
        <f>CALCULATIONS!HZ25*$AB$3+F27*(1-$AB$3)</f>
        <v>0.31922230141848357</v>
      </c>
      <c r="J27" s="117">
        <f>CALCULATIONS!IA25</f>
        <v>-0.13496032758973828</v>
      </c>
      <c r="K27" s="101">
        <f>CALCULATIONS!HY25*$AB$3+H27*(1-$AB$3)</f>
        <v>0.30362227391248225</v>
      </c>
      <c r="L27" s="117">
        <f t="shared" si="0"/>
        <v>1.3636467231258886E-2</v>
      </c>
      <c r="M27" s="117">
        <f t="shared" si="1"/>
        <v>4.4624016252350789E-2</v>
      </c>
      <c r="N27" s="80" t="e">
        <f>#REF!</f>
        <v>#REF!</v>
      </c>
      <c r="O27" s="85" t="s">
        <v>292</v>
      </c>
      <c r="P27" s="132">
        <f>CALCULATIONS!LF25</f>
        <v>2.1579177629636748</v>
      </c>
      <c r="Q27" s="151">
        <f>CALCULATIONS!LG25</f>
        <v>6.0078851309961184E-2</v>
      </c>
      <c r="R27" s="131">
        <f>CALCULATIONS!LC25</f>
        <v>2.3009327536910358</v>
      </c>
      <c r="S27" s="2171"/>
      <c r="T27" s="2754"/>
      <c r="U27" s="2754"/>
      <c r="V27" s="2754"/>
      <c r="W27" s="2754"/>
      <c r="X27" s="2754"/>
      <c r="Y27" s="2754"/>
      <c r="Z27" s="2754"/>
      <c r="AA27" s="2754"/>
      <c r="AB27" s="2754"/>
      <c r="AC27" s="2754"/>
      <c r="AD27" s="2754"/>
      <c r="AE27" s="2754"/>
      <c r="AF27" s="2143"/>
      <c r="AG27" s="803" t="s">
        <v>290</v>
      </c>
      <c r="AH27" s="1468">
        <f>CALCULATIONS!KM25/CALCULATIONS!JP25</f>
        <v>4.4325515509795972E-2</v>
      </c>
      <c r="AI27" s="1472">
        <f>(CALCULATIONS!KH25-CALCULATIONS!JM25)/CALCULATIONS!JM25</f>
        <v>4.3679550404642796E-2</v>
      </c>
      <c r="AJ27" s="1468">
        <f>CALCULATIONS!FD25/CALCULATIONS!EH25</f>
        <v>-5.0235676673163882E-4</v>
      </c>
      <c r="AK27" s="1472">
        <f>(CALCULATIONS!FA25-CALCULATIONS!EG25)/CALCULATIONS!EG25</f>
        <v>-2.5238884235342417E-3</v>
      </c>
      <c r="AL27" s="1468">
        <f>CALCULATIONS!CX25</f>
        <v>3.0042638254503475E-3</v>
      </c>
      <c r="AM27" s="1472">
        <f>CALCULATIONS!CW25</f>
        <v>5.200412537096355E-4</v>
      </c>
    </row>
    <row r="28" spans="1:47">
      <c r="A28" s="1184" t="s">
        <v>27</v>
      </c>
      <c r="B28" s="106" t="s">
        <v>357</v>
      </c>
      <c r="C28" s="122">
        <f>PROFILES!E399</f>
        <v>0.90539538726018864</v>
      </c>
      <c r="D28" s="122">
        <f>PROFILES!N121</f>
        <v>-4.1189056985539901E-2</v>
      </c>
      <c r="E28" s="124">
        <f>PROFILES!G399</f>
        <v>0.90138346931536006</v>
      </c>
      <c r="F28" s="160">
        <f>CALCULATIONS!GP26</f>
        <v>0.38160323267486906</v>
      </c>
      <c r="G28" s="122">
        <f>CALCULATIONS!GQ26</f>
        <v>0.13281779457810056</v>
      </c>
      <c r="H28" s="1117">
        <f>CALCULATIONS!GO26</f>
        <v>0.39444904186551905</v>
      </c>
      <c r="I28" s="160">
        <f>CALCULATIONS!HZ26*$AB$3+F28*(1-$AB$3)</f>
        <v>0.47841518539184064</v>
      </c>
      <c r="J28" s="122">
        <f>CALCULATIONS!IA26</f>
        <v>1.1717685634717274E-2</v>
      </c>
      <c r="K28" s="124">
        <f>CALCULATIONS!HY26*$AB$3+H28*(1-$AB$3)</f>
        <v>0.46507375880431212</v>
      </c>
      <c r="L28" s="122">
        <f t="shared" si="0"/>
        <v>9.6811952716971572E-2</v>
      </c>
      <c r="M28" s="122">
        <f t="shared" si="1"/>
        <v>0.25369793656715856</v>
      </c>
      <c r="N28" s="89" t="s">
        <v>512</v>
      </c>
      <c r="O28" s="1118"/>
      <c r="P28" s="158">
        <f>CALCULATIONS!LF26</f>
        <v>1.832329792526622</v>
      </c>
      <c r="Q28" s="161">
        <f>CALCULATIONS!LG26</f>
        <v>-9.9442962217240083E-2</v>
      </c>
      <c r="R28" s="159">
        <f>CALCULATIONS!LC26</f>
        <v>1.8160302149559577</v>
      </c>
      <c r="S28" s="1234"/>
      <c r="T28" s="90"/>
      <c r="U28" s="90"/>
      <c r="V28" s="90"/>
      <c r="W28" s="90"/>
      <c r="X28" s="90"/>
      <c r="Y28" s="90"/>
      <c r="Z28" s="90"/>
      <c r="AA28" s="90"/>
      <c r="AB28" s="90"/>
      <c r="AC28" s="90"/>
      <c r="AD28" s="90"/>
      <c r="AE28" s="90"/>
      <c r="AF28" s="91"/>
      <c r="AG28" s="1409" t="s">
        <v>357</v>
      </c>
      <c r="AH28" s="1469">
        <f>CALCULATIONS!KM26/CALCULATIONS!JP26</f>
        <v>0.33019641149018808</v>
      </c>
      <c r="AI28" s="1473">
        <f>(CALCULATIONS!KH26-CALCULATIONS!JM26)/CALCULATIONS!JM26</f>
        <v>0.22894117421284221</v>
      </c>
      <c r="AJ28" s="1469">
        <f>CALCULATIONS!FD26/CALCULATIONS!EH26</f>
        <v>5.7656385858063992E-2</v>
      </c>
      <c r="AK28" s="1473">
        <f>(CALCULATIONS!FA26-CALCULATIONS!EG26)/CALCULATIONS!EG26</f>
        <v>4.2265513481485224E-2</v>
      </c>
      <c r="AL28" s="1469">
        <f>CALCULATIONS!CX26</f>
        <v>2.5443186220054969E-3</v>
      </c>
      <c r="AM28" s="1473">
        <f>CALCULATIONS!CW26</f>
        <v>3.8029457072119577E-4</v>
      </c>
    </row>
    <row r="29" spans="1:47" s="154" customFormat="1">
      <c r="A29" s="2900" t="s">
        <v>2285</v>
      </c>
      <c r="C29" s="1119">
        <v>2</v>
      </c>
      <c r="D29" s="1120">
        <v>3</v>
      </c>
      <c r="E29" s="1119">
        <v>4</v>
      </c>
      <c r="F29" s="1120">
        <v>5</v>
      </c>
      <c r="G29" s="1119">
        <v>6</v>
      </c>
      <c r="H29" s="1120">
        <v>7</v>
      </c>
      <c r="I29" s="1119">
        <v>8</v>
      </c>
      <c r="J29" s="1120">
        <v>9</v>
      </c>
      <c r="K29" s="1119">
        <v>10</v>
      </c>
      <c r="L29" s="1120">
        <v>11</v>
      </c>
      <c r="M29" s="1119">
        <v>12</v>
      </c>
      <c r="N29" s="1120">
        <v>13</v>
      </c>
      <c r="O29" s="1119">
        <v>14</v>
      </c>
      <c r="P29" s="1120">
        <v>15</v>
      </c>
      <c r="Q29" s="1119">
        <v>16</v>
      </c>
      <c r="R29" s="1120">
        <v>17</v>
      </c>
      <c r="T29" s="1432"/>
      <c r="U29" s="1432"/>
      <c r="V29" s="1432"/>
      <c r="W29" s="1432"/>
      <c r="X29" s="1432"/>
      <c r="Y29" s="1432"/>
      <c r="Z29" s="1432"/>
      <c r="AA29" s="1432"/>
      <c r="AB29" s="1432"/>
      <c r="AC29" s="1432"/>
      <c r="AD29" s="1432"/>
      <c r="AE29" s="1432"/>
      <c r="AF29" s="2436"/>
      <c r="AG29" s="2264"/>
      <c r="AU29" s="116"/>
    </row>
    <row r="30" spans="1:47" s="154" customFormat="1">
      <c r="A30" s="2900" t="s">
        <v>2286</v>
      </c>
      <c r="C30" s="1119"/>
      <c r="D30" s="1120"/>
      <c r="E30" s="1119"/>
      <c r="F30" s="1120"/>
      <c r="G30" s="1119"/>
      <c r="H30" s="1120"/>
      <c r="I30" s="1119"/>
      <c r="J30" s="1120"/>
      <c r="K30" s="1119"/>
      <c r="L30" s="1120"/>
      <c r="M30" s="1119"/>
      <c r="N30" s="1120"/>
      <c r="O30" s="1119"/>
      <c r="P30" s="1120"/>
      <c r="Q30" s="1119"/>
      <c r="R30" s="1120"/>
      <c r="T30" s="3355"/>
      <c r="U30" s="3355"/>
      <c r="V30" s="3355"/>
      <c r="W30" s="3355"/>
      <c r="X30" s="3355"/>
      <c r="Y30" s="3355"/>
      <c r="Z30" s="3355"/>
      <c r="AA30" s="3355"/>
      <c r="AB30" s="3355"/>
      <c r="AC30" s="3355"/>
      <c r="AD30" s="3355"/>
      <c r="AE30" s="3355"/>
      <c r="AF30" s="3355"/>
      <c r="AG30" s="2429"/>
      <c r="AU30" s="116"/>
    </row>
    <row r="31" spans="1:47" s="154" customFormat="1">
      <c r="A31" s="1188"/>
      <c r="C31" s="1119"/>
      <c r="D31" s="1120"/>
      <c r="E31" s="1119"/>
      <c r="F31" s="1120"/>
      <c r="G31" s="1119"/>
      <c r="H31" s="1120"/>
      <c r="I31" s="1119"/>
      <c r="J31" s="1120"/>
      <c r="K31" s="1119"/>
      <c r="L31" s="1120"/>
      <c r="M31" s="1119"/>
      <c r="N31" s="1120"/>
      <c r="O31" s="1119"/>
      <c r="P31" s="1120"/>
      <c r="Q31" s="1119"/>
      <c r="R31" s="1120"/>
      <c r="T31" s="1432"/>
      <c r="U31" s="1432"/>
      <c r="V31" s="1432"/>
      <c r="W31" s="1432"/>
      <c r="X31" s="1432"/>
      <c r="Y31" s="1432"/>
      <c r="Z31" s="1432"/>
      <c r="AA31" s="1432"/>
      <c r="AB31" s="1432"/>
      <c r="AC31" s="1432"/>
      <c r="AD31" s="1432"/>
      <c r="AE31" s="1432"/>
      <c r="AF31" s="2436"/>
      <c r="AG31" s="2264"/>
      <c r="AU31" s="116"/>
    </row>
    <row r="32" spans="1:47" s="119" customFormat="1">
      <c r="A32" s="1189" t="s">
        <v>1147</v>
      </c>
      <c r="B32" s="1253"/>
      <c r="C32" s="1254"/>
      <c r="D32" s="1255"/>
      <c r="E32" s="1254"/>
      <c r="F32" s="1255"/>
      <c r="G32" s="1254"/>
      <c r="H32" s="1255"/>
      <c r="I32" s="1254"/>
      <c r="J32" s="1255"/>
      <c r="K32" s="1254"/>
      <c r="L32" s="1255"/>
      <c r="M32" s="1254"/>
      <c r="N32" s="1255"/>
      <c r="O32" s="1254"/>
      <c r="P32" s="1255"/>
      <c r="Q32" s="1254"/>
      <c r="R32" s="1253"/>
      <c r="T32" s="1253"/>
      <c r="U32" s="1253"/>
      <c r="V32" s="1253"/>
      <c r="W32" s="1253"/>
      <c r="X32" s="1253"/>
      <c r="Y32" s="1253"/>
      <c r="Z32" s="1253"/>
      <c r="AA32" s="1253"/>
      <c r="AB32" s="1253"/>
      <c r="AC32" s="1253"/>
      <c r="AD32" s="1253"/>
      <c r="AE32" s="1253"/>
      <c r="AF32" s="2437"/>
      <c r="AG32" s="2428"/>
      <c r="AU32" s="2426"/>
    </row>
    <row r="35" spans="1:20">
      <c r="A35" s="1252" t="s">
        <v>1064</v>
      </c>
      <c r="B35" s="1123" t="s">
        <v>2287</v>
      </c>
      <c r="R35" s="1230"/>
    </row>
    <row r="36" spans="1:20">
      <c r="A36" s="1156" t="s">
        <v>323</v>
      </c>
      <c r="B36" s="726" t="s">
        <v>774</v>
      </c>
      <c r="C36" s="1076">
        <f t="shared" ref="C36:N45" si="2">VLOOKUP($B36,$B$7:$R$28,C$29,FALSE)</f>
        <v>6.4385445236561381E-2</v>
      </c>
      <c r="D36" s="1143">
        <f t="shared" si="2"/>
        <v>14.697799124913645</v>
      </c>
      <c r="E36" s="1144">
        <f t="shared" si="2"/>
        <v>0.15462918080465343</v>
      </c>
      <c r="F36" s="1142">
        <f t="shared" si="2"/>
        <v>0.42399287000325037</v>
      </c>
      <c r="G36" s="1143">
        <f t="shared" si="2"/>
        <v>4.5742782667206161E-2</v>
      </c>
      <c r="H36" s="1144">
        <f t="shared" si="2"/>
        <v>0.48144640266975475</v>
      </c>
      <c r="I36" s="1142">
        <f t="shared" si="2"/>
        <v>0.42695023434228802</v>
      </c>
      <c r="J36" s="1143">
        <f t="shared" si="2"/>
        <v>4.1366838913311048E-2</v>
      </c>
      <c r="K36" s="1144">
        <f t="shared" si="2"/>
        <v>0.4832654138496531</v>
      </c>
      <c r="L36" s="1136">
        <f t="shared" si="2"/>
        <v>2.9573643390376492E-3</v>
      </c>
      <c r="M36" s="1136">
        <f t="shared" si="2"/>
        <v>6.9750331863245195E-3</v>
      </c>
      <c r="N36" s="1145" t="e">
        <f t="shared" si="2"/>
        <v>#REF!</v>
      </c>
      <c r="O36" s="1146"/>
      <c r="P36" s="1282">
        <f t="shared" ref="P36:R57" si="3">VLOOKUP($B36,$B$7:$R$28,P$29,FALSE)</f>
        <v>3.7014756930154613</v>
      </c>
      <c r="Q36" s="1147">
        <f t="shared" si="3"/>
        <v>0.31334582285320112</v>
      </c>
      <c r="R36" s="1141">
        <f t="shared" si="3"/>
        <v>4.3704719780651446</v>
      </c>
      <c r="S36" s="1235"/>
    </row>
    <row r="37" spans="1:20">
      <c r="A37" s="1155" t="s">
        <v>27</v>
      </c>
      <c r="B37" s="73" t="s">
        <v>54</v>
      </c>
      <c r="C37" s="103">
        <f t="shared" si="2"/>
        <v>0.48460704112825509</v>
      </c>
      <c r="D37" s="1131">
        <f t="shared" si="2"/>
        <v>-0.18079580514885477</v>
      </c>
      <c r="E37" s="1132">
        <f t="shared" si="2"/>
        <v>0.49497857034449522</v>
      </c>
      <c r="F37" s="1130">
        <f t="shared" si="2"/>
        <v>0.56717095077467305</v>
      </c>
      <c r="G37" s="1131">
        <f t="shared" si="2"/>
        <v>0.64731222518720821</v>
      </c>
      <c r="H37" s="1132">
        <f t="shared" si="2"/>
        <v>0.74754623070756221</v>
      </c>
      <c r="I37" s="1130">
        <f t="shared" si="2"/>
        <v>0.5748403529709204</v>
      </c>
      <c r="J37" s="1131">
        <f t="shared" si="2"/>
        <v>0.5906099669472562</v>
      </c>
      <c r="K37" s="1132">
        <f t="shared" si="2"/>
        <v>0.7506672643344422</v>
      </c>
      <c r="L37" s="1124">
        <f t="shared" si="2"/>
        <v>7.6694021962473435E-3</v>
      </c>
      <c r="M37" s="1124">
        <f t="shared" si="2"/>
        <v>1.3522205581530675E-2</v>
      </c>
      <c r="N37" s="1133" t="e">
        <f t="shared" si="2"/>
        <v>#REF!</v>
      </c>
      <c r="O37" s="1134"/>
      <c r="P37" s="132">
        <f t="shared" si="3"/>
        <v>3.4278891827637503</v>
      </c>
      <c r="Q37" s="1135">
        <f t="shared" si="3"/>
        <v>0.24423537898737996</v>
      </c>
      <c r="R37" s="1129">
        <f t="shared" si="3"/>
        <v>3.8230610288109381</v>
      </c>
      <c r="S37" s="1237"/>
    </row>
    <row r="38" spans="1:20">
      <c r="A38" s="1155" t="s">
        <v>503</v>
      </c>
      <c r="B38" s="73" t="s">
        <v>286</v>
      </c>
      <c r="C38" s="103">
        <f t="shared" si="2"/>
        <v>0.34534166666666666</v>
      </c>
      <c r="D38" s="1131">
        <f t="shared" si="2"/>
        <v>-5.4500069338510607E-2</v>
      </c>
      <c r="E38" s="1132">
        <f t="shared" si="2"/>
        <v>0.3626280111015483</v>
      </c>
      <c r="F38" s="1130">
        <f t="shared" si="2"/>
        <v>0.67997702229572432</v>
      </c>
      <c r="G38" s="1131">
        <f t="shared" si="2"/>
        <v>0.10658020511075152</v>
      </c>
      <c r="H38" s="1132">
        <f t="shared" si="2"/>
        <v>0.75270955685414354</v>
      </c>
      <c r="I38" s="1130">
        <f t="shared" si="2"/>
        <v>0.68457317243488636</v>
      </c>
      <c r="J38" s="1131">
        <f t="shared" si="2"/>
        <v>0.10522314957078965</v>
      </c>
      <c r="K38" s="1132">
        <f t="shared" si="2"/>
        <v>0.75672107111582532</v>
      </c>
      <c r="L38" s="1124">
        <f t="shared" si="2"/>
        <v>4.5961501391620363E-3</v>
      </c>
      <c r="M38" s="1124">
        <f t="shared" si="2"/>
        <v>6.7592727231349809E-3</v>
      </c>
      <c r="N38" s="1133" t="e">
        <f t="shared" si="2"/>
        <v>#REF!</v>
      </c>
      <c r="O38" s="1134" t="str">
        <f>VLOOKUP($B38,$B$7:$R$28,O$29,FALSE)</f>
        <v>= ¯ ¯</v>
      </c>
      <c r="P38" s="132">
        <f t="shared" si="3"/>
        <v>2.9152503149286035</v>
      </c>
      <c r="Q38" s="1135">
        <f t="shared" si="3"/>
        <v>-0.14664752669478531</v>
      </c>
      <c r="R38" s="1129">
        <f t="shared" si="3"/>
        <v>2.8370691340232916</v>
      </c>
      <c r="S38" s="1231"/>
    </row>
    <row r="39" spans="1:20">
      <c r="A39" s="1155" t="s">
        <v>219</v>
      </c>
      <c r="B39" s="73" t="s">
        <v>53</v>
      </c>
      <c r="C39" s="103">
        <f t="shared" si="2"/>
        <v>0.6158872479982318</v>
      </c>
      <c r="D39" s="1131">
        <f t="shared" si="2"/>
        <v>0.11044311863454735</v>
      </c>
      <c r="E39" s="1132">
        <f t="shared" si="2"/>
        <v>0.66127040038880336</v>
      </c>
      <c r="F39" s="1130">
        <f t="shared" si="2"/>
        <v>0.48384306036910518</v>
      </c>
      <c r="G39" s="1131">
        <f t="shared" si="2"/>
        <v>0.2595878527386451</v>
      </c>
      <c r="H39" s="1132">
        <f t="shared" si="2"/>
        <v>0.54381370963962039</v>
      </c>
      <c r="I39" s="1130">
        <f t="shared" si="2"/>
        <v>0.51513010935716153</v>
      </c>
      <c r="J39" s="1131">
        <f t="shared" si="2"/>
        <v>0.26130995158024306</v>
      </c>
      <c r="K39" s="1132">
        <f t="shared" si="2"/>
        <v>0.57929804018594233</v>
      </c>
      <c r="L39" s="1124">
        <f t="shared" si="2"/>
        <v>3.1287048988056343E-2</v>
      </c>
      <c r="M39" s="1124">
        <f t="shared" si="2"/>
        <v>6.4663630732222685E-2</v>
      </c>
      <c r="N39" s="1133" t="e">
        <f t="shared" si="2"/>
        <v>#REF!</v>
      </c>
      <c r="O39" s="1134" t="str">
        <f>VLOOKUP($B39,$B$7:$R$28,O$29,FALSE)</f>
        <v>¯ ¯ ¯</v>
      </c>
      <c r="P39" s="132">
        <f t="shared" si="3"/>
        <v>2.7929780820851775</v>
      </c>
      <c r="Q39" s="1135">
        <f t="shared" si="3"/>
        <v>0.12404595260605845</v>
      </c>
      <c r="R39" s="1129">
        <f t="shared" si="3"/>
        <v>2.8353348809740444</v>
      </c>
      <c r="S39" s="1237"/>
    </row>
    <row r="40" spans="1:20">
      <c r="A40" s="1155" t="s">
        <v>502</v>
      </c>
      <c r="B40" s="73" t="s">
        <v>52</v>
      </c>
      <c r="C40" s="103">
        <f t="shared" si="2"/>
        <v>0.61</v>
      </c>
      <c r="D40" s="1131">
        <f t="shared" si="2"/>
        <v>0</v>
      </c>
      <c r="E40" s="1132">
        <f t="shared" si="2"/>
        <v>0.62983042679437373</v>
      </c>
      <c r="F40" s="1130">
        <f t="shared" si="2"/>
        <v>0.51528895508035288</v>
      </c>
      <c r="G40" s="1131">
        <f t="shared" si="2"/>
        <v>-2.4931247740904369E-2</v>
      </c>
      <c r="H40" s="1132">
        <f t="shared" si="2"/>
        <v>0.51939744871548044</v>
      </c>
      <c r="I40" s="1130">
        <f t="shared" si="2"/>
        <v>0.58808850315066874</v>
      </c>
      <c r="J40" s="1131">
        <f t="shared" si="2"/>
        <v>-2.8226553900756759E-2</v>
      </c>
      <c r="K40" s="1132">
        <f t="shared" si="2"/>
        <v>0.59074959904524027</v>
      </c>
      <c r="L40" s="1124">
        <f t="shared" si="2"/>
        <v>7.2799548070315856E-2</v>
      </c>
      <c r="M40" s="1124">
        <f t="shared" si="2"/>
        <v>0.14127907721011346</v>
      </c>
      <c r="N40" s="1133" t="e">
        <f t="shared" si="2"/>
        <v>#REF!</v>
      </c>
      <c r="O40" s="1134" t="str">
        <f>VLOOKUP($B40,$B$7:$R$28,O$29,FALSE)</f>
        <v>= = =</v>
      </c>
      <c r="P40" s="132">
        <f t="shared" si="3"/>
        <v>2.7906818261625395</v>
      </c>
      <c r="Q40" s="1135">
        <f t="shared" si="3"/>
        <v>8.5841806528642844E-2</v>
      </c>
      <c r="R40" s="1129">
        <f t="shared" si="3"/>
        <v>2.9178287645268703</v>
      </c>
      <c r="S40" s="1231"/>
      <c r="T40" s="79"/>
    </row>
    <row r="41" spans="1:20">
      <c r="A41" s="1155" t="s">
        <v>505</v>
      </c>
      <c r="B41" s="73" t="s">
        <v>44</v>
      </c>
      <c r="C41" s="103">
        <f t="shared" si="2"/>
        <v>0.5805147103617575</v>
      </c>
      <c r="D41" s="1131">
        <f t="shared" si="2"/>
        <v>8.4948466413752491E-2</v>
      </c>
      <c r="E41" s="1132">
        <f t="shared" si="2"/>
        <v>0.6264024463118032</v>
      </c>
      <c r="F41" s="1130">
        <f t="shared" si="2"/>
        <v>0.51826084585195908</v>
      </c>
      <c r="G41" s="1131">
        <f t="shared" si="2"/>
        <v>0.40005999871326348</v>
      </c>
      <c r="H41" s="1132">
        <f t="shared" si="2"/>
        <v>0.58973938770950263</v>
      </c>
      <c r="I41" s="1130">
        <f t="shared" si="2"/>
        <v>0.5495689942142129</v>
      </c>
      <c r="J41" s="1131">
        <f t="shared" si="2"/>
        <v>0.40637993517884302</v>
      </c>
      <c r="K41" s="1132">
        <f t="shared" si="2"/>
        <v>0.63323863537070213</v>
      </c>
      <c r="L41" s="1124">
        <f t="shared" si="2"/>
        <v>3.1308148362253818E-2</v>
      </c>
      <c r="M41" s="1124">
        <f t="shared" si="2"/>
        <v>6.0410020577161203E-2</v>
      </c>
      <c r="N41" s="1133" t="e">
        <f t="shared" si="2"/>
        <v>#REF!</v>
      </c>
      <c r="O41" s="1134" t="str">
        <f>VLOOKUP($B41,$B$7:$R$28,O$29,FALSE)</f>
        <v>= = ¯</v>
      </c>
      <c r="P41" s="132">
        <f t="shared" si="3"/>
        <v>2.643581803383519</v>
      </c>
      <c r="Q41" s="1135">
        <f t="shared" si="3"/>
        <v>2.8580691559688957E-2</v>
      </c>
      <c r="R41" s="1129">
        <f t="shared" si="3"/>
        <v>2.5466878830879209</v>
      </c>
      <c r="S41" s="1231"/>
    </row>
    <row r="42" spans="1:20">
      <c r="A42" s="1155" t="s">
        <v>545</v>
      </c>
      <c r="B42" s="73" t="s">
        <v>39</v>
      </c>
      <c r="C42" s="103">
        <f t="shared" si="2"/>
        <v>0.31054928118178421</v>
      </c>
      <c r="D42" s="1131">
        <f t="shared" si="2"/>
        <v>-0.11491916916279199</v>
      </c>
      <c r="E42" s="1132">
        <f t="shared" si="2"/>
        <v>0.28165979767703259</v>
      </c>
      <c r="F42" s="1130">
        <f t="shared" si="2"/>
        <v>0.3899242463002407</v>
      </c>
      <c r="G42" s="1131">
        <f t="shared" si="2"/>
        <v>-0.1197676600756727</v>
      </c>
      <c r="H42" s="1132">
        <f t="shared" si="2"/>
        <v>0.37944762378701169</v>
      </c>
      <c r="I42" s="1130">
        <f t="shared" si="2"/>
        <v>0.45093517146474416</v>
      </c>
      <c r="J42" s="1131">
        <f t="shared" si="2"/>
        <v>-8.3572610535330494E-2</v>
      </c>
      <c r="K42" s="1132">
        <f t="shared" si="2"/>
        <v>0.43916945384982109</v>
      </c>
      <c r="L42" s="1124">
        <f t="shared" si="2"/>
        <v>6.101092516450346E-2</v>
      </c>
      <c r="M42" s="1124">
        <f t="shared" si="2"/>
        <v>0.15646866216553562</v>
      </c>
      <c r="N42" s="1133" t="e">
        <f t="shared" si="2"/>
        <v>#REF!</v>
      </c>
      <c r="O42" s="1134" t="str">
        <f>VLOOKUP($B42,$B$7:$R$28,O$29,FALSE)</f>
        <v>­ = =</v>
      </c>
      <c r="P42" s="132">
        <f t="shared" si="3"/>
        <v>2.6587814840492587</v>
      </c>
      <c r="Q42" s="1135">
        <f t="shared" si="3"/>
        <v>-0.25803195656746131</v>
      </c>
      <c r="R42" s="1129">
        <f t="shared" si="3"/>
        <v>2.5933932385229874</v>
      </c>
      <c r="S42" s="1236"/>
    </row>
    <row r="43" spans="1:20">
      <c r="A43" s="1155" t="s">
        <v>19</v>
      </c>
      <c r="B43" s="152" t="s">
        <v>288</v>
      </c>
      <c r="C43" s="103">
        <f t="shared" si="2"/>
        <v>0.60741568747204655</v>
      </c>
      <c r="D43" s="1131">
        <f t="shared" si="2"/>
        <v>4.0950219141690898E-2</v>
      </c>
      <c r="E43" s="1132">
        <f t="shared" si="2"/>
        <v>0.62738172243152124</v>
      </c>
      <c r="F43" s="1130">
        <f t="shared" si="2"/>
        <v>0.50834561454306215</v>
      </c>
      <c r="G43" s="1131">
        <f t="shared" si="2"/>
        <v>0.27477182203191691</v>
      </c>
      <c r="H43" s="1132">
        <f t="shared" si="2"/>
        <v>0.61196382356206247</v>
      </c>
      <c r="I43" s="1130">
        <f t="shared" si="2"/>
        <v>0.54898628094174651</v>
      </c>
      <c r="J43" s="1131">
        <f t="shared" si="2"/>
        <v>0.26756473067663017</v>
      </c>
      <c r="K43" s="1132">
        <f t="shared" si="2"/>
        <v>0.65530118542007598</v>
      </c>
      <c r="L43" s="1124">
        <f t="shared" si="2"/>
        <v>4.0640666398684355E-2</v>
      </c>
      <c r="M43" s="1124">
        <f t="shared" si="2"/>
        <v>7.9946920433679999E-2</v>
      </c>
      <c r="N43" s="1133" t="e">
        <f t="shared" si="2"/>
        <v>#REF!</v>
      </c>
      <c r="O43" s="1134"/>
      <c r="P43" s="132">
        <f t="shared" si="3"/>
        <v>2.5321561588471506</v>
      </c>
      <c r="Q43" s="1135">
        <f t="shared" si="3"/>
        <v>1.3257606300410854E-2</v>
      </c>
      <c r="R43" s="1129">
        <f t="shared" si="3"/>
        <v>2.8138910595815916</v>
      </c>
      <c r="S43" s="1231"/>
    </row>
    <row r="44" spans="1:20">
      <c r="A44" s="1155" t="s">
        <v>389</v>
      </c>
      <c r="B44" s="73" t="s">
        <v>278</v>
      </c>
      <c r="C44" s="103">
        <f t="shared" si="2"/>
        <v>0.60910298289809772</v>
      </c>
      <c r="D44" s="1131">
        <f t="shared" si="2"/>
        <v>-5.2071170724915891E-2</v>
      </c>
      <c r="E44" s="1132">
        <f t="shared" si="2"/>
        <v>0.6207941242005639</v>
      </c>
      <c r="F44" s="1130">
        <f t="shared" si="2"/>
        <v>0.49050145598877937</v>
      </c>
      <c r="G44" s="1131">
        <f t="shared" si="2"/>
        <v>0.42102559519407173</v>
      </c>
      <c r="H44" s="1132">
        <f t="shared" si="2"/>
        <v>0.61744816018521742</v>
      </c>
      <c r="I44" s="1130">
        <f t="shared" si="2"/>
        <v>0.49698573886957192</v>
      </c>
      <c r="J44" s="1131">
        <f t="shared" si="2"/>
        <v>0.41032171167013903</v>
      </c>
      <c r="K44" s="1132">
        <f t="shared" si="2"/>
        <v>0.62319136029119382</v>
      </c>
      <c r="L44" s="1124">
        <f t="shared" si="2"/>
        <v>6.4842828807925579E-3</v>
      </c>
      <c r="M44" s="1124">
        <f t="shared" si="2"/>
        <v>1.3219701596443154E-2</v>
      </c>
      <c r="N44" s="1133" t="e">
        <f t="shared" si="2"/>
        <v>#REF!</v>
      </c>
      <c r="O44" s="1134" t="str">
        <f>VLOOKUP($B44,$B$7:$R$28,O$29,FALSE)</f>
        <v>= ¯</v>
      </c>
      <c r="P44" s="132">
        <f t="shared" si="3"/>
        <v>2.1902281092407181</v>
      </c>
      <c r="Q44" s="1135">
        <f t="shared" si="3"/>
        <v>0.36844726500440206</v>
      </c>
      <c r="R44" s="1129">
        <f t="shared" si="3"/>
        <v>2.5252968522290931</v>
      </c>
      <c r="S44" s="1231"/>
    </row>
    <row r="45" spans="1:20">
      <c r="A45" s="1155" t="s">
        <v>378</v>
      </c>
      <c r="B45" s="73" t="s">
        <v>42</v>
      </c>
      <c r="C45" s="103">
        <f t="shared" si="2"/>
        <v>0.56323171407839789</v>
      </c>
      <c r="D45" s="1131">
        <f t="shared" si="2"/>
        <v>-0.12023286586287618</v>
      </c>
      <c r="E45" s="1132">
        <f t="shared" si="2"/>
        <v>0.53987730061349704</v>
      </c>
      <c r="F45" s="1130">
        <f t="shared" si="2"/>
        <v>0.60887331285954671</v>
      </c>
      <c r="G45" s="1131">
        <f t="shared" si="2"/>
        <v>-0.37303497156800469</v>
      </c>
      <c r="H45" s="1132">
        <f t="shared" si="2"/>
        <v>0.37659759063604481</v>
      </c>
      <c r="I45" s="1130">
        <f t="shared" si="2"/>
        <v>0.63388271448107447</v>
      </c>
      <c r="J45" s="1131">
        <f t="shared" si="2"/>
        <v>-0.25869992498286548</v>
      </c>
      <c r="K45" s="1132">
        <f t="shared" si="2"/>
        <v>0.44527495080222473</v>
      </c>
      <c r="L45" s="1124">
        <f t="shared" si="2"/>
        <v>2.500940162152776E-2</v>
      </c>
      <c r="M45" s="1124">
        <f t="shared" si="2"/>
        <v>4.1074885519406669E-2</v>
      </c>
      <c r="N45" s="1133" t="e">
        <f t="shared" si="2"/>
        <v>#REF!</v>
      </c>
      <c r="O45" s="1134" t="str">
        <f>VLOOKUP($B45,$B$7:$R$28,O$29,FALSE)</f>
        <v>= =</v>
      </c>
      <c r="P45" s="132">
        <f t="shared" si="3"/>
        <v>2.172629043332774</v>
      </c>
      <c r="Q45" s="1135">
        <f t="shared" si="3"/>
        <v>-0.22035736928264804</v>
      </c>
      <c r="R45" s="1129">
        <f t="shared" si="3"/>
        <v>1.5517268924243866</v>
      </c>
      <c r="S45" s="1231"/>
    </row>
    <row r="46" spans="1:20">
      <c r="A46" s="1155" t="s">
        <v>508</v>
      </c>
      <c r="B46" s="73" t="s">
        <v>290</v>
      </c>
      <c r="C46" s="103">
        <f t="shared" ref="C46:N57" si="4">VLOOKUP($B46,$B$7:$R$28,C$29,FALSE)</f>
        <v>0.32615050588405037</v>
      </c>
      <c r="D46" s="1131">
        <f t="shared" si="4"/>
        <v>-8.7660674172335792E-2</v>
      </c>
      <c r="E46" s="1132">
        <f t="shared" si="4"/>
        <v>0.30985103942866765</v>
      </c>
      <c r="F46" s="1130">
        <f t="shared" si="4"/>
        <v>0.30558583418722468</v>
      </c>
      <c r="G46" s="1131">
        <f t="shared" si="4"/>
        <v>-0.13620468181810452</v>
      </c>
      <c r="H46" s="1132">
        <f t="shared" si="4"/>
        <v>0.29018390059321952</v>
      </c>
      <c r="I46" s="1130">
        <f t="shared" si="4"/>
        <v>0.31922230141848357</v>
      </c>
      <c r="J46" s="1131">
        <f t="shared" si="4"/>
        <v>-0.13496032758973828</v>
      </c>
      <c r="K46" s="1132">
        <f t="shared" si="4"/>
        <v>0.30362227391248225</v>
      </c>
      <c r="L46" s="1124">
        <f t="shared" si="4"/>
        <v>1.3636467231258886E-2</v>
      </c>
      <c r="M46" s="1124">
        <f t="shared" si="4"/>
        <v>4.4624016252350789E-2</v>
      </c>
      <c r="N46" s="1133" t="e">
        <f t="shared" si="4"/>
        <v>#REF!</v>
      </c>
      <c r="O46" s="1134" t="str">
        <f>VLOOKUP($B46,$B$7:$R$28,O$29,FALSE)</f>
        <v>= =</v>
      </c>
      <c r="P46" s="132">
        <f t="shared" si="3"/>
        <v>2.1579177629636748</v>
      </c>
      <c r="Q46" s="1135">
        <f t="shared" si="3"/>
        <v>6.0078851309961184E-2</v>
      </c>
      <c r="R46" s="1129">
        <f t="shared" si="3"/>
        <v>2.3009327536910358</v>
      </c>
      <c r="S46" s="1232"/>
    </row>
    <row r="47" spans="1:20">
      <c r="A47" s="1155" t="s">
        <v>32</v>
      </c>
      <c r="B47" s="73" t="s">
        <v>50</v>
      </c>
      <c r="C47" s="103">
        <f t="shared" si="4"/>
        <v>0</v>
      </c>
      <c r="D47" s="1131">
        <f t="shared" si="4"/>
        <v>0</v>
      </c>
      <c r="E47" s="1132">
        <f t="shared" si="4"/>
        <v>0</v>
      </c>
      <c r="F47" s="1130">
        <f t="shared" si="4"/>
        <v>0.37025195227815472</v>
      </c>
      <c r="G47" s="1131">
        <f t="shared" si="4"/>
        <v>-0.46222821771061889</v>
      </c>
      <c r="H47" s="1132">
        <f t="shared" si="4"/>
        <v>0.26403640782716253</v>
      </c>
      <c r="I47" s="1130">
        <f t="shared" si="4"/>
        <v>0.48927059752514818</v>
      </c>
      <c r="J47" s="1131">
        <f t="shared" si="4"/>
        <v>-0.38189416595312975</v>
      </c>
      <c r="K47" s="1132">
        <f t="shared" si="4"/>
        <v>0.37414035756341019</v>
      </c>
      <c r="L47" s="1124">
        <f t="shared" si="4"/>
        <v>0.11901864524699346</v>
      </c>
      <c r="M47" s="1124">
        <f t="shared" si="4"/>
        <v>0.32145312000294263</v>
      </c>
      <c r="N47" s="1133" t="e">
        <f t="shared" si="4"/>
        <v>#REF!</v>
      </c>
      <c r="O47" s="1134" t="str">
        <f>VLOOKUP($B47,$B$7:$R$28,O$29,FALSE)</f>
        <v>= =</v>
      </c>
      <c r="P47" s="132">
        <f t="shared" si="3"/>
        <v>2.2664974928712622</v>
      </c>
      <c r="Q47" s="1135">
        <f t="shared" si="3"/>
        <v>-0.12537902502142731</v>
      </c>
      <c r="R47" s="1129">
        <f t="shared" si="3"/>
        <v>2.136201464388483</v>
      </c>
      <c r="S47" s="1233"/>
    </row>
    <row r="48" spans="1:20">
      <c r="A48" s="1155" t="s">
        <v>32</v>
      </c>
      <c r="B48" s="73" t="s">
        <v>279</v>
      </c>
      <c r="C48" s="103">
        <f t="shared" si="4"/>
        <v>0.91487499999999988</v>
      </c>
      <c r="D48" s="1131">
        <f t="shared" si="4"/>
        <v>-4.3736501079913587E-2</v>
      </c>
      <c r="E48" s="1132">
        <f t="shared" si="4"/>
        <v>0.89481420237931208</v>
      </c>
      <c r="F48" s="1130">
        <f t="shared" si="4"/>
        <v>0.24509229252810941</v>
      </c>
      <c r="G48" s="1131">
        <f t="shared" si="4"/>
        <v>-0.16501821733667812</v>
      </c>
      <c r="H48" s="1132">
        <f t="shared" si="4"/>
        <v>0.23828807339295358</v>
      </c>
      <c r="I48" s="1130">
        <f t="shared" si="4"/>
        <v>0.27870192226407053</v>
      </c>
      <c r="J48" s="1131">
        <f t="shared" si="4"/>
        <v>-0.14309331637647091</v>
      </c>
      <c r="K48" s="1132">
        <f t="shared" si="4"/>
        <v>0.2718321660431175</v>
      </c>
      <c r="L48" s="1124">
        <f t="shared" si="4"/>
        <v>3.3609629735961127E-2</v>
      </c>
      <c r="M48" s="1124">
        <f t="shared" si="4"/>
        <v>0.13713050455108242</v>
      </c>
      <c r="N48" s="1133" t="e">
        <f t="shared" si="4"/>
        <v>#REF!</v>
      </c>
      <c r="O48" s="1134"/>
      <c r="P48" s="132">
        <f t="shared" si="3"/>
        <v>2.0880314655341889</v>
      </c>
      <c r="Q48" s="1135">
        <f t="shared" si="3"/>
        <v>-3.7762767487534328E-2</v>
      </c>
      <c r="R48" s="1129">
        <f t="shared" si="3"/>
        <v>2.3348198024327131</v>
      </c>
      <c r="S48" s="1233"/>
    </row>
    <row r="49" spans="1:47">
      <c r="A49" s="1155" t="s">
        <v>507</v>
      </c>
      <c r="B49" s="73" t="s">
        <v>284</v>
      </c>
      <c r="C49" s="103">
        <f t="shared" si="4"/>
        <v>0.67984865616162071</v>
      </c>
      <c r="D49" s="1131">
        <f t="shared" si="4"/>
        <v>0.13956056160252914</v>
      </c>
      <c r="E49" s="1132">
        <f t="shared" si="4"/>
        <v>0.7167630057803468</v>
      </c>
      <c r="F49" s="1130">
        <f t="shared" si="4"/>
        <v>0.23215418017261674</v>
      </c>
      <c r="G49" s="1131">
        <f t="shared" si="4"/>
        <v>0.36187217108516367</v>
      </c>
      <c r="H49" s="1132">
        <f t="shared" si="4"/>
        <v>0.26525179681706468</v>
      </c>
      <c r="I49" s="1130">
        <f t="shared" si="4"/>
        <v>0.2501311526811702</v>
      </c>
      <c r="J49" s="1131">
        <f t="shared" si="4"/>
        <v>0.31916438327965047</v>
      </c>
      <c r="K49" s="1132">
        <f t="shared" si="4"/>
        <v>0.28287599661626001</v>
      </c>
      <c r="L49" s="1124">
        <f t="shared" si="4"/>
        <v>1.7976972508553457E-2</v>
      </c>
      <c r="M49" s="1124">
        <f t="shared" si="4"/>
        <v>7.7435489187344358E-2</v>
      </c>
      <c r="N49" s="1133" t="e">
        <f t="shared" si="4"/>
        <v>#REF!</v>
      </c>
      <c r="O49" s="1134" t="str">
        <f>VLOOKUP($B49,$B$7:$R$28,O$29,FALSE)</f>
        <v>= =</v>
      </c>
      <c r="P49" s="132">
        <f t="shared" si="3"/>
        <v>1.845874038975184</v>
      </c>
      <c r="Q49" s="1135">
        <f t="shared" si="3"/>
        <v>0.36079457239176377</v>
      </c>
      <c r="R49" s="1129">
        <f t="shared" si="3"/>
        <v>2.1424428051274771</v>
      </c>
      <c r="S49" s="1232"/>
    </row>
    <row r="50" spans="1:47">
      <c r="A50" s="1155" t="s">
        <v>27</v>
      </c>
      <c r="B50" s="73" t="s">
        <v>357</v>
      </c>
      <c r="C50" s="103">
        <f t="shared" si="4"/>
        <v>0.90539538726018864</v>
      </c>
      <c r="D50" s="1131">
        <f t="shared" si="4"/>
        <v>-4.1189056985539901E-2</v>
      </c>
      <c r="E50" s="1132">
        <f t="shared" si="4"/>
        <v>0.90138346931536006</v>
      </c>
      <c r="F50" s="1130">
        <f t="shared" si="4"/>
        <v>0.38160323267486906</v>
      </c>
      <c r="G50" s="1131">
        <f t="shared" si="4"/>
        <v>0.13281779457810056</v>
      </c>
      <c r="H50" s="1132">
        <f t="shared" si="4"/>
        <v>0.39444904186551905</v>
      </c>
      <c r="I50" s="1130">
        <f t="shared" si="4"/>
        <v>0.47841518539184064</v>
      </c>
      <c r="J50" s="1131">
        <f t="shared" si="4"/>
        <v>1.1717685634717274E-2</v>
      </c>
      <c r="K50" s="1132">
        <f t="shared" si="4"/>
        <v>0.46507375880431212</v>
      </c>
      <c r="L50" s="1124">
        <f t="shared" si="4"/>
        <v>9.6811952716971572E-2</v>
      </c>
      <c r="M50" s="1124">
        <f t="shared" si="4"/>
        <v>0.25369793656715856</v>
      </c>
      <c r="N50" s="1133" t="str">
        <f t="shared" si="4"/>
        <v>No rating</v>
      </c>
      <c r="O50" s="1134"/>
      <c r="P50" s="132">
        <f t="shared" si="3"/>
        <v>1.832329792526622</v>
      </c>
      <c r="Q50" s="1135">
        <f t="shared" si="3"/>
        <v>-9.9442962217240083E-2</v>
      </c>
      <c r="R50" s="1129">
        <f t="shared" si="3"/>
        <v>1.8160302149559577</v>
      </c>
      <c r="S50" s="1234"/>
    </row>
    <row r="51" spans="1:47">
      <c r="A51" s="1155" t="s">
        <v>73</v>
      </c>
      <c r="B51" s="73" t="s">
        <v>285</v>
      </c>
      <c r="C51" s="103">
        <f t="shared" si="4"/>
        <v>0.62657499999999999</v>
      </c>
      <c r="D51" s="1131">
        <f t="shared" si="4"/>
        <v>5.5614710459497153E-2</v>
      </c>
      <c r="E51" s="1132">
        <f t="shared" si="4"/>
        <v>0.64439999999999997</v>
      </c>
      <c r="F51" s="1130">
        <f t="shared" si="4"/>
        <v>0.24190098439360719</v>
      </c>
      <c r="G51" s="1131">
        <f t="shared" si="4"/>
        <v>0.20667512064869559</v>
      </c>
      <c r="H51" s="1132">
        <f t="shared" si="4"/>
        <v>0.30597960586046052</v>
      </c>
      <c r="I51" s="1130">
        <f t="shared" si="4"/>
        <v>0.2616424852780464</v>
      </c>
      <c r="J51" s="1131">
        <f t="shared" si="4"/>
        <v>0.20296552626351777</v>
      </c>
      <c r="K51" s="1132">
        <f t="shared" si="4"/>
        <v>0.32061814749302248</v>
      </c>
      <c r="L51" s="1124">
        <f t="shared" si="4"/>
        <v>1.9741500884439211E-2</v>
      </c>
      <c r="M51" s="1124">
        <f t="shared" si="4"/>
        <v>8.1609841042717679E-2</v>
      </c>
      <c r="N51" s="1133" t="e">
        <f t="shared" si="4"/>
        <v>#REF!</v>
      </c>
      <c r="O51" s="1134" t="str">
        <f>VLOOKUP($B51,$B$7:$R$28,O$29,FALSE)</f>
        <v>= =</v>
      </c>
      <c r="P51" s="132">
        <f t="shared" si="3"/>
        <v>1.7511002028712532</v>
      </c>
      <c r="Q51" s="1135">
        <f t="shared" si="3"/>
        <v>0.37093258903528414</v>
      </c>
      <c r="R51" s="1129">
        <f t="shared" si="3"/>
        <v>2.2311132077757287</v>
      </c>
      <c r="S51" s="1232"/>
    </row>
    <row r="52" spans="1:47">
      <c r="A52" s="1155" t="s">
        <v>507</v>
      </c>
      <c r="B52" s="73" t="s">
        <v>282</v>
      </c>
      <c r="C52" s="103">
        <f t="shared" si="4"/>
        <v>0.67083419702973635</v>
      </c>
      <c r="D52" s="1131">
        <f t="shared" si="4"/>
        <v>-0.11335389957676706</v>
      </c>
      <c r="E52" s="1132">
        <f t="shared" si="4"/>
        <v>0.63639387890884902</v>
      </c>
      <c r="F52" s="1130">
        <f t="shared" si="4"/>
        <v>0.1536920907726812</v>
      </c>
      <c r="G52" s="1131">
        <f t="shared" si="4"/>
        <v>1.6283818604559013</v>
      </c>
      <c r="H52" s="1132">
        <f t="shared" si="4"/>
        <v>0.2022242346359609</v>
      </c>
      <c r="I52" s="1130">
        <f t="shared" si="4"/>
        <v>0.20961441125119315</v>
      </c>
      <c r="J52" s="1131">
        <f t="shared" si="4"/>
        <v>0.84200521424561081</v>
      </c>
      <c r="K52" s="1132">
        <f t="shared" si="4"/>
        <v>0.28147528322389997</v>
      </c>
      <c r="L52" s="1124">
        <f t="shared" si="4"/>
        <v>5.592232047851195E-2</v>
      </c>
      <c r="M52" s="1124">
        <f t="shared" si="4"/>
        <v>0.36385945559959909</v>
      </c>
      <c r="N52" s="1133" t="str">
        <f t="shared" si="4"/>
        <v>No rating</v>
      </c>
      <c r="O52" s="1134"/>
      <c r="P52" s="132">
        <f t="shared" si="3"/>
        <v>1.4399592566697517</v>
      </c>
      <c r="Q52" s="1135">
        <f t="shared" si="3"/>
        <v>0.8442860967329926</v>
      </c>
      <c r="R52" s="1129">
        <f t="shared" si="3"/>
        <v>1.5521418473212367</v>
      </c>
      <c r="S52" s="1232"/>
    </row>
    <row r="53" spans="1:47">
      <c r="A53" s="1155" t="s">
        <v>19</v>
      </c>
      <c r="B53" s="73" t="s">
        <v>287</v>
      </c>
      <c r="C53" s="103">
        <f t="shared" si="4"/>
        <v>9.1630231095150338E-2</v>
      </c>
      <c r="D53" s="1148" t="str">
        <f t="shared" si="4"/>
        <v>¥</v>
      </c>
      <c r="E53" s="1132">
        <f t="shared" si="4"/>
        <v>0.34976819018989347</v>
      </c>
      <c r="F53" s="1130">
        <f t="shared" si="4"/>
        <v>0.13477545507373562</v>
      </c>
      <c r="G53" s="1131">
        <f t="shared" si="4"/>
        <v>-0.4264373226073967</v>
      </c>
      <c r="H53" s="1132">
        <f t="shared" si="4"/>
        <v>9.7905485588969735E-2</v>
      </c>
      <c r="I53" s="1130">
        <f t="shared" si="4"/>
        <v>0.16024846762312819</v>
      </c>
      <c r="J53" s="1131">
        <f t="shared" si="4"/>
        <v>-0.25253039609468159</v>
      </c>
      <c r="K53" s="1132">
        <f t="shared" si="4"/>
        <v>0.12849893093161849</v>
      </c>
      <c r="L53" s="1124">
        <f t="shared" si="4"/>
        <v>2.5473012549392576E-2</v>
      </c>
      <c r="M53" s="1124">
        <f t="shared" si="4"/>
        <v>0.18900335031669008</v>
      </c>
      <c r="N53" s="1133" t="str">
        <f t="shared" si="4"/>
        <v>No rating</v>
      </c>
      <c r="O53" s="1134"/>
      <c r="P53" s="132">
        <f t="shared" si="3"/>
        <v>1.265551414722516</v>
      </c>
      <c r="Q53" s="1135">
        <f t="shared" si="3"/>
        <v>0.38040351489576829</v>
      </c>
      <c r="R53" s="1129">
        <f t="shared" si="3"/>
        <v>1.242834927692577</v>
      </c>
      <c r="S53" s="1235"/>
    </row>
    <row r="54" spans="1:47">
      <c r="A54" s="1156" t="s">
        <v>323</v>
      </c>
      <c r="B54" s="726" t="s">
        <v>773</v>
      </c>
      <c r="C54" s="1076">
        <f t="shared" si="4"/>
        <v>0.95644485424869818</v>
      </c>
      <c r="D54" s="1143">
        <f t="shared" si="4"/>
        <v>5.7346309608293736E-3</v>
      </c>
      <c r="E54" s="1144">
        <f t="shared" si="4"/>
        <v>0.97265268915223335</v>
      </c>
      <c r="F54" s="1142">
        <f t="shared" si="4"/>
        <v>0.16489915086810925</v>
      </c>
      <c r="G54" s="1143">
        <f t="shared" si="4"/>
        <v>2.0043608623878186</v>
      </c>
      <c r="H54" s="1144">
        <f t="shared" si="4"/>
        <v>0.32988338723452482</v>
      </c>
      <c r="I54" s="1142">
        <f t="shared" si="4"/>
        <v>0.27218937885351913</v>
      </c>
      <c r="J54" s="1143">
        <f t="shared" si="4"/>
        <v>1.2181747217666232</v>
      </c>
      <c r="K54" s="1144">
        <f t="shared" si="4"/>
        <v>0.4561905930983241</v>
      </c>
      <c r="L54" s="1136">
        <f t="shared" si="4"/>
        <v>0.10729022798540988</v>
      </c>
      <c r="M54" s="1136">
        <f t="shared" si="4"/>
        <v>0.65064148250965514</v>
      </c>
      <c r="N54" s="1145" t="str">
        <f t="shared" si="4"/>
        <v>No rating</v>
      </c>
      <c r="O54" s="1146"/>
      <c r="P54" s="1282">
        <f t="shared" si="3"/>
        <v>1.2440956586918632</v>
      </c>
      <c r="Q54" s="1147">
        <f t="shared" si="3"/>
        <v>0.5581122698382367</v>
      </c>
      <c r="R54" s="1141">
        <f t="shared" si="3"/>
        <v>1.6771658832683087</v>
      </c>
      <c r="S54" s="1234"/>
    </row>
    <row r="55" spans="1:47">
      <c r="A55" s="1155" t="s">
        <v>504</v>
      </c>
      <c r="B55" s="73" t="s">
        <v>281</v>
      </c>
      <c r="C55" s="103">
        <f t="shared" si="4"/>
        <v>0.7344324868237998</v>
      </c>
      <c r="D55" s="1131">
        <f t="shared" si="4"/>
        <v>0.10784712869930438</v>
      </c>
      <c r="E55" s="1132">
        <f t="shared" si="4"/>
        <v>0.74956908795771016</v>
      </c>
      <c r="F55" s="1130">
        <f t="shared" si="4"/>
        <v>0.14726898954609682</v>
      </c>
      <c r="G55" s="1131">
        <f t="shared" si="4"/>
        <v>4.9939774449528171E-2</v>
      </c>
      <c r="H55" s="1132">
        <f t="shared" si="4"/>
        <v>0.17272839211728983</v>
      </c>
      <c r="I55" s="1130">
        <f t="shared" si="4"/>
        <v>0.18443136241749356</v>
      </c>
      <c r="J55" s="1131">
        <f t="shared" si="4"/>
        <v>-5.7258906752796622E-2</v>
      </c>
      <c r="K55" s="1132">
        <f t="shared" si="4"/>
        <v>0.198117589718218</v>
      </c>
      <c r="L55" s="1124">
        <f t="shared" si="4"/>
        <v>3.7162372871396732E-2</v>
      </c>
      <c r="M55" s="1124">
        <f t="shared" si="4"/>
        <v>0.25234350412762557</v>
      </c>
      <c r="N55" s="1133" t="e">
        <f t="shared" si="4"/>
        <v>#REF!</v>
      </c>
      <c r="O55" s="1134" t="str">
        <f>VLOOKUP($B55,$B$7:$R$28,O$29,FALSE)</f>
        <v>= =</v>
      </c>
      <c r="P55" s="132">
        <f t="shared" si="3"/>
        <v>1.0395975936863313</v>
      </c>
      <c r="Q55" s="1135">
        <f t="shared" si="3"/>
        <v>2.9438923535487854E-2</v>
      </c>
      <c r="R55" s="1129">
        <f t="shared" si="3"/>
        <v>1.2087727199953455</v>
      </c>
      <c r="S55" s="1232"/>
    </row>
    <row r="56" spans="1:47">
      <c r="A56" s="1156" t="s">
        <v>323</v>
      </c>
      <c r="B56" s="726" t="s">
        <v>772</v>
      </c>
      <c r="C56" s="1076">
        <f t="shared" si="4"/>
        <v>0.37158673775730477</v>
      </c>
      <c r="D56" s="1143">
        <f t="shared" si="4"/>
        <v>-0.1153634304384116</v>
      </c>
      <c r="E56" s="1144">
        <f t="shared" si="4"/>
        <v>0.36037883142173305</v>
      </c>
      <c r="F56" s="1142">
        <f t="shared" si="4"/>
        <v>0.17383796150947908</v>
      </c>
      <c r="G56" s="1143">
        <f t="shared" si="4"/>
        <v>0.54445307336528614</v>
      </c>
      <c r="H56" s="1144">
        <f t="shared" si="4"/>
        <v>0.26356163003804695</v>
      </c>
      <c r="I56" s="1142">
        <f t="shared" si="4"/>
        <v>0.19702478682132593</v>
      </c>
      <c r="J56" s="1143">
        <f t="shared" si="4"/>
        <v>0.50034734616182497</v>
      </c>
      <c r="K56" s="1144">
        <f t="shared" si="4"/>
        <v>0.28756363720088318</v>
      </c>
      <c r="L56" s="1136">
        <f t="shared" si="4"/>
        <v>2.3186825311846848E-2</v>
      </c>
      <c r="M56" s="1136">
        <f t="shared" si="4"/>
        <v>0.13338182932260462</v>
      </c>
      <c r="N56" s="1145" t="e">
        <f t="shared" si="4"/>
        <v>#REF!</v>
      </c>
      <c r="O56" s="1146" t="str">
        <f>VLOOKUP($B56,$B$7:$R$28,O$29,FALSE)</f>
        <v>= =</v>
      </c>
      <c r="P56" s="1282">
        <f t="shared" si="3"/>
        <v>0.93248540191552354</v>
      </c>
      <c r="Q56" s="1147">
        <f t="shared" si="3"/>
        <v>0.78949919521054279</v>
      </c>
      <c r="R56" s="1141">
        <f t="shared" si="3"/>
        <v>1.3109622071604587</v>
      </c>
      <c r="S56" s="1302"/>
    </row>
    <row r="57" spans="1:47">
      <c r="A57" s="1155" t="s">
        <v>506</v>
      </c>
      <c r="B57" s="73" t="s">
        <v>289</v>
      </c>
      <c r="C57" s="117">
        <f t="shared" si="4"/>
        <v>0.42290073595624156</v>
      </c>
      <c r="D57" s="1131">
        <f t="shared" si="4"/>
        <v>-9.0086339251873371E-2</v>
      </c>
      <c r="E57" s="1132">
        <f t="shared" si="4"/>
        <v>0.44946685046944856</v>
      </c>
      <c r="F57" s="1130">
        <f t="shared" si="4"/>
        <v>0.16307046534988884</v>
      </c>
      <c r="G57" s="1131">
        <f t="shared" si="4"/>
        <v>1.3005419282788433</v>
      </c>
      <c r="H57" s="1132">
        <f t="shared" si="4"/>
        <v>0.30950096360373897</v>
      </c>
      <c r="I57" s="1130">
        <f t="shared" si="4"/>
        <v>0.18570292678335293</v>
      </c>
      <c r="J57" s="1131">
        <f t="shared" si="4"/>
        <v>1.251733079461073</v>
      </c>
      <c r="K57" s="1132">
        <f t="shared" si="4"/>
        <v>0.34197601038246805</v>
      </c>
      <c r="L57" s="1124">
        <f t="shared" si="4"/>
        <v>2.2632461433464091E-2</v>
      </c>
      <c r="M57" s="1124">
        <f t="shared" si="4"/>
        <v>0.13878945758144007</v>
      </c>
      <c r="N57" s="1133" t="e">
        <f t="shared" si="4"/>
        <v>#REF!</v>
      </c>
      <c r="O57" s="1134" t="str">
        <f>VLOOKUP($B57,$B$7:$R$28,O$29,FALSE)</f>
        <v>¯ ¯</v>
      </c>
      <c r="P57" s="132">
        <f t="shared" si="3"/>
        <v>0.77886477042851432</v>
      </c>
      <c r="Q57" s="1135">
        <f t="shared" si="3"/>
        <v>1.0703005310133176</v>
      </c>
      <c r="R57" s="1129">
        <f t="shared" si="3"/>
        <v>1.1762690733772538</v>
      </c>
      <c r="S57" s="1231"/>
    </row>
    <row r="59" spans="1:47" ht="13.2" customHeight="1">
      <c r="A59" s="2844" t="s">
        <v>323</v>
      </c>
      <c r="B59" s="2844"/>
      <c r="C59" s="3364"/>
      <c r="D59" s="3364"/>
      <c r="E59" s="3364"/>
      <c r="F59" s="3364"/>
      <c r="G59" s="3364"/>
      <c r="H59" s="3364"/>
      <c r="I59" s="3364"/>
      <c r="J59" s="3364"/>
      <c r="K59" s="3364"/>
      <c r="L59" s="3364"/>
      <c r="M59" s="3364"/>
      <c r="N59" s="3364"/>
      <c r="O59" s="3364"/>
      <c r="P59" s="3364"/>
      <c r="Q59" s="3364"/>
      <c r="R59" s="3364"/>
      <c r="S59" s="1871"/>
      <c r="T59" s="3309" t="s">
        <v>2238</v>
      </c>
      <c r="U59" s="3309"/>
      <c r="V59" s="3309"/>
      <c r="W59" s="3309"/>
      <c r="X59" s="3309"/>
      <c r="Y59" s="3309"/>
      <c r="Z59" s="3309"/>
      <c r="AA59" s="3309"/>
      <c r="AB59" s="3309"/>
      <c r="AC59" s="3309"/>
      <c r="AD59" s="3309"/>
      <c r="AE59" s="3309"/>
      <c r="AF59" s="3347"/>
    </row>
    <row r="60" spans="1:47" s="92" customFormat="1" ht="13.2" customHeight="1">
      <c r="A60" s="2845"/>
      <c r="B60" s="2845"/>
      <c r="C60" s="2846"/>
      <c r="D60" s="2846"/>
      <c r="E60" s="2846"/>
      <c r="F60" s="2846"/>
      <c r="G60" s="2846"/>
      <c r="H60" s="2846"/>
      <c r="I60" s="2846"/>
      <c r="J60" s="2846"/>
      <c r="K60" s="2846"/>
      <c r="L60" s="2846"/>
      <c r="M60" s="2846"/>
      <c r="N60" s="2846"/>
      <c r="O60" s="2846"/>
      <c r="P60" s="2846"/>
      <c r="Q60" s="2846"/>
      <c r="R60" s="2846"/>
      <c r="S60" s="2847"/>
      <c r="T60" s="3310" t="s">
        <v>1285</v>
      </c>
      <c r="U60" s="3310"/>
      <c r="V60" s="3310"/>
      <c r="W60" s="3310"/>
      <c r="X60" s="3310"/>
      <c r="Y60" s="3310"/>
      <c r="Z60" s="3310"/>
      <c r="AA60" s="3310"/>
      <c r="AB60" s="3310"/>
      <c r="AC60" s="3310"/>
      <c r="AD60" s="3310"/>
      <c r="AE60" s="3310"/>
      <c r="AF60" s="3422"/>
      <c r="AG60" s="2263"/>
      <c r="AU60" s="2425"/>
    </row>
    <row r="61" spans="1:47">
      <c r="A61" s="2848" t="s">
        <v>1102</v>
      </c>
      <c r="B61" s="2848"/>
      <c r="C61" s="3353"/>
      <c r="D61" s="3353"/>
      <c r="E61" s="3353"/>
      <c r="F61" s="3353"/>
      <c r="G61" s="3353"/>
      <c r="H61" s="3353"/>
      <c r="I61" s="3353"/>
      <c r="J61" s="3353"/>
      <c r="K61" s="3353"/>
      <c r="L61" s="3353"/>
      <c r="M61" s="3353"/>
      <c r="N61" s="3353"/>
      <c r="O61" s="3353"/>
      <c r="P61" s="3353"/>
      <c r="Q61" s="3353"/>
      <c r="R61" s="3353"/>
      <c r="S61" s="1871"/>
      <c r="T61" s="3309" t="s">
        <v>1743</v>
      </c>
      <c r="U61" s="3309"/>
      <c r="V61" s="3309"/>
      <c r="W61" s="3309"/>
      <c r="X61" s="3309"/>
      <c r="Y61" s="3309"/>
      <c r="Z61" s="3309"/>
      <c r="AA61" s="3309"/>
      <c r="AB61" s="3309"/>
      <c r="AC61" s="3309"/>
      <c r="AD61" s="3309"/>
      <c r="AE61" s="3309"/>
      <c r="AF61" s="3347"/>
    </row>
    <row r="62" spans="1:47" s="1604" customFormat="1">
      <c r="A62" s="2849"/>
      <c r="B62" s="2849"/>
      <c r="C62" s="1871"/>
      <c r="D62" s="1871"/>
      <c r="E62" s="1871"/>
      <c r="F62" s="1871"/>
      <c r="G62" s="1871"/>
      <c r="H62" s="1871"/>
      <c r="I62" s="1871"/>
      <c r="J62" s="1871"/>
      <c r="K62" s="1871"/>
      <c r="L62" s="1871"/>
      <c r="M62" s="1871"/>
      <c r="N62" s="1871"/>
      <c r="O62" s="1871"/>
      <c r="P62" s="1871"/>
      <c r="Q62" s="1871"/>
      <c r="R62" s="1871"/>
      <c r="S62" s="1871"/>
      <c r="T62" s="3310"/>
      <c r="U62" s="3310"/>
      <c r="V62" s="3310"/>
      <c r="W62" s="3310"/>
      <c r="X62" s="3310"/>
      <c r="Y62" s="3310"/>
      <c r="Z62" s="3310"/>
      <c r="AA62" s="3310"/>
      <c r="AB62" s="3310"/>
      <c r="AC62" s="3310"/>
      <c r="AD62" s="3310"/>
      <c r="AE62" s="3310"/>
      <c r="AF62" s="3422"/>
      <c r="AG62" s="2263"/>
      <c r="AU62" s="80"/>
    </row>
    <row r="63" spans="1:47">
      <c r="A63" s="2850" t="s">
        <v>32</v>
      </c>
      <c r="B63" s="2850"/>
      <c r="C63" s="1871"/>
      <c r="D63" s="1871"/>
      <c r="E63" s="1871"/>
      <c r="F63" s="1871"/>
      <c r="G63" s="1871"/>
      <c r="H63" s="1871"/>
      <c r="I63" s="1871"/>
      <c r="J63" s="1871"/>
      <c r="K63" s="1871"/>
      <c r="L63" s="1871"/>
      <c r="M63" s="1871"/>
      <c r="N63" s="1871"/>
      <c r="O63" s="1871"/>
      <c r="P63" s="1871"/>
      <c r="Q63" s="1871"/>
      <c r="R63" s="1871"/>
      <c r="S63" s="1871"/>
      <c r="T63" s="3348" t="s">
        <v>2241</v>
      </c>
      <c r="U63" s="3348"/>
      <c r="V63" s="3348"/>
      <c r="W63" s="3348"/>
      <c r="X63" s="3348"/>
      <c r="Y63" s="3348"/>
      <c r="Z63" s="3348"/>
      <c r="AA63" s="3348"/>
      <c r="AB63" s="3348"/>
      <c r="AC63" s="3348"/>
      <c r="AD63" s="3348"/>
      <c r="AE63" s="3348"/>
      <c r="AF63" s="3349"/>
    </row>
    <row r="65" spans="1:34">
      <c r="A65" s="1252" t="s">
        <v>1064</v>
      </c>
      <c r="B65" s="1123" t="s">
        <v>1278</v>
      </c>
      <c r="R65" s="1230"/>
      <c r="AH65" s="1430" t="s">
        <v>1286</v>
      </c>
    </row>
    <row r="66" spans="1:34">
      <c r="A66" s="1156" t="s">
        <v>323</v>
      </c>
      <c r="B66" s="726" t="s">
        <v>774</v>
      </c>
      <c r="C66" s="1142">
        <f t="shared" ref="C66:N75" si="5">VLOOKUP($B66,$B$7:$R$28,C$29,FALSE)</f>
        <v>6.4385445236561381E-2</v>
      </c>
      <c r="D66" s="1143">
        <f t="shared" si="5"/>
        <v>14.697799124913645</v>
      </c>
      <c r="E66" s="1077">
        <f t="shared" si="5"/>
        <v>0.15462918080465343</v>
      </c>
      <c r="F66" s="1142">
        <f t="shared" si="5"/>
        <v>0.42399287000325037</v>
      </c>
      <c r="G66" s="1143">
        <f t="shared" si="5"/>
        <v>4.5742782667206161E-2</v>
      </c>
      <c r="H66" s="1144">
        <f t="shared" si="5"/>
        <v>0.48144640266975475</v>
      </c>
      <c r="I66" s="1142">
        <f t="shared" si="5"/>
        <v>0.42695023434228802</v>
      </c>
      <c r="J66" s="1143">
        <f t="shared" si="5"/>
        <v>4.1366838913311048E-2</v>
      </c>
      <c r="K66" s="1144">
        <f t="shared" si="5"/>
        <v>0.4832654138496531</v>
      </c>
      <c r="L66" s="1136">
        <f t="shared" si="5"/>
        <v>2.9573643390376492E-3</v>
      </c>
      <c r="M66" s="1136">
        <f t="shared" si="5"/>
        <v>6.9750331863245195E-3</v>
      </c>
      <c r="N66" s="1145" t="e">
        <f t="shared" si="5"/>
        <v>#REF!</v>
      </c>
      <c r="O66" s="1146"/>
      <c r="P66" s="1140">
        <f t="shared" ref="P66:R87" si="6">VLOOKUP($B66,$B$7:$R$28,P$29,FALSE)</f>
        <v>3.7014756930154613</v>
      </c>
      <c r="Q66" s="1147">
        <f t="shared" si="6"/>
        <v>0.31334582285320112</v>
      </c>
      <c r="R66" s="1075">
        <f t="shared" si="6"/>
        <v>4.3704719780651446</v>
      </c>
      <c r="S66" s="1235"/>
    </row>
    <row r="67" spans="1:34">
      <c r="A67" s="1155" t="s">
        <v>27</v>
      </c>
      <c r="B67" s="73" t="s">
        <v>54</v>
      </c>
      <c r="C67" s="1130">
        <f t="shared" si="5"/>
        <v>0.48460704112825509</v>
      </c>
      <c r="D67" s="1131">
        <f t="shared" si="5"/>
        <v>-0.18079580514885477</v>
      </c>
      <c r="E67" s="104">
        <f t="shared" si="5"/>
        <v>0.49497857034449522</v>
      </c>
      <c r="F67" s="1130">
        <f t="shared" si="5"/>
        <v>0.56717095077467305</v>
      </c>
      <c r="G67" s="1131">
        <f t="shared" si="5"/>
        <v>0.64731222518720821</v>
      </c>
      <c r="H67" s="1132">
        <f t="shared" si="5"/>
        <v>0.74754623070756221</v>
      </c>
      <c r="I67" s="1130">
        <f t="shared" si="5"/>
        <v>0.5748403529709204</v>
      </c>
      <c r="J67" s="1131">
        <f t="shared" si="5"/>
        <v>0.5906099669472562</v>
      </c>
      <c r="K67" s="1132">
        <f t="shared" si="5"/>
        <v>0.7506672643344422</v>
      </c>
      <c r="L67" s="1124">
        <f t="shared" si="5"/>
        <v>7.6694021962473435E-3</v>
      </c>
      <c r="M67" s="1124">
        <f t="shared" si="5"/>
        <v>1.3522205581530675E-2</v>
      </c>
      <c r="N67" s="1133" t="e">
        <f t="shared" si="5"/>
        <v>#REF!</v>
      </c>
      <c r="O67" s="1134"/>
      <c r="P67" s="1128">
        <f t="shared" si="6"/>
        <v>3.4278891827637503</v>
      </c>
      <c r="Q67" s="1135">
        <f t="shared" si="6"/>
        <v>0.24423537898737996</v>
      </c>
      <c r="R67" s="131">
        <f t="shared" si="6"/>
        <v>3.8230610288109381</v>
      </c>
      <c r="S67" s="1237"/>
    </row>
    <row r="68" spans="1:34">
      <c r="A68" s="1155" t="s">
        <v>502</v>
      </c>
      <c r="B68" s="73" t="s">
        <v>52</v>
      </c>
      <c r="C68" s="1130">
        <f t="shared" si="5"/>
        <v>0.61</v>
      </c>
      <c r="D68" s="1131">
        <f t="shared" si="5"/>
        <v>0</v>
      </c>
      <c r="E68" s="104">
        <f t="shared" si="5"/>
        <v>0.62983042679437373</v>
      </c>
      <c r="F68" s="1130">
        <f t="shared" si="5"/>
        <v>0.51528895508035288</v>
      </c>
      <c r="G68" s="1131">
        <f t="shared" si="5"/>
        <v>-2.4931247740904369E-2</v>
      </c>
      <c r="H68" s="1132">
        <f t="shared" si="5"/>
        <v>0.51939744871548044</v>
      </c>
      <c r="I68" s="1130">
        <f t="shared" si="5"/>
        <v>0.58808850315066874</v>
      </c>
      <c r="J68" s="1131">
        <f t="shared" si="5"/>
        <v>-2.8226553900756759E-2</v>
      </c>
      <c r="K68" s="1132">
        <f t="shared" si="5"/>
        <v>0.59074959904524027</v>
      </c>
      <c r="L68" s="1124">
        <f t="shared" si="5"/>
        <v>7.2799548070315856E-2</v>
      </c>
      <c r="M68" s="1124">
        <f t="shared" si="5"/>
        <v>0.14127907721011346</v>
      </c>
      <c r="N68" s="1133" t="e">
        <f t="shared" si="5"/>
        <v>#REF!</v>
      </c>
      <c r="O68" s="1134" t="str">
        <f>VLOOKUP($B68,$B$7:$R$28,O$29,FALSE)</f>
        <v>= = =</v>
      </c>
      <c r="P68" s="1128">
        <f t="shared" si="6"/>
        <v>2.7906818261625395</v>
      </c>
      <c r="Q68" s="1135">
        <f t="shared" si="6"/>
        <v>8.5841806528642844E-2</v>
      </c>
      <c r="R68" s="131">
        <f t="shared" si="6"/>
        <v>2.9178287645268703</v>
      </c>
      <c r="S68" s="1231"/>
    </row>
    <row r="69" spans="1:34">
      <c r="A69" s="1155" t="s">
        <v>503</v>
      </c>
      <c r="B69" s="73" t="s">
        <v>286</v>
      </c>
      <c r="C69" s="1130">
        <f t="shared" si="5"/>
        <v>0.34534166666666666</v>
      </c>
      <c r="D69" s="1131">
        <f t="shared" si="5"/>
        <v>-5.4500069338510607E-2</v>
      </c>
      <c r="E69" s="104">
        <f t="shared" si="5"/>
        <v>0.3626280111015483</v>
      </c>
      <c r="F69" s="1130">
        <f t="shared" si="5"/>
        <v>0.67997702229572432</v>
      </c>
      <c r="G69" s="1131">
        <f t="shared" si="5"/>
        <v>0.10658020511075152</v>
      </c>
      <c r="H69" s="1132">
        <f t="shared" si="5"/>
        <v>0.75270955685414354</v>
      </c>
      <c r="I69" s="1130">
        <f t="shared" si="5"/>
        <v>0.68457317243488636</v>
      </c>
      <c r="J69" s="1131">
        <f t="shared" si="5"/>
        <v>0.10522314957078965</v>
      </c>
      <c r="K69" s="1132">
        <f t="shared" si="5"/>
        <v>0.75672107111582532</v>
      </c>
      <c r="L69" s="1124">
        <f t="shared" si="5"/>
        <v>4.5961501391620363E-3</v>
      </c>
      <c r="M69" s="1124">
        <f t="shared" si="5"/>
        <v>6.7592727231349809E-3</v>
      </c>
      <c r="N69" s="1133" t="e">
        <f t="shared" si="5"/>
        <v>#REF!</v>
      </c>
      <c r="O69" s="1134" t="str">
        <f>VLOOKUP($B69,$B$7:$R$28,O$29,FALSE)</f>
        <v>= ¯ ¯</v>
      </c>
      <c r="P69" s="1128">
        <f t="shared" si="6"/>
        <v>2.9152503149286035</v>
      </c>
      <c r="Q69" s="1135">
        <f t="shared" si="6"/>
        <v>-0.14664752669478531</v>
      </c>
      <c r="R69" s="131">
        <f t="shared" si="6"/>
        <v>2.8370691340232916</v>
      </c>
      <c r="S69" s="1231"/>
    </row>
    <row r="70" spans="1:34">
      <c r="A70" s="1155" t="s">
        <v>219</v>
      </c>
      <c r="B70" s="73" t="s">
        <v>53</v>
      </c>
      <c r="C70" s="1130">
        <f t="shared" si="5"/>
        <v>0.6158872479982318</v>
      </c>
      <c r="D70" s="1131">
        <f t="shared" si="5"/>
        <v>0.11044311863454735</v>
      </c>
      <c r="E70" s="104">
        <f t="shared" si="5"/>
        <v>0.66127040038880336</v>
      </c>
      <c r="F70" s="1130">
        <f t="shared" si="5"/>
        <v>0.48384306036910518</v>
      </c>
      <c r="G70" s="1131">
        <f t="shared" si="5"/>
        <v>0.2595878527386451</v>
      </c>
      <c r="H70" s="1132">
        <f t="shared" si="5"/>
        <v>0.54381370963962039</v>
      </c>
      <c r="I70" s="1130">
        <f t="shared" si="5"/>
        <v>0.51513010935716153</v>
      </c>
      <c r="J70" s="1131">
        <f t="shared" si="5"/>
        <v>0.26130995158024306</v>
      </c>
      <c r="K70" s="1132">
        <f t="shared" si="5"/>
        <v>0.57929804018594233</v>
      </c>
      <c r="L70" s="1124">
        <f t="shared" si="5"/>
        <v>3.1287048988056343E-2</v>
      </c>
      <c r="M70" s="1124">
        <f t="shared" si="5"/>
        <v>6.4663630732222685E-2</v>
      </c>
      <c r="N70" s="1133" t="e">
        <f t="shared" si="5"/>
        <v>#REF!</v>
      </c>
      <c r="O70" s="1134" t="str">
        <f>VLOOKUP($B70,$B$7:$R$28,O$29,FALSE)</f>
        <v>¯ ¯ ¯</v>
      </c>
      <c r="P70" s="1128">
        <f t="shared" si="6"/>
        <v>2.7929780820851775</v>
      </c>
      <c r="Q70" s="1135">
        <f t="shared" si="6"/>
        <v>0.12404595260605845</v>
      </c>
      <c r="R70" s="131">
        <f t="shared" si="6"/>
        <v>2.8353348809740444</v>
      </c>
      <c r="S70" s="1237"/>
    </row>
    <row r="71" spans="1:34">
      <c r="A71" s="1155" t="s">
        <v>19</v>
      </c>
      <c r="B71" s="152" t="s">
        <v>288</v>
      </c>
      <c r="C71" s="1130">
        <f t="shared" si="5"/>
        <v>0.60741568747204655</v>
      </c>
      <c r="D71" s="1131">
        <f t="shared" si="5"/>
        <v>4.0950219141690898E-2</v>
      </c>
      <c r="E71" s="104">
        <f t="shared" si="5"/>
        <v>0.62738172243152124</v>
      </c>
      <c r="F71" s="1130">
        <f t="shared" si="5"/>
        <v>0.50834561454306215</v>
      </c>
      <c r="G71" s="1131">
        <f t="shared" si="5"/>
        <v>0.27477182203191691</v>
      </c>
      <c r="H71" s="1132">
        <f t="shared" si="5"/>
        <v>0.61196382356206247</v>
      </c>
      <c r="I71" s="1130">
        <f t="shared" si="5"/>
        <v>0.54898628094174651</v>
      </c>
      <c r="J71" s="1131">
        <f t="shared" si="5"/>
        <v>0.26756473067663017</v>
      </c>
      <c r="K71" s="1132">
        <f t="shared" si="5"/>
        <v>0.65530118542007598</v>
      </c>
      <c r="L71" s="1124">
        <f t="shared" si="5"/>
        <v>4.0640666398684355E-2</v>
      </c>
      <c r="M71" s="1124">
        <f t="shared" si="5"/>
        <v>7.9946920433679999E-2</v>
      </c>
      <c r="N71" s="1133" t="e">
        <f t="shared" si="5"/>
        <v>#REF!</v>
      </c>
      <c r="O71" s="1134" t="str">
        <f>VLOOKUP($B71,$B$7:$R$28,O$29,FALSE)</f>
        <v>= = ¯</v>
      </c>
      <c r="P71" s="1128">
        <f t="shared" si="6"/>
        <v>2.5321561588471506</v>
      </c>
      <c r="Q71" s="1135">
        <f t="shared" si="6"/>
        <v>1.3257606300410854E-2</v>
      </c>
      <c r="R71" s="131">
        <f t="shared" si="6"/>
        <v>2.8138910595815916</v>
      </c>
      <c r="S71" s="1231"/>
    </row>
    <row r="72" spans="1:34">
      <c r="A72" s="1155" t="s">
        <v>545</v>
      </c>
      <c r="B72" s="73" t="s">
        <v>39</v>
      </c>
      <c r="C72" s="1130">
        <f t="shared" si="5"/>
        <v>0.31054928118178421</v>
      </c>
      <c r="D72" s="1131">
        <f t="shared" si="5"/>
        <v>-0.11491916916279199</v>
      </c>
      <c r="E72" s="104">
        <f t="shared" si="5"/>
        <v>0.28165979767703259</v>
      </c>
      <c r="F72" s="1130">
        <f t="shared" si="5"/>
        <v>0.3899242463002407</v>
      </c>
      <c r="G72" s="1131">
        <f t="shared" si="5"/>
        <v>-0.1197676600756727</v>
      </c>
      <c r="H72" s="1132">
        <f t="shared" si="5"/>
        <v>0.37944762378701169</v>
      </c>
      <c r="I72" s="1130">
        <f t="shared" si="5"/>
        <v>0.45093517146474416</v>
      </c>
      <c r="J72" s="1131">
        <f t="shared" si="5"/>
        <v>-8.3572610535330494E-2</v>
      </c>
      <c r="K72" s="1132">
        <f t="shared" si="5"/>
        <v>0.43916945384982109</v>
      </c>
      <c r="L72" s="1124">
        <f t="shared" si="5"/>
        <v>6.101092516450346E-2</v>
      </c>
      <c r="M72" s="1124">
        <f t="shared" si="5"/>
        <v>0.15646866216553562</v>
      </c>
      <c r="N72" s="1133" t="e">
        <f t="shared" si="5"/>
        <v>#REF!</v>
      </c>
      <c r="O72" s="1134" t="str">
        <f>VLOOKUP($B72,$B$7:$R$28,O$29,FALSE)</f>
        <v>­ = =</v>
      </c>
      <c r="P72" s="1128">
        <f t="shared" si="6"/>
        <v>2.6587814840492587</v>
      </c>
      <c r="Q72" s="1135">
        <f t="shared" si="6"/>
        <v>-0.25803195656746131</v>
      </c>
      <c r="R72" s="131">
        <f t="shared" si="6"/>
        <v>2.5933932385229874</v>
      </c>
      <c r="S72" s="1236"/>
    </row>
    <row r="73" spans="1:34">
      <c r="A73" s="1155" t="s">
        <v>389</v>
      </c>
      <c r="B73" s="73" t="s">
        <v>278</v>
      </c>
      <c r="C73" s="1130">
        <f t="shared" si="5"/>
        <v>0.60910298289809772</v>
      </c>
      <c r="D73" s="1131">
        <f t="shared" si="5"/>
        <v>-5.2071170724915891E-2</v>
      </c>
      <c r="E73" s="104">
        <f t="shared" si="5"/>
        <v>0.6207941242005639</v>
      </c>
      <c r="F73" s="1130">
        <f t="shared" si="5"/>
        <v>0.49050145598877937</v>
      </c>
      <c r="G73" s="1131">
        <f t="shared" si="5"/>
        <v>0.42102559519407173</v>
      </c>
      <c r="H73" s="1132">
        <f t="shared" si="5"/>
        <v>0.61744816018521742</v>
      </c>
      <c r="I73" s="1130">
        <f t="shared" si="5"/>
        <v>0.49698573886957192</v>
      </c>
      <c r="J73" s="1131">
        <f t="shared" si="5"/>
        <v>0.41032171167013903</v>
      </c>
      <c r="K73" s="1132">
        <f t="shared" si="5"/>
        <v>0.62319136029119382</v>
      </c>
      <c r="L73" s="1124">
        <f t="shared" si="5"/>
        <v>6.4842828807925579E-3</v>
      </c>
      <c r="M73" s="1124">
        <f t="shared" si="5"/>
        <v>1.3219701596443154E-2</v>
      </c>
      <c r="N73" s="1133" t="e">
        <f t="shared" si="5"/>
        <v>#REF!</v>
      </c>
      <c r="O73" s="1134"/>
      <c r="P73" s="1128">
        <f t="shared" si="6"/>
        <v>2.1902281092407181</v>
      </c>
      <c r="Q73" s="1135">
        <f t="shared" si="6"/>
        <v>0.36844726500440206</v>
      </c>
      <c r="R73" s="131">
        <f t="shared" si="6"/>
        <v>2.5252968522290931</v>
      </c>
      <c r="S73" s="1231"/>
    </row>
    <row r="74" spans="1:34">
      <c r="A74" s="1155" t="s">
        <v>505</v>
      </c>
      <c r="B74" s="73" t="s">
        <v>44</v>
      </c>
      <c r="C74" s="1130">
        <f t="shared" si="5"/>
        <v>0.5805147103617575</v>
      </c>
      <c r="D74" s="1131">
        <f t="shared" si="5"/>
        <v>8.4948466413752491E-2</v>
      </c>
      <c r="E74" s="104">
        <f t="shared" si="5"/>
        <v>0.6264024463118032</v>
      </c>
      <c r="F74" s="1130">
        <f t="shared" si="5"/>
        <v>0.51826084585195908</v>
      </c>
      <c r="G74" s="1131">
        <f t="shared" si="5"/>
        <v>0.40005999871326348</v>
      </c>
      <c r="H74" s="1132">
        <f t="shared" si="5"/>
        <v>0.58973938770950263</v>
      </c>
      <c r="I74" s="1130">
        <f t="shared" si="5"/>
        <v>0.5495689942142129</v>
      </c>
      <c r="J74" s="1131">
        <f t="shared" si="5"/>
        <v>0.40637993517884302</v>
      </c>
      <c r="K74" s="1132">
        <f t="shared" si="5"/>
        <v>0.63323863537070213</v>
      </c>
      <c r="L74" s="1124">
        <f t="shared" si="5"/>
        <v>3.1308148362253818E-2</v>
      </c>
      <c r="M74" s="1124">
        <f t="shared" si="5"/>
        <v>6.0410020577161203E-2</v>
      </c>
      <c r="N74" s="1133" t="e">
        <f t="shared" si="5"/>
        <v>#REF!</v>
      </c>
      <c r="O74" s="1134" t="str">
        <f>VLOOKUP($B74,$B$7:$R$28,O$29,FALSE)</f>
        <v>= = ¯</v>
      </c>
      <c r="P74" s="1128">
        <f t="shared" si="6"/>
        <v>2.643581803383519</v>
      </c>
      <c r="Q74" s="1135">
        <f t="shared" si="6"/>
        <v>2.8580691559688957E-2</v>
      </c>
      <c r="R74" s="131">
        <f t="shared" si="6"/>
        <v>2.5466878830879209</v>
      </c>
      <c r="S74" s="1231"/>
    </row>
    <row r="75" spans="1:34">
      <c r="A75" s="1155" t="s">
        <v>508</v>
      </c>
      <c r="B75" s="73" t="s">
        <v>290</v>
      </c>
      <c r="C75" s="1130">
        <f t="shared" si="5"/>
        <v>0.32615050588405037</v>
      </c>
      <c r="D75" s="1131">
        <f t="shared" si="5"/>
        <v>-8.7660674172335792E-2</v>
      </c>
      <c r="E75" s="104">
        <f t="shared" si="5"/>
        <v>0.30985103942866765</v>
      </c>
      <c r="F75" s="1130">
        <f t="shared" si="5"/>
        <v>0.30558583418722468</v>
      </c>
      <c r="G75" s="1131">
        <f t="shared" si="5"/>
        <v>-0.13620468181810452</v>
      </c>
      <c r="H75" s="1132">
        <f t="shared" si="5"/>
        <v>0.29018390059321952</v>
      </c>
      <c r="I75" s="1130">
        <f t="shared" si="5"/>
        <v>0.31922230141848357</v>
      </c>
      <c r="J75" s="1131">
        <f t="shared" si="5"/>
        <v>-0.13496032758973828</v>
      </c>
      <c r="K75" s="1132">
        <f t="shared" si="5"/>
        <v>0.30362227391248225</v>
      </c>
      <c r="L75" s="1124">
        <f t="shared" si="5"/>
        <v>1.3636467231258886E-2</v>
      </c>
      <c r="M75" s="1124">
        <f t="shared" si="5"/>
        <v>4.4624016252350789E-2</v>
      </c>
      <c r="N75" s="1133" t="e">
        <f t="shared" si="5"/>
        <v>#REF!</v>
      </c>
      <c r="O75" s="1134" t="str">
        <f>VLOOKUP($B75,$B$7:$R$28,O$29,FALSE)</f>
        <v>= =</v>
      </c>
      <c r="P75" s="1128">
        <f t="shared" si="6"/>
        <v>2.1579177629636748</v>
      </c>
      <c r="Q75" s="1135">
        <f t="shared" si="6"/>
        <v>6.0078851309961184E-2</v>
      </c>
      <c r="R75" s="131">
        <f t="shared" si="6"/>
        <v>2.3009327536910358</v>
      </c>
      <c r="S75" s="1236"/>
    </row>
    <row r="76" spans="1:34">
      <c r="A76" s="1155" t="s">
        <v>32</v>
      </c>
      <c r="B76" s="73" t="s">
        <v>279</v>
      </c>
      <c r="C76" s="1130">
        <f t="shared" ref="C76:N87" si="7">VLOOKUP($B76,$B$7:$R$28,C$29,FALSE)</f>
        <v>0.91487499999999988</v>
      </c>
      <c r="D76" s="1131">
        <f t="shared" si="7"/>
        <v>-4.3736501079913587E-2</v>
      </c>
      <c r="E76" s="104">
        <f t="shared" si="7"/>
        <v>0.89481420237931208</v>
      </c>
      <c r="F76" s="1130">
        <f t="shared" si="7"/>
        <v>0.24509229252810941</v>
      </c>
      <c r="G76" s="1131">
        <f t="shared" si="7"/>
        <v>-0.16501821733667812</v>
      </c>
      <c r="H76" s="1132">
        <f t="shared" si="7"/>
        <v>0.23828807339295358</v>
      </c>
      <c r="I76" s="1130">
        <f t="shared" si="7"/>
        <v>0.27870192226407053</v>
      </c>
      <c r="J76" s="1131">
        <f t="shared" si="7"/>
        <v>-0.14309331637647091</v>
      </c>
      <c r="K76" s="1132">
        <f t="shared" si="7"/>
        <v>0.2718321660431175</v>
      </c>
      <c r="L76" s="1124">
        <f t="shared" si="7"/>
        <v>3.3609629735961127E-2</v>
      </c>
      <c r="M76" s="1124">
        <f t="shared" si="7"/>
        <v>0.13713050455108242</v>
      </c>
      <c r="N76" s="1133" t="e">
        <f t="shared" si="7"/>
        <v>#REF!</v>
      </c>
      <c r="O76" s="1134" t="str">
        <f>VLOOKUP($B76,$B$7:$R$28,O$29,FALSE)</f>
        <v>= = =</v>
      </c>
      <c r="P76" s="1128">
        <f t="shared" si="6"/>
        <v>2.0880314655341889</v>
      </c>
      <c r="Q76" s="1135">
        <f t="shared" si="6"/>
        <v>-3.7762767487534328E-2</v>
      </c>
      <c r="R76" s="131">
        <f t="shared" si="6"/>
        <v>2.3348198024327131</v>
      </c>
      <c r="S76" s="1233"/>
    </row>
    <row r="77" spans="1:34">
      <c r="A77" s="1155" t="s">
        <v>73</v>
      </c>
      <c r="B77" s="73" t="s">
        <v>285</v>
      </c>
      <c r="C77" s="1130">
        <f t="shared" si="7"/>
        <v>0.62657499999999999</v>
      </c>
      <c r="D77" s="1131">
        <f t="shared" si="7"/>
        <v>5.5614710459497153E-2</v>
      </c>
      <c r="E77" s="104">
        <f t="shared" si="7"/>
        <v>0.64439999999999997</v>
      </c>
      <c r="F77" s="1130">
        <f t="shared" si="7"/>
        <v>0.24190098439360719</v>
      </c>
      <c r="G77" s="1131">
        <f t="shared" si="7"/>
        <v>0.20667512064869559</v>
      </c>
      <c r="H77" s="1132">
        <f t="shared" si="7"/>
        <v>0.30597960586046052</v>
      </c>
      <c r="I77" s="1130">
        <f t="shared" si="7"/>
        <v>0.2616424852780464</v>
      </c>
      <c r="J77" s="1131">
        <f t="shared" si="7"/>
        <v>0.20296552626351777</v>
      </c>
      <c r="K77" s="1132">
        <f t="shared" si="7"/>
        <v>0.32061814749302248</v>
      </c>
      <c r="L77" s="1124">
        <f t="shared" si="7"/>
        <v>1.9741500884439211E-2</v>
      </c>
      <c r="M77" s="1124">
        <f t="shared" si="7"/>
        <v>8.1609841042717679E-2</v>
      </c>
      <c r="N77" s="1133" t="e">
        <f t="shared" si="7"/>
        <v>#REF!</v>
      </c>
      <c r="O77" s="1134" t="str">
        <f>VLOOKUP($B77,$B$7:$R$28,O$29,FALSE)</f>
        <v>= =</v>
      </c>
      <c r="P77" s="1128">
        <f t="shared" si="6"/>
        <v>1.7511002028712532</v>
      </c>
      <c r="Q77" s="1135">
        <f t="shared" si="6"/>
        <v>0.37093258903528414</v>
      </c>
      <c r="R77" s="131">
        <f t="shared" si="6"/>
        <v>2.2311132077757287</v>
      </c>
      <c r="S77" s="1232"/>
    </row>
    <row r="78" spans="1:34">
      <c r="A78" s="1155" t="s">
        <v>507</v>
      </c>
      <c r="B78" s="73" t="s">
        <v>284</v>
      </c>
      <c r="C78" s="1130">
        <f t="shared" si="7"/>
        <v>0.67984865616162071</v>
      </c>
      <c r="D78" s="1131">
        <f t="shared" si="7"/>
        <v>0.13956056160252914</v>
      </c>
      <c r="E78" s="104">
        <f t="shared" si="7"/>
        <v>0.7167630057803468</v>
      </c>
      <c r="F78" s="1130">
        <f t="shared" si="7"/>
        <v>0.23215418017261674</v>
      </c>
      <c r="G78" s="1131">
        <f t="shared" si="7"/>
        <v>0.36187217108516367</v>
      </c>
      <c r="H78" s="1132">
        <f t="shared" si="7"/>
        <v>0.26525179681706468</v>
      </c>
      <c r="I78" s="1130">
        <f t="shared" si="7"/>
        <v>0.2501311526811702</v>
      </c>
      <c r="J78" s="1131">
        <f t="shared" si="7"/>
        <v>0.31916438327965047</v>
      </c>
      <c r="K78" s="1132">
        <f t="shared" si="7"/>
        <v>0.28287599661626001</v>
      </c>
      <c r="L78" s="1124">
        <f t="shared" si="7"/>
        <v>1.7976972508553457E-2</v>
      </c>
      <c r="M78" s="1124">
        <f t="shared" si="7"/>
        <v>7.7435489187344358E-2</v>
      </c>
      <c r="N78" s="1133" t="e">
        <f t="shared" si="7"/>
        <v>#REF!</v>
      </c>
      <c r="O78" s="1134"/>
      <c r="P78" s="1128">
        <f t="shared" si="6"/>
        <v>1.845874038975184</v>
      </c>
      <c r="Q78" s="1135">
        <f t="shared" si="6"/>
        <v>0.36079457239176377</v>
      </c>
      <c r="R78" s="131">
        <f t="shared" si="6"/>
        <v>2.1424428051274771</v>
      </c>
      <c r="S78" s="1232"/>
    </row>
    <row r="79" spans="1:34">
      <c r="A79" s="1155" t="s">
        <v>32</v>
      </c>
      <c r="B79" s="73" t="s">
        <v>50</v>
      </c>
      <c r="C79" s="1130">
        <f t="shared" si="7"/>
        <v>0</v>
      </c>
      <c r="D79" s="1131">
        <f t="shared" si="7"/>
        <v>0</v>
      </c>
      <c r="E79" s="104">
        <f t="shared" si="7"/>
        <v>0</v>
      </c>
      <c r="F79" s="1130">
        <f t="shared" si="7"/>
        <v>0.37025195227815472</v>
      </c>
      <c r="G79" s="1131">
        <f t="shared" si="7"/>
        <v>-0.46222821771061889</v>
      </c>
      <c r="H79" s="1132">
        <f t="shared" si="7"/>
        <v>0.26403640782716253</v>
      </c>
      <c r="I79" s="1130">
        <f t="shared" si="7"/>
        <v>0.48927059752514818</v>
      </c>
      <c r="J79" s="1131">
        <f t="shared" si="7"/>
        <v>-0.38189416595312975</v>
      </c>
      <c r="K79" s="1132">
        <f t="shared" si="7"/>
        <v>0.37414035756341019</v>
      </c>
      <c r="L79" s="1124">
        <f t="shared" si="7"/>
        <v>0.11901864524699346</v>
      </c>
      <c r="M79" s="1124">
        <f t="shared" si="7"/>
        <v>0.32145312000294263</v>
      </c>
      <c r="N79" s="1133" t="e">
        <f t="shared" si="7"/>
        <v>#REF!</v>
      </c>
      <c r="O79" s="1134" t="str">
        <f>VLOOKUP($B79,$B$7:$R$28,O$29,FALSE)</f>
        <v>= =</v>
      </c>
      <c r="P79" s="1128">
        <f t="shared" si="6"/>
        <v>2.2664974928712622</v>
      </c>
      <c r="Q79" s="1135">
        <f t="shared" si="6"/>
        <v>-0.12537902502142731</v>
      </c>
      <c r="R79" s="131">
        <f t="shared" si="6"/>
        <v>2.136201464388483</v>
      </c>
      <c r="S79" s="1233"/>
    </row>
    <row r="80" spans="1:34">
      <c r="A80" s="1155" t="s">
        <v>27</v>
      </c>
      <c r="B80" s="73" t="s">
        <v>357</v>
      </c>
      <c r="C80" s="1130">
        <f t="shared" si="7"/>
        <v>0.90539538726018864</v>
      </c>
      <c r="D80" s="1131">
        <f t="shared" si="7"/>
        <v>-4.1189056985539901E-2</v>
      </c>
      <c r="E80" s="104">
        <f t="shared" si="7"/>
        <v>0.90138346931536006</v>
      </c>
      <c r="F80" s="1130">
        <f t="shared" si="7"/>
        <v>0.38160323267486906</v>
      </c>
      <c r="G80" s="1131">
        <f t="shared" si="7"/>
        <v>0.13281779457810056</v>
      </c>
      <c r="H80" s="1132">
        <f t="shared" si="7"/>
        <v>0.39444904186551905</v>
      </c>
      <c r="I80" s="1130">
        <f t="shared" si="7"/>
        <v>0.47841518539184064</v>
      </c>
      <c r="J80" s="1131">
        <f t="shared" si="7"/>
        <v>1.1717685634717274E-2</v>
      </c>
      <c r="K80" s="1132">
        <f t="shared" si="7"/>
        <v>0.46507375880431212</v>
      </c>
      <c r="L80" s="1124">
        <f t="shared" si="7"/>
        <v>9.6811952716971572E-2</v>
      </c>
      <c r="M80" s="1124">
        <f t="shared" si="7"/>
        <v>0.25369793656715856</v>
      </c>
      <c r="N80" s="1133" t="str">
        <f t="shared" si="7"/>
        <v>No rating</v>
      </c>
      <c r="O80" s="1134"/>
      <c r="P80" s="1128">
        <f t="shared" si="6"/>
        <v>1.832329792526622</v>
      </c>
      <c r="Q80" s="1135">
        <f t="shared" si="6"/>
        <v>-9.9442962217240083E-2</v>
      </c>
      <c r="R80" s="131">
        <f t="shared" si="6"/>
        <v>1.8160302149559577</v>
      </c>
      <c r="S80" s="1234"/>
    </row>
    <row r="81" spans="1:47">
      <c r="A81" s="1156" t="s">
        <v>323</v>
      </c>
      <c r="B81" s="726" t="s">
        <v>773</v>
      </c>
      <c r="C81" s="1142">
        <f t="shared" si="7"/>
        <v>0.95644485424869818</v>
      </c>
      <c r="D81" s="1143">
        <f t="shared" si="7"/>
        <v>5.7346309608293736E-3</v>
      </c>
      <c r="E81" s="1077">
        <f t="shared" si="7"/>
        <v>0.97265268915223335</v>
      </c>
      <c r="F81" s="1142">
        <f t="shared" si="7"/>
        <v>0.16489915086810925</v>
      </c>
      <c r="G81" s="1143">
        <f t="shared" si="7"/>
        <v>2.0043608623878186</v>
      </c>
      <c r="H81" s="1144">
        <f t="shared" si="7"/>
        <v>0.32988338723452482</v>
      </c>
      <c r="I81" s="1142">
        <f t="shared" si="7"/>
        <v>0.27218937885351913</v>
      </c>
      <c r="J81" s="1143">
        <f t="shared" si="7"/>
        <v>1.2181747217666232</v>
      </c>
      <c r="K81" s="1144">
        <f t="shared" si="7"/>
        <v>0.4561905930983241</v>
      </c>
      <c r="L81" s="1136">
        <f t="shared" si="7"/>
        <v>0.10729022798540988</v>
      </c>
      <c r="M81" s="1136">
        <f t="shared" si="7"/>
        <v>0.65064148250965514</v>
      </c>
      <c r="N81" s="1145" t="str">
        <f t="shared" si="7"/>
        <v>No rating</v>
      </c>
      <c r="O81" s="1146"/>
      <c r="P81" s="1140">
        <f t="shared" si="6"/>
        <v>1.2440956586918632</v>
      </c>
      <c r="Q81" s="1147">
        <f t="shared" si="6"/>
        <v>0.5581122698382367</v>
      </c>
      <c r="R81" s="1075">
        <f t="shared" si="6"/>
        <v>1.6771658832683087</v>
      </c>
      <c r="S81" s="1234"/>
    </row>
    <row r="82" spans="1:47">
      <c r="A82" s="1155" t="s">
        <v>378</v>
      </c>
      <c r="B82" s="73" t="s">
        <v>42</v>
      </c>
      <c r="C82" s="1130">
        <f t="shared" si="7"/>
        <v>0.56323171407839789</v>
      </c>
      <c r="D82" s="1131">
        <f t="shared" si="7"/>
        <v>-0.12023286586287618</v>
      </c>
      <c r="E82" s="104">
        <f t="shared" si="7"/>
        <v>0.53987730061349704</v>
      </c>
      <c r="F82" s="1130">
        <f t="shared" si="7"/>
        <v>0.60887331285954671</v>
      </c>
      <c r="G82" s="1131">
        <f t="shared" si="7"/>
        <v>-0.37303497156800469</v>
      </c>
      <c r="H82" s="1132">
        <f t="shared" si="7"/>
        <v>0.37659759063604481</v>
      </c>
      <c r="I82" s="1130">
        <f t="shared" si="7"/>
        <v>0.63388271448107447</v>
      </c>
      <c r="J82" s="1131">
        <f t="shared" si="7"/>
        <v>-0.25869992498286548</v>
      </c>
      <c r="K82" s="1132">
        <f t="shared" si="7"/>
        <v>0.44527495080222473</v>
      </c>
      <c r="L82" s="1124">
        <f t="shared" si="7"/>
        <v>2.500940162152776E-2</v>
      </c>
      <c r="M82" s="1124">
        <f t="shared" si="7"/>
        <v>4.1074885519406669E-2</v>
      </c>
      <c r="N82" s="1133" t="e">
        <f t="shared" si="7"/>
        <v>#REF!</v>
      </c>
      <c r="O82" s="1134" t="str">
        <f>VLOOKUP($B82,$B$7:$R$28,O$29,FALSE)</f>
        <v>= =</v>
      </c>
      <c r="P82" s="1128">
        <f t="shared" si="6"/>
        <v>2.172629043332774</v>
      </c>
      <c r="Q82" s="1135">
        <f t="shared" si="6"/>
        <v>-0.22035736928264804</v>
      </c>
      <c r="R82" s="131">
        <f t="shared" si="6"/>
        <v>1.5517268924243866</v>
      </c>
      <c r="S82" s="1231"/>
    </row>
    <row r="83" spans="1:47">
      <c r="A83" s="1155" t="s">
        <v>507</v>
      </c>
      <c r="B83" s="73" t="s">
        <v>282</v>
      </c>
      <c r="C83" s="1130">
        <f t="shared" si="7"/>
        <v>0.67083419702973635</v>
      </c>
      <c r="D83" s="1131">
        <f t="shared" si="7"/>
        <v>-0.11335389957676706</v>
      </c>
      <c r="E83" s="104">
        <f t="shared" si="7"/>
        <v>0.63639387890884902</v>
      </c>
      <c r="F83" s="1130">
        <f t="shared" si="7"/>
        <v>0.1536920907726812</v>
      </c>
      <c r="G83" s="1131">
        <f t="shared" si="7"/>
        <v>1.6283818604559013</v>
      </c>
      <c r="H83" s="1132">
        <f t="shared" si="7"/>
        <v>0.2022242346359609</v>
      </c>
      <c r="I83" s="1130">
        <f t="shared" si="7"/>
        <v>0.20961441125119315</v>
      </c>
      <c r="J83" s="1131">
        <f t="shared" si="7"/>
        <v>0.84200521424561081</v>
      </c>
      <c r="K83" s="1132">
        <f t="shared" si="7"/>
        <v>0.28147528322389997</v>
      </c>
      <c r="L83" s="1124">
        <f t="shared" si="7"/>
        <v>5.592232047851195E-2</v>
      </c>
      <c r="M83" s="1124">
        <f t="shared" si="7"/>
        <v>0.36385945559959909</v>
      </c>
      <c r="N83" s="1133" t="str">
        <f t="shared" si="7"/>
        <v>No rating</v>
      </c>
      <c r="O83" s="1134"/>
      <c r="P83" s="1128">
        <f t="shared" si="6"/>
        <v>1.4399592566697517</v>
      </c>
      <c r="Q83" s="1135">
        <f t="shared" si="6"/>
        <v>0.8442860967329926</v>
      </c>
      <c r="R83" s="131">
        <f t="shared" si="6"/>
        <v>1.5521418473212367</v>
      </c>
      <c r="S83" s="1232"/>
    </row>
    <row r="84" spans="1:47">
      <c r="A84" s="1155" t="s">
        <v>19</v>
      </c>
      <c r="B84" s="73" t="s">
        <v>287</v>
      </c>
      <c r="C84" s="1130">
        <f t="shared" si="7"/>
        <v>9.1630231095150338E-2</v>
      </c>
      <c r="D84" s="1148" t="str">
        <f t="shared" si="7"/>
        <v>¥</v>
      </c>
      <c r="E84" s="104">
        <f t="shared" si="7"/>
        <v>0.34976819018989347</v>
      </c>
      <c r="F84" s="1130">
        <f t="shared" si="7"/>
        <v>0.13477545507373562</v>
      </c>
      <c r="G84" s="1131">
        <f t="shared" si="7"/>
        <v>-0.4264373226073967</v>
      </c>
      <c r="H84" s="1132">
        <f t="shared" si="7"/>
        <v>9.7905485588969735E-2</v>
      </c>
      <c r="I84" s="1130">
        <f t="shared" si="7"/>
        <v>0.16024846762312819</v>
      </c>
      <c r="J84" s="1131">
        <f t="shared" si="7"/>
        <v>-0.25253039609468159</v>
      </c>
      <c r="K84" s="1132">
        <f t="shared" si="7"/>
        <v>0.12849893093161849</v>
      </c>
      <c r="L84" s="1124">
        <f t="shared" si="7"/>
        <v>2.5473012549392576E-2</v>
      </c>
      <c r="M84" s="1124">
        <f t="shared" si="7"/>
        <v>0.18900335031669008</v>
      </c>
      <c r="N84" s="1133" t="str">
        <f t="shared" si="7"/>
        <v>No rating</v>
      </c>
      <c r="O84" s="1134"/>
      <c r="P84" s="1128">
        <f t="shared" si="6"/>
        <v>1.265551414722516</v>
      </c>
      <c r="Q84" s="1135">
        <f t="shared" si="6"/>
        <v>0.38040351489576829</v>
      </c>
      <c r="R84" s="131">
        <f t="shared" si="6"/>
        <v>1.242834927692577</v>
      </c>
      <c r="S84" s="1235"/>
    </row>
    <row r="85" spans="1:47">
      <c r="A85" s="1156" t="s">
        <v>323</v>
      </c>
      <c r="B85" s="726" t="s">
        <v>772</v>
      </c>
      <c r="C85" s="1142">
        <f t="shared" si="7"/>
        <v>0.37158673775730477</v>
      </c>
      <c r="D85" s="1143">
        <f t="shared" si="7"/>
        <v>-0.1153634304384116</v>
      </c>
      <c r="E85" s="1077">
        <f t="shared" si="7"/>
        <v>0.36037883142173305</v>
      </c>
      <c r="F85" s="1142">
        <f t="shared" si="7"/>
        <v>0.17383796150947908</v>
      </c>
      <c r="G85" s="1143">
        <f t="shared" si="7"/>
        <v>0.54445307336528614</v>
      </c>
      <c r="H85" s="1144">
        <f t="shared" si="7"/>
        <v>0.26356163003804695</v>
      </c>
      <c r="I85" s="1142">
        <f t="shared" si="7"/>
        <v>0.19702478682132593</v>
      </c>
      <c r="J85" s="1143">
        <f t="shared" si="7"/>
        <v>0.50034734616182497</v>
      </c>
      <c r="K85" s="1144">
        <f t="shared" si="7"/>
        <v>0.28756363720088318</v>
      </c>
      <c r="L85" s="1136">
        <f t="shared" si="7"/>
        <v>2.3186825311846848E-2</v>
      </c>
      <c r="M85" s="1136">
        <f t="shared" si="7"/>
        <v>0.13338182932260462</v>
      </c>
      <c r="N85" s="1145" t="e">
        <f t="shared" si="7"/>
        <v>#REF!</v>
      </c>
      <c r="O85" s="1146" t="str">
        <f>VLOOKUP($B85,$B$7:$R$28,O$29,FALSE)</f>
        <v>= =</v>
      </c>
      <c r="P85" s="1140">
        <f t="shared" si="6"/>
        <v>0.93248540191552354</v>
      </c>
      <c r="Q85" s="1147">
        <f t="shared" si="6"/>
        <v>0.78949919521054279</v>
      </c>
      <c r="R85" s="1075">
        <f t="shared" si="6"/>
        <v>1.3109622071604587</v>
      </c>
      <c r="S85" s="1302"/>
    </row>
    <row r="86" spans="1:47">
      <c r="A86" s="1155" t="s">
        <v>504</v>
      </c>
      <c r="B86" s="73" t="s">
        <v>281</v>
      </c>
      <c r="C86" s="1130">
        <f t="shared" si="7"/>
        <v>0.7344324868237998</v>
      </c>
      <c r="D86" s="1131">
        <f t="shared" si="7"/>
        <v>0.10784712869930438</v>
      </c>
      <c r="E86" s="104">
        <f t="shared" si="7"/>
        <v>0.74956908795771016</v>
      </c>
      <c r="F86" s="1130">
        <f t="shared" si="7"/>
        <v>0.14726898954609682</v>
      </c>
      <c r="G86" s="1131">
        <f t="shared" si="7"/>
        <v>4.9939774449528171E-2</v>
      </c>
      <c r="H86" s="1132">
        <f t="shared" si="7"/>
        <v>0.17272839211728983</v>
      </c>
      <c r="I86" s="1130">
        <f t="shared" si="7"/>
        <v>0.18443136241749356</v>
      </c>
      <c r="J86" s="1131">
        <f t="shared" si="7"/>
        <v>-5.7258906752796622E-2</v>
      </c>
      <c r="K86" s="1132">
        <f t="shared" si="7"/>
        <v>0.198117589718218</v>
      </c>
      <c r="L86" s="1124">
        <f t="shared" si="7"/>
        <v>3.7162372871396732E-2</v>
      </c>
      <c r="M86" s="1124">
        <f t="shared" si="7"/>
        <v>0.25234350412762557</v>
      </c>
      <c r="N86" s="1133" t="e">
        <f t="shared" si="7"/>
        <v>#REF!</v>
      </c>
      <c r="O86" s="1134" t="str">
        <f>VLOOKUP($B86,$B$7:$R$28,O$29,FALSE)</f>
        <v>= =</v>
      </c>
      <c r="P86" s="1128">
        <f t="shared" si="6"/>
        <v>1.0395975936863313</v>
      </c>
      <c r="Q86" s="1135">
        <f t="shared" si="6"/>
        <v>2.9438923535487854E-2</v>
      </c>
      <c r="R86" s="131">
        <f t="shared" si="6"/>
        <v>1.2087727199953455</v>
      </c>
      <c r="S86" s="1232"/>
    </row>
    <row r="87" spans="1:47">
      <c r="A87" s="1155" t="s">
        <v>506</v>
      </c>
      <c r="B87" s="73" t="s">
        <v>289</v>
      </c>
      <c r="C87" s="1124">
        <f t="shared" si="7"/>
        <v>0.42290073595624156</v>
      </c>
      <c r="D87" s="1131">
        <f t="shared" si="7"/>
        <v>-9.0086339251873371E-2</v>
      </c>
      <c r="E87" s="104">
        <f t="shared" si="7"/>
        <v>0.44946685046944856</v>
      </c>
      <c r="F87" s="1130">
        <f t="shared" si="7"/>
        <v>0.16307046534988884</v>
      </c>
      <c r="G87" s="1131">
        <f t="shared" si="7"/>
        <v>1.3005419282788433</v>
      </c>
      <c r="H87" s="1132">
        <f t="shared" si="7"/>
        <v>0.30950096360373897</v>
      </c>
      <c r="I87" s="1130">
        <f t="shared" si="7"/>
        <v>0.18570292678335293</v>
      </c>
      <c r="J87" s="1131">
        <f t="shared" si="7"/>
        <v>1.251733079461073</v>
      </c>
      <c r="K87" s="1132">
        <f t="shared" si="7"/>
        <v>0.34197601038246805</v>
      </c>
      <c r="L87" s="1124">
        <f t="shared" si="7"/>
        <v>2.2632461433464091E-2</v>
      </c>
      <c r="M87" s="1124">
        <f t="shared" si="7"/>
        <v>0.13878945758144007</v>
      </c>
      <c r="N87" s="1133" t="e">
        <f t="shared" si="7"/>
        <v>#REF!</v>
      </c>
      <c r="O87" s="1134" t="str">
        <f>VLOOKUP($B87,$B$7:$R$28,O$29,FALSE)</f>
        <v>¯ ¯</v>
      </c>
      <c r="P87" s="1128">
        <f t="shared" si="6"/>
        <v>0.77886477042851432</v>
      </c>
      <c r="Q87" s="1135">
        <f t="shared" si="6"/>
        <v>1.0703005310133176</v>
      </c>
      <c r="R87" s="131">
        <f t="shared" si="6"/>
        <v>1.1762690733772538</v>
      </c>
      <c r="S87" s="1231"/>
    </row>
    <row r="89" spans="1:47" s="1161" customFormat="1">
      <c r="A89" s="2844" t="s">
        <v>323</v>
      </c>
      <c r="B89" s="2844"/>
      <c r="C89" s="1871"/>
      <c r="D89" s="1871"/>
      <c r="E89" s="1871"/>
      <c r="F89" s="1871"/>
      <c r="G89" s="1871"/>
      <c r="H89" s="1871"/>
      <c r="I89" s="1871"/>
      <c r="J89" s="1871"/>
      <c r="K89" s="1871"/>
      <c r="L89" s="1871"/>
      <c r="M89" s="1871"/>
      <c r="N89" s="1871"/>
      <c r="O89" s="1871"/>
      <c r="P89" s="1871"/>
      <c r="Q89" s="1871"/>
      <c r="R89" s="1871"/>
      <c r="S89" s="1871"/>
      <c r="T89" s="3348" t="s">
        <v>2239</v>
      </c>
      <c r="U89" s="3348"/>
      <c r="V89" s="3348"/>
      <c r="W89" s="3348"/>
      <c r="X89" s="3348"/>
      <c r="Y89" s="3348"/>
      <c r="Z89" s="3348"/>
      <c r="AA89" s="3348"/>
      <c r="AB89" s="3348"/>
      <c r="AC89" s="3348"/>
      <c r="AD89" s="3348"/>
      <c r="AE89" s="3348"/>
      <c r="AF89" s="3349"/>
      <c r="AG89" s="2263"/>
      <c r="AU89" s="80"/>
    </row>
    <row r="90" spans="1:47" s="1161" customFormat="1">
      <c r="A90" s="2850" t="s">
        <v>32</v>
      </c>
      <c r="B90" s="2850"/>
      <c r="C90" s="1871"/>
      <c r="D90" s="1871"/>
      <c r="E90" s="1871"/>
      <c r="F90" s="1871"/>
      <c r="G90" s="1871"/>
      <c r="H90" s="1871"/>
      <c r="I90" s="1871"/>
      <c r="J90" s="1871"/>
      <c r="K90" s="1871"/>
      <c r="L90" s="1871"/>
      <c r="M90" s="1871"/>
      <c r="N90" s="1871"/>
      <c r="O90" s="1871"/>
      <c r="P90" s="1871"/>
      <c r="Q90" s="1871"/>
      <c r="R90" s="1871"/>
      <c r="S90" s="1871"/>
      <c r="T90" s="3348" t="s">
        <v>1284</v>
      </c>
      <c r="U90" s="3348"/>
      <c r="V90" s="3348"/>
      <c r="W90" s="3348"/>
      <c r="X90" s="3348"/>
      <c r="Y90" s="3348"/>
      <c r="Z90" s="3348"/>
      <c r="AA90" s="3348"/>
      <c r="AB90" s="3348"/>
      <c r="AC90" s="3348"/>
      <c r="AD90" s="3348"/>
      <c r="AE90" s="3348"/>
      <c r="AF90" s="3349"/>
      <c r="AG90" s="2263"/>
      <c r="AU90" s="80"/>
    </row>
    <row r="91" spans="1:47">
      <c r="T91" s="3315"/>
      <c r="U91" s="3315"/>
      <c r="V91" s="3315"/>
      <c r="W91" s="3315"/>
      <c r="X91" s="3315"/>
      <c r="Y91" s="3315"/>
      <c r="Z91" s="3315"/>
      <c r="AA91" s="3315"/>
      <c r="AB91" s="3315"/>
      <c r="AC91" s="3315"/>
      <c r="AD91" s="3315"/>
      <c r="AE91" s="3315"/>
      <c r="AF91" s="3316"/>
    </row>
    <row r="92" spans="1:47">
      <c r="T92" s="2263"/>
      <c r="U92" s="2263"/>
      <c r="V92" s="2263"/>
      <c r="W92" s="2263"/>
      <c r="X92" s="2263"/>
      <c r="Y92" s="2263"/>
      <c r="Z92" s="2263"/>
      <c r="AA92" s="2263"/>
      <c r="AB92" s="2263"/>
      <c r="AC92" s="2263"/>
      <c r="AD92" s="2263"/>
      <c r="AE92" s="2263"/>
    </row>
    <row r="93" spans="1:47">
      <c r="A93" s="1252" t="s">
        <v>1137</v>
      </c>
      <c r="B93" s="1123" t="s">
        <v>806</v>
      </c>
      <c r="R93" s="1230"/>
      <c r="AC93" s="1488" t="s">
        <v>1331</v>
      </c>
      <c r="AE93" s="1539"/>
      <c r="AF93" s="2438" t="s">
        <v>1332</v>
      </c>
    </row>
    <row r="94" spans="1:47">
      <c r="A94" s="1155" t="s">
        <v>507</v>
      </c>
      <c r="B94" s="73" t="s">
        <v>282</v>
      </c>
      <c r="C94" s="103">
        <f t="shared" ref="C94:N103" si="8">VLOOKUP($B94,$B$7:$R$28,C$29,FALSE)</f>
        <v>0.67083419702973635</v>
      </c>
      <c r="D94" s="1131">
        <f t="shared" si="8"/>
        <v>-0.11335389957676706</v>
      </c>
      <c r="E94" s="1239">
        <f t="shared" si="8"/>
        <v>0.63639387890884902</v>
      </c>
      <c r="F94" s="1130">
        <f t="shared" si="8"/>
        <v>0.1536920907726812</v>
      </c>
      <c r="G94" s="1131">
        <f t="shared" si="8"/>
        <v>1.6283818604559013</v>
      </c>
      <c r="H94" s="1132">
        <f t="shared" si="8"/>
        <v>0.2022242346359609</v>
      </c>
      <c r="I94" s="1130">
        <f t="shared" si="8"/>
        <v>0.20961441125119315</v>
      </c>
      <c r="J94" s="1131">
        <f t="shared" si="8"/>
        <v>0.84200521424561081</v>
      </c>
      <c r="K94" s="1132">
        <f t="shared" si="8"/>
        <v>0.28147528322389997</v>
      </c>
      <c r="L94" s="1124">
        <f t="shared" si="8"/>
        <v>5.592232047851195E-2</v>
      </c>
      <c r="M94" s="1124">
        <f t="shared" si="8"/>
        <v>0.36385945559959909</v>
      </c>
      <c r="N94" s="1133" t="str">
        <f t="shared" si="8"/>
        <v>No rating</v>
      </c>
      <c r="O94" s="1134"/>
      <c r="P94" s="1128">
        <f t="shared" ref="P94:R115" si="9">VLOOKUP($B94,$B$7:$R$28,P$29,FALSE)</f>
        <v>1.4399592566697517</v>
      </c>
      <c r="Q94" s="151">
        <f t="shared" si="9"/>
        <v>0.8442860967329926</v>
      </c>
      <c r="R94" s="1241">
        <f t="shared" si="9"/>
        <v>1.5521418473212367</v>
      </c>
      <c r="S94" s="1232"/>
      <c r="AE94" s="1534" t="s">
        <v>52</v>
      </c>
      <c r="AF94" s="2439">
        <f>CALCULATIONS!BN5</f>
        <v>-0.12619112032976107</v>
      </c>
    </row>
    <row r="95" spans="1:47">
      <c r="A95" s="1155" t="s">
        <v>506</v>
      </c>
      <c r="B95" s="73" t="s">
        <v>289</v>
      </c>
      <c r="C95" s="103">
        <f t="shared" si="8"/>
        <v>0.42290073595624156</v>
      </c>
      <c r="D95" s="1131">
        <f t="shared" si="8"/>
        <v>-9.0086339251873371E-2</v>
      </c>
      <c r="E95" s="1239">
        <f t="shared" si="8"/>
        <v>0.44946685046944856</v>
      </c>
      <c r="F95" s="1130">
        <f t="shared" si="8"/>
        <v>0.16307046534988884</v>
      </c>
      <c r="G95" s="1131">
        <f t="shared" si="8"/>
        <v>1.3005419282788433</v>
      </c>
      <c r="H95" s="1132">
        <f t="shared" si="8"/>
        <v>0.30950096360373897</v>
      </c>
      <c r="I95" s="1130">
        <f t="shared" si="8"/>
        <v>0.18570292678335293</v>
      </c>
      <c r="J95" s="1131">
        <f t="shared" si="8"/>
        <v>1.251733079461073</v>
      </c>
      <c r="K95" s="1132">
        <f t="shared" si="8"/>
        <v>0.34197601038246805</v>
      </c>
      <c r="L95" s="1124">
        <f t="shared" si="8"/>
        <v>2.2632461433464091E-2</v>
      </c>
      <c r="M95" s="1124">
        <f t="shared" si="8"/>
        <v>0.13878945758144007</v>
      </c>
      <c r="N95" s="1133" t="e">
        <f t="shared" si="8"/>
        <v>#REF!</v>
      </c>
      <c r="O95" s="1134" t="str">
        <f>VLOOKUP($B95,$B$7:$R$28,O$29,FALSE)</f>
        <v>¯ ¯</v>
      </c>
      <c r="P95" s="1128">
        <f t="shared" si="9"/>
        <v>0.77886477042851432</v>
      </c>
      <c r="Q95" s="151">
        <f t="shared" si="9"/>
        <v>1.0703005310133176</v>
      </c>
      <c r="R95" s="1241">
        <f t="shared" si="9"/>
        <v>1.1762690733772538</v>
      </c>
      <c r="S95" s="1231"/>
      <c r="AE95" s="1535" t="s">
        <v>278</v>
      </c>
      <c r="AF95" s="2440">
        <f>CALCULATIONS!BN6</f>
        <v>0.11227149584622503</v>
      </c>
    </row>
    <row r="96" spans="1:47">
      <c r="A96" s="1156" t="s">
        <v>323</v>
      </c>
      <c r="B96" s="726" t="s">
        <v>772</v>
      </c>
      <c r="C96" s="1076">
        <f t="shared" si="8"/>
        <v>0.37158673775730477</v>
      </c>
      <c r="D96" s="1143">
        <f t="shared" si="8"/>
        <v>-0.1153634304384116</v>
      </c>
      <c r="E96" s="1238">
        <f t="shared" si="8"/>
        <v>0.36037883142173305</v>
      </c>
      <c r="F96" s="1142">
        <f t="shared" si="8"/>
        <v>0.17383796150947908</v>
      </c>
      <c r="G96" s="1143">
        <f t="shared" si="8"/>
        <v>0.54445307336528614</v>
      </c>
      <c r="H96" s="1144">
        <f t="shared" si="8"/>
        <v>0.26356163003804695</v>
      </c>
      <c r="I96" s="1142">
        <f t="shared" si="8"/>
        <v>0.19702478682132593</v>
      </c>
      <c r="J96" s="1143">
        <f t="shared" si="8"/>
        <v>0.50034734616182497</v>
      </c>
      <c r="K96" s="1144">
        <f t="shared" si="8"/>
        <v>0.28756363720088318</v>
      </c>
      <c r="L96" s="1136">
        <f t="shared" si="8"/>
        <v>2.3186825311846848E-2</v>
      </c>
      <c r="M96" s="1136">
        <f t="shared" si="8"/>
        <v>0.13338182932260462</v>
      </c>
      <c r="N96" s="1145" t="e">
        <f t="shared" si="8"/>
        <v>#REF!</v>
      </c>
      <c r="O96" s="1146" t="str">
        <f>VLOOKUP($B96,$B$7:$R$28,O$29,FALSE)</f>
        <v>= =</v>
      </c>
      <c r="P96" s="1140">
        <f t="shared" si="9"/>
        <v>0.93248540191552354</v>
      </c>
      <c r="Q96" s="1078">
        <f t="shared" si="9"/>
        <v>0.78949919521054279</v>
      </c>
      <c r="R96" s="1240">
        <f t="shared" si="9"/>
        <v>1.3109622071604587</v>
      </c>
      <c r="S96" s="1302"/>
      <c r="AE96" s="1536" t="s">
        <v>772</v>
      </c>
      <c r="AF96" s="2441">
        <f>CALCULATIONS!BN7</f>
        <v>0.13432174167801333</v>
      </c>
    </row>
    <row r="97" spans="1:32">
      <c r="A97" s="1156" t="s">
        <v>323</v>
      </c>
      <c r="B97" s="726" t="s">
        <v>773</v>
      </c>
      <c r="C97" s="1076">
        <f t="shared" si="8"/>
        <v>0.95644485424869818</v>
      </c>
      <c r="D97" s="1143">
        <f t="shared" si="8"/>
        <v>5.7346309608293736E-3</v>
      </c>
      <c r="E97" s="1238">
        <f t="shared" si="8"/>
        <v>0.97265268915223335</v>
      </c>
      <c r="F97" s="1142">
        <f t="shared" si="8"/>
        <v>0.16489915086810925</v>
      </c>
      <c r="G97" s="1143">
        <f t="shared" si="8"/>
        <v>2.0043608623878186</v>
      </c>
      <c r="H97" s="1144">
        <f t="shared" si="8"/>
        <v>0.32988338723452482</v>
      </c>
      <c r="I97" s="1142">
        <f t="shared" si="8"/>
        <v>0.27218937885351913</v>
      </c>
      <c r="J97" s="1143">
        <f t="shared" si="8"/>
        <v>1.2181747217666232</v>
      </c>
      <c r="K97" s="1144">
        <f t="shared" si="8"/>
        <v>0.4561905930983241</v>
      </c>
      <c r="L97" s="1136">
        <f t="shared" si="8"/>
        <v>0.10729022798540988</v>
      </c>
      <c r="M97" s="1136">
        <f t="shared" si="8"/>
        <v>0.65064148250965514</v>
      </c>
      <c r="N97" s="1145" t="str">
        <f t="shared" si="8"/>
        <v>No rating</v>
      </c>
      <c r="O97" s="1146"/>
      <c r="P97" s="1140">
        <f t="shared" si="9"/>
        <v>1.2440956586918632</v>
      </c>
      <c r="Q97" s="1078">
        <f t="shared" si="9"/>
        <v>0.5581122698382367</v>
      </c>
      <c r="R97" s="1240">
        <f t="shared" si="9"/>
        <v>1.6771658832683087</v>
      </c>
      <c r="S97" s="1234"/>
      <c r="AE97" s="1536" t="s">
        <v>773</v>
      </c>
      <c r="AF97" s="2441">
        <f>CALCULATIONS!BN8</f>
        <v>0.18809124701722557</v>
      </c>
    </row>
    <row r="98" spans="1:32">
      <c r="A98" s="1155" t="s">
        <v>19</v>
      </c>
      <c r="B98" s="73" t="s">
        <v>287</v>
      </c>
      <c r="C98" s="103">
        <f t="shared" si="8"/>
        <v>9.1630231095150338E-2</v>
      </c>
      <c r="D98" s="1148" t="str">
        <f t="shared" si="8"/>
        <v>¥</v>
      </c>
      <c r="E98" s="1239">
        <f t="shared" si="8"/>
        <v>0.34976819018989347</v>
      </c>
      <c r="F98" s="1130">
        <f t="shared" si="8"/>
        <v>0.13477545507373562</v>
      </c>
      <c r="G98" s="1131">
        <f t="shared" si="8"/>
        <v>-0.4264373226073967</v>
      </c>
      <c r="H98" s="1132">
        <f t="shared" si="8"/>
        <v>9.7905485588969735E-2</v>
      </c>
      <c r="I98" s="1130">
        <f t="shared" si="8"/>
        <v>0.16024846762312819</v>
      </c>
      <c r="J98" s="1131">
        <f t="shared" si="8"/>
        <v>-0.25253039609468159</v>
      </c>
      <c r="K98" s="1132">
        <f t="shared" si="8"/>
        <v>0.12849893093161849</v>
      </c>
      <c r="L98" s="1124">
        <f t="shared" si="8"/>
        <v>2.5473012549392576E-2</v>
      </c>
      <c r="M98" s="1124">
        <f t="shared" si="8"/>
        <v>0.18900335031669008</v>
      </c>
      <c r="N98" s="1133" t="str">
        <f t="shared" si="8"/>
        <v>No rating</v>
      </c>
      <c r="O98" s="1134"/>
      <c r="P98" s="1128">
        <f t="shared" si="9"/>
        <v>1.265551414722516</v>
      </c>
      <c r="Q98" s="151">
        <f t="shared" si="9"/>
        <v>0.38040351489576829</v>
      </c>
      <c r="R98" s="1241">
        <f t="shared" si="9"/>
        <v>1.242834927692577</v>
      </c>
      <c r="S98" s="1235"/>
      <c r="AE98" s="1536" t="s">
        <v>774</v>
      </c>
      <c r="AF98" s="2441">
        <f>CALCULATIONS!BN9</f>
        <v>0.80722571782903718</v>
      </c>
    </row>
    <row r="99" spans="1:32">
      <c r="A99" s="1155" t="s">
        <v>507</v>
      </c>
      <c r="B99" s="73" t="s">
        <v>284</v>
      </c>
      <c r="C99" s="103">
        <f t="shared" si="8"/>
        <v>0.67984865616162071</v>
      </c>
      <c r="D99" s="1131">
        <f t="shared" si="8"/>
        <v>0.13956056160252914</v>
      </c>
      <c r="E99" s="1239">
        <f t="shared" si="8"/>
        <v>0.7167630057803468</v>
      </c>
      <c r="F99" s="1130">
        <f t="shared" si="8"/>
        <v>0.23215418017261674</v>
      </c>
      <c r="G99" s="1131">
        <f t="shared" si="8"/>
        <v>0.36187217108516367</v>
      </c>
      <c r="H99" s="1132">
        <f t="shared" si="8"/>
        <v>0.26525179681706468</v>
      </c>
      <c r="I99" s="1130">
        <f t="shared" si="8"/>
        <v>0.2501311526811702</v>
      </c>
      <c r="J99" s="1131">
        <f t="shared" si="8"/>
        <v>0.31916438327965047</v>
      </c>
      <c r="K99" s="1132">
        <f t="shared" si="8"/>
        <v>0.28287599661626001</v>
      </c>
      <c r="L99" s="1124">
        <f t="shared" si="8"/>
        <v>1.7976972508553457E-2</v>
      </c>
      <c r="M99" s="1124">
        <f t="shared" si="8"/>
        <v>7.7435489187344358E-2</v>
      </c>
      <c r="N99" s="1133" t="e">
        <f t="shared" si="8"/>
        <v>#REF!</v>
      </c>
      <c r="O99" s="1134"/>
      <c r="P99" s="1128">
        <f t="shared" si="9"/>
        <v>1.845874038975184</v>
      </c>
      <c r="Q99" s="151">
        <f t="shared" si="9"/>
        <v>0.36079457239176377</v>
      </c>
      <c r="R99" s="1241">
        <f t="shared" si="9"/>
        <v>2.1424428051274771</v>
      </c>
      <c r="S99" s="1232"/>
      <c r="AE99" s="1535" t="s">
        <v>39</v>
      </c>
      <c r="AF99" s="2440">
        <f>CALCULATIONS!BN10</f>
        <v>-0.26236115347773137</v>
      </c>
    </row>
    <row r="100" spans="1:32">
      <c r="A100" s="1155" t="s">
        <v>73</v>
      </c>
      <c r="B100" s="73" t="s">
        <v>285</v>
      </c>
      <c r="C100" s="103">
        <f t="shared" si="8"/>
        <v>0.62657499999999999</v>
      </c>
      <c r="D100" s="1131">
        <f t="shared" si="8"/>
        <v>5.5614710459497153E-2</v>
      </c>
      <c r="E100" s="1239">
        <f t="shared" si="8"/>
        <v>0.64439999999999997</v>
      </c>
      <c r="F100" s="1130">
        <f t="shared" si="8"/>
        <v>0.24190098439360719</v>
      </c>
      <c r="G100" s="1131">
        <f t="shared" si="8"/>
        <v>0.20667512064869559</v>
      </c>
      <c r="H100" s="1132">
        <f t="shared" si="8"/>
        <v>0.30597960586046052</v>
      </c>
      <c r="I100" s="1130">
        <f t="shared" si="8"/>
        <v>0.2616424852780464</v>
      </c>
      <c r="J100" s="1131">
        <f t="shared" si="8"/>
        <v>0.20296552626351777</v>
      </c>
      <c r="K100" s="1132">
        <f t="shared" si="8"/>
        <v>0.32061814749302248</v>
      </c>
      <c r="L100" s="1124">
        <f t="shared" si="8"/>
        <v>1.9741500884439211E-2</v>
      </c>
      <c r="M100" s="1124">
        <f t="shared" si="8"/>
        <v>8.1609841042717679E-2</v>
      </c>
      <c r="N100" s="1133" t="e">
        <f t="shared" si="8"/>
        <v>#REF!</v>
      </c>
      <c r="O100" s="1134" t="str">
        <f>VLOOKUP($B100,$B$7:$R$28,O$29,FALSE)</f>
        <v>= =</v>
      </c>
      <c r="P100" s="1128">
        <f t="shared" si="9"/>
        <v>1.7511002028712532</v>
      </c>
      <c r="Q100" s="151">
        <f t="shared" si="9"/>
        <v>0.37093258903528414</v>
      </c>
      <c r="R100" s="1241">
        <f t="shared" si="9"/>
        <v>2.2311132077757287</v>
      </c>
      <c r="S100" s="1232"/>
      <c r="AE100" s="1535" t="s">
        <v>53</v>
      </c>
      <c r="AF100" s="2440">
        <f>CALCULATIONS!BN11</f>
        <v>3.4526411513249991E-2</v>
      </c>
    </row>
    <row r="101" spans="1:32">
      <c r="A101" s="1155" t="s">
        <v>389</v>
      </c>
      <c r="B101" s="73" t="s">
        <v>278</v>
      </c>
      <c r="C101" s="103">
        <f t="shared" si="8"/>
        <v>0.60910298289809772</v>
      </c>
      <c r="D101" s="1131">
        <f t="shared" si="8"/>
        <v>-5.2071170724915891E-2</v>
      </c>
      <c r="E101" s="1239">
        <f t="shared" si="8"/>
        <v>0.6207941242005639</v>
      </c>
      <c r="F101" s="1130">
        <f t="shared" si="8"/>
        <v>0.49050145598877937</v>
      </c>
      <c r="G101" s="1131">
        <f t="shared" si="8"/>
        <v>0.42102559519407173</v>
      </c>
      <c r="H101" s="1132">
        <f t="shared" si="8"/>
        <v>0.61744816018521742</v>
      </c>
      <c r="I101" s="1130">
        <f t="shared" si="8"/>
        <v>0.49698573886957192</v>
      </c>
      <c r="J101" s="1131">
        <f t="shared" si="8"/>
        <v>0.41032171167013903</v>
      </c>
      <c r="K101" s="1132">
        <f t="shared" si="8"/>
        <v>0.62319136029119382</v>
      </c>
      <c r="L101" s="1124">
        <f t="shared" si="8"/>
        <v>6.4842828807925579E-3</v>
      </c>
      <c r="M101" s="1124">
        <f t="shared" si="8"/>
        <v>1.3219701596443154E-2</v>
      </c>
      <c r="N101" s="1133" t="e">
        <f t="shared" si="8"/>
        <v>#REF!</v>
      </c>
      <c r="O101" s="1134"/>
      <c r="P101" s="1128">
        <f t="shared" si="9"/>
        <v>2.1902281092407181</v>
      </c>
      <c r="Q101" s="151">
        <f t="shared" si="9"/>
        <v>0.36844726500440206</v>
      </c>
      <c r="R101" s="1241">
        <f t="shared" si="9"/>
        <v>2.5252968522290931</v>
      </c>
      <c r="S101" s="1231"/>
      <c r="AE101" s="1535" t="s">
        <v>285</v>
      </c>
      <c r="AF101" s="2440">
        <f>CALCULATIONS!BN12</f>
        <v>0.38626988521043421</v>
      </c>
    </row>
    <row r="102" spans="1:32">
      <c r="A102" s="1156" t="s">
        <v>323</v>
      </c>
      <c r="B102" s="726" t="s">
        <v>774</v>
      </c>
      <c r="C102" s="1076">
        <f t="shared" si="8"/>
        <v>6.4385445236561381E-2</v>
      </c>
      <c r="D102" s="1143">
        <f t="shared" si="8"/>
        <v>14.697799124913645</v>
      </c>
      <c r="E102" s="1238">
        <f t="shared" si="8"/>
        <v>0.15462918080465343</v>
      </c>
      <c r="F102" s="1142">
        <f t="shared" si="8"/>
        <v>0.42399287000325037</v>
      </c>
      <c r="G102" s="1143">
        <f t="shared" si="8"/>
        <v>4.5742782667206161E-2</v>
      </c>
      <c r="H102" s="1144">
        <f t="shared" si="8"/>
        <v>0.48144640266975475</v>
      </c>
      <c r="I102" s="1142">
        <f t="shared" si="8"/>
        <v>0.42695023434228802</v>
      </c>
      <c r="J102" s="1143">
        <f t="shared" si="8"/>
        <v>4.1366838913311048E-2</v>
      </c>
      <c r="K102" s="1144">
        <f t="shared" si="8"/>
        <v>0.4832654138496531</v>
      </c>
      <c r="L102" s="1136">
        <f t="shared" si="8"/>
        <v>2.9573643390376492E-3</v>
      </c>
      <c r="M102" s="1136">
        <f t="shared" si="8"/>
        <v>6.9750331863245195E-3</v>
      </c>
      <c r="N102" s="1145" t="e">
        <f t="shared" si="8"/>
        <v>#REF!</v>
      </c>
      <c r="O102" s="1146"/>
      <c r="P102" s="1140">
        <f t="shared" si="9"/>
        <v>3.7014756930154613</v>
      </c>
      <c r="Q102" s="1078">
        <f t="shared" si="9"/>
        <v>0.31334582285320112</v>
      </c>
      <c r="R102" s="1240">
        <f t="shared" si="9"/>
        <v>4.3704719780651446</v>
      </c>
      <c r="S102" s="1235"/>
      <c r="AE102" s="1535" t="s">
        <v>287</v>
      </c>
      <c r="AF102" s="2440">
        <f>CALCULATIONS!BN13</f>
        <v>0.9509206880920984</v>
      </c>
    </row>
    <row r="103" spans="1:32">
      <c r="A103" s="1155" t="s">
        <v>27</v>
      </c>
      <c r="B103" s="73" t="s">
        <v>54</v>
      </c>
      <c r="C103" s="103">
        <f t="shared" si="8"/>
        <v>0.48460704112825509</v>
      </c>
      <c r="D103" s="1131">
        <f t="shared" si="8"/>
        <v>-0.18079580514885477</v>
      </c>
      <c r="E103" s="1239">
        <f t="shared" si="8"/>
        <v>0.49497857034449522</v>
      </c>
      <c r="F103" s="1130">
        <f t="shared" si="8"/>
        <v>0.56717095077467305</v>
      </c>
      <c r="G103" s="1131">
        <f t="shared" si="8"/>
        <v>0.64731222518720821</v>
      </c>
      <c r="H103" s="1132">
        <f t="shared" si="8"/>
        <v>0.74754623070756221</v>
      </c>
      <c r="I103" s="1130">
        <f t="shared" si="8"/>
        <v>0.5748403529709204</v>
      </c>
      <c r="J103" s="1131">
        <f t="shared" si="8"/>
        <v>0.5906099669472562</v>
      </c>
      <c r="K103" s="1132">
        <f t="shared" si="8"/>
        <v>0.7506672643344422</v>
      </c>
      <c r="L103" s="1124">
        <f t="shared" si="8"/>
        <v>7.6694021962473435E-3</v>
      </c>
      <c r="M103" s="1124">
        <f t="shared" si="8"/>
        <v>1.3522205581530675E-2</v>
      </c>
      <c r="N103" s="1133" t="e">
        <f t="shared" si="8"/>
        <v>#REF!</v>
      </c>
      <c r="O103" s="1134"/>
      <c r="P103" s="1128">
        <f t="shared" si="9"/>
        <v>3.4278891827637503</v>
      </c>
      <c r="Q103" s="151">
        <f t="shared" si="9"/>
        <v>0.24423537898737996</v>
      </c>
      <c r="R103" s="1241">
        <f t="shared" si="9"/>
        <v>3.8230610288109381</v>
      </c>
      <c r="S103" s="1237"/>
      <c r="AE103" s="1537" t="s">
        <v>288</v>
      </c>
      <c r="AF103" s="2440">
        <f>CALCULATIONS!BN14</f>
        <v>-0.10152942747389408</v>
      </c>
    </row>
    <row r="104" spans="1:32">
      <c r="A104" s="1155" t="s">
        <v>219</v>
      </c>
      <c r="B104" s="73" t="s">
        <v>53</v>
      </c>
      <c r="C104" s="103">
        <f t="shared" ref="C104:N115" si="10">VLOOKUP($B104,$B$7:$R$28,C$29,FALSE)</f>
        <v>0.6158872479982318</v>
      </c>
      <c r="D104" s="1131">
        <f t="shared" si="10"/>
        <v>0.11044311863454735</v>
      </c>
      <c r="E104" s="1239">
        <f t="shared" si="10"/>
        <v>0.66127040038880336</v>
      </c>
      <c r="F104" s="1130">
        <f t="shared" si="10"/>
        <v>0.48384306036910518</v>
      </c>
      <c r="G104" s="1131">
        <f t="shared" si="10"/>
        <v>0.2595878527386451</v>
      </c>
      <c r="H104" s="1132">
        <f t="shared" si="10"/>
        <v>0.54381370963962039</v>
      </c>
      <c r="I104" s="1130">
        <f t="shared" si="10"/>
        <v>0.51513010935716153</v>
      </c>
      <c r="J104" s="1131">
        <f t="shared" si="10"/>
        <v>0.26130995158024306</v>
      </c>
      <c r="K104" s="1132">
        <f t="shared" si="10"/>
        <v>0.57929804018594233</v>
      </c>
      <c r="L104" s="1124">
        <f t="shared" si="10"/>
        <v>3.1287048988056343E-2</v>
      </c>
      <c r="M104" s="1124">
        <f t="shared" si="10"/>
        <v>6.4663630732222685E-2</v>
      </c>
      <c r="N104" s="1133" t="e">
        <f t="shared" si="10"/>
        <v>#REF!</v>
      </c>
      <c r="O104" s="1134" t="str">
        <f t="shared" ref="O104:O115" si="11">VLOOKUP($B104,$B$7:$R$28,O$29,FALSE)</f>
        <v>¯ ¯ ¯</v>
      </c>
      <c r="P104" s="1128">
        <f t="shared" si="9"/>
        <v>2.7929780820851775</v>
      </c>
      <c r="Q104" s="151">
        <f t="shared" si="9"/>
        <v>0.12404595260605845</v>
      </c>
      <c r="R104" s="1241">
        <f t="shared" si="9"/>
        <v>2.8353348809740444</v>
      </c>
      <c r="S104" s="1237"/>
      <c r="AE104" s="1535" t="s">
        <v>42</v>
      </c>
      <c r="AF104" s="2440">
        <f>CALCULATIONS!BN15</f>
        <v>-0.48357132082951515</v>
      </c>
    </row>
    <row r="105" spans="1:32">
      <c r="A105" s="1155" t="s">
        <v>502</v>
      </c>
      <c r="B105" s="73" t="s">
        <v>52</v>
      </c>
      <c r="C105" s="103">
        <f t="shared" si="10"/>
        <v>0.61</v>
      </c>
      <c r="D105" s="1131">
        <f t="shared" si="10"/>
        <v>0</v>
      </c>
      <c r="E105" s="1239">
        <f t="shared" si="10"/>
        <v>0.62983042679437373</v>
      </c>
      <c r="F105" s="1130">
        <f t="shared" si="10"/>
        <v>0.51528895508035288</v>
      </c>
      <c r="G105" s="1131">
        <f t="shared" si="10"/>
        <v>-2.4931247740904369E-2</v>
      </c>
      <c r="H105" s="1132">
        <f t="shared" si="10"/>
        <v>0.51939744871548044</v>
      </c>
      <c r="I105" s="1130">
        <f t="shared" si="10"/>
        <v>0.58808850315066874</v>
      </c>
      <c r="J105" s="1131">
        <f t="shared" si="10"/>
        <v>-2.8226553900756759E-2</v>
      </c>
      <c r="K105" s="1132">
        <f t="shared" si="10"/>
        <v>0.59074959904524027</v>
      </c>
      <c r="L105" s="1124">
        <f t="shared" si="10"/>
        <v>7.2799548070315856E-2</v>
      </c>
      <c r="M105" s="1124">
        <f t="shared" si="10"/>
        <v>0.14127907721011346</v>
      </c>
      <c r="N105" s="1133" t="e">
        <f t="shared" si="10"/>
        <v>#REF!</v>
      </c>
      <c r="O105" s="1134" t="str">
        <f t="shared" si="11"/>
        <v>= = =</v>
      </c>
      <c r="P105" s="1128">
        <f t="shared" si="9"/>
        <v>2.7906818261625395</v>
      </c>
      <c r="Q105" s="151">
        <f t="shared" si="9"/>
        <v>8.5841806528642844E-2</v>
      </c>
      <c r="R105" s="1241">
        <f t="shared" si="9"/>
        <v>2.9178287645268703</v>
      </c>
      <c r="S105" s="1231"/>
      <c r="AE105" s="1535" t="s">
        <v>286</v>
      </c>
      <c r="AF105" s="2440">
        <f>CALCULATIONS!BN16</f>
        <v>-0.15780847404797491</v>
      </c>
    </row>
    <row r="106" spans="1:32">
      <c r="A106" s="1155" t="s">
        <v>504</v>
      </c>
      <c r="B106" s="73" t="s">
        <v>281</v>
      </c>
      <c r="C106" s="103">
        <f t="shared" si="10"/>
        <v>0.7344324868237998</v>
      </c>
      <c r="D106" s="1131">
        <f t="shared" si="10"/>
        <v>0.10784712869930438</v>
      </c>
      <c r="E106" s="1239">
        <f t="shared" si="10"/>
        <v>0.74956908795771016</v>
      </c>
      <c r="F106" s="1130">
        <f t="shared" si="10"/>
        <v>0.14726898954609682</v>
      </c>
      <c r="G106" s="1131">
        <f t="shared" si="10"/>
        <v>4.9939774449528171E-2</v>
      </c>
      <c r="H106" s="1132">
        <f t="shared" si="10"/>
        <v>0.17272839211728983</v>
      </c>
      <c r="I106" s="1130">
        <f t="shared" si="10"/>
        <v>0.18443136241749356</v>
      </c>
      <c r="J106" s="1131">
        <f t="shared" si="10"/>
        <v>-5.7258906752796622E-2</v>
      </c>
      <c r="K106" s="1132">
        <f t="shared" si="10"/>
        <v>0.198117589718218</v>
      </c>
      <c r="L106" s="1124">
        <f t="shared" si="10"/>
        <v>3.7162372871396732E-2</v>
      </c>
      <c r="M106" s="1124">
        <f t="shared" si="10"/>
        <v>0.25234350412762557</v>
      </c>
      <c r="N106" s="1133" t="e">
        <f t="shared" si="10"/>
        <v>#REF!</v>
      </c>
      <c r="O106" s="1134" t="str">
        <f t="shared" si="11"/>
        <v>= =</v>
      </c>
      <c r="P106" s="1128">
        <f t="shared" si="9"/>
        <v>1.0395975936863313</v>
      </c>
      <c r="Q106" s="151">
        <f t="shared" si="9"/>
        <v>2.9438923535487854E-2</v>
      </c>
      <c r="R106" s="1241">
        <f t="shared" si="9"/>
        <v>1.2087727199953455</v>
      </c>
      <c r="S106" s="1232"/>
      <c r="AE106" s="1535" t="s">
        <v>281</v>
      </c>
      <c r="AF106" s="2440">
        <f>CALCULATIONS!BN17</f>
        <v>0.27281150380868918</v>
      </c>
    </row>
    <row r="107" spans="1:32">
      <c r="A107" s="1155" t="s">
        <v>508</v>
      </c>
      <c r="B107" s="73" t="s">
        <v>290</v>
      </c>
      <c r="C107" s="103">
        <f t="shared" si="10"/>
        <v>0.32615050588405037</v>
      </c>
      <c r="D107" s="1131">
        <f t="shared" si="10"/>
        <v>-8.7660674172335792E-2</v>
      </c>
      <c r="E107" s="1239">
        <f t="shared" si="10"/>
        <v>0.30985103942866765</v>
      </c>
      <c r="F107" s="1130">
        <f t="shared" si="10"/>
        <v>0.30558583418722468</v>
      </c>
      <c r="G107" s="1131">
        <f t="shared" si="10"/>
        <v>-0.13620468181810452</v>
      </c>
      <c r="H107" s="1132">
        <f t="shared" si="10"/>
        <v>0.29018390059321952</v>
      </c>
      <c r="I107" s="1130">
        <f t="shared" si="10"/>
        <v>0.31922230141848357</v>
      </c>
      <c r="J107" s="1131">
        <f t="shared" si="10"/>
        <v>-0.13496032758973828</v>
      </c>
      <c r="K107" s="1132">
        <f t="shared" si="10"/>
        <v>0.30362227391248225</v>
      </c>
      <c r="L107" s="1124">
        <f t="shared" si="10"/>
        <v>1.3636467231258886E-2</v>
      </c>
      <c r="M107" s="1124">
        <f t="shared" si="10"/>
        <v>4.4624016252350789E-2</v>
      </c>
      <c r="N107" s="1133" t="e">
        <f t="shared" si="10"/>
        <v>#REF!</v>
      </c>
      <c r="O107" s="1134" t="str">
        <f t="shared" si="11"/>
        <v>= =</v>
      </c>
      <c r="P107" s="1128">
        <f t="shared" si="9"/>
        <v>2.1579177629636748</v>
      </c>
      <c r="Q107" s="151">
        <f t="shared" si="9"/>
        <v>6.0078851309961184E-2</v>
      </c>
      <c r="R107" s="1241">
        <f t="shared" si="9"/>
        <v>2.3009327536910358</v>
      </c>
      <c r="S107" s="1236"/>
      <c r="AE107" s="1535" t="s">
        <v>44</v>
      </c>
      <c r="AF107" s="2440">
        <f>CALCULATIONS!BN18</f>
        <v>-0.15186912506705538</v>
      </c>
    </row>
    <row r="108" spans="1:32">
      <c r="A108" s="1155" t="s">
        <v>505</v>
      </c>
      <c r="B108" s="73" t="s">
        <v>44</v>
      </c>
      <c r="C108" s="103">
        <f t="shared" si="10"/>
        <v>0.5805147103617575</v>
      </c>
      <c r="D108" s="1131">
        <f t="shared" si="10"/>
        <v>8.4948466413752491E-2</v>
      </c>
      <c r="E108" s="1239">
        <f t="shared" si="10"/>
        <v>0.6264024463118032</v>
      </c>
      <c r="F108" s="1130">
        <f t="shared" si="10"/>
        <v>0.51826084585195908</v>
      </c>
      <c r="G108" s="1131">
        <f t="shared" si="10"/>
        <v>0.40005999871326348</v>
      </c>
      <c r="H108" s="1132">
        <f t="shared" si="10"/>
        <v>0.58973938770950263</v>
      </c>
      <c r="I108" s="1130">
        <f t="shared" si="10"/>
        <v>0.5495689942142129</v>
      </c>
      <c r="J108" s="1131">
        <f t="shared" si="10"/>
        <v>0.40637993517884302</v>
      </c>
      <c r="K108" s="1132">
        <f t="shared" si="10"/>
        <v>0.63323863537070213</v>
      </c>
      <c r="L108" s="1124">
        <f t="shared" si="10"/>
        <v>3.1308148362253818E-2</v>
      </c>
      <c r="M108" s="1124">
        <f t="shared" si="10"/>
        <v>6.0410020577161203E-2</v>
      </c>
      <c r="N108" s="1133" t="e">
        <f t="shared" si="10"/>
        <v>#REF!</v>
      </c>
      <c r="O108" s="1134" t="str">
        <f t="shared" si="11"/>
        <v>= = ¯</v>
      </c>
      <c r="P108" s="1128">
        <f t="shared" si="9"/>
        <v>2.643581803383519</v>
      </c>
      <c r="Q108" s="151">
        <f t="shared" si="9"/>
        <v>2.8580691559688957E-2</v>
      </c>
      <c r="R108" s="1241">
        <f t="shared" si="9"/>
        <v>2.5466878830879209</v>
      </c>
      <c r="S108" s="1231"/>
      <c r="AE108" s="1535" t="s">
        <v>289</v>
      </c>
      <c r="AF108" s="2440">
        <f>CALCULATIONS!BN19</f>
        <v>0.52553296536870131</v>
      </c>
    </row>
    <row r="109" spans="1:32">
      <c r="A109" s="1155" t="s">
        <v>19</v>
      </c>
      <c r="B109" s="152" t="s">
        <v>288</v>
      </c>
      <c r="C109" s="103">
        <f t="shared" si="10"/>
        <v>0.60741568747204655</v>
      </c>
      <c r="D109" s="1131">
        <f t="shared" si="10"/>
        <v>4.0950219141690898E-2</v>
      </c>
      <c r="E109" s="1239">
        <f t="shared" si="10"/>
        <v>0.62738172243152124</v>
      </c>
      <c r="F109" s="1130">
        <f t="shared" si="10"/>
        <v>0.50834561454306215</v>
      </c>
      <c r="G109" s="1131">
        <f t="shared" si="10"/>
        <v>0.27477182203191691</v>
      </c>
      <c r="H109" s="1132">
        <f t="shared" si="10"/>
        <v>0.61196382356206247</v>
      </c>
      <c r="I109" s="1130">
        <f t="shared" si="10"/>
        <v>0.54898628094174651</v>
      </c>
      <c r="J109" s="1131">
        <f t="shared" si="10"/>
        <v>0.26756473067663017</v>
      </c>
      <c r="K109" s="1132">
        <f t="shared" si="10"/>
        <v>0.65530118542007598</v>
      </c>
      <c r="L109" s="1124">
        <f t="shared" si="10"/>
        <v>4.0640666398684355E-2</v>
      </c>
      <c r="M109" s="1124">
        <f t="shared" si="10"/>
        <v>7.9946920433679999E-2</v>
      </c>
      <c r="N109" s="1133" t="e">
        <f t="shared" si="10"/>
        <v>#REF!</v>
      </c>
      <c r="O109" s="1134" t="str">
        <f t="shared" si="11"/>
        <v>= = ¯</v>
      </c>
      <c r="P109" s="1128">
        <f t="shared" si="9"/>
        <v>2.5321561588471506</v>
      </c>
      <c r="Q109" s="151">
        <f t="shared" si="9"/>
        <v>1.3257606300410854E-2</v>
      </c>
      <c r="R109" s="1241">
        <f t="shared" si="9"/>
        <v>2.8138910595815916</v>
      </c>
      <c r="S109" s="1231"/>
      <c r="AE109" s="1535" t="s">
        <v>54</v>
      </c>
      <c r="AF109" s="2440">
        <f>CALCULATIONS!BN20</f>
        <v>0.23137252445044021</v>
      </c>
    </row>
    <row r="110" spans="1:32">
      <c r="A110" s="1155" t="s">
        <v>32</v>
      </c>
      <c r="B110" s="73" t="s">
        <v>279</v>
      </c>
      <c r="C110" s="103">
        <f t="shared" si="10"/>
        <v>0.91487499999999988</v>
      </c>
      <c r="D110" s="1131">
        <f t="shared" si="10"/>
        <v>-4.3736501079913587E-2</v>
      </c>
      <c r="E110" s="1239">
        <f t="shared" si="10"/>
        <v>0.89481420237931208</v>
      </c>
      <c r="F110" s="1130">
        <f t="shared" si="10"/>
        <v>0.24509229252810941</v>
      </c>
      <c r="G110" s="1131">
        <f t="shared" si="10"/>
        <v>-0.16501821733667812</v>
      </c>
      <c r="H110" s="1132">
        <f t="shared" si="10"/>
        <v>0.23828807339295358</v>
      </c>
      <c r="I110" s="1130">
        <f t="shared" si="10"/>
        <v>0.27870192226407053</v>
      </c>
      <c r="J110" s="1131">
        <f t="shared" si="10"/>
        <v>-0.14309331637647091</v>
      </c>
      <c r="K110" s="1132">
        <f t="shared" si="10"/>
        <v>0.2718321660431175</v>
      </c>
      <c r="L110" s="1124">
        <f t="shared" si="10"/>
        <v>3.3609629735961127E-2</v>
      </c>
      <c r="M110" s="1124">
        <f t="shared" si="10"/>
        <v>0.13713050455108242</v>
      </c>
      <c r="N110" s="1133" t="e">
        <f t="shared" si="10"/>
        <v>#REF!</v>
      </c>
      <c r="O110" s="1134" t="str">
        <f t="shared" si="11"/>
        <v>= = =</v>
      </c>
      <c r="P110" s="1128">
        <f t="shared" si="9"/>
        <v>2.0880314655341889</v>
      </c>
      <c r="Q110" s="151">
        <f t="shared" si="9"/>
        <v>-3.7762767487534328E-2</v>
      </c>
      <c r="R110" s="1241">
        <f t="shared" si="9"/>
        <v>2.3348198024327131</v>
      </c>
      <c r="S110" s="1233"/>
      <c r="AE110" s="1535" t="s">
        <v>50</v>
      </c>
      <c r="AF110" s="2440">
        <f>CALCULATIONS!BN21</f>
        <v>-0.10421428605028427</v>
      </c>
    </row>
    <row r="111" spans="1:32">
      <c r="A111" s="1155" t="s">
        <v>27</v>
      </c>
      <c r="B111" s="73" t="s">
        <v>357</v>
      </c>
      <c r="C111" s="103">
        <f t="shared" si="10"/>
        <v>0.90539538726018864</v>
      </c>
      <c r="D111" s="1131">
        <f t="shared" si="10"/>
        <v>-4.1189056985539901E-2</v>
      </c>
      <c r="E111" s="1239">
        <f t="shared" si="10"/>
        <v>0.90138346931536006</v>
      </c>
      <c r="F111" s="1130">
        <f t="shared" si="10"/>
        <v>0.38160323267486906</v>
      </c>
      <c r="G111" s="1131">
        <f t="shared" si="10"/>
        <v>0.13281779457810056</v>
      </c>
      <c r="H111" s="1132">
        <f t="shared" si="10"/>
        <v>0.39444904186551905</v>
      </c>
      <c r="I111" s="1130">
        <f t="shared" si="10"/>
        <v>0.47841518539184064</v>
      </c>
      <c r="J111" s="1131">
        <f t="shared" si="10"/>
        <v>1.1717685634717274E-2</v>
      </c>
      <c r="K111" s="1132">
        <f t="shared" si="10"/>
        <v>0.46507375880431212</v>
      </c>
      <c r="L111" s="1124">
        <f t="shared" si="10"/>
        <v>9.6811952716971572E-2</v>
      </c>
      <c r="M111" s="1124">
        <f t="shared" si="10"/>
        <v>0.25369793656715856</v>
      </c>
      <c r="N111" s="1133" t="str">
        <f t="shared" si="10"/>
        <v>No rating</v>
      </c>
      <c r="O111" s="1134"/>
      <c r="P111" s="1128">
        <f t="shared" si="9"/>
        <v>1.832329792526622</v>
      </c>
      <c r="Q111" s="151">
        <f t="shared" si="9"/>
        <v>-9.9442962217240083E-2</v>
      </c>
      <c r="R111" s="1241">
        <f t="shared" si="9"/>
        <v>1.8160302149559577</v>
      </c>
      <c r="S111" s="1234"/>
      <c r="AE111" s="1535" t="s">
        <v>279</v>
      </c>
      <c r="AF111" s="2440">
        <f>CALCULATIONS!BN22</f>
        <v>-9.730338567386275E-2</v>
      </c>
    </row>
    <row r="112" spans="1:32">
      <c r="A112" s="1155" t="s">
        <v>503</v>
      </c>
      <c r="B112" s="73" t="s">
        <v>286</v>
      </c>
      <c r="C112" s="103">
        <f t="shared" si="10"/>
        <v>0.34534166666666666</v>
      </c>
      <c r="D112" s="1131">
        <f t="shared" si="10"/>
        <v>-5.4500069338510607E-2</v>
      </c>
      <c r="E112" s="1239">
        <f t="shared" si="10"/>
        <v>0.3626280111015483</v>
      </c>
      <c r="F112" s="1130">
        <f t="shared" si="10"/>
        <v>0.67997702229572432</v>
      </c>
      <c r="G112" s="1131">
        <f t="shared" si="10"/>
        <v>0.10658020511075152</v>
      </c>
      <c r="H112" s="1132">
        <f t="shared" si="10"/>
        <v>0.75270955685414354</v>
      </c>
      <c r="I112" s="1130">
        <f t="shared" si="10"/>
        <v>0.68457317243488636</v>
      </c>
      <c r="J112" s="1131">
        <f t="shared" si="10"/>
        <v>0.10522314957078965</v>
      </c>
      <c r="K112" s="1132">
        <f t="shared" si="10"/>
        <v>0.75672107111582532</v>
      </c>
      <c r="L112" s="1124">
        <f t="shared" si="10"/>
        <v>4.5961501391620363E-3</v>
      </c>
      <c r="M112" s="1124">
        <f t="shared" si="10"/>
        <v>6.7592727231349809E-3</v>
      </c>
      <c r="N112" s="1133" t="e">
        <f t="shared" si="10"/>
        <v>#REF!</v>
      </c>
      <c r="O112" s="1134" t="str">
        <f t="shared" si="11"/>
        <v>= ¯ ¯</v>
      </c>
      <c r="P112" s="1128">
        <f t="shared" si="9"/>
        <v>2.9152503149286035</v>
      </c>
      <c r="Q112" s="151">
        <f t="shared" si="9"/>
        <v>-0.14664752669478531</v>
      </c>
      <c r="R112" s="1241">
        <f t="shared" si="9"/>
        <v>2.8370691340232916</v>
      </c>
      <c r="S112" s="1231"/>
      <c r="AE112" s="1535" t="s">
        <v>284</v>
      </c>
      <c r="AF112" s="2440">
        <f>CALCULATIONS!BN23</f>
        <v>0.21024209330027152</v>
      </c>
    </row>
    <row r="113" spans="1:47">
      <c r="A113" s="1155" t="s">
        <v>32</v>
      </c>
      <c r="B113" s="73" t="s">
        <v>50</v>
      </c>
      <c r="C113" s="103">
        <f t="shared" si="10"/>
        <v>0</v>
      </c>
      <c r="D113" s="1131">
        <f t="shared" si="10"/>
        <v>0</v>
      </c>
      <c r="E113" s="1239">
        <f t="shared" si="10"/>
        <v>0</v>
      </c>
      <c r="F113" s="1130">
        <f t="shared" si="10"/>
        <v>0.37025195227815472</v>
      </c>
      <c r="G113" s="1131">
        <f t="shared" si="10"/>
        <v>-0.46222821771061889</v>
      </c>
      <c r="H113" s="1132">
        <f t="shared" si="10"/>
        <v>0.26403640782716253</v>
      </c>
      <c r="I113" s="1130">
        <f t="shared" si="10"/>
        <v>0.48927059752514818</v>
      </c>
      <c r="J113" s="1131">
        <f t="shared" si="10"/>
        <v>-0.38189416595312975</v>
      </c>
      <c r="K113" s="1132">
        <f t="shared" si="10"/>
        <v>0.37414035756341019</v>
      </c>
      <c r="L113" s="1124">
        <f t="shared" si="10"/>
        <v>0.11901864524699346</v>
      </c>
      <c r="M113" s="1124">
        <f t="shared" si="10"/>
        <v>0.32145312000294263</v>
      </c>
      <c r="N113" s="1133" t="e">
        <f t="shared" si="10"/>
        <v>#REF!</v>
      </c>
      <c r="O113" s="1134" t="str">
        <f t="shared" si="11"/>
        <v>= =</v>
      </c>
      <c r="P113" s="1128">
        <f t="shared" si="9"/>
        <v>2.2664974928712622</v>
      </c>
      <c r="Q113" s="151">
        <f t="shared" si="9"/>
        <v>-0.12537902502142731</v>
      </c>
      <c r="R113" s="1241">
        <f t="shared" si="9"/>
        <v>2.136201464388483</v>
      </c>
      <c r="S113" s="1233"/>
      <c r="AE113" s="1535" t="s">
        <v>282</v>
      </c>
      <c r="AF113" s="2440">
        <f>CALCULATIONS!BN24</f>
        <v>0.49399589457066467</v>
      </c>
    </row>
    <row r="114" spans="1:47">
      <c r="A114" s="1155" t="s">
        <v>378</v>
      </c>
      <c r="B114" s="73" t="s">
        <v>42</v>
      </c>
      <c r="C114" s="103">
        <f t="shared" si="10"/>
        <v>0.56323171407839789</v>
      </c>
      <c r="D114" s="1131">
        <f t="shared" si="10"/>
        <v>-0.12023286586287618</v>
      </c>
      <c r="E114" s="1239">
        <f t="shared" si="10"/>
        <v>0.53987730061349704</v>
      </c>
      <c r="F114" s="1130">
        <f t="shared" si="10"/>
        <v>0.60887331285954671</v>
      </c>
      <c r="G114" s="1131">
        <f t="shared" si="10"/>
        <v>-0.37303497156800469</v>
      </c>
      <c r="H114" s="1132">
        <f t="shared" si="10"/>
        <v>0.37659759063604481</v>
      </c>
      <c r="I114" s="1130">
        <f t="shared" si="10"/>
        <v>0.63388271448107447</v>
      </c>
      <c r="J114" s="1131">
        <f t="shared" si="10"/>
        <v>-0.25869992498286548</v>
      </c>
      <c r="K114" s="1132">
        <f t="shared" si="10"/>
        <v>0.44527495080222473</v>
      </c>
      <c r="L114" s="1124">
        <f t="shared" si="10"/>
        <v>2.500940162152776E-2</v>
      </c>
      <c r="M114" s="1124">
        <f t="shared" si="10"/>
        <v>4.1074885519406669E-2</v>
      </c>
      <c r="N114" s="1133" t="e">
        <f t="shared" si="10"/>
        <v>#REF!</v>
      </c>
      <c r="O114" s="1134" t="str">
        <f t="shared" si="11"/>
        <v>= =</v>
      </c>
      <c r="P114" s="1128">
        <f t="shared" si="9"/>
        <v>2.172629043332774</v>
      </c>
      <c r="Q114" s="151">
        <f t="shared" si="9"/>
        <v>-0.22035736928264804</v>
      </c>
      <c r="R114" s="1241">
        <f t="shared" si="9"/>
        <v>1.5517268924243866</v>
      </c>
      <c r="S114" s="1231"/>
      <c r="AE114" s="1535" t="s">
        <v>290</v>
      </c>
      <c r="AF114" s="2440">
        <f>CALCULATIONS!BN25</f>
        <v>-9.1187500104724956E-2</v>
      </c>
    </row>
    <row r="115" spans="1:47">
      <c r="A115" s="1155" t="s">
        <v>545</v>
      </c>
      <c r="B115" s="73" t="s">
        <v>39</v>
      </c>
      <c r="C115" s="117">
        <f t="shared" si="10"/>
        <v>0.31054928118178421</v>
      </c>
      <c r="D115" s="1131">
        <f t="shared" si="10"/>
        <v>-0.11491916916279199</v>
      </c>
      <c r="E115" s="1239">
        <f t="shared" si="10"/>
        <v>0.28165979767703259</v>
      </c>
      <c r="F115" s="1130">
        <f t="shared" si="10"/>
        <v>0.3899242463002407</v>
      </c>
      <c r="G115" s="1131">
        <f t="shared" si="10"/>
        <v>-0.1197676600756727</v>
      </c>
      <c r="H115" s="1132">
        <f t="shared" si="10"/>
        <v>0.37944762378701169</v>
      </c>
      <c r="I115" s="1130">
        <f t="shared" si="10"/>
        <v>0.45093517146474416</v>
      </c>
      <c r="J115" s="1131">
        <f t="shared" si="10"/>
        <v>-8.3572610535330494E-2</v>
      </c>
      <c r="K115" s="1132">
        <f t="shared" si="10"/>
        <v>0.43916945384982109</v>
      </c>
      <c r="L115" s="1124">
        <f t="shared" si="10"/>
        <v>6.101092516450346E-2</v>
      </c>
      <c r="M115" s="1124">
        <f t="shared" si="10"/>
        <v>0.15646866216553562</v>
      </c>
      <c r="N115" s="1133" t="e">
        <f t="shared" si="10"/>
        <v>#REF!</v>
      </c>
      <c r="O115" s="1134" t="str">
        <f t="shared" si="11"/>
        <v>­ = =</v>
      </c>
      <c r="P115" s="1128">
        <f t="shared" si="9"/>
        <v>2.6587814840492587</v>
      </c>
      <c r="Q115" s="151">
        <f t="shared" si="9"/>
        <v>-0.25803195656746131</v>
      </c>
      <c r="R115" s="1241">
        <f t="shared" si="9"/>
        <v>2.5933932385229874</v>
      </c>
      <c r="S115" s="1236"/>
      <c r="AE115" s="1538" t="s">
        <v>357</v>
      </c>
      <c r="AF115" s="2442">
        <f>CALCULATIONS!BN26</f>
        <v>0.13678057798888102</v>
      </c>
    </row>
    <row r="117" spans="1:47" s="1161" customFormat="1">
      <c r="A117" s="1478" t="s">
        <v>305</v>
      </c>
      <c r="B117" s="2851"/>
      <c r="C117" s="1871"/>
      <c r="D117" s="1871"/>
      <c r="E117" s="1871"/>
      <c r="F117" s="1871"/>
      <c r="G117" s="1871"/>
      <c r="H117" s="1871"/>
      <c r="I117" s="1871"/>
      <c r="J117" s="1871"/>
      <c r="K117" s="1871"/>
      <c r="L117" s="1871"/>
      <c r="M117" s="1871"/>
      <c r="N117" s="1871"/>
      <c r="O117" s="1871"/>
      <c r="P117" s="1871"/>
      <c r="Q117" s="1871"/>
      <c r="R117" s="1871"/>
      <c r="S117" s="1871"/>
      <c r="T117" s="3317" t="s">
        <v>2289</v>
      </c>
      <c r="U117" s="3317"/>
      <c r="V117" s="3317"/>
      <c r="W117" s="3317"/>
      <c r="X117" s="3317"/>
      <c r="Y117" s="3317"/>
      <c r="Z117" s="3317"/>
      <c r="AA117" s="3317"/>
      <c r="AB117" s="3317"/>
      <c r="AC117" s="3317"/>
      <c r="AD117" s="3317"/>
      <c r="AE117" s="3317"/>
      <c r="AF117" s="3318"/>
      <c r="AG117" s="2263"/>
      <c r="AU117" s="80"/>
    </row>
    <row r="118" spans="1:47" s="1430" customFormat="1">
      <c r="A118" s="2852"/>
      <c r="B118" s="2852"/>
      <c r="C118" s="1871"/>
      <c r="D118" s="1871"/>
      <c r="E118" s="1871"/>
      <c r="F118" s="1871"/>
      <c r="G118" s="1871"/>
      <c r="H118" s="1871"/>
      <c r="I118" s="1871"/>
      <c r="J118" s="1871"/>
      <c r="K118" s="1871"/>
      <c r="L118" s="1871"/>
      <c r="M118" s="1871"/>
      <c r="N118" s="1871"/>
      <c r="O118" s="1871"/>
      <c r="P118" s="1871"/>
      <c r="Q118" s="1871"/>
      <c r="R118" s="1871"/>
      <c r="S118" s="1871"/>
      <c r="T118" s="3307"/>
      <c r="U118" s="3307"/>
      <c r="V118" s="3307"/>
      <c r="W118" s="3307"/>
      <c r="X118" s="3307"/>
      <c r="Y118" s="3307"/>
      <c r="Z118" s="3307"/>
      <c r="AA118" s="3307"/>
      <c r="AB118" s="3307"/>
      <c r="AC118" s="3307"/>
      <c r="AD118" s="3307"/>
      <c r="AE118" s="3307"/>
      <c r="AF118" s="3308"/>
      <c r="AG118" s="2263"/>
      <c r="AU118" s="80"/>
    </row>
    <row r="119" spans="1:47" s="1430" customFormat="1">
      <c r="A119" s="2853"/>
      <c r="B119" s="2853"/>
      <c r="C119" s="1871"/>
      <c r="D119" s="1871"/>
      <c r="E119" s="1871"/>
      <c r="F119" s="1871"/>
      <c r="G119" s="1871"/>
      <c r="H119" s="1871"/>
      <c r="I119" s="1871"/>
      <c r="J119" s="1871"/>
      <c r="K119" s="1871"/>
      <c r="L119" s="1871"/>
      <c r="M119" s="1871"/>
      <c r="N119" s="1871"/>
      <c r="O119" s="1871"/>
      <c r="P119" s="1871"/>
      <c r="Q119" s="1871"/>
      <c r="R119" s="1871"/>
      <c r="S119" s="1871"/>
      <c r="T119" s="3319"/>
      <c r="U119" s="3319"/>
      <c r="V119" s="3319"/>
      <c r="W119" s="3319"/>
      <c r="X119" s="3319"/>
      <c r="Y119" s="3319"/>
      <c r="Z119" s="3319"/>
      <c r="AA119" s="3319"/>
      <c r="AB119" s="3319"/>
      <c r="AC119" s="3319"/>
      <c r="AD119" s="3319"/>
      <c r="AE119" s="3319"/>
      <c r="AF119" s="3320"/>
      <c r="AG119" s="2263"/>
      <c r="AU119" s="80"/>
    </row>
    <row r="120" spans="1:47" s="1161" customFormat="1">
      <c r="A120" s="2850" t="s">
        <v>32</v>
      </c>
      <c r="B120" s="2850"/>
      <c r="C120" s="1871"/>
      <c r="D120" s="1871"/>
      <c r="E120" s="1871"/>
      <c r="F120" s="1871"/>
      <c r="G120" s="1871"/>
      <c r="H120" s="1871"/>
      <c r="I120" s="1871"/>
      <c r="J120" s="1871"/>
      <c r="K120" s="1871"/>
      <c r="L120" s="1871"/>
      <c r="M120" s="1871"/>
      <c r="N120" s="1871"/>
      <c r="O120" s="1871"/>
      <c r="P120" s="1871"/>
      <c r="Q120" s="1871"/>
      <c r="R120" s="1871"/>
      <c r="S120" s="1871"/>
      <c r="T120" s="3348" t="s">
        <v>1287</v>
      </c>
      <c r="U120" s="3348"/>
      <c r="V120" s="3348"/>
      <c r="W120" s="3348"/>
      <c r="X120" s="3348"/>
      <c r="Y120" s="3348"/>
      <c r="Z120" s="3348"/>
      <c r="AA120" s="3348"/>
      <c r="AB120" s="3348"/>
      <c r="AC120" s="3348"/>
      <c r="AD120" s="3348"/>
      <c r="AE120" s="3348"/>
      <c r="AF120" s="3349"/>
      <c r="AG120" s="2263"/>
      <c r="AU120" s="80"/>
    </row>
    <row r="121" spans="1:47" s="1161" customFormat="1">
      <c r="A121" s="1155"/>
      <c r="T121" s="3350"/>
      <c r="U121" s="3350"/>
      <c r="V121" s="3350"/>
      <c r="W121" s="3350"/>
      <c r="X121" s="3350"/>
      <c r="Y121" s="3350"/>
      <c r="Z121" s="3350"/>
      <c r="AA121" s="3350"/>
      <c r="AB121" s="3350"/>
      <c r="AC121" s="3350"/>
      <c r="AD121" s="3350"/>
      <c r="AE121" s="3350"/>
      <c r="AF121" s="3351"/>
      <c r="AG121" s="2263"/>
      <c r="AU121" s="80"/>
    </row>
    <row r="122" spans="1:47" s="1161" customFormat="1">
      <c r="A122" s="1155"/>
      <c r="T122" s="3352"/>
      <c r="U122" s="3352"/>
      <c r="V122" s="3352"/>
      <c r="W122" s="3352"/>
      <c r="X122" s="3352"/>
      <c r="Y122" s="3352"/>
      <c r="Z122" s="3352"/>
      <c r="AA122" s="3352"/>
      <c r="AB122" s="3352"/>
      <c r="AC122" s="3352"/>
      <c r="AD122" s="3352"/>
      <c r="AE122" s="3352"/>
      <c r="AF122" s="3315"/>
      <c r="AG122" s="2263"/>
      <c r="AH122" s="1490"/>
      <c r="AU122" s="80"/>
    </row>
    <row r="123" spans="1:47" s="1161" customFormat="1">
      <c r="A123" s="1252" t="s">
        <v>1064</v>
      </c>
      <c r="B123" s="1123" t="s">
        <v>1187</v>
      </c>
      <c r="G123" s="1300" t="s">
        <v>1188</v>
      </c>
      <c r="W123" s="1300" t="s">
        <v>1293</v>
      </c>
      <c r="Y123" s="3303" t="s">
        <v>2598</v>
      </c>
      <c r="Z123" s="3303"/>
      <c r="AD123" s="1300" t="s">
        <v>1294</v>
      </c>
      <c r="AF123" s="2263"/>
      <c r="AG123" s="2263"/>
      <c r="AL123" s="1300" t="s">
        <v>323</v>
      </c>
      <c r="AU123" s="80"/>
    </row>
    <row r="124" spans="1:47" s="1161" customFormat="1">
      <c r="A124" s="1155"/>
      <c r="Y124" s="3303"/>
      <c r="Z124" s="3303"/>
      <c r="AF124" s="2263"/>
      <c r="AG124" s="2263"/>
      <c r="AU124" s="80"/>
    </row>
    <row r="125" spans="1:47" s="1161" customFormat="1">
      <c r="A125" s="1842" t="s">
        <v>1472</v>
      </c>
      <c r="B125" s="1430" t="s">
        <v>1288</v>
      </c>
      <c r="AF125" s="2263"/>
      <c r="AG125" s="2263"/>
      <c r="AU125" s="80"/>
    </row>
    <row r="126" spans="1:47" s="1161" customFormat="1">
      <c r="A126" s="1165"/>
      <c r="AF126" s="2263"/>
      <c r="AG126" s="2263"/>
      <c r="AU126" s="80"/>
    </row>
    <row r="127" spans="1:47" s="1161" customFormat="1">
      <c r="A127" s="726" t="s">
        <v>772</v>
      </c>
      <c r="B127" s="1430" t="s">
        <v>513</v>
      </c>
      <c r="AF127" s="2263"/>
      <c r="AG127" s="2263"/>
      <c r="AU127" s="80"/>
    </row>
    <row r="128" spans="1:47" s="1161" customFormat="1">
      <c r="A128" s="726" t="s">
        <v>773</v>
      </c>
      <c r="B128" s="1430" t="s">
        <v>513</v>
      </c>
      <c r="AF128" s="2263"/>
      <c r="AG128" s="2263"/>
      <c r="AU128" s="80"/>
    </row>
    <row r="129" spans="1:47" s="1161" customFormat="1">
      <c r="A129" s="726" t="s">
        <v>774</v>
      </c>
      <c r="B129" s="79" t="s">
        <v>1291</v>
      </c>
      <c r="AF129" s="2263"/>
      <c r="AG129" s="2263"/>
      <c r="AU129" s="80"/>
    </row>
    <row r="130" spans="1:47" s="1161" customFormat="1">
      <c r="A130" s="1165"/>
      <c r="AF130" s="2263"/>
      <c r="AG130" s="2263"/>
      <c r="AU130" s="80"/>
    </row>
    <row r="131" spans="1:47" s="1161" customFormat="1">
      <c r="A131" s="1153" t="s">
        <v>1289</v>
      </c>
      <c r="B131" s="1153"/>
      <c r="C131" s="1430"/>
      <c r="AF131" s="2263"/>
      <c r="AG131" s="2263"/>
      <c r="AU131" s="80"/>
    </row>
    <row r="132" spans="1:47" s="1161" customFormat="1">
      <c r="A132" s="1153" t="s">
        <v>1290</v>
      </c>
      <c r="B132" s="1153"/>
      <c r="AF132" s="2263"/>
      <c r="AG132" s="2263"/>
      <c r="AU132" s="80"/>
    </row>
    <row r="133" spans="1:47" s="1161" customFormat="1">
      <c r="A133" s="1301"/>
      <c r="B133" s="1430"/>
      <c r="AF133" s="2263"/>
      <c r="AG133" s="2263"/>
      <c r="AU133" s="80"/>
    </row>
    <row r="134" spans="1:47" s="1161" customFormat="1">
      <c r="A134" s="1165" t="s">
        <v>1189</v>
      </c>
      <c r="AF134" s="2263"/>
      <c r="AG134" s="2263"/>
      <c r="AU134" s="80"/>
    </row>
    <row r="135" spans="1:47" s="1161" customFormat="1">
      <c r="A135" s="1165" t="s">
        <v>1190</v>
      </c>
      <c r="AF135" s="2263"/>
      <c r="AG135" s="2263"/>
      <c r="AU135" s="80"/>
    </row>
    <row r="136" spans="1:47" s="1161" customFormat="1">
      <c r="A136" s="1165" t="s">
        <v>1292</v>
      </c>
      <c r="AF136" s="2263"/>
      <c r="AG136" s="2263"/>
      <c r="AU136" s="80"/>
    </row>
    <row r="137" spans="1:47" s="1161" customFormat="1">
      <c r="AF137" s="2263"/>
      <c r="AG137" s="2263"/>
      <c r="AU137" s="80"/>
    </row>
    <row r="138" spans="1:47" s="1161" customFormat="1">
      <c r="A138" s="1480" t="s">
        <v>2308</v>
      </c>
      <c r="AF138" s="2263"/>
      <c r="AG138" s="2263"/>
      <c r="AU138" s="80"/>
    </row>
    <row r="139" spans="1:47" s="1161" customFormat="1">
      <c r="A139" s="1155"/>
      <c r="AF139" s="2263"/>
      <c r="AG139" s="2263"/>
      <c r="AU139" s="80"/>
    </row>
    <row r="140" spans="1:47" s="1161" customFormat="1">
      <c r="AF140" s="2263"/>
      <c r="AG140" s="2263"/>
      <c r="AU140" s="80"/>
    </row>
    <row r="141" spans="1:47" s="1161" customFormat="1">
      <c r="A141" s="1155"/>
      <c r="AF141" s="2263"/>
      <c r="AG141" s="2263"/>
      <c r="AU141" s="80"/>
    </row>
    <row r="142" spans="1:47" s="1161" customFormat="1">
      <c r="A142" s="1155"/>
      <c r="AF142" s="2263"/>
      <c r="AG142" s="2263"/>
      <c r="AU142" s="80"/>
    </row>
    <row r="143" spans="1:47" s="1161" customFormat="1">
      <c r="A143" s="1155"/>
      <c r="AF143" s="2263"/>
      <c r="AG143" s="2263"/>
      <c r="AU143" s="80"/>
    </row>
    <row r="144" spans="1:47" s="1161" customFormat="1">
      <c r="A144" s="1155"/>
      <c r="AF144" s="2263"/>
      <c r="AG144" s="2263"/>
      <c r="AU144" s="80"/>
    </row>
    <row r="145" spans="1:47" s="1161" customFormat="1">
      <c r="A145" s="1155"/>
      <c r="AF145" s="2263"/>
      <c r="AG145" s="2263"/>
      <c r="AU145" s="80"/>
    </row>
    <row r="146" spans="1:47" s="1161" customFormat="1">
      <c r="A146" s="1155"/>
      <c r="AF146" s="2263"/>
      <c r="AG146" s="2263"/>
      <c r="AU146" s="80"/>
    </row>
    <row r="147" spans="1:47" s="1161" customFormat="1">
      <c r="A147" s="2821"/>
      <c r="B147" s="2821"/>
      <c r="T147" s="3352"/>
      <c r="U147" s="3352"/>
      <c r="V147" s="3352"/>
      <c r="W147" s="3352"/>
      <c r="X147" s="3352"/>
      <c r="Y147" s="3352"/>
      <c r="Z147" s="3352"/>
      <c r="AA147" s="3352"/>
      <c r="AB147" s="3352"/>
      <c r="AC147" s="3352"/>
      <c r="AD147" s="3352"/>
      <c r="AE147" s="3352"/>
      <c r="AF147" s="3315"/>
      <c r="AG147" s="2263"/>
      <c r="AU147" s="80"/>
    </row>
    <row r="148" spans="1:47" s="1161" customFormat="1">
      <c r="A148" s="2901"/>
      <c r="B148" s="2901"/>
      <c r="C148" s="2753" t="s">
        <v>2240</v>
      </c>
      <c r="T148" s="3353" t="s">
        <v>2293</v>
      </c>
      <c r="U148" s="3353"/>
      <c r="V148" s="3353"/>
      <c r="W148" s="3353"/>
      <c r="X148" s="3353"/>
      <c r="Y148" s="3353"/>
      <c r="Z148" s="3353"/>
      <c r="AA148" s="3353"/>
      <c r="AB148" s="3353"/>
      <c r="AC148" s="3353"/>
      <c r="AD148" s="3353"/>
      <c r="AE148" s="3353"/>
      <c r="AF148" s="3354"/>
      <c r="AG148" s="1526"/>
      <c r="AU148" s="80"/>
    </row>
    <row r="149" spans="1:47" s="1161" customFormat="1">
      <c r="A149" s="1284" t="s">
        <v>37</v>
      </c>
      <c r="B149" s="1284"/>
      <c r="T149" s="3317" t="s">
        <v>2295</v>
      </c>
      <c r="U149" s="3317"/>
      <c r="V149" s="3317"/>
      <c r="W149" s="3317"/>
      <c r="X149" s="3317"/>
      <c r="Y149" s="3317"/>
      <c r="Z149" s="3317"/>
      <c r="AA149" s="3317"/>
      <c r="AB149" s="3317"/>
      <c r="AC149" s="3317"/>
      <c r="AD149" s="3317"/>
      <c r="AE149" s="3317"/>
      <c r="AF149" s="3317"/>
      <c r="AG149" s="3317"/>
      <c r="AH149" s="3318"/>
      <c r="AU149" s="80"/>
    </row>
    <row r="150" spans="1:47">
      <c r="A150" s="1481"/>
      <c r="B150" s="1481"/>
      <c r="T150" s="3307"/>
      <c r="U150" s="3307"/>
      <c r="V150" s="3307"/>
      <c r="W150" s="3307"/>
      <c r="X150" s="3307"/>
      <c r="Y150" s="3307"/>
      <c r="Z150" s="3307"/>
      <c r="AA150" s="3307"/>
      <c r="AB150" s="3307"/>
      <c r="AC150" s="3307"/>
      <c r="AD150" s="3307"/>
      <c r="AE150" s="3307"/>
      <c r="AF150" s="3307"/>
      <c r="AG150" s="3307"/>
      <c r="AH150" s="3308"/>
      <c r="AJ150" s="1605"/>
      <c r="AK150" s="1605"/>
      <c r="AL150" s="1605"/>
    </row>
    <row r="151" spans="1:47" s="1461" customFormat="1" ht="13.2" customHeight="1">
      <c r="A151" s="1481"/>
      <c r="B151" s="1481"/>
      <c r="T151" s="1155" t="s">
        <v>2290</v>
      </c>
      <c r="U151" s="2756"/>
      <c r="V151" s="2756"/>
      <c r="W151" s="2756"/>
      <c r="X151" s="2756"/>
      <c r="Y151" s="2756"/>
      <c r="Z151" s="2756"/>
      <c r="AA151" s="2756"/>
      <c r="AB151" s="2756"/>
      <c r="AC151" s="2756"/>
      <c r="AD151" s="2756"/>
      <c r="AE151" s="2756"/>
      <c r="AF151" s="2756"/>
      <c r="AG151" s="2756"/>
      <c r="AH151" s="2843"/>
      <c r="AJ151" s="2202" t="s">
        <v>1528</v>
      </c>
      <c r="AK151" s="2202"/>
      <c r="AL151" s="2202"/>
      <c r="AU151" s="80"/>
    </row>
    <row r="152" spans="1:47" s="1461" customFormat="1">
      <c r="A152" s="1481"/>
      <c r="B152" s="1481"/>
      <c r="T152" s="3423" t="s">
        <v>2291</v>
      </c>
      <c r="U152" s="3423"/>
      <c r="V152" s="3423"/>
      <c r="W152" s="3423"/>
      <c r="X152" s="3423"/>
      <c r="Y152" s="3423"/>
      <c r="Z152" s="3423"/>
      <c r="AA152" s="3423"/>
      <c r="AB152" s="3423"/>
      <c r="AC152" s="3423"/>
      <c r="AD152" s="3423"/>
      <c r="AE152" s="3423"/>
      <c r="AF152" s="3423"/>
      <c r="AG152" s="3423"/>
      <c r="AH152" s="3424"/>
      <c r="AJ152" s="1207" t="s">
        <v>1336</v>
      </c>
      <c r="AK152" s="1207"/>
      <c r="AL152" s="1207"/>
      <c r="AU152" s="80"/>
    </row>
    <row r="153" spans="1:47" s="1604" customFormat="1">
      <c r="A153" s="1481"/>
      <c r="B153" s="1481"/>
      <c r="T153" s="3423"/>
      <c r="U153" s="3423"/>
      <c r="V153" s="3423"/>
      <c r="W153" s="3423"/>
      <c r="X153" s="3423"/>
      <c r="Y153" s="3423"/>
      <c r="Z153" s="3423"/>
      <c r="AA153" s="3423"/>
      <c r="AB153" s="3423"/>
      <c r="AC153" s="3423"/>
      <c r="AD153" s="3423"/>
      <c r="AE153" s="3423"/>
      <c r="AF153" s="3423"/>
      <c r="AG153" s="3423"/>
      <c r="AH153" s="3424"/>
      <c r="AJ153" s="1207" t="s">
        <v>1774</v>
      </c>
      <c r="AK153" s="1207"/>
      <c r="AL153" s="1207" t="s">
        <v>1335</v>
      </c>
      <c r="AU153" s="80"/>
    </row>
    <row r="154" spans="1:47" s="1461" customFormat="1">
      <c r="A154" s="1285"/>
      <c r="B154" s="1285"/>
      <c r="T154" s="1186" t="str">
        <f>CONCATENATE("With EV/Ebitda around ",PROFILES!J294, "x, this implies appropriate gearings between ", 1.5/PROFILES!J294%, "% - ", 2.5/PROFILES!J294%,"%, probably close to the mid-point for Belgacom.")</f>
        <v>With EV/Ebitda around 5x, this implies appropriate gearings between 30% - 50%, probably close to the mid-point for Belgacom.</v>
      </c>
      <c r="U154" s="2265"/>
      <c r="V154" s="2265"/>
      <c r="W154" s="2265"/>
      <c r="X154" s="1482"/>
      <c r="Y154" s="2265"/>
      <c r="Z154" s="2265"/>
      <c r="AA154" s="2265"/>
      <c r="AB154" s="2265"/>
      <c r="AC154" s="2265"/>
      <c r="AD154" s="1155"/>
      <c r="AE154" s="2265"/>
      <c r="AF154" s="2453"/>
      <c r="AG154" s="2265"/>
      <c r="AH154" s="2443"/>
      <c r="AJ154" s="2203">
        <f>1.37/PROFILES!$J$294</f>
        <v>0.27400000000000002</v>
      </c>
      <c r="AK154" s="2203">
        <f>2.37/PROFILES!$J$294</f>
        <v>0.47400000000000003</v>
      </c>
      <c r="AL154" s="2204">
        <f>AVERAGE(AJ154:AK154)</f>
        <v>0.374</v>
      </c>
      <c r="AU154" s="80"/>
    </row>
    <row r="155" spans="1:47" s="1461" customFormat="1">
      <c r="A155" s="1481" t="s">
        <v>55</v>
      </c>
      <c r="B155" s="1481"/>
      <c r="T155" s="3317" t="s">
        <v>2292</v>
      </c>
      <c r="U155" s="3317"/>
      <c r="V155" s="3317"/>
      <c r="W155" s="3317"/>
      <c r="X155" s="3317"/>
      <c r="Y155" s="3317"/>
      <c r="Z155" s="3317"/>
      <c r="AA155" s="3317"/>
      <c r="AB155" s="3317"/>
      <c r="AC155" s="3317"/>
      <c r="AD155" s="3317"/>
      <c r="AE155" s="3317"/>
      <c r="AF155" s="3317"/>
      <c r="AG155" s="3317"/>
      <c r="AH155" s="3318"/>
      <c r="AJ155" s="2205" t="s">
        <v>1337</v>
      </c>
      <c r="AK155" s="2205"/>
      <c r="AL155" s="2205"/>
      <c r="AU155" s="80"/>
    </row>
    <row r="156" spans="1:47" s="1461" customFormat="1">
      <c r="A156" s="1481"/>
      <c r="B156" s="1481"/>
      <c r="T156" s="3307"/>
      <c r="U156" s="3307"/>
      <c r="V156" s="3307"/>
      <c r="W156" s="3307"/>
      <c r="X156" s="3307"/>
      <c r="Y156" s="3307"/>
      <c r="Z156" s="3307"/>
      <c r="AA156" s="3307"/>
      <c r="AB156" s="3307"/>
      <c r="AC156" s="3307"/>
      <c r="AD156" s="3307"/>
      <c r="AE156" s="3307"/>
      <c r="AF156" s="3307"/>
      <c r="AG156" s="3307"/>
      <c r="AH156" s="3308"/>
      <c r="AJ156" s="1207" t="s">
        <v>1774</v>
      </c>
      <c r="AK156" s="1207"/>
      <c r="AL156" s="1207" t="s">
        <v>1335</v>
      </c>
      <c r="AU156" s="80"/>
    </row>
    <row r="157" spans="1:47" s="1461" customFormat="1">
      <c r="A157" s="1481"/>
      <c r="B157" s="1481"/>
      <c r="T157" s="2818" t="s">
        <v>2294</v>
      </c>
      <c r="U157" s="2263"/>
      <c r="V157" s="2263"/>
      <c r="W157" s="2263"/>
      <c r="X157" s="2263"/>
      <c r="Y157" s="1479" t="str">
        <f>CONCATENATE("between ",PROFILES!J297,"x-",PROFILES!K297,"x, this implies a gearing between : ",ROUND(1.5/PROFILES!K297%,0),"% - ",ROUND(1.5/PROFILES!J297%,0),"% for Mobile.")</f>
        <v>between 5x-6x, this implies a gearing between : 25% - 30% for Mobile.</v>
      </c>
      <c r="Z157" s="2263"/>
      <c r="AA157" s="2263"/>
      <c r="AB157" s="2263"/>
      <c r="AC157" s="2263"/>
      <c r="AD157" s="2263"/>
      <c r="AE157" s="2263"/>
      <c r="AF157" s="1526"/>
      <c r="AG157" s="1479"/>
      <c r="AH157" s="1880"/>
      <c r="AJ157" s="2203">
        <f>1/PROFILES!K297</f>
        <v>0.16666666666666666</v>
      </c>
      <c r="AK157" s="2203">
        <f>1/PROFILES!J297</f>
        <v>0.2</v>
      </c>
      <c r="AL157" s="2204">
        <f>AVERAGE(AJ157:AK157)</f>
        <v>0.18333333333333335</v>
      </c>
      <c r="AU157" s="80"/>
    </row>
    <row r="158" spans="1:47" s="1461" customFormat="1">
      <c r="A158" s="1284" t="s">
        <v>38</v>
      </c>
      <c r="B158" s="1284"/>
      <c r="T158" s="2716" t="s">
        <v>2296</v>
      </c>
      <c r="U158" s="2262"/>
      <c r="V158" s="2262"/>
      <c r="W158" s="2262"/>
      <c r="X158" s="2262"/>
      <c r="Y158" s="2262"/>
      <c r="Z158" s="2262"/>
      <c r="AA158" s="2262"/>
      <c r="AB158" s="1478" t="str">
        <f>CONCATENATE(ROUND(3.5/PROFILES!J304%,0),"% - ",4.5/PROFILES!J304%,"% with current EV/Ebitda around ",PROFILES!J304,"x.")</f>
        <v>39% - 50% with current EV/Ebitda around 9x.</v>
      </c>
      <c r="AC158" s="2262"/>
      <c r="AD158" s="2262"/>
      <c r="AE158" s="2262"/>
      <c r="AF158" s="2262"/>
      <c r="AG158" s="2262"/>
      <c r="AH158" s="1827"/>
      <c r="AJ158" s="3297" t="s">
        <v>2243</v>
      </c>
      <c r="AK158" s="3297"/>
      <c r="AL158" s="3297"/>
      <c r="AM158" s="3297"/>
      <c r="AU158" s="80"/>
    </row>
    <row r="159" spans="1:47">
      <c r="A159" s="1285"/>
      <c r="B159" s="1285"/>
      <c r="T159" s="1526" t="s">
        <v>1319</v>
      </c>
      <c r="U159" s="1526"/>
      <c r="V159" s="1526"/>
      <c r="W159" s="1526"/>
      <c r="X159" s="1526"/>
      <c r="Y159" s="1526"/>
      <c r="Z159" s="1526"/>
      <c r="AA159" s="1526"/>
      <c r="AB159" s="1526"/>
      <c r="AC159" s="1526"/>
      <c r="AD159" s="1526"/>
      <c r="AE159" s="1526"/>
      <c r="AF159" s="1829"/>
      <c r="AG159" s="1526"/>
      <c r="AH159" s="1829"/>
      <c r="AJ159" s="3297"/>
      <c r="AK159" s="3297"/>
      <c r="AL159" s="3297"/>
      <c r="AM159" s="3297"/>
    </row>
    <row r="160" spans="1:47" s="1488" customFormat="1">
      <c r="A160" s="1489"/>
      <c r="T160" s="1490"/>
      <c r="U160" s="1490"/>
      <c r="V160" s="1490"/>
      <c r="W160" s="1490"/>
      <c r="X160" s="1490"/>
      <c r="Y160" s="1490"/>
      <c r="Z160" s="1490"/>
      <c r="AA160" s="1490"/>
      <c r="AB160" s="1490"/>
      <c r="AC160" s="1490"/>
      <c r="AD160" s="1490"/>
      <c r="AE160" s="1490"/>
      <c r="AF160" s="2263"/>
      <c r="AG160" s="2262"/>
      <c r="AH160" s="1490"/>
      <c r="AU160" s="80"/>
    </row>
    <row r="161" spans="1:47" s="1488" customFormat="1">
      <c r="A161" s="1512" t="s">
        <v>1525</v>
      </c>
      <c r="B161" s="1513"/>
      <c r="T161" s="1977"/>
      <c r="U161" s="1977"/>
      <c r="V161" s="1977"/>
      <c r="W161" s="1977"/>
      <c r="X161" s="1977"/>
      <c r="Y161" s="1977"/>
      <c r="Z161" s="1977"/>
      <c r="AA161" s="1977"/>
      <c r="AB161" s="1977"/>
      <c r="AC161" s="1977"/>
      <c r="AD161" s="1977"/>
      <c r="AE161" s="1977"/>
      <c r="AF161" s="1977"/>
      <c r="AG161" s="1977"/>
      <c r="AH161" s="1977"/>
      <c r="AU161" s="80"/>
    </row>
    <row r="162" spans="1:47" s="1488" customFormat="1">
      <c r="A162" s="1489"/>
      <c r="T162" s="1977"/>
      <c r="U162" s="1977"/>
      <c r="V162" s="1977"/>
      <c r="W162" s="1977"/>
      <c r="X162" s="1977"/>
      <c r="Y162" s="1977"/>
      <c r="Z162" s="1977"/>
      <c r="AA162" s="1977"/>
      <c r="AB162" s="1977"/>
      <c r="AC162" s="1977"/>
      <c r="AD162" s="1977"/>
      <c r="AE162" s="1977"/>
      <c r="AF162" s="1977"/>
      <c r="AG162" s="1977"/>
      <c r="AH162" s="1977"/>
      <c r="AU162" s="80"/>
    </row>
    <row r="163" spans="1:47" s="1488" customFormat="1">
      <c r="A163" s="1489"/>
      <c r="T163" s="1977"/>
      <c r="U163" s="1977"/>
      <c r="V163" s="1977"/>
      <c r="W163" s="1977"/>
      <c r="X163" s="1977"/>
      <c r="Y163" s="1977"/>
      <c r="Z163" s="1977"/>
      <c r="AA163" s="1977"/>
      <c r="AB163" s="1977"/>
      <c r="AC163" s="1977"/>
      <c r="AD163" s="1977"/>
      <c r="AE163" s="1977"/>
      <c r="AF163" s="1977"/>
      <c r="AG163" s="1977"/>
      <c r="AH163" s="1977"/>
      <c r="AU163" s="80"/>
    </row>
    <row r="164" spans="1:47" s="1488" customFormat="1">
      <c r="A164" s="1489"/>
      <c r="T164" s="1977"/>
      <c r="U164" s="1977"/>
      <c r="V164" s="1977"/>
      <c r="W164" s="1977"/>
      <c r="X164" s="1977"/>
      <c r="Y164" s="1977"/>
      <c r="Z164" s="1977"/>
      <c r="AA164" s="1977"/>
      <c r="AB164" s="1977"/>
      <c r="AC164" s="1977"/>
      <c r="AD164" s="1977"/>
      <c r="AE164" s="1977"/>
      <c r="AF164" s="1977"/>
      <c r="AG164" s="1977"/>
      <c r="AH164" s="1977"/>
      <c r="AU164" s="80"/>
    </row>
    <row r="165" spans="1:47" s="1488" customFormat="1">
      <c r="A165" s="1489"/>
      <c r="T165" s="1977"/>
      <c r="U165" s="1977"/>
      <c r="V165" s="1977"/>
      <c r="W165" s="1977"/>
      <c r="X165" s="1977"/>
      <c r="Y165" s="1977"/>
      <c r="Z165" s="1977"/>
      <c r="AA165" s="1977"/>
      <c r="AB165" s="1977"/>
      <c r="AC165" s="1977"/>
      <c r="AD165" s="1977"/>
      <c r="AE165" s="1977"/>
      <c r="AF165" s="1977"/>
      <c r="AG165" s="1977"/>
      <c r="AH165" s="1977"/>
      <c r="AU165" s="80"/>
    </row>
    <row r="166" spans="1:47" s="1246" customFormat="1">
      <c r="A166" s="1245"/>
      <c r="AU166" s="1527"/>
    </row>
    <row r="167" spans="1:47" hidden="1">
      <c r="AF167" s="2263"/>
    </row>
    <row r="168" spans="1:47" hidden="1">
      <c r="A168" s="1189" t="s">
        <v>1137</v>
      </c>
      <c r="B168" s="1123" t="s">
        <v>1138</v>
      </c>
      <c r="R168" s="1230"/>
      <c r="AF168" s="2263"/>
    </row>
    <row r="169" spans="1:47" hidden="1">
      <c r="A169" s="1155" t="s">
        <v>507</v>
      </c>
      <c r="B169" s="73" t="s">
        <v>282</v>
      </c>
      <c r="C169" s="1242">
        <f t="shared" ref="C169:R173" si="12">VLOOKUP($B169,$B$7:$R$28,C$29,FALSE)</f>
        <v>0.67083419702973635</v>
      </c>
      <c r="D169" s="150">
        <f t="shared" si="12"/>
        <v>-0.11335389957676706</v>
      </c>
      <c r="E169" s="1239">
        <f t="shared" si="12"/>
        <v>0.63639387890884902</v>
      </c>
      <c r="F169" s="1130">
        <f t="shared" si="12"/>
        <v>0.1536920907726812</v>
      </c>
      <c r="G169" s="1131">
        <f t="shared" si="12"/>
        <v>1.6283818604559013</v>
      </c>
      <c r="H169" s="1132">
        <f t="shared" si="12"/>
        <v>0.2022242346359609</v>
      </c>
      <c r="I169" s="1130">
        <f t="shared" si="12"/>
        <v>0.20961441125119315</v>
      </c>
      <c r="J169" s="1131">
        <f t="shared" si="12"/>
        <v>0.84200521424561081</v>
      </c>
      <c r="K169" s="1132">
        <f t="shared" si="12"/>
        <v>0.28147528322389997</v>
      </c>
      <c r="L169" s="1124">
        <f t="shared" si="12"/>
        <v>5.592232047851195E-2</v>
      </c>
      <c r="M169" s="1124">
        <f t="shared" si="12"/>
        <v>0.36385945559959909</v>
      </c>
      <c r="N169" s="1133" t="str">
        <f t="shared" si="12"/>
        <v>No rating</v>
      </c>
      <c r="O169" s="1134">
        <f t="shared" si="12"/>
        <v>0</v>
      </c>
      <c r="P169" s="1128">
        <f t="shared" si="12"/>
        <v>1.4399592566697517</v>
      </c>
      <c r="Q169" s="151">
        <f t="shared" si="12"/>
        <v>0.8442860967329926</v>
      </c>
      <c r="R169" s="1241">
        <f t="shared" si="12"/>
        <v>1.5521418473212367</v>
      </c>
      <c r="S169" s="1232"/>
      <c r="AF169" s="2263"/>
    </row>
    <row r="170" spans="1:47" hidden="1">
      <c r="A170" s="1155" t="s">
        <v>506</v>
      </c>
      <c r="B170" s="73" t="s">
        <v>289</v>
      </c>
      <c r="C170" s="1242">
        <f t="shared" si="12"/>
        <v>0.42290073595624156</v>
      </c>
      <c r="D170" s="150">
        <f t="shared" si="12"/>
        <v>-9.0086339251873371E-2</v>
      </c>
      <c r="E170" s="1239">
        <f t="shared" si="12"/>
        <v>0.44946685046944856</v>
      </c>
      <c r="F170" s="1130">
        <f t="shared" si="12"/>
        <v>0.16307046534988884</v>
      </c>
      <c r="G170" s="1131">
        <f t="shared" si="12"/>
        <v>1.3005419282788433</v>
      </c>
      <c r="H170" s="1132">
        <f t="shared" si="12"/>
        <v>0.30950096360373897</v>
      </c>
      <c r="I170" s="1130">
        <f t="shared" si="12"/>
        <v>0.18570292678335293</v>
      </c>
      <c r="J170" s="1131">
        <f t="shared" si="12"/>
        <v>1.251733079461073</v>
      </c>
      <c r="K170" s="1132">
        <f t="shared" si="12"/>
        <v>0.34197601038246805</v>
      </c>
      <c r="L170" s="1124">
        <f t="shared" si="12"/>
        <v>2.2632461433464091E-2</v>
      </c>
      <c r="M170" s="1124">
        <f t="shared" si="12"/>
        <v>0.13878945758144007</v>
      </c>
      <c r="N170" s="1133" t="e">
        <f t="shared" si="12"/>
        <v>#REF!</v>
      </c>
      <c r="O170" s="1134" t="str">
        <f t="shared" si="12"/>
        <v>¯ ¯</v>
      </c>
      <c r="P170" s="1128">
        <f t="shared" si="12"/>
        <v>0.77886477042851432</v>
      </c>
      <c r="Q170" s="151">
        <f t="shared" si="12"/>
        <v>1.0703005310133176</v>
      </c>
      <c r="R170" s="1241">
        <f t="shared" si="12"/>
        <v>1.1762690733772538</v>
      </c>
      <c r="S170" s="1231"/>
      <c r="AF170" s="2263"/>
    </row>
    <row r="171" spans="1:47" hidden="1">
      <c r="A171" s="1156" t="s">
        <v>323</v>
      </c>
      <c r="B171" s="726" t="s">
        <v>772</v>
      </c>
      <c r="C171" s="1243">
        <f t="shared" si="12"/>
        <v>0.37158673775730477</v>
      </c>
      <c r="D171" s="1162">
        <f t="shared" si="12"/>
        <v>-0.1153634304384116</v>
      </c>
      <c r="E171" s="1238">
        <f t="shared" si="12"/>
        <v>0.36037883142173305</v>
      </c>
      <c r="F171" s="1142">
        <f t="shared" si="12"/>
        <v>0.17383796150947908</v>
      </c>
      <c r="G171" s="1143">
        <f t="shared" si="12"/>
        <v>0.54445307336528614</v>
      </c>
      <c r="H171" s="1144">
        <f t="shared" si="12"/>
        <v>0.26356163003804695</v>
      </c>
      <c r="I171" s="1142">
        <f t="shared" si="12"/>
        <v>0.19702478682132593</v>
      </c>
      <c r="J171" s="1143">
        <f t="shared" si="12"/>
        <v>0.50034734616182497</v>
      </c>
      <c r="K171" s="1144">
        <f t="shared" si="12"/>
        <v>0.28756363720088318</v>
      </c>
      <c r="L171" s="1136">
        <f t="shared" si="12"/>
        <v>2.3186825311846848E-2</v>
      </c>
      <c r="M171" s="1136">
        <f t="shared" si="12"/>
        <v>0.13338182932260462</v>
      </c>
      <c r="N171" s="1145" t="e">
        <f t="shared" si="12"/>
        <v>#REF!</v>
      </c>
      <c r="O171" s="1146" t="str">
        <f t="shared" si="12"/>
        <v>= =</v>
      </c>
      <c r="P171" s="1140">
        <f t="shared" si="12"/>
        <v>0.93248540191552354</v>
      </c>
      <c r="Q171" s="1078">
        <f t="shared" si="12"/>
        <v>0.78949919521054279</v>
      </c>
      <c r="R171" s="1240">
        <f t="shared" si="12"/>
        <v>1.3109622071604587</v>
      </c>
      <c r="S171" s="1231"/>
      <c r="AF171" s="2263"/>
    </row>
    <row r="172" spans="1:47" hidden="1">
      <c r="A172" s="1156" t="s">
        <v>323</v>
      </c>
      <c r="B172" s="726" t="s">
        <v>773</v>
      </c>
      <c r="C172" s="1243">
        <f t="shared" si="12"/>
        <v>0.95644485424869818</v>
      </c>
      <c r="D172" s="1162">
        <f t="shared" si="12"/>
        <v>5.7346309608293736E-3</v>
      </c>
      <c r="E172" s="1238">
        <f t="shared" si="12"/>
        <v>0.97265268915223335</v>
      </c>
      <c r="F172" s="1142">
        <f t="shared" si="12"/>
        <v>0.16489915086810925</v>
      </c>
      <c r="G172" s="1143">
        <f t="shared" si="12"/>
        <v>2.0043608623878186</v>
      </c>
      <c r="H172" s="1144">
        <f t="shared" si="12"/>
        <v>0.32988338723452482</v>
      </c>
      <c r="I172" s="1142">
        <f t="shared" si="12"/>
        <v>0.27218937885351913</v>
      </c>
      <c r="J172" s="1143">
        <f t="shared" si="12"/>
        <v>1.2181747217666232</v>
      </c>
      <c r="K172" s="1144">
        <f t="shared" si="12"/>
        <v>0.4561905930983241</v>
      </c>
      <c r="L172" s="1136">
        <f t="shared" si="12"/>
        <v>0.10729022798540988</v>
      </c>
      <c r="M172" s="1136">
        <f t="shared" si="12"/>
        <v>0.65064148250965514</v>
      </c>
      <c r="N172" s="1145" t="str">
        <f t="shared" si="12"/>
        <v>No rating</v>
      </c>
      <c r="O172" s="1146">
        <f t="shared" si="12"/>
        <v>0</v>
      </c>
      <c r="P172" s="1140">
        <f t="shared" si="12"/>
        <v>1.2440956586918632</v>
      </c>
      <c r="Q172" s="1078">
        <f t="shared" si="12"/>
        <v>0.5581122698382367</v>
      </c>
      <c r="R172" s="1240">
        <f t="shared" si="12"/>
        <v>1.6771658832683087</v>
      </c>
      <c r="S172" s="1234"/>
      <c r="AF172" s="2263"/>
    </row>
    <row r="173" spans="1:47" hidden="1">
      <c r="A173" s="1155" t="s">
        <v>19</v>
      </c>
      <c r="B173" s="73" t="s">
        <v>287</v>
      </c>
      <c r="C173" s="1242">
        <f t="shared" si="12"/>
        <v>9.1630231095150338E-2</v>
      </c>
      <c r="D173" s="545" t="str">
        <f t="shared" si="12"/>
        <v>¥</v>
      </c>
      <c r="E173" s="1239">
        <f t="shared" si="12"/>
        <v>0.34976819018989347</v>
      </c>
      <c r="F173" s="1130">
        <f t="shared" si="12"/>
        <v>0.13477545507373562</v>
      </c>
      <c r="G173" s="1131">
        <f t="shared" si="12"/>
        <v>-0.4264373226073967</v>
      </c>
      <c r="H173" s="1132">
        <f t="shared" si="12"/>
        <v>9.7905485588969735E-2</v>
      </c>
      <c r="I173" s="1130">
        <f t="shared" si="12"/>
        <v>0.16024846762312819</v>
      </c>
      <c r="J173" s="1131">
        <f t="shared" si="12"/>
        <v>-0.25253039609468159</v>
      </c>
      <c r="K173" s="1132">
        <f t="shared" si="12"/>
        <v>0.12849893093161849</v>
      </c>
      <c r="L173" s="1124">
        <f t="shared" si="12"/>
        <v>2.5473012549392576E-2</v>
      </c>
      <c r="M173" s="1124">
        <f t="shared" si="12"/>
        <v>0.18900335031669008</v>
      </c>
      <c r="N173" s="1133" t="str">
        <f t="shared" si="12"/>
        <v>No rating</v>
      </c>
      <c r="O173" s="1134">
        <f t="shared" si="12"/>
        <v>0</v>
      </c>
      <c r="P173" s="1128">
        <f t="shared" si="12"/>
        <v>1.265551414722516</v>
      </c>
      <c r="Q173" s="151">
        <f t="shared" si="12"/>
        <v>0.38040351489576829</v>
      </c>
      <c r="R173" s="1241">
        <f t="shared" si="12"/>
        <v>1.242834927692577</v>
      </c>
      <c r="S173" s="1235"/>
      <c r="AD173" s="1161" t="s">
        <v>1139</v>
      </c>
      <c r="AF173" s="2263"/>
    </row>
    <row r="174" spans="1:47" hidden="1">
      <c r="A174" s="1155" t="s">
        <v>507</v>
      </c>
      <c r="B174" s="73" t="s">
        <v>284</v>
      </c>
      <c r="C174" s="1242">
        <f t="shared" ref="C174:N183" si="13">VLOOKUP($B174,$B$7:$R$28,C$29,FALSE)</f>
        <v>0.67984865616162071</v>
      </c>
      <c r="D174" s="150">
        <f t="shared" si="13"/>
        <v>0.13956056160252914</v>
      </c>
      <c r="E174" s="1239">
        <f t="shared" si="13"/>
        <v>0.7167630057803468</v>
      </c>
      <c r="F174" s="1130">
        <f t="shared" si="13"/>
        <v>0.23215418017261674</v>
      </c>
      <c r="G174" s="1131">
        <f t="shared" si="13"/>
        <v>0.36187217108516367</v>
      </c>
      <c r="H174" s="1132">
        <f t="shared" si="13"/>
        <v>0.26525179681706468</v>
      </c>
      <c r="I174" s="1130">
        <f t="shared" si="13"/>
        <v>0.2501311526811702</v>
      </c>
      <c r="J174" s="1131">
        <f t="shared" si="13"/>
        <v>0.31916438327965047</v>
      </c>
      <c r="K174" s="1132">
        <f t="shared" si="13"/>
        <v>0.28287599661626001</v>
      </c>
      <c r="L174" s="1124">
        <f t="shared" si="13"/>
        <v>1.7976972508553457E-2</v>
      </c>
      <c r="M174" s="1124">
        <f t="shared" si="13"/>
        <v>7.7435489187344358E-2</v>
      </c>
      <c r="N174" s="1133" t="e">
        <f t="shared" si="13"/>
        <v>#REF!</v>
      </c>
      <c r="O174" s="1134"/>
      <c r="P174" s="1128">
        <f t="shared" ref="P174:R190" si="14">VLOOKUP($B174,$B$7:$R$28,P$29,FALSE)</f>
        <v>1.845874038975184</v>
      </c>
      <c r="Q174" s="151">
        <f t="shared" si="14"/>
        <v>0.36079457239176377</v>
      </c>
      <c r="R174" s="1241">
        <f t="shared" si="14"/>
        <v>2.1424428051274771</v>
      </c>
      <c r="S174" s="1232"/>
      <c r="AD174" s="1461" t="s">
        <v>1140</v>
      </c>
      <c r="AF174" s="2263"/>
    </row>
    <row r="175" spans="1:47" hidden="1">
      <c r="A175" s="1155" t="s">
        <v>73</v>
      </c>
      <c r="B175" s="73" t="s">
        <v>285</v>
      </c>
      <c r="C175" s="1242">
        <f t="shared" si="13"/>
        <v>0.62657499999999999</v>
      </c>
      <c r="D175" s="150">
        <f t="shared" si="13"/>
        <v>5.5614710459497153E-2</v>
      </c>
      <c r="E175" s="1239">
        <f t="shared" si="13"/>
        <v>0.64439999999999997</v>
      </c>
      <c r="F175" s="1130">
        <f t="shared" si="13"/>
        <v>0.24190098439360719</v>
      </c>
      <c r="G175" s="1131">
        <f t="shared" si="13"/>
        <v>0.20667512064869559</v>
      </c>
      <c r="H175" s="1132">
        <f t="shared" si="13"/>
        <v>0.30597960586046052</v>
      </c>
      <c r="I175" s="1130">
        <f t="shared" si="13"/>
        <v>0.2616424852780464</v>
      </c>
      <c r="J175" s="1131">
        <f t="shared" si="13"/>
        <v>0.20296552626351777</v>
      </c>
      <c r="K175" s="1132">
        <f t="shared" si="13"/>
        <v>0.32061814749302248</v>
      </c>
      <c r="L175" s="1124">
        <f t="shared" si="13"/>
        <v>1.9741500884439211E-2</v>
      </c>
      <c r="M175" s="1124">
        <f t="shared" si="13"/>
        <v>8.1609841042717679E-2</v>
      </c>
      <c r="N175" s="1133" t="e">
        <f t="shared" si="13"/>
        <v>#REF!</v>
      </c>
      <c r="O175" s="1134" t="str">
        <f>VLOOKUP($B175,$B$7:$R$28,O$29,FALSE)</f>
        <v>= =</v>
      </c>
      <c r="P175" s="1128">
        <f t="shared" si="14"/>
        <v>1.7511002028712532</v>
      </c>
      <c r="Q175" s="151">
        <f t="shared" si="14"/>
        <v>0.37093258903528414</v>
      </c>
      <c r="R175" s="1241">
        <f t="shared" si="14"/>
        <v>2.2311132077757287</v>
      </c>
      <c r="S175" s="1232"/>
      <c r="AF175" s="2263"/>
    </row>
    <row r="176" spans="1:47" hidden="1">
      <c r="A176" s="1155" t="s">
        <v>389</v>
      </c>
      <c r="B176" s="73" t="s">
        <v>278</v>
      </c>
      <c r="C176" s="1242">
        <f t="shared" si="13"/>
        <v>0.60910298289809772</v>
      </c>
      <c r="D176" s="150">
        <f t="shared" si="13"/>
        <v>-5.2071170724915891E-2</v>
      </c>
      <c r="E176" s="1239">
        <f t="shared" si="13"/>
        <v>0.6207941242005639</v>
      </c>
      <c r="F176" s="1130">
        <f t="shared" si="13"/>
        <v>0.49050145598877937</v>
      </c>
      <c r="G176" s="1131">
        <f t="shared" si="13"/>
        <v>0.42102559519407173</v>
      </c>
      <c r="H176" s="1132">
        <f t="shared" si="13"/>
        <v>0.61744816018521742</v>
      </c>
      <c r="I176" s="1130">
        <f t="shared" si="13"/>
        <v>0.49698573886957192</v>
      </c>
      <c r="J176" s="1131">
        <f t="shared" si="13"/>
        <v>0.41032171167013903</v>
      </c>
      <c r="K176" s="1132">
        <f t="shared" si="13"/>
        <v>0.62319136029119382</v>
      </c>
      <c r="L176" s="1124">
        <f t="shared" si="13"/>
        <v>6.4842828807925579E-3</v>
      </c>
      <c r="M176" s="1124">
        <f t="shared" si="13"/>
        <v>1.3219701596443154E-2</v>
      </c>
      <c r="N176" s="1133" t="e">
        <f t="shared" si="13"/>
        <v>#REF!</v>
      </c>
      <c r="O176" s="1134"/>
      <c r="P176" s="1128">
        <f t="shared" si="14"/>
        <v>2.1902281092407181</v>
      </c>
      <c r="Q176" s="151">
        <f t="shared" si="14"/>
        <v>0.36844726500440206</v>
      </c>
      <c r="R176" s="1241">
        <f t="shared" si="14"/>
        <v>2.5252968522290931</v>
      </c>
      <c r="S176" s="1231"/>
      <c r="AF176" s="2263"/>
    </row>
    <row r="177" spans="1:47" hidden="1">
      <c r="A177" s="1156" t="s">
        <v>323</v>
      </c>
      <c r="B177" s="726" t="s">
        <v>774</v>
      </c>
      <c r="C177" s="1243">
        <f t="shared" si="13"/>
        <v>6.4385445236561381E-2</v>
      </c>
      <c r="D177" s="1162">
        <f t="shared" si="13"/>
        <v>14.697799124913645</v>
      </c>
      <c r="E177" s="1238">
        <f t="shared" si="13"/>
        <v>0.15462918080465343</v>
      </c>
      <c r="F177" s="1142">
        <f t="shared" si="13"/>
        <v>0.42399287000325037</v>
      </c>
      <c r="G177" s="1143">
        <f t="shared" si="13"/>
        <v>4.5742782667206161E-2</v>
      </c>
      <c r="H177" s="1144">
        <f t="shared" si="13"/>
        <v>0.48144640266975475</v>
      </c>
      <c r="I177" s="1142">
        <f t="shared" si="13"/>
        <v>0.42695023434228802</v>
      </c>
      <c r="J177" s="1143">
        <f t="shared" si="13"/>
        <v>4.1366838913311048E-2</v>
      </c>
      <c r="K177" s="1144">
        <f t="shared" si="13"/>
        <v>0.4832654138496531</v>
      </c>
      <c r="L177" s="1136">
        <f t="shared" si="13"/>
        <v>2.9573643390376492E-3</v>
      </c>
      <c r="M177" s="1136">
        <f t="shared" si="13"/>
        <v>6.9750331863245195E-3</v>
      </c>
      <c r="N177" s="1145" t="e">
        <f t="shared" si="13"/>
        <v>#REF!</v>
      </c>
      <c r="O177" s="1146"/>
      <c r="P177" s="1140">
        <f t="shared" si="14"/>
        <v>3.7014756930154613</v>
      </c>
      <c r="Q177" s="1078">
        <f t="shared" si="14"/>
        <v>0.31334582285320112</v>
      </c>
      <c r="R177" s="1240">
        <f t="shared" si="14"/>
        <v>4.3704719780651446</v>
      </c>
      <c r="S177" s="1235"/>
      <c r="AD177" s="1155" t="s">
        <v>1295</v>
      </c>
      <c r="AF177" s="2263"/>
    </row>
    <row r="178" spans="1:47" hidden="1">
      <c r="A178" s="1155" t="s">
        <v>27</v>
      </c>
      <c r="B178" s="73" t="s">
        <v>54</v>
      </c>
      <c r="C178" s="1242">
        <f t="shared" si="13"/>
        <v>0.48460704112825509</v>
      </c>
      <c r="D178" s="150">
        <f t="shared" si="13"/>
        <v>-0.18079580514885477</v>
      </c>
      <c r="E178" s="1239">
        <f t="shared" si="13"/>
        <v>0.49497857034449522</v>
      </c>
      <c r="F178" s="1130">
        <f t="shared" si="13"/>
        <v>0.56717095077467305</v>
      </c>
      <c r="G178" s="1131">
        <f t="shared" si="13"/>
        <v>0.64731222518720821</v>
      </c>
      <c r="H178" s="1132">
        <f t="shared" si="13"/>
        <v>0.74754623070756221</v>
      </c>
      <c r="I178" s="1130">
        <f t="shared" si="13"/>
        <v>0.5748403529709204</v>
      </c>
      <c r="J178" s="1131">
        <f t="shared" si="13"/>
        <v>0.5906099669472562</v>
      </c>
      <c r="K178" s="1132">
        <f t="shared" si="13"/>
        <v>0.7506672643344422</v>
      </c>
      <c r="L178" s="1124">
        <f t="shared" si="13"/>
        <v>7.6694021962473435E-3</v>
      </c>
      <c r="M178" s="1124">
        <f t="shared" si="13"/>
        <v>1.3522205581530675E-2</v>
      </c>
      <c r="N178" s="1133" t="e">
        <f t="shared" si="13"/>
        <v>#REF!</v>
      </c>
      <c r="O178" s="1134"/>
      <c r="P178" s="1128">
        <f t="shared" si="14"/>
        <v>3.4278891827637503</v>
      </c>
      <c r="Q178" s="151">
        <f t="shared" si="14"/>
        <v>0.24423537898737996</v>
      </c>
      <c r="R178" s="1241">
        <f t="shared" si="14"/>
        <v>3.8230610288109381</v>
      </c>
      <c r="S178" s="1237"/>
      <c r="AF178" s="2263"/>
    </row>
    <row r="179" spans="1:47" hidden="1">
      <c r="A179" s="1155" t="s">
        <v>219</v>
      </c>
      <c r="B179" s="73" t="s">
        <v>53</v>
      </c>
      <c r="C179" s="1242">
        <f t="shared" si="13"/>
        <v>0.6158872479982318</v>
      </c>
      <c r="D179" s="150">
        <f t="shared" si="13"/>
        <v>0.11044311863454735</v>
      </c>
      <c r="E179" s="1239">
        <f t="shared" si="13"/>
        <v>0.66127040038880336</v>
      </c>
      <c r="F179" s="1130">
        <f t="shared" si="13"/>
        <v>0.48384306036910518</v>
      </c>
      <c r="G179" s="1131">
        <f t="shared" si="13"/>
        <v>0.2595878527386451</v>
      </c>
      <c r="H179" s="1132">
        <f t="shared" si="13"/>
        <v>0.54381370963962039</v>
      </c>
      <c r="I179" s="1130">
        <f t="shared" si="13"/>
        <v>0.51513010935716153</v>
      </c>
      <c r="J179" s="1131">
        <f t="shared" si="13"/>
        <v>0.26130995158024306</v>
      </c>
      <c r="K179" s="1132">
        <f t="shared" si="13"/>
        <v>0.57929804018594233</v>
      </c>
      <c r="L179" s="1124">
        <f t="shared" si="13"/>
        <v>3.1287048988056343E-2</v>
      </c>
      <c r="M179" s="1124">
        <f t="shared" si="13"/>
        <v>6.4663630732222685E-2</v>
      </c>
      <c r="N179" s="1133" t="e">
        <f t="shared" si="13"/>
        <v>#REF!</v>
      </c>
      <c r="O179" s="1134" t="str">
        <f t="shared" ref="O179:O190" si="15">VLOOKUP($B179,$B$7:$R$28,O$29,FALSE)</f>
        <v>¯ ¯ ¯</v>
      </c>
      <c r="P179" s="1128">
        <f t="shared" si="14"/>
        <v>2.7929780820851775</v>
      </c>
      <c r="Q179" s="151">
        <f t="shared" si="14"/>
        <v>0.12404595260605845</v>
      </c>
      <c r="R179" s="1241">
        <f t="shared" si="14"/>
        <v>2.8353348809740444</v>
      </c>
      <c r="S179" s="1237"/>
      <c r="AF179" s="2263"/>
    </row>
    <row r="180" spans="1:47" hidden="1">
      <c r="A180" s="1155" t="s">
        <v>502</v>
      </c>
      <c r="B180" s="73" t="s">
        <v>52</v>
      </c>
      <c r="C180" s="1242">
        <f t="shared" si="13"/>
        <v>0.61</v>
      </c>
      <c r="D180" s="150">
        <f t="shared" si="13"/>
        <v>0</v>
      </c>
      <c r="E180" s="1239">
        <f t="shared" si="13"/>
        <v>0.62983042679437373</v>
      </c>
      <c r="F180" s="1130">
        <f t="shared" si="13"/>
        <v>0.51528895508035288</v>
      </c>
      <c r="G180" s="1131">
        <f t="shared" si="13"/>
        <v>-2.4931247740904369E-2</v>
      </c>
      <c r="H180" s="1132">
        <f t="shared" si="13"/>
        <v>0.51939744871548044</v>
      </c>
      <c r="I180" s="1130">
        <f t="shared" si="13"/>
        <v>0.58808850315066874</v>
      </c>
      <c r="J180" s="1131">
        <f t="shared" si="13"/>
        <v>-2.8226553900756759E-2</v>
      </c>
      <c r="K180" s="1132">
        <f t="shared" si="13"/>
        <v>0.59074959904524027</v>
      </c>
      <c r="L180" s="1124">
        <f t="shared" si="13"/>
        <v>7.2799548070315856E-2</v>
      </c>
      <c r="M180" s="1124">
        <f t="shared" si="13"/>
        <v>0.14127907721011346</v>
      </c>
      <c r="N180" s="1133" t="e">
        <f t="shared" si="13"/>
        <v>#REF!</v>
      </c>
      <c r="O180" s="1134" t="str">
        <f t="shared" si="15"/>
        <v>= = =</v>
      </c>
      <c r="P180" s="1128">
        <f t="shared" si="14"/>
        <v>2.7906818261625395</v>
      </c>
      <c r="Q180" s="151">
        <f t="shared" si="14"/>
        <v>8.5841806528642844E-2</v>
      </c>
      <c r="R180" s="1241">
        <f t="shared" si="14"/>
        <v>2.9178287645268703</v>
      </c>
      <c r="S180" s="1231"/>
      <c r="AF180" s="2263"/>
    </row>
    <row r="181" spans="1:47" hidden="1">
      <c r="A181" s="1155" t="s">
        <v>504</v>
      </c>
      <c r="B181" s="73" t="s">
        <v>281</v>
      </c>
      <c r="C181" s="1242">
        <f t="shared" si="13"/>
        <v>0.7344324868237998</v>
      </c>
      <c r="D181" s="150">
        <f t="shared" si="13"/>
        <v>0.10784712869930438</v>
      </c>
      <c r="E181" s="1239">
        <f t="shared" si="13"/>
        <v>0.74956908795771016</v>
      </c>
      <c r="F181" s="1130">
        <f t="shared" si="13"/>
        <v>0.14726898954609682</v>
      </c>
      <c r="G181" s="1131">
        <f t="shared" si="13"/>
        <v>4.9939774449528171E-2</v>
      </c>
      <c r="H181" s="1132">
        <f t="shared" si="13"/>
        <v>0.17272839211728983</v>
      </c>
      <c r="I181" s="1130">
        <f t="shared" si="13"/>
        <v>0.18443136241749356</v>
      </c>
      <c r="J181" s="1131">
        <f t="shared" si="13"/>
        <v>-5.7258906752796622E-2</v>
      </c>
      <c r="K181" s="1132">
        <f t="shared" si="13"/>
        <v>0.198117589718218</v>
      </c>
      <c r="L181" s="1124">
        <f t="shared" si="13"/>
        <v>3.7162372871396732E-2</v>
      </c>
      <c r="M181" s="1124">
        <f t="shared" si="13"/>
        <v>0.25234350412762557</v>
      </c>
      <c r="N181" s="1133" t="e">
        <f t="shared" si="13"/>
        <v>#REF!</v>
      </c>
      <c r="O181" s="1134" t="str">
        <f t="shared" si="15"/>
        <v>= =</v>
      </c>
      <c r="P181" s="1128">
        <f t="shared" si="14"/>
        <v>1.0395975936863313</v>
      </c>
      <c r="Q181" s="151">
        <f t="shared" si="14"/>
        <v>2.9438923535487854E-2</v>
      </c>
      <c r="R181" s="1241">
        <f t="shared" si="14"/>
        <v>1.2087727199953455</v>
      </c>
      <c r="S181" s="1232"/>
      <c r="AF181" s="2263"/>
    </row>
    <row r="182" spans="1:47" hidden="1">
      <c r="A182" s="1155" t="s">
        <v>508</v>
      </c>
      <c r="B182" s="73" t="s">
        <v>290</v>
      </c>
      <c r="C182" s="1242">
        <f t="shared" si="13"/>
        <v>0.32615050588405037</v>
      </c>
      <c r="D182" s="150">
        <f t="shared" si="13"/>
        <v>-8.7660674172335792E-2</v>
      </c>
      <c r="E182" s="1239">
        <f t="shared" si="13"/>
        <v>0.30985103942866765</v>
      </c>
      <c r="F182" s="1130">
        <f t="shared" si="13"/>
        <v>0.30558583418722468</v>
      </c>
      <c r="G182" s="1131">
        <f t="shared" si="13"/>
        <v>-0.13620468181810452</v>
      </c>
      <c r="H182" s="1132">
        <f t="shared" si="13"/>
        <v>0.29018390059321952</v>
      </c>
      <c r="I182" s="1130">
        <f t="shared" si="13"/>
        <v>0.31922230141848357</v>
      </c>
      <c r="J182" s="1131">
        <f t="shared" si="13"/>
        <v>-0.13496032758973828</v>
      </c>
      <c r="K182" s="1132">
        <f t="shared" si="13"/>
        <v>0.30362227391248225</v>
      </c>
      <c r="L182" s="1124">
        <f t="shared" si="13"/>
        <v>1.3636467231258886E-2</v>
      </c>
      <c r="M182" s="1124">
        <f t="shared" si="13"/>
        <v>4.4624016252350789E-2</v>
      </c>
      <c r="N182" s="1133" t="e">
        <f t="shared" si="13"/>
        <v>#REF!</v>
      </c>
      <c r="O182" s="1134" t="str">
        <f t="shared" si="15"/>
        <v>= =</v>
      </c>
      <c r="P182" s="1128">
        <f t="shared" si="14"/>
        <v>2.1579177629636748</v>
      </c>
      <c r="Q182" s="151">
        <f t="shared" si="14"/>
        <v>6.0078851309961184E-2</v>
      </c>
      <c r="R182" s="1241">
        <f t="shared" si="14"/>
        <v>2.3009327536910358</v>
      </c>
      <c r="S182" s="1236"/>
      <c r="AF182" s="2263"/>
    </row>
    <row r="183" spans="1:47" hidden="1">
      <c r="A183" s="1155" t="s">
        <v>505</v>
      </c>
      <c r="B183" s="73" t="s">
        <v>44</v>
      </c>
      <c r="C183" s="1242">
        <f t="shared" si="13"/>
        <v>0.5805147103617575</v>
      </c>
      <c r="D183" s="150">
        <f t="shared" si="13"/>
        <v>8.4948466413752491E-2</v>
      </c>
      <c r="E183" s="1239">
        <f t="shared" si="13"/>
        <v>0.6264024463118032</v>
      </c>
      <c r="F183" s="1130">
        <f t="shared" si="13"/>
        <v>0.51826084585195908</v>
      </c>
      <c r="G183" s="1131">
        <f t="shared" si="13"/>
        <v>0.40005999871326348</v>
      </c>
      <c r="H183" s="1132">
        <f t="shared" si="13"/>
        <v>0.58973938770950263</v>
      </c>
      <c r="I183" s="1130">
        <f t="shared" si="13"/>
        <v>0.5495689942142129</v>
      </c>
      <c r="J183" s="1131">
        <f t="shared" si="13"/>
        <v>0.40637993517884302</v>
      </c>
      <c r="K183" s="1132">
        <f t="shared" si="13"/>
        <v>0.63323863537070213</v>
      </c>
      <c r="L183" s="1124">
        <f t="shared" si="13"/>
        <v>3.1308148362253818E-2</v>
      </c>
      <c r="M183" s="1124">
        <f t="shared" si="13"/>
        <v>6.0410020577161203E-2</v>
      </c>
      <c r="N183" s="1133" t="e">
        <f t="shared" si="13"/>
        <v>#REF!</v>
      </c>
      <c r="O183" s="1134" t="str">
        <f t="shared" si="15"/>
        <v>= = ¯</v>
      </c>
      <c r="P183" s="1128">
        <f t="shared" si="14"/>
        <v>2.643581803383519</v>
      </c>
      <c r="Q183" s="151">
        <f t="shared" si="14"/>
        <v>2.8580691559688957E-2</v>
      </c>
      <c r="R183" s="1241">
        <f t="shared" si="14"/>
        <v>2.5466878830879209</v>
      </c>
      <c r="S183" s="1231"/>
      <c r="AF183" s="2263"/>
    </row>
    <row r="184" spans="1:47" hidden="1">
      <c r="A184" s="1155" t="s">
        <v>19</v>
      </c>
      <c r="B184" s="152" t="s">
        <v>288</v>
      </c>
      <c r="C184" s="1242">
        <f t="shared" ref="C184:N190" si="16">VLOOKUP($B184,$B$7:$R$28,C$29,FALSE)</f>
        <v>0.60741568747204655</v>
      </c>
      <c r="D184" s="150">
        <f t="shared" si="16"/>
        <v>4.0950219141690898E-2</v>
      </c>
      <c r="E184" s="1239">
        <f t="shared" si="16"/>
        <v>0.62738172243152124</v>
      </c>
      <c r="F184" s="1130">
        <f t="shared" si="16"/>
        <v>0.50834561454306215</v>
      </c>
      <c r="G184" s="1131">
        <f t="shared" si="16"/>
        <v>0.27477182203191691</v>
      </c>
      <c r="H184" s="1132">
        <f t="shared" si="16"/>
        <v>0.61196382356206247</v>
      </c>
      <c r="I184" s="1130">
        <f t="shared" si="16"/>
        <v>0.54898628094174651</v>
      </c>
      <c r="J184" s="1131">
        <f t="shared" si="16"/>
        <v>0.26756473067663017</v>
      </c>
      <c r="K184" s="1132">
        <f t="shared" si="16"/>
        <v>0.65530118542007598</v>
      </c>
      <c r="L184" s="1124">
        <f t="shared" si="16"/>
        <v>4.0640666398684355E-2</v>
      </c>
      <c r="M184" s="1124">
        <f t="shared" si="16"/>
        <v>7.9946920433679999E-2</v>
      </c>
      <c r="N184" s="1133" t="e">
        <f t="shared" si="16"/>
        <v>#REF!</v>
      </c>
      <c r="O184" s="1134" t="str">
        <f t="shared" si="15"/>
        <v>= = ¯</v>
      </c>
      <c r="P184" s="1128">
        <f t="shared" si="14"/>
        <v>2.5321561588471506</v>
      </c>
      <c r="Q184" s="151">
        <f t="shared" si="14"/>
        <v>1.3257606300410854E-2</v>
      </c>
      <c r="R184" s="1241">
        <f t="shared" si="14"/>
        <v>2.8138910595815916</v>
      </c>
      <c r="S184" s="1231"/>
      <c r="AF184" s="2263"/>
    </row>
    <row r="185" spans="1:47" hidden="1">
      <c r="A185" s="1155" t="s">
        <v>32</v>
      </c>
      <c r="B185" s="73" t="s">
        <v>279</v>
      </c>
      <c r="C185" s="1242">
        <f t="shared" si="16"/>
        <v>0.91487499999999988</v>
      </c>
      <c r="D185" s="150">
        <f t="shared" si="16"/>
        <v>-4.3736501079913587E-2</v>
      </c>
      <c r="E185" s="1239">
        <f t="shared" si="16"/>
        <v>0.89481420237931208</v>
      </c>
      <c r="F185" s="1130">
        <f t="shared" si="16"/>
        <v>0.24509229252810941</v>
      </c>
      <c r="G185" s="1131">
        <f t="shared" si="16"/>
        <v>-0.16501821733667812</v>
      </c>
      <c r="H185" s="1132">
        <f t="shared" si="16"/>
        <v>0.23828807339295358</v>
      </c>
      <c r="I185" s="1130">
        <f t="shared" si="16"/>
        <v>0.27870192226407053</v>
      </c>
      <c r="J185" s="1131">
        <f t="shared" si="16"/>
        <v>-0.14309331637647091</v>
      </c>
      <c r="K185" s="1132">
        <f t="shared" si="16"/>
        <v>0.2718321660431175</v>
      </c>
      <c r="L185" s="1124">
        <f t="shared" si="16"/>
        <v>3.3609629735961127E-2</v>
      </c>
      <c r="M185" s="1124">
        <f t="shared" si="16"/>
        <v>0.13713050455108242</v>
      </c>
      <c r="N185" s="1133" t="e">
        <f t="shared" si="16"/>
        <v>#REF!</v>
      </c>
      <c r="O185" s="1134" t="str">
        <f t="shared" si="15"/>
        <v>= = =</v>
      </c>
      <c r="P185" s="1128">
        <f t="shared" si="14"/>
        <v>2.0880314655341889</v>
      </c>
      <c r="Q185" s="151">
        <f t="shared" si="14"/>
        <v>-3.7762767487534328E-2</v>
      </c>
      <c r="R185" s="1241">
        <f t="shared" si="14"/>
        <v>2.3348198024327131</v>
      </c>
      <c r="S185" s="1233"/>
      <c r="AF185" s="2263"/>
    </row>
    <row r="186" spans="1:47" hidden="1">
      <c r="A186" s="1155" t="s">
        <v>27</v>
      </c>
      <c r="B186" s="73" t="s">
        <v>357</v>
      </c>
      <c r="C186" s="1242">
        <f t="shared" si="16"/>
        <v>0.90539538726018864</v>
      </c>
      <c r="D186" s="150">
        <f t="shared" si="16"/>
        <v>-4.1189056985539901E-2</v>
      </c>
      <c r="E186" s="1239">
        <f t="shared" si="16"/>
        <v>0.90138346931536006</v>
      </c>
      <c r="F186" s="1130">
        <f t="shared" si="16"/>
        <v>0.38160323267486906</v>
      </c>
      <c r="G186" s="1131">
        <f t="shared" si="16"/>
        <v>0.13281779457810056</v>
      </c>
      <c r="H186" s="1132">
        <f t="shared" si="16"/>
        <v>0.39444904186551905</v>
      </c>
      <c r="I186" s="1130">
        <f t="shared" si="16"/>
        <v>0.47841518539184064</v>
      </c>
      <c r="J186" s="1131">
        <f t="shared" si="16"/>
        <v>1.1717685634717274E-2</v>
      </c>
      <c r="K186" s="1132">
        <f t="shared" si="16"/>
        <v>0.46507375880431212</v>
      </c>
      <c r="L186" s="1124">
        <f t="shared" si="16"/>
        <v>9.6811952716971572E-2</v>
      </c>
      <c r="M186" s="1124">
        <f t="shared" si="16"/>
        <v>0.25369793656715856</v>
      </c>
      <c r="N186" s="1133" t="str">
        <f t="shared" si="16"/>
        <v>No rating</v>
      </c>
      <c r="O186" s="1134">
        <f t="shared" si="15"/>
        <v>0</v>
      </c>
      <c r="P186" s="1128">
        <f t="shared" si="14"/>
        <v>1.832329792526622</v>
      </c>
      <c r="Q186" s="151">
        <f t="shared" si="14"/>
        <v>-9.9442962217240083E-2</v>
      </c>
      <c r="R186" s="1241">
        <f t="shared" si="14"/>
        <v>1.8160302149559577</v>
      </c>
      <c r="S186" s="1234"/>
      <c r="AF186" s="2263"/>
    </row>
    <row r="187" spans="1:47" hidden="1">
      <c r="A187" s="1155" t="s">
        <v>503</v>
      </c>
      <c r="B187" s="73" t="s">
        <v>286</v>
      </c>
      <c r="C187" s="1242">
        <f t="shared" si="16"/>
        <v>0.34534166666666666</v>
      </c>
      <c r="D187" s="150">
        <f t="shared" si="16"/>
        <v>-5.4500069338510607E-2</v>
      </c>
      <c r="E187" s="1239">
        <f t="shared" si="16"/>
        <v>0.3626280111015483</v>
      </c>
      <c r="F187" s="1130">
        <f t="shared" si="16"/>
        <v>0.67997702229572432</v>
      </c>
      <c r="G187" s="1131">
        <f t="shared" si="16"/>
        <v>0.10658020511075152</v>
      </c>
      <c r="H187" s="1132">
        <f t="shared" si="16"/>
        <v>0.75270955685414354</v>
      </c>
      <c r="I187" s="1130">
        <f t="shared" si="16"/>
        <v>0.68457317243488636</v>
      </c>
      <c r="J187" s="1131">
        <f t="shared" si="16"/>
        <v>0.10522314957078965</v>
      </c>
      <c r="K187" s="1132">
        <f t="shared" si="16"/>
        <v>0.75672107111582532</v>
      </c>
      <c r="L187" s="1124">
        <f t="shared" si="16"/>
        <v>4.5961501391620363E-3</v>
      </c>
      <c r="M187" s="1124">
        <f t="shared" si="16"/>
        <v>6.7592727231349809E-3</v>
      </c>
      <c r="N187" s="1133" t="e">
        <f t="shared" si="16"/>
        <v>#REF!</v>
      </c>
      <c r="O187" s="1134" t="str">
        <f t="shared" si="15"/>
        <v>= ¯ ¯</v>
      </c>
      <c r="P187" s="1128">
        <f t="shared" si="14"/>
        <v>2.9152503149286035</v>
      </c>
      <c r="Q187" s="151">
        <f t="shared" si="14"/>
        <v>-0.14664752669478531</v>
      </c>
      <c r="R187" s="1241">
        <f t="shared" si="14"/>
        <v>2.8370691340232916</v>
      </c>
      <c r="S187" s="1231"/>
      <c r="AF187" s="2263"/>
    </row>
    <row r="188" spans="1:47" hidden="1">
      <c r="A188" s="1155" t="s">
        <v>32</v>
      </c>
      <c r="B188" s="73" t="s">
        <v>50</v>
      </c>
      <c r="C188" s="1242">
        <f t="shared" si="16"/>
        <v>0</v>
      </c>
      <c r="D188" s="150">
        <f t="shared" si="16"/>
        <v>0</v>
      </c>
      <c r="E188" s="1239">
        <f t="shared" si="16"/>
        <v>0</v>
      </c>
      <c r="F188" s="1130">
        <f t="shared" si="16"/>
        <v>0.37025195227815472</v>
      </c>
      <c r="G188" s="1131">
        <f t="shared" si="16"/>
        <v>-0.46222821771061889</v>
      </c>
      <c r="H188" s="1132">
        <f t="shared" si="16"/>
        <v>0.26403640782716253</v>
      </c>
      <c r="I188" s="1130">
        <f t="shared" si="16"/>
        <v>0.48927059752514818</v>
      </c>
      <c r="J188" s="1131">
        <f t="shared" si="16"/>
        <v>-0.38189416595312975</v>
      </c>
      <c r="K188" s="1132">
        <f t="shared" si="16"/>
        <v>0.37414035756341019</v>
      </c>
      <c r="L188" s="1124">
        <f t="shared" si="16"/>
        <v>0.11901864524699346</v>
      </c>
      <c r="M188" s="1124">
        <f t="shared" si="16"/>
        <v>0.32145312000294263</v>
      </c>
      <c r="N188" s="1133" t="e">
        <f t="shared" si="16"/>
        <v>#REF!</v>
      </c>
      <c r="O188" s="1134" t="str">
        <f t="shared" si="15"/>
        <v>= =</v>
      </c>
      <c r="P188" s="1128">
        <f t="shared" si="14"/>
        <v>2.2664974928712622</v>
      </c>
      <c r="Q188" s="151">
        <f t="shared" si="14"/>
        <v>-0.12537902502142731</v>
      </c>
      <c r="R188" s="1241">
        <f t="shared" si="14"/>
        <v>2.136201464388483</v>
      </c>
      <c r="S188" s="1233"/>
      <c r="AF188" s="2263"/>
    </row>
    <row r="189" spans="1:47" hidden="1">
      <c r="A189" s="1155" t="s">
        <v>378</v>
      </c>
      <c r="B189" s="73" t="s">
        <v>42</v>
      </c>
      <c r="C189" s="1242">
        <f t="shared" si="16"/>
        <v>0.56323171407839789</v>
      </c>
      <c r="D189" s="150">
        <f t="shared" si="16"/>
        <v>-0.12023286586287618</v>
      </c>
      <c r="E189" s="1239">
        <f t="shared" si="16"/>
        <v>0.53987730061349704</v>
      </c>
      <c r="F189" s="1130">
        <f t="shared" si="16"/>
        <v>0.60887331285954671</v>
      </c>
      <c r="G189" s="1131">
        <f t="shared" si="16"/>
        <v>-0.37303497156800469</v>
      </c>
      <c r="H189" s="1132">
        <f t="shared" si="16"/>
        <v>0.37659759063604481</v>
      </c>
      <c r="I189" s="1130">
        <f t="shared" si="16"/>
        <v>0.63388271448107447</v>
      </c>
      <c r="J189" s="1131">
        <f t="shared" si="16"/>
        <v>-0.25869992498286548</v>
      </c>
      <c r="K189" s="1132">
        <f t="shared" si="16"/>
        <v>0.44527495080222473</v>
      </c>
      <c r="L189" s="1124">
        <f t="shared" si="16"/>
        <v>2.500940162152776E-2</v>
      </c>
      <c r="M189" s="1124">
        <f t="shared" si="16"/>
        <v>4.1074885519406669E-2</v>
      </c>
      <c r="N189" s="1133" t="e">
        <f t="shared" si="16"/>
        <v>#REF!</v>
      </c>
      <c r="O189" s="1134" t="str">
        <f t="shared" si="15"/>
        <v>= =</v>
      </c>
      <c r="P189" s="1128">
        <f t="shared" si="14"/>
        <v>2.172629043332774</v>
      </c>
      <c r="Q189" s="151">
        <f t="shared" si="14"/>
        <v>-0.22035736928264804</v>
      </c>
      <c r="R189" s="1241">
        <f t="shared" si="14"/>
        <v>1.5517268924243866</v>
      </c>
      <c r="S189" s="1231"/>
      <c r="AF189" s="2263"/>
    </row>
    <row r="190" spans="1:47" hidden="1">
      <c r="A190" s="1155" t="s">
        <v>545</v>
      </c>
      <c r="B190" s="73" t="s">
        <v>39</v>
      </c>
      <c r="C190" s="1244">
        <f t="shared" si="16"/>
        <v>0.31054928118178421</v>
      </c>
      <c r="D190" s="150">
        <f t="shared" si="16"/>
        <v>-0.11491916916279199</v>
      </c>
      <c r="E190" s="1239">
        <f t="shared" si="16"/>
        <v>0.28165979767703259</v>
      </c>
      <c r="F190" s="1130">
        <f t="shared" si="16"/>
        <v>0.3899242463002407</v>
      </c>
      <c r="G190" s="1131">
        <f t="shared" si="16"/>
        <v>-0.1197676600756727</v>
      </c>
      <c r="H190" s="1132">
        <f t="shared" si="16"/>
        <v>0.37944762378701169</v>
      </c>
      <c r="I190" s="1130">
        <f t="shared" si="16"/>
        <v>0.45093517146474416</v>
      </c>
      <c r="J190" s="1131">
        <f t="shared" si="16"/>
        <v>-8.3572610535330494E-2</v>
      </c>
      <c r="K190" s="1132">
        <f t="shared" si="16"/>
        <v>0.43916945384982109</v>
      </c>
      <c r="L190" s="1124">
        <f t="shared" si="16"/>
        <v>6.101092516450346E-2</v>
      </c>
      <c r="M190" s="1124">
        <f t="shared" si="16"/>
        <v>0.15646866216553562</v>
      </c>
      <c r="N190" s="1133" t="e">
        <f t="shared" si="16"/>
        <v>#REF!</v>
      </c>
      <c r="O190" s="1134" t="str">
        <f t="shared" si="15"/>
        <v>­ = =</v>
      </c>
      <c r="P190" s="1128">
        <f t="shared" si="14"/>
        <v>2.6587814840492587</v>
      </c>
      <c r="Q190" s="151">
        <f t="shared" si="14"/>
        <v>-0.25803195656746131</v>
      </c>
      <c r="R190" s="1241">
        <f t="shared" si="14"/>
        <v>2.5933932385229874</v>
      </c>
      <c r="S190" s="1236"/>
      <c r="AF190" s="2263"/>
    </row>
    <row r="191" spans="1:47" hidden="1">
      <c r="AF191" s="2263"/>
    </row>
    <row r="192" spans="1:47" s="1161" customFormat="1">
      <c r="A192" s="1155"/>
      <c r="AF192" s="2263"/>
      <c r="AG192" s="2263"/>
      <c r="AU192" s="80"/>
    </row>
    <row r="193" spans="1:47" s="119" customFormat="1">
      <c r="A193" s="1189" t="s">
        <v>1296</v>
      </c>
      <c r="B193" s="1253"/>
      <c r="C193" s="1254"/>
      <c r="D193" s="1255"/>
      <c r="E193" s="1254"/>
      <c r="F193" s="1255"/>
      <c r="G193" s="1254"/>
      <c r="H193" s="1255"/>
      <c r="I193" s="1254"/>
      <c r="J193" s="1255"/>
      <c r="K193" s="1254"/>
      <c r="L193" s="1255"/>
      <c r="M193" s="1254"/>
      <c r="N193" s="1255"/>
      <c r="O193" s="1254"/>
      <c r="P193" s="1255"/>
      <c r="Q193" s="1254"/>
      <c r="R193" s="1253"/>
      <c r="T193" s="1253"/>
      <c r="U193" s="1253"/>
      <c r="V193" s="1253"/>
      <c r="W193" s="1253"/>
      <c r="X193" s="1253"/>
      <c r="Y193" s="1253"/>
      <c r="Z193" s="1253"/>
      <c r="AA193" s="1253"/>
      <c r="AB193" s="1253"/>
      <c r="AC193" s="1253"/>
      <c r="AD193" s="1253"/>
      <c r="AE193" s="1253"/>
      <c r="AF193" s="2437"/>
      <c r="AG193" s="2428"/>
      <c r="AU193" s="2426"/>
    </row>
    <row r="194" spans="1:47" s="119" customFormat="1">
      <c r="A194" s="1190"/>
      <c r="C194" s="1278"/>
      <c r="D194" s="1279"/>
      <c r="E194" s="1278"/>
      <c r="F194" s="1279"/>
      <c r="G194" s="1278"/>
      <c r="H194" s="1279"/>
      <c r="I194" s="1278"/>
      <c r="J194" s="1279"/>
      <c r="K194" s="1278"/>
      <c r="L194" s="1279"/>
      <c r="M194" s="1278"/>
      <c r="N194" s="1279"/>
      <c r="O194" s="1278"/>
      <c r="P194" s="1279"/>
      <c r="Q194" s="1278"/>
      <c r="R194" s="1280"/>
      <c r="AF194" s="2444"/>
      <c r="AG194" s="2428"/>
      <c r="AU194" s="2426"/>
    </row>
    <row r="195" spans="1:47">
      <c r="A195" s="1252" t="s">
        <v>1192</v>
      </c>
      <c r="B195" s="1123" t="s">
        <v>2287</v>
      </c>
      <c r="R195" s="144" t="s">
        <v>1191</v>
      </c>
      <c r="AG195" s="2092"/>
      <c r="AH195" s="111" t="s">
        <v>804</v>
      </c>
      <c r="AI195" s="111" t="s">
        <v>1080</v>
      </c>
      <c r="AJ195" s="111" t="s">
        <v>1082</v>
      </c>
    </row>
    <row r="196" spans="1:47">
      <c r="A196" s="1156" t="s">
        <v>323</v>
      </c>
      <c r="B196" s="726" t="s">
        <v>774</v>
      </c>
      <c r="C196" s="1076">
        <f t="shared" ref="C196:N205" si="17">VLOOKUP($B196,$B$7:$R$28,C$29,FALSE)</f>
        <v>6.4385445236561381E-2</v>
      </c>
      <c r="D196" s="1143">
        <f t="shared" si="17"/>
        <v>14.697799124913645</v>
      </c>
      <c r="E196" s="1144">
        <f t="shared" si="17"/>
        <v>0.15462918080465343</v>
      </c>
      <c r="F196" s="1142">
        <f t="shared" si="17"/>
        <v>0.42399287000325037</v>
      </c>
      <c r="G196" s="1143">
        <f t="shared" si="17"/>
        <v>4.5742782667206161E-2</v>
      </c>
      <c r="H196" s="1144">
        <f t="shared" si="17"/>
        <v>0.48144640266975475</v>
      </c>
      <c r="I196" s="1243">
        <f t="shared" si="17"/>
        <v>0.42695023434228802</v>
      </c>
      <c r="J196" s="1143">
        <f t="shared" si="17"/>
        <v>4.1366838913311048E-2</v>
      </c>
      <c r="K196" s="1144">
        <f t="shared" si="17"/>
        <v>0.4832654138496531</v>
      </c>
      <c r="L196" s="1136">
        <f t="shared" si="17"/>
        <v>2.9573643390376492E-3</v>
      </c>
      <c r="M196" s="1071">
        <f t="shared" si="17"/>
        <v>6.9750331863245195E-3</v>
      </c>
      <c r="N196" s="1145" t="e">
        <f t="shared" si="17"/>
        <v>#REF!</v>
      </c>
      <c r="O196" s="1146"/>
      <c r="P196" s="1247">
        <f t="shared" ref="P196:R217" si="18">VLOOKUP($B196,$B$7:$R$28,P$29,FALSE)</f>
        <v>3.7014756930154613</v>
      </c>
      <c r="Q196" s="1147">
        <f t="shared" si="18"/>
        <v>0.31334582285320112</v>
      </c>
      <c r="R196" s="1141">
        <f t="shared" si="18"/>
        <v>4.3704719780651446</v>
      </c>
      <c r="S196" s="1235"/>
      <c r="AB196" s="1300" t="s">
        <v>1193</v>
      </c>
      <c r="AG196" s="2092" t="str">
        <f t="shared" ref="AG196:AG217" si="19">B196</f>
        <v>TELENET</v>
      </c>
      <c r="AH196" s="1178">
        <f t="shared" ref="AH196:AH217" si="20">F196</f>
        <v>0.42399287000325037</v>
      </c>
      <c r="AI196" s="1178">
        <f t="shared" ref="AI196:AI217" si="21">I196-F196</f>
        <v>2.9573643390376492E-3</v>
      </c>
      <c r="AJ196" s="1178">
        <f>M196</f>
        <v>6.9750331863245195E-3</v>
      </c>
    </row>
    <row r="197" spans="1:47">
      <c r="A197" s="1155" t="s">
        <v>503</v>
      </c>
      <c r="B197" s="73" t="s">
        <v>286</v>
      </c>
      <c r="C197" s="103">
        <f t="shared" si="17"/>
        <v>0.34534166666666666</v>
      </c>
      <c r="D197" s="1131">
        <f t="shared" si="17"/>
        <v>-5.4500069338510607E-2</v>
      </c>
      <c r="E197" s="1132">
        <f t="shared" si="17"/>
        <v>0.3626280111015483</v>
      </c>
      <c r="F197" s="1130">
        <f t="shared" si="17"/>
        <v>0.67997702229572432</v>
      </c>
      <c r="G197" s="1131">
        <f t="shared" si="17"/>
        <v>0.10658020511075152</v>
      </c>
      <c r="H197" s="1132">
        <f t="shared" si="17"/>
        <v>0.75270955685414354</v>
      </c>
      <c r="I197" s="1242">
        <f t="shared" si="17"/>
        <v>0.68457317243488636</v>
      </c>
      <c r="J197" s="1131">
        <f t="shared" si="17"/>
        <v>0.10522314957078965</v>
      </c>
      <c r="K197" s="1132">
        <f t="shared" si="17"/>
        <v>0.75672107111582532</v>
      </c>
      <c r="L197" s="1124">
        <f t="shared" si="17"/>
        <v>4.5961501391620363E-3</v>
      </c>
      <c r="M197" s="117">
        <f t="shared" si="17"/>
        <v>6.7592727231349809E-3</v>
      </c>
      <c r="N197" s="1133" t="e">
        <f t="shared" si="17"/>
        <v>#REF!</v>
      </c>
      <c r="O197" s="1134" t="str">
        <f>VLOOKUP($B197,$B$7:$R$28,O$29,FALSE)</f>
        <v>= ¯ ¯</v>
      </c>
      <c r="P197" s="1248">
        <f t="shared" si="18"/>
        <v>2.9152503149286035</v>
      </c>
      <c r="Q197" s="1135">
        <f t="shared" si="18"/>
        <v>-0.14664752669478531</v>
      </c>
      <c r="R197" s="1129">
        <f t="shared" si="18"/>
        <v>2.8370691340232916</v>
      </c>
      <c r="S197" s="1231"/>
      <c r="AG197" s="2092" t="str">
        <f t="shared" si="19"/>
        <v>TIT</v>
      </c>
      <c r="AH197" s="1178">
        <f t="shared" si="20"/>
        <v>0.67997702229572432</v>
      </c>
      <c r="AI197" s="1178">
        <f t="shared" si="21"/>
        <v>4.5961501391620363E-3</v>
      </c>
      <c r="AJ197" s="1178">
        <f t="shared" ref="AJ197:AJ217" si="22">M197</f>
        <v>6.7592727231349809E-3</v>
      </c>
    </row>
    <row r="198" spans="1:47" ht="13.2" customHeight="1">
      <c r="A198" s="1155" t="s">
        <v>389</v>
      </c>
      <c r="B198" s="73" t="s">
        <v>278</v>
      </c>
      <c r="C198" s="103">
        <f t="shared" si="17"/>
        <v>0.60910298289809772</v>
      </c>
      <c r="D198" s="1131">
        <f t="shared" si="17"/>
        <v>-5.2071170724915891E-2</v>
      </c>
      <c r="E198" s="1132">
        <f t="shared" si="17"/>
        <v>0.6207941242005639</v>
      </c>
      <c r="F198" s="1130">
        <f t="shared" si="17"/>
        <v>0.49050145598877937</v>
      </c>
      <c r="G198" s="1131">
        <f t="shared" si="17"/>
        <v>0.42102559519407173</v>
      </c>
      <c r="H198" s="1132">
        <f t="shared" si="17"/>
        <v>0.61744816018521742</v>
      </c>
      <c r="I198" s="1242">
        <f t="shared" si="17"/>
        <v>0.49698573886957192</v>
      </c>
      <c r="J198" s="1131">
        <f t="shared" si="17"/>
        <v>0.41032171167013903</v>
      </c>
      <c r="K198" s="1132">
        <f t="shared" si="17"/>
        <v>0.62319136029119382</v>
      </c>
      <c r="L198" s="1124">
        <f t="shared" si="17"/>
        <v>6.4842828807925579E-3</v>
      </c>
      <c r="M198" s="117">
        <f t="shared" si="17"/>
        <v>1.3219701596443154E-2</v>
      </c>
      <c r="N198" s="1133" t="e">
        <f t="shared" si="17"/>
        <v>#REF!</v>
      </c>
      <c r="O198" s="1134" t="str">
        <f>VLOOKUP($B198,$B$7:$R$28,O$29,FALSE)</f>
        <v>= ¯</v>
      </c>
      <c r="P198" s="1248">
        <f t="shared" si="18"/>
        <v>2.1902281092407181</v>
      </c>
      <c r="Q198" s="1135">
        <f t="shared" si="18"/>
        <v>0.36844726500440206</v>
      </c>
      <c r="R198" s="1129">
        <f t="shared" si="18"/>
        <v>2.5252968522290931</v>
      </c>
      <c r="S198" s="1231"/>
      <c r="AB198" s="1644" t="s">
        <v>2298</v>
      </c>
      <c r="AC198" s="2813"/>
      <c r="AD198" s="2813"/>
      <c r="AE198" s="2813"/>
      <c r="AF198" s="2636"/>
      <c r="AG198" s="2092" t="str">
        <f t="shared" si="19"/>
        <v>TKA</v>
      </c>
      <c r="AH198" s="1178">
        <f t="shared" si="20"/>
        <v>0.49050145598877937</v>
      </c>
      <c r="AI198" s="1178">
        <f t="shared" si="21"/>
        <v>6.4842828807925579E-3</v>
      </c>
      <c r="AJ198" s="1178">
        <f t="shared" si="22"/>
        <v>1.3219701596443154E-2</v>
      </c>
      <c r="AK198" s="1161"/>
    </row>
    <row r="199" spans="1:47">
      <c r="A199" s="1155" t="s">
        <v>27</v>
      </c>
      <c r="B199" s="73" t="s">
        <v>54</v>
      </c>
      <c r="C199" s="103">
        <f t="shared" si="17"/>
        <v>0.48460704112825509</v>
      </c>
      <c r="D199" s="1131">
        <f t="shared" si="17"/>
        <v>-0.18079580514885477</v>
      </c>
      <c r="E199" s="1132">
        <f t="shared" si="17"/>
        <v>0.49497857034449522</v>
      </c>
      <c r="F199" s="1130">
        <f t="shared" si="17"/>
        <v>0.56717095077467305</v>
      </c>
      <c r="G199" s="1131">
        <f t="shared" si="17"/>
        <v>0.64731222518720821</v>
      </c>
      <c r="H199" s="1132">
        <f t="shared" si="17"/>
        <v>0.74754623070756221</v>
      </c>
      <c r="I199" s="1242">
        <f t="shared" si="17"/>
        <v>0.5748403529709204</v>
      </c>
      <c r="J199" s="1131">
        <f t="shared" si="17"/>
        <v>0.5906099669472562</v>
      </c>
      <c r="K199" s="1132">
        <f t="shared" si="17"/>
        <v>0.7506672643344422</v>
      </c>
      <c r="L199" s="1124">
        <f t="shared" si="17"/>
        <v>7.6694021962473435E-3</v>
      </c>
      <c r="M199" s="117">
        <f t="shared" si="17"/>
        <v>1.3522205581530675E-2</v>
      </c>
      <c r="N199" s="1133" t="e">
        <f t="shared" si="17"/>
        <v>#REF!</v>
      </c>
      <c r="O199" s="1134"/>
      <c r="P199" s="1248">
        <f t="shared" si="18"/>
        <v>3.4278891827637503</v>
      </c>
      <c r="Q199" s="1135">
        <f t="shared" si="18"/>
        <v>0.24423537898737996</v>
      </c>
      <c r="R199" s="1129">
        <f t="shared" si="18"/>
        <v>3.8230610288109381</v>
      </c>
      <c r="S199" s="1237"/>
      <c r="AB199" s="2160" t="s">
        <v>2297</v>
      </c>
      <c r="AC199" s="2813"/>
      <c r="AD199" s="2813"/>
      <c r="AE199" s="2813"/>
      <c r="AF199" s="2636"/>
      <c r="AG199" s="2092" t="str">
        <f t="shared" si="19"/>
        <v>PT</v>
      </c>
      <c r="AH199" s="1178">
        <f t="shared" si="20"/>
        <v>0.56717095077467305</v>
      </c>
      <c r="AI199" s="1178">
        <f t="shared" si="21"/>
        <v>7.6694021962473435E-3</v>
      </c>
      <c r="AJ199" s="1178">
        <f t="shared" si="22"/>
        <v>1.3522205581530675E-2</v>
      </c>
      <c r="AK199" s="1161"/>
    </row>
    <row r="200" spans="1:47" ht="13.2" customHeight="1">
      <c r="A200" s="1155" t="s">
        <v>378</v>
      </c>
      <c r="B200" s="73" t="s">
        <v>42</v>
      </c>
      <c r="C200" s="103">
        <f t="shared" si="17"/>
        <v>0.56323171407839789</v>
      </c>
      <c r="D200" s="1131">
        <f t="shared" si="17"/>
        <v>-0.12023286586287618</v>
      </c>
      <c r="E200" s="1132">
        <f t="shared" si="17"/>
        <v>0.53987730061349704</v>
      </c>
      <c r="F200" s="1130">
        <f t="shared" si="17"/>
        <v>0.60887331285954671</v>
      </c>
      <c r="G200" s="1131">
        <f t="shared" si="17"/>
        <v>-0.37303497156800469</v>
      </c>
      <c r="H200" s="1132">
        <f t="shared" si="17"/>
        <v>0.37659759063604481</v>
      </c>
      <c r="I200" s="1242">
        <f t="shared" si="17"/>
        <v>0.63388271448107447</v>
      </c>
      <c r="J200" s="1131">
        <f t="shared" si="17"/>
        <v>-0.25869992498286548</v>
      </c>
      <c r="K200" s="1132">
        <f t="shared" si="17"/>
        <v>0.44527495080222473</v>
      </c>
      <c r="L200" s="1124">
        <f t="shared" si="17"/>
        <v>2.500940162152776E-2</v>
      </c>
      <c r="M200" s="117">
        <f t="shared" si="17"/>
        <v>4.1074885519406669E-2</v>
      </c>
      <c r="N200" s="1133" t="e">
        <f t="shared" si="17"/>
        <v>#REF!</v>
      </c>
      <c r="O200" s="1134" t="str">
        <f>VLOOKUP($B200,$B$7:$R$28,O$29,FALSE)</f>
        <v>= =</v>
      </c>
      <c r="P200" s="1248">
        <f t="shared" si="18"/>
        <v>2.172629043332774</v>
      </c>
      <c r="Q200" s="1135">
        <f t="shared" si="18"/>
        <v>-0.22035736928264804</v>
      </c>
      <c r="R200" s="1129">
        <f t="shared" si="18"/>
        <v>1.5517268924243866</v>
      </c>
      <c r="S200" s="1231"/>
      <c r="AB200" s="1748" t="s">
        <v>2299</v>
      </c>
      <c r="AG200" s="2092" t="str">
        <f t="shared" si="19"/>
        <v>OTE</v>
      </c>
      <c r="AH200" s="1178">
        <f t="shared" si="20"/>
        <v>0.60887331285954671</v>
      </c>
      <c r="AI200" s="1178">
        <f t="shared" si="21"/>
        <v>2.500940162152776E-2</v>
      </c>
      <c r="AJ200" s="1178">
        <f t="shared" si="22"/>
        <v>4.1074885519406669E-2</v>
      </c>
      <c r="AK200" s="1161"/>
    </row>
    <row r="201" spans="1:47">
      <c r="A201" s="1155" t="s">
        <v>508</v>
      </c>
      <c r="B201" s="73" t="s">
        <v>290</v>
      </c>
      <c r="C201" s="103">
        <f t="shared" si="17"/>
        <v>0.32615050588405037</v>
      </c>
      <c r="D201" s="1131">
        <f t="shared" si="17"/>
        <v>-8.7660674172335792E-2</v>
      </c>
      <c r="E201" s="1132">
        <f t="shared" si="17"/>
        <v>0.30985103942866765</v>
      </c>
      <c r="F201" s="1130">
        <f t="shared" si="17"/>
        <v>0.30558583418722468</v>
      </c>
      <c r="G201" s="1131">
        <f t="shared" si="17"/>
        <v>-0.13620468181810452</v>
      </c>
      <c r="H201" s="1132">
        <f t="shared" si="17"/>
        <v>0.29018390059321952</v>
      </c>
      <c r="I201" s="1242">
        <f t="shared" si="17"/>
        <v>0.31922230141848357</v>
      </c>
      <c r="J201" s="1131">
        <f t="shared" si="17"/>
        <v>-0.13496032758973828</v>
      </c>
      <c r="K201" s="1132">
        <f t="shared" si="17"/>
        <v>0.30362227391248225</v>
      </c>
      <c r="L201" s="1124">
        <f t="shared" si="17"/>
        <v>1.3636467231258886E-2</v>
      </c>
      <c r="M201" s="117">
        <f t="shared" si="17"/>
        <v>4.4624016252350789E-2</v>
      </c>
      <c r="N201" s="1133" t="e">
        <f t="shared" si="17"/>
        <v>#REF!</v>
      </c>
      <c r="O201" s="1134" t="str">
        <f>VLOOKUP($B201,$B$7:$R$28,O$29,FALSE)</f>
        <v>= =</v>
      </c>
      <c r="P201" s="1248">
        <f t="shared" si="18"/>
        <v>2.1579177629636748</v>
      </c>
      <c r="Q201" s="1135">
        <f t="shared" si="18"/>
        <v>6.0078851309961184E-2</v>
      </c>
      <c r="R201" s="1129">
        <f t="shared" si="18"/>
        <v>2.3009327536910358</v>
      </c>
      <c r="S201" s="1232"/>
      <c r="AB201" s="1748" t="s">
        <v>2300</v>
      </c>
      <c r="AG201" s="2092" t="str">
        <f t="shared" si="19"/>
        <v>SCM</v>
      </c>
      <c r="AH201" s="1178">
        <f t="shared" si="20"/>
        <v>0.30558583418722468</v>
      </c>
      <c r="AI201" s="1178">
        <f t="shared" si="21"/>
        <v>1.3636467231258886E-2</v>
      </c>
      <c r="AJ201" s="1178">
        <f t="shared" si="22"/>
        <v>4.4624016252350789E-2</v>
      </c>
      <c r="AK201" s="1161"/>
    </row>
    <row r="202" spans="1:47">
      <c r="A202" s="1155" t="s">
        <v>505</v>
      </c>
      <c r="B202" s="73" t="s">
        <v>44</v>
      </c>
      <c r="C202" s="103">
        <f t="shared" si="17"/>
        <v>0.5805147103617575</v>
      </c>
      <c r="D202" s="1131">
        <f t="shared" si="17"/>
        <v>8.4948466413752491E-2</v>
      </c>
      <c r="E202" s="1132">
        <f t="shared" si="17"/>
        <v>0.6264024463118032</v>
      </c>
      <c r="F202" s="1130">
        <f t="shared" si="17"/>
        <v>0.51826084585195908</v>
      </c>
      <c r="G202" s="1131">
        <f t="shared" si="17"/>
        <v>0.40005999871326348</v>
      </c>
      <c r="H202" s="1132">
        <f t="shared" si="17"/>
        <v>0.58973938770950263</v>
      </c>
      <c r="I202" s="1242">
        <f t="shared" si="17"/>
        <v>0.5495689942142129</v>
      </c>
      <c r="J202" s="1131">
        <f t="shared" si="17"/>
        <v>0.40637993517884302</v>
      </c>
      <c r="K202" s="1132">
        <f t="shared" si="17"/>
        <v>0.63323863537070213</v>
      </c>
      <c r="L202" s="1124">
        <f t="shared" si="17"/>
        <v>3.1308148362253818E-2</v>
      </c>
      <c r="M202" s="117">
        <f t="shared" si="17"/>
        <v>6.0410020577161203E-2</v>
      </c>
      <c r="N202" s="1133" t="e">
        <f t="shared" si="17"/>
        <v>#REF!</v>
      </c>
      <c r="O202" s="1134" t="str">
        <f>VLOOKUP($B202,$B$7:$R$28,O$29,FALSE)</f>
        <v>= = ¯</v>
      </c>
      <c r="P202" s="1248">
        <f t="shared" si="18"/>
        <v>2.643581803383519</v>
      </c>
      <c r="Q202" s="1135">
        <f t="shared" si="18"/>
        <v>2.8580691559688957E-2</v>
      </c>
      <c r="R202" s="1129">
        <f t="shared" si="18"/>
        <v>2.5466878830879209</v>
      </c>
      <c r="S202" s="1231"/>
      <c r="AG202" s="2092" t="str">
        <f t="shared" si="19"/>
        <v>KPN</v>
      </c>
      <c r="AH202" s="1178">
        <f t="shared" si="20"/>
        <v>0.51826084585195908</v>
      </c>
      <c r="AI202" s="1178">
        <f t="shared" si="21"/>
        <v>3.1308148362253818E-2</v>
      </c>
      <c r="AJ202" s="1178">
        <f t="shared" si="22"/>
        <v>6.0410020577161203E-2</v>
      </c>
      <c r="AK202" s="1161"/>
    </row>
    <row r="203" spans="1:47">
      <c r="A203" s="1155" t="s">
        <v>219</v>
      </c>
      <c r="B203" s="73" t="s">
        <v>53</v>
      </c>
      <c r="C203" s="103">
        <f t="shared" si="17"/>
        <v>0.6158872479982318</v>
      </c>
      <c r="D203" s="1131">
        <f t="shared" si="17"/>
        <v>0.11044311863454735</v>
      </c>
      <c r="E203" s="1132">
        <f t="shared" si="17"/>
        <v>0.66127040038880336</v>
      </c>
      <c r="F203" s="1130">
        <f t="shared" si="17"/>
        <v>0.48384306036910518</v>
      </c>
      <c r="G203" s="1131">
        <f t="shared" si="17"/>
        <v>0.2595878527386451</v>
      </c>
      <c r="H203" s="1132">
        <f t="shared" si="17"/>
        <v>0.54381370963962039</v>
      </c>
      <c r="I203" s="1242">
        <f t="shared" si="17"/>
        <v>0.51513010935716153</v>
      </c>
      <c r="J203" s="1131">
        <f t="shared" si="17"/>
        <v>0.26130995158024306</v>
      </c>
      <c r="K203" s="1132">
        <f t="shared" si="17"/>
        <v>0.57929804018594233</v>
      </c>
      <c r="L203" s="1124">
        <f t="shared" si="17"/>
        <v>3.1287048988056343E-2</v>
      </c>
      <c r="M203" s="117">
        <f t="shared" si="17"/>
        <v>6.4663630732222685E-2</v>
      </c>
      <c r="N203" s="1133" t="e">
        <f t="shared" si="17"/>
        <v>#REF!</v>
      </c>
      <c r="O203" s="1134" t="str">
        <f>VLOOKUP($B203,$B$7:$R$28,O$29,FALSE)</f>
        <v>¯ ¯ ¯</v>
      </c>
      <c r="P203" s="1248">
        <f t="shared" si="18"/>
        <v>2.7929780820851775</v>
      </c>
      <c r="Q203" s="1135">
        <f t="shared" si="18"/>
        <v>0.12404595260605845</v>
      </c>
      <c r="R203" s="1129">
        <f t="shared" si="18"/>
        <v>2.8353348809740444</v>
      </c>
      <c r="S203" s="1237"/>
      <c r="AB203" s="3419" t="s">
        <v>2301</v>
      </c>
      <c r="AC203" s="3419"/>
      <c r="AD203" s="3419"/>
      <c r="AE203" s="3419"/>
      <c r="AF203" s="3420"/>
      <c r="AG203" s="2092" t="str">
        <f t="shared" si="19"/>
        <v>TEF</v>
      </c>
      <c r="AH203" s="1178">
        <f t="shared" si="20"/>
        <v>0.48384306036910518</v>
      </c>
      <c r="AI203" s="1178">
        <f t="shared" si="21"/>
        <v>3.1287048988056343E-2</v>
      </c>
      <c r="AJ203" s="1178">
        <f t="shared" si="22"/>
        <v>6.4663630732222685E-2</v>
      </c>
      <c r="AK203" s="1161"/>
    </row>
    <row r="204" spans="1:47">
      <c r="A204" s="1155" t="s">
        <v>507</v>
      </c>
      <c r="B204" s="73" t="s">
        <v>284</v>
      </c>
      <c r="C204" s="103">
        <f t="shared" si="17"/>
        <v>0.67984865616162071</v>
      </c>
      <c r="D204" s="1131">
        <f t="shared" si="17"/>
        <v>0.13956056160252914</v>
      </c>
      <c r="E204" s="1132">
        <f t="shared" si="17"/>
        <v>0.7167630057803468</v>
      </c>
      <c r="F204" s="1130">
        <f t="shared" si="17"/>
        <v>0.23215418017261674</v>
      </c>
      <c r="G204" s="1131">
        <f t="shared" si="17"/>
        <v>0.36187217108516367</v>
      </c>
      <c r="H204" s="1132">
        <f t="shared" si="17"/>
        <v>0.26525179681706468</v>
      </c>
      <c r="I204" s="1242">
        <f t="shared" si="17"/>
        <v>0.2501311526811702</v>
      </c>
      <c r="J204" s="1131">
        <f t="shared" si="17"/>
        <v>0.31916438327965047</v>
      </c>
      <c r="K204" s="1132">
        <f t="shared" si="17"/>
        <v>0.28287599661626001</v>
      </c>
      <c r="L204" s="1124">
        <f t="shared" si="17"/>
        <v>1.7976972508553457E-2</v>
      </c>
      <c r="M204" s="117">
        <f t="shared" si="17"/>
        <v>7.7435489187344358E-2</v>
      </c>
      <c r="N204" s="1133" t="e">
        <f t="shared" si="17"/>
        <v>#REF!</v>
      </c>
      <c r="O204" s="1134" t="str">
        <f>VLOOKUP($B204,$B$7:$R$28,O$29,FALSE)</f>
        <v>= =</v>
      </c>
      <c r="P204" s="1248">
        <f t="shared" si="18"/>
        <v>1.845874038975184</v>
      </c>
      <c r="Q204" s="1135">
        <f t="shared" si="18"/>
        <v>0.36079457239176377</v>
      </c>
      <c r="R204" s="1129">
        <f t="shared" si="18"/>
        <v>2.1424428051274771</v>
      </c>
      <c r="S204" s="1232"/>
      <c r="AB204" s="3419"/>
      <c r="AC204" s="3419"/>
      <c r="AD204" s="3419"/>
      <c r="AE204" s="3419"/>
      <c r="AF204" s="3420"/>
      <c r="AG204" s="2092" t="str">
        <f t="shared" si="19"/>
        <v>TLSN</v>
      </c>
      <c r="AH204" s="1178">
        <f t="shared" si="20"/>
        <v>0.23215418017261674</v>
      </c>
      <c r="AI204" s="1178">
        <f t="shared" si="21"/>
        <v>1.7976972508553457E-2</v>
      </c>
      <c r="AJ204" s="1178">
        <f t="shared" si="22"/>
        <v>7.7435489187344358E-2</v>
      </c>
      <c r="AK204" s="1161"/>
    </row>
    <row r="205" spans="1:47">
      <c r="A205" s="1155" t="s">
        <v>19</v>
      </c>
      <c r="B205" s="152" t="s">
        <v>288</v>
      </c>
      <c r="C205" s="103">
        <f t="shared" si="17"/>
        <v>0.60741568747204655</v>
      </c>
      <c r="D205" s="1131">
        <f t="shared" si="17"/>
        <v>4.0950219141690898E-2</v>
      </c>
      <c r="E205" s="1132">
        <f t="shared" si="17"/>
        <v>0.62738172243152124</v>
      </c>
      <c r="F205" s="1130">
        <f t="shared" si="17"/>
        <v>0.50834561454306215</v>
      </c>
      <c r="G205" s="1131">
        <f t="shared" si="17"/>
        <v>0.27477182203191691</v>
      </c>
      <c r="H205" s="1132">
        <f t="shared" si="17"/>
        <v>0.61196382356206247</v>
      </c>
      <c r="I205" s="1242">
        <f t="shared" si="17"/>
        <v>0.54898628094174651</v>
      </c>
      <c r="J205" s="1131">
        <f t="shared" si="17"/>
        <v>0.26756473067663017</v>
      </c>
      <c r="K205" s="1132">
        <f t="shared" si="17"/>
        <v>0.65530118542007598</v>
      </c>
      <c r="L205" s="1124">
        <f t="shared" si="17"/>
        <v>4.0640666398684355E-2</v>
      </c>
      <c r="M205" s="117">
        <f t="shared" si="17"/>
        <v>7.9946920433679999E-2</v>
      </c>
      <c r="N205" s="1133" t="e">
        <f t="shared" si="17"/>
        <v>#REF!</v>
      </c>
      <c r="O205" s="1134"/>
      <c r="P205" s="1248">
        <f t="shared" si="18"/>
        <v>2.5321561588471506</v>
      </c>
      <c r="Q205" s="1135">
        <f t="shared" si="18"/>
        <v>1.3257606300410854E-2</v>
      </c>
      <c r="R205" s="1129">
        <f t="shared" si="18"/>
        <v>2.8138910595815916</v>
      </c>
      <c r="S205" s="1231"/>
      <c r="AB205" s="3419"/>
      <c r="AC205" s="3419"/>
      <c r="AD205" s="3419"/>
      <c r="AE205" s="3419"/>
      <c r="AF205" s="3420"/>
      <c r="AG205" s="2092" t="str">
        <f t="shared" si="19"/>
        <v>ORA</v>
      </c>
      <c r="AH205" s="1178">
        <f t="shared" si="20"/>
        <v>0.50834561454306215</v>
      </c>
      <c r="AI205" s="1178">
        <f t="shared" si="21"/>
        <v>4.0640666398684355E-2</v>
      </c>
      <c r="AJ205" s="1178">
        <f t="shared" si="22"/>
        <v>7.9946920433679999E-2</v>
      </c>
      <c r="AK205" s="1161"/>
    </row>
    <row r="206" spans="1:47">
      <c r="A206" s="1155" t="s">
        <v>73</v>
      </c>
      <c r="B206" s="73" t="s">
        <v>285</v>
      </c>
      <c r="C206" s="103">
        <f t="shared" ref="C206:N217" si="23">VLOOKUP($B206,$B$7:$R$28,C$29,FALSE)</f>
        <v>0.62657499999999999</v>
      </c>
      <c r="D206" s="1131">
        <f t="shared" si="23"/>
        <v>5.5614710459497153E-2</v>
      </c>
      <c r="E206" s="1132">
        <f t="shared" si="23"/>
        <v>0.64439999999999997</v>
      </c>
      <c r="F206" s="1130">
        <f t="shared" si="23"/>
        <v>0.24190098439360719</v>
      </c>
      <c r="G206" s="1131">
        <f t="shared" si="23"/>
        <v>0.20667512064869559</v>
      </c>
      <c r="H206" s="1132">
        <f t="shared" si="23"/>
        <v>0.30597960586046052</v>
      </c>
      <c r="I206" s="1242">
        <f t="shared" si="23"/>
        <v>0.2616424852780464</v>
      </c>
      <c r="J206" s="1131">
        <f t="shared" si="23"/>
        <v>0.20296552626351777</v>
      </c>
      <c r="K206" s="1132">
        <f t="shared" si="23"/>
        <v>0.32061814749302248</v>
      </c>
      <c r="L206" s="1124">
        <f t="shared" si="23"/>
        <v>1.9741500884439211E-2</v>
      </c>
      <c r="M206" s="117">
        <f t="shared" si="23"/>
        <v>8.1609841042717679E-2</v>
      </c>
      <c r="N206" s="1133" t="e">
        <f t="shared" si="23"/>
        <v>#REF!</v>
      </c>
      <c r="O206" s="1134" t="str">
        <f>VLOOKUP($B206,$B$7:$R$28,O$29,FALSE)</f>
        <v>= =</v>
      </c>
      <c r="P206" s="1248">
        <f t="shared" si="18"/>
        <v>1.7511002028712532</v>
      </c>
      <c r="Q206" s="1135">
        <f t="shared" si="18"/>
        <v>0.37093258903528414</v>
      </c>
      <c r="R206" s="1129">
        <f t="shared" si="18"/>
        <v>2.2311132077757287</v>
      </c>
      <c r="S206" s="1232"/>
      <c r="AG206" s="2092" t="str">
        <f t="shared" si="19"/>
        <v>ELI</v>
      </c>
      <c r="AH206" s="1178">
        <f t="shared" si="20"/>
        <v>0.24190098439360719</v>
      </c>
      <c r="AI206" s="1178">
        <f t="shared" si="21"/>
        <v>1.9741500884439211E-2</v>
      </c>
      <c r="AJ206" s="1178">
        <f t="shared" si="22"/>
        <v>8.1609841042717679E-2</v>
      </c>
      <c r="AK206" s="1161"/>
    </row>
    <row r="207" spans="1:47">
      <c r="A207" s="1156" t="s">
        <v>323</v>
      </c>
      <c r="B207" s="726" t="s">
        <v>772</v>
      </c>
      <c r="C207" s="1076">
        <f t="shared" si="23"/>
        <v>0.37158673775730477</v>
      </c>
      <c r="D207" s="1143">
        <f t="shared" si="23"/>
        <v>-0.1153634304384116</v>
      </c>
      <c r="E207" s="1144">
        <f t="shared" si="23"/>
        <v>0.36037883142173305</v>
      </c>
      <c r="F207" s="1142">
        <f t="shared" si="23"/>
        <v>0.17383796150947908</v>
      </c>
      <c r="G207" s="1143">
        <f t="shared" si="23"/>
        <v>0.54445307336528614</v>
      </c>
      <c r="H207" s="1144">
        <f t="shared" si="23"/>
        <v>0.26356163003804695</v>
      </c>
      <c r="I207" s="1243">
        <f t="shared" si="23"/>
        <v>0.19702478682132593</v>
      </c>
      <c r="J207" s="1143">
        <f t="shared" si="23"/>
        <v>0.50034734616182497</v>
      </c>
      <c r="K207" s="1144">
        <f t="shared" si="23"/>
        <v>0.28756363720088318</v>
      </c>
      <c r="L207" s="1136">
        <f t="shared" si="23"/>
        <v>2.3186825311846848E-2</v>
      </c>
      <c r="M207" s="1071">
        <f t="shared" si="23"/>
        <v>0.13338182932260462</v>
      </c>
      <c r="N207" s="1145" t="e">
        <f t="shared" si="23"/>
        <v>#REF!</v>
      </c>
      <c r="O207" s="1146" t="str">
        <f>VLOOKUP($B207,$B$7:$R$28,O$29,FALSE)</f>
        <v>= =</v>
      </c>
      <c r="P207" s="1247">
        <f t="shared" si="18"/>
        <v>0.93248540191552354</v>
      </c>
      <c r="Q207" s="1147">
        <f t="shared" si="18"/>
        <v>0.78949919521054279</v>
      </c>
      <c r="R207" s="1141">
        <f t="shared" si="18"/>
        <v>1.3109622071604587</v>
      </c>
      <c r="S207" s="1302"/>
      <c r="AG207" s="2092" t="str">
        <f t="shared" si="19"/>
        <v>BELGACOM</v>
      </c>
      <c r="AH207" s="1178">
        <f t="shared" si="20"/>
        <v>0.17383796150947908</v>
      </c>
      <c r="AI207" s="1178">
        <f t="shared" si="21"/>
        <v>2.3186825311846848E-2</v>
      </c>
      <c r="AJ207" s="1178">
        <f t="shared" si="22"/>
        <v>0.13338182932260462</v>
      </c>
      <c r="AK207" s="1161"/>
    </row>
    <row r="208" spans="1:47">
      <c r="A208" s="1155" t="s">
        <v>32</v>
      </c>
      <c r="B208" s="73" t="s">
        <v>279</v>
      </c>
      <c r="C208" s="103">
        <f t="shared" si="23"/>
        <v>0.91487499999999988</v>
      </c>
      <c r="D208" s="1131">
        <f t="shared" si="23"/>
        <v>-4.3736501079913587E-2</v>
      </c>
      <c r="E208" s="1132">
        <f t="shared" si="23"/>
        <v>0.89481420237931208</v>
      </c>
      <c r="F208" s="1130">
        <f t="shared" si="23"/>
        <v>0.24509229252810941</v>
      </c>
      <c r="G208" s="1131">
        <f t="shared" si="23"/>
        <v>-0.16501821733667812</v>
      </c>
      <c r="H208" s="1132">
        <f t="shared" si="23"/>
        <v>0.23828807339295358</v>
      </c>
      <c r="I208" s="1242">
        <f t="shared" si="23"/>
        <v>0.27870192226407053</v>
      </c>
      <c r="J208" s="1131">
        <f t="shared" si="23"/>
        <v>-0.14309331637647091</v>
      </c>
      <c r="K208" s="1132">
        <f t="shared" si="23"/>
        <v>0.2718321660431175</v>
      </c>
      <c r="L208" s="1124">
        <f t="shared" si="23"/>
        <v>3.3609629735961127E-2</v>
      </c>
      <c r="M208" s="117">
        <f t="shared" si="23"/>
        <v>0.13713050455108242</v>
      </c>
      <c r="N208" s="1133" t="e">
        <f t="shared" si="23"/>
        <v>#REF!</v>
      </c>
      <c r="O208" s="1134"/>
      <c r="P208" s="1248">
        <f t="shared" si="18"/>
        <v>2.0880314655341889</v>
      </c>
      <c r="Q208" s="1135">
        <f t="shared" si="18"/>
        <v>-3.7762767487534328E-2</v>
      </c>
      <c r="R208" s="1129">
        <f t="shared" si="18"/>
        <v>2.3348198024327131</v>
      </c>
      <c r="S208" s="1233"/>
      <c r="AG208" s="2092" t="str">
        <f t="shared" si="19"/>
        <v>VOD</v>
      </c>
      <c r="AH208" s="1178">
        <f t="shared" si="20"/>
        <v>0.24509229252810941</v>
      </c>
      <c r="AI208" s="1178">
        <f t="shared" si="21"/>
        <v>3.3609629735961127E-2</v>
      </c>
      <c r="AJ208" s="1178">
        <f t="shared" si="22"/>
        <v>0.13713050455108242</v>
      </c>
      <c r="AK208" s="1161"/>
    </row>
    <row r="209" spans="1:47">
      <c r="A209" s="1155" t="s">
        <v>506</v>
      </c>
      <c r="B209" s="73" t="s">
        <v>289</v>
      </c>
      <c r="C209" s="103">
        <f t="shared" si="23"/>
        <v>0.42290073595624156</v>
      </c>
      <c r="D209" s="1131">
        <f t="shared" si="23"/>
        <v>-9.0086339251873371E-2</v>
      </c>
      <c r="E209" s="1132">
        <f t="shared" si="23"/>
        <v>0.44946685046944856</v>
      </c>
      <c r="F209" s="1130">
        <f t="shared" si="23"/>
        <v>0.16307046534988884</v>
      </c>
      <c r="G209" s="1131">
        <f t="shared" si="23"/>
        <v>1.3005419282788433</v>
      </c>
      <c r="H209" s="1132">
        <f t="shared" si="23"/>
        <v>0.30950096360373897</v>
      </c>
      <c r="I209" s="1242">
        <f t="shared" si="23"/>
        <v>0.18570292678335293</v>
      </c>
      <c r="J209" s="1131">
        <f t="shared" si="23"/>
        <v>1.251733079461073</v>
      </c>
      <c r="K209" s="1132">
        <f t="shared" si="23"/>
        <v>0.34197601038246805</v>
      </c>
      <c r="L209" s="1124">
        <f t="shared" si="23"/>
        <v>2.2632461433464091E-2</v>
      </c>
      <c r="M209" s="117">
        <f t="shared" si="23"/>
        <v>0.13878945758144007</v>
      </c>
      <c r="N209" s="1133" t="e">
        <f t="shared" si="23"/>
        <v>#REF!</v>
      </c>
      <c r="O209" s="1134" t="str">
        <f t="shared" ref="O209:O215" si="24">VLOOKUP($B209,$B$7:$R$28,O$29,FALSE)</f>
        <v>¯ ¯</v>
      </c>
      <c r="P209" s="1248">
        <f t="shared" si="18"/>
        <v>0.77886477042851432</v>
      </c>
      <c r="Q209" s="1135">
        <f t="shared" si="18"/>
        <v>1.0703005310133176</v>
      </c>
      <c r="R209" s="1129">
        <f t="shared" si="18"/>
        <v>1.1762690733772538</v>
      </c>
      <c r="S209" s="1231"/>
      <c r="AG209" s="2092" t="str">
        <f t="shared" si="19"/>
        <v>TPS</v>
      </c>
      <c r="AH209" s="1178">
        <f t="shared" si="20"/>
        <v>0.16307046534988884</v>
      </c>
      <c r="AI209" s="1178">
        <f t="shared" si="21"/>
        <v>2.2632461433464091E-2</v>
      </c>
      <c r="AJ209" s="1178">
        <f t="shared" si="22"/>
        <v>0.13878945758144007</v>
      </c>
      <c r="AK209" s="1161"/>
    </row>
    <row r="210" spans="1:47">
      <c r="A210" s="1155" t="s">
        <v>502</v>
      </c>
      <c r="B210" s="73" t="s">
        <v>52</v>
      </c>
      <c r="C210" s="103">
        <f t="shared" si="23"/>
        <v>0.61</v>
      </c>
      <c r="D210" s="1131">
        <f t="shared" si="23"/>
        <v>0</v>
      </c>
      <c r="E210" s="1132">
        <f t="shared" si="23"/>
        <v>0.62983042679437373</v>
      </c>
      <c r="F210" s="1130">
        <f t="shared" si="23"/>
        <v>0.51528895508035288</v>
      </c>
      <c r="G210" s="1131">
        <f t="shared" si="23"/>
        <v>-2.4931247740904369E-2</v>
      </c>
      <c r="H210" s="1132">
        <f t="shared" si="23"/>
        <v>0.51939744871548044</v>
      </c>
      <c r="I210" s="1242">
        <f t="shared" si="23"/>
        <v>0.58808850315066874</v>
      </c>
      <c r="J210" s="1131">
        <f t="shared" si="23"/>
        <v>-2.8226553900756759E-2</v>
      </c>
      <c r="K210" s="1132">
        <f t="shared" si="23"/>
        <v>0.59074959904524027</v>
      </c>
      <c r="L210" s="1124">
        <f t="shared" si="23"/>
        <v>7.2799548070315856E-2</v>
      </c>
      <c r="M210" s="117">
        <f t="shared" si="23"/>
        <v>0.14127907721011346</v>
      </c>
      <c r="N210" s="1133" t="e">
        <f t="shared" si="23"/>
        <v>#REF!</v>
      </c>
      <c r="O210" s="1134" t="str">
        <f t="shared" si="24"/>
        <v>= = =</v>
      </c>
      <c r="P210" s="1248">
        <f t="shared" si="18"/>
        <v>2.7906818261625395</v>
      </c>
      <c r="Q210" s="1135">
        <f t="shared" si="18"/>
        <v>8.5841806528642844E-2</v>
      </c>
      <c r="R210" s="1129">
        <f t="shared" si="18"/>
        <v>2.9178287645268703</v>
      </c>
      <c r="S210" s="1231"/>
      <c r="AG210" s="2092" t="str">
        <f t="shared" si="19"/>
        <v>DT</v>
      </c>
      <c r="AH210" s="1178">
        <f t="shared" si="20"/>
        <v>0.51528895508035288</v>
      </c>
      <c r="AI210" s="1178">
        <f t="shared" si="21"/>
        <v>7.2799548070315856E-2</v>
      </c>
      <c r="AJ210" s="1178">
        <f t="shared" si="22"/>
        <v>0.14127907721011346</v>
      </c>
      <c r="AK210" s="1161"/>
    </row>
    <row r="211" spans="1:47">
      <c r="A211" s="1155" t="s">
        <v>545</v>
      </c>
      <c r="B211" s="73" t="s">
        <v>39</v>
      </c>
      <c r="C211" s="103">
        <f t="shared" si="23"/>
        <v>0.31054928118178421</v>
      </c>
      <c r="D211" s="1131">
        <f t="shared" si="23"/>
        <v>-0.11491916916279199</v>
      </c>
      <c r="E211" s="1132">
        <f t="shared" si="23"/>
        <v>0.28165979767703259</v>
      </c>
      <c r="F211" s="1130">
        <f t="shared" si="23"/>
        <v>0.3899242463002407</v>
      </c>
      <c r="G211" s="1131">
        <f t="shared" si="23"/>
        <v>-0.1197676600756727</v>
      </c>
      <c r="H211" s="1132">
        <f t="shared" si="23"/>
        <v>0.37944762378701169</v>
      </c>
      <c r="I211" s="1242">
        <f t="shared" si="23"/>
        <v>0.45093517146474416</v>
      </c>
      <c r="J211" s="1131">
        <f t="shared" si="23"/>
        <v>-8.3572610535330494E-2</v>
      </c>
      <c r="K211" s="1132">
        <f t="shared" si="23"/>
        <v>0.43916945384982109</v>
      </c>
      <c r="L211" s="1124">
        <f t="shared" si="23"/>
        <v>6.101092516450346E-2</v>
      </c>
      <c r="M211" s="117">
        <f t="shared" si="23"/>
        <v>0.15646866216553562</v>
      </c>
      <c r="N211" s="1133" t="e">
        <f t="shared" si="23"/>
        <v>#REF!</v>
      </c>
      <c r="O211" s="1134" t="str">
        <f t="shared" si="24"/>
        <v>­ = =</v>
      </c>
      <c r="P211" s="1248">
        <f t="shared" si="18"/>
        <v>2.6587814840492587</v>
      </c>
      <c r="Q211" s="1135">
        <f t="shared" si="18"/>
        <v>-0.25803195656746131</v>
      </c>
      <c r="R211" s="1129">
        <f t="shared" si="18"/>
        <v>2.5933932385229874</v>
      </c>
      <c r="S211" s="1236"/>
      <c r="AG211" s="2092" t="str">
        <f t="shared" si="19"/>
        <v>TDC</v>
      </c>
      <c r="AH211" s="1178">
        <f t="shared" si="20"/>
        <v>0.3899242463002407</v>
      </c>
      <c r="AI211" s="1178">
        <f t="shared" si="21"/>
        <v>6.101092516450346E-2</v>
      </c>
      <c r="AJ211" s="1178">
        <f t="shared" si="22"/>
        <v>0.15646866216553562</v>
      </c>
      <c r="AK211" s="1161"/>
    </row>
    <row r="212" spans="1:47">
      <c r="A212" s="1155" t="s">
        <v>19</v>
      </c>
      <c r="B212" s="73" t="s">
        <v>287</v>
      </c>
      <c r="C212" s="103">
        <f t="shared" si="23"/>
        <v>9.1630231095150338E-2</v>
      </c>
      <c r="D212" s="1148" t="str">
        <f t="shared" si="23"/>
        <v>¥</v>
      </c>
      <c r="E212" s="1132">
        <f t="shared" si="23"/>
        <v>0.34976819018989347</v>
      </c>
      <c r="F212" s="1130">
        <f t="shared" si="23"/>
        <v>0.13477545507373562</v>
      </c>
      <c r="G212" s="1131">
        <f t="shared" si="23"/>
        <v>-0.4264373226073967</v>
      </c>
      <c r="H212" s="1132">
        <f t="shared" si="23"/>
        <v>9.7905485588969735E-2</v>
      </c>
      <c r="I212" s="1242">
        <f t="shared" si="23"/>
        <v>0.16024846762312819</v>
      </c>
      <c r="J212" s="1131">
        <f t="shared" si="23"/>
        <v>-0.25253039609468159</v>
      </c>
      <c r="K212" s="1132">
        <f t="shared" si="23"/>
        <v>0.12849893093161849</v>
      </c>
      <c r="L212" s="1124">
        <f t="shared" si="23"/>
        <v>2.5473012549392576E-2</v>
      </c>
      <c r="M212" s="117">
        <f t="shared" si="23"/>
        <v>0.18900335031669008</v>
      </c>
      <c r="N212" s="1133" t="str">
        <f t="shared" si="23"/>
        <v>No rating</v>
      </c>
      <c r="O212" s="1134"/>
      <c r="P212" s="1248">
        <f t="shared" si="18"/>
        <v>1.265551414722516</v>
      </c>
      <c r="Q212" s="1135">
        <f t="shared" si="18"/>
        <v>0.38040351489576829</v>
      </c>
      <c r="R212" s="1129">
        <f t="shared" si="18"/>
        <v>1.242834927692577</v>
      </c>
      <c r="S212" s="1235"/>
      <c r="AG212" s="2092" t="str">
        <f t="shared" si="19"/>
        <v>ILD</v>
      </c>
      <c r="AH212" s="1178">
        <f t="shared" si="20"/>
        <v>0.13477545507373562</v>
      </c>
      <c r="AI212" s="1178">
        <f t="shared" si="21"/>
        <v>2.5473012549392576E-2</v>
      </c>
      <c r="AJ212" s="1178">
        <f t="shared" si="22"/>
        <v>0.18900335031669008</v>
      </c>
      <c r="AK212" s="1161"/>
    </row>
    <row r="213" spans="1:47">
      <c r="A213" s="1155" t="s">
        <v>504</v>
      </c>
      <c r="B213" s="73" t="s">
        <v>281</v>
      </c>
      <c r="C213" s="103">
        <f t="shared" si="23"/>
        <v>0.7344324868237998</v>
      </c>
      <c r="D213" s="1131">
        <f t="shared" si="23"/>
        <v>0.10784712869930438</v>
      </c>
      <c r="E213" s="1132">
        <f t="shared" si="23"/>
        <v>0.74956908795771016</v>
      </c>
      <c r="F213" s="1130">
        <f t="shared" si="23"/>
        <v>0.14726898954609682</v>
      </c>
      <c r="G213" s="1131">
        <f t="shared" si="23"/>
        <v>4.9939774449528171E-2</v>
      </c>
      <c r="H213" s="1132">
        <f t="shared" si="23"/>
        <v>0.17272839211728983</v>
      </c>
      <c r="I213" s="1242">
        <f t="shared" si="23"/>
        <v>0.18443136241749356</v>
      </c>
      <c r="J213" s="1131">
        <f t="shared" si="23"/>
        <v>-5.7258906752796622E-2</v>
      </c>
      <c r="K213" s="1132">
        <f t="shared" si="23"/>
        <v>0.198117589718218</v>
      </c>
      <c r="L213" s="1124">
        <f t="shared" si="23"/>
        <v>3.7162372871396732E-2</v>
      </c>
      <c r="M213" s="117">
        <f t="shared" si="23"/>
        <v>0.25234350412762557</v>
      </c>
      <c r="N213" s="1133" t="e">
        <f t="shared" si="23"/>
        <v>#REF!</v>
      </c>
      <c r="O213" s="1134" t="str">
        <f t="shared" si="24"/>
        <v>= =</v>
      </c>
      <c r="P213" s="1248">
        <f t="shared" si="18"/>
        <v>1.0395975936863313</v>
      </c>
      <c r="Q213" s="1135">
        <f t="shared" si="18"/>
        <v>2.9438923535487854E-2</v>
      </c>
      <c r="R213" s="1129">
        <f t="shared" si="18"/>
        <v>1.2087727199953455</v>
      </c>
      <c r="S213" s="1232"/>
      <c r="AG213" s="2092" t="str">
        <f t="shared" si="19"/>
        <v>TEL</v>
      </c>
      <c r="AH213" s="1178">
        <f t="shared" si="20"/>
        <v>0.14726898954609682</v>
      </c>
      <c r="AI213" s="1178">
        <f t="shared" si="21"/>
        <v>3.7162372871396732E-2</v>
      </c>
      <c r="AJ213" s="1178">
        <f t="shared" si="22"/>
        <v>0.25234350412762557</v>
      </c>
      <c r="AK213" s="1161"/>
    </row>
    <row r="214" spans="1:47">
      <c r="A214" s="1155" t="s">
        <v>27</v>
      </c>
      <c r="B214" s="73" t="s">
        <v>357</v>
      </c>
      <c r="C214" s="103">
        <f t="shared" si="23"/>
        <v>0.90539538726018864</v>
      </c>
      <c r="D214" s="1131">
        <f t="shared" si="23"/>
        <v>-4.1189056985539901E-2</v>
      </c>
      <c r="E214" s="1132">
        <f t="shared" si="23"/>
        <v>0.90138346931536006</v>
      </c>
      <c r="F214" s="1130">
        <f t="shared" si="23"/>
        <v>0.38160323267486906</v>
      </c>
      <c r="G214" s="1131">
        <f t="shared" si="23"/>
        <v>0.13281779457810056</v>
      </c>
      <c r="H214" s="1132">
        <f t="shared" si="23"/>
        <v>0.39444904186551905</v>
      </c>
      <c r="I214" s="1242">
        <f t="shared" si="23"/>
        <v>0.47841518539184064</v>
      </c>
      <c r="J214" s="1131">
        <f t="shared" si="23"/>
        <v>1.1717685634717274E-2</v>
      </c>
      <c r="K214" s="1132">
        <f t="shared" si="23"/>
        <v>0.46507375880431212</v>
      </c>
      <c r="L214" s="1124">
        <f t="shared" si="23"/>
        <v>9.6811952716971572E-2</v>
      </c>
      <c r="M214" s="117">
        <f t="shared" si="23"/>
        <v>0.25369793656715856</v>
      </c>
      <c r="N214" s="1133" t="str">
        <f t="shared" si="23"/>
        <v>No rating</v>
      </c>
      <c r="O214" s="1134"/>
      <c r="P214" s="1248">
        <f t="shared" si="18"/>
        <v>1.832329792526622</v>
      </c>
      <c r="Q214" s="1135">
        <f t="shared" si="18"/>
        <v>-9.9442962217240083E-2</v>
      </c>
      <c r="R214" s="1129">
        <f t="shared" si="18"/>
        <v>1.8160302149559577</v>
      </c>
      <c r="S214" s="1234"/>
      <c r="AG214" s="2092" t="str">
        <f t="shared" si="19"/>
        <v>SNC</v>
      </c>
      <c r="AH214" s="1178">
        <f t="shared" si="20"/>
        <v>0.38160323267486906</v>
      </c>
      <c r="AI214" s="1178">
        <f t="shared" si="21"/>
        <v>9.6811952716971572E-2</v>
      </c>
      <c r="AJ214" s="1178">
        <f t="shared" si="22"/>
        <v>0.25369793656715856</v>
      </c>
      <c r="AK214" s="1161"/>
    </row>
    <row r="215" spans="1:47">
      <c r="A215" s="1155" t="s">
        <v>32</v>
      </c>
      <c r="B215" s="73" t="s">
        <v>50</v>
      </c>
      <c r="C215" s="103">
        <f t="shared" si="23"/>
        <v>0</v>
      </c>
      <c r="D215" s="1131">
        <f t="shared" si="23"/>
        <v>0</v>
      </c>
      <c r="E215" s="1132">
        <f t="shared" si="23"/>
        <v>0</v>
      </c>
      <c r="F215" s="1130">
        <f t="shared" si="23"/>
        <v>0.37025195227815472</v>
      </c>
      <c r="G215" s="1131">
        <f t="shared" si="23"/>
        <v>-0.46222821771061889</v>
      </c>
      <c r="H215" s="1132">
        <f t="shared" si="23"/>
        <v>0.26403640782716253</v>
      </c>
      <c r="I215" s="1242">
        <f t="shared" si="23"/>
        <v>0.48927059752514818</v>
      </c>
      <c r="J215" s="1131">
        <f t="shared" si="23"/>
        <v>-0.38189416595312975</v>
      </c>
      <c r="K215" s="1132">
        <f t="shared" si="23"/>
        <v>0.37414035756341019</v>
      </c>
      <c r="L215" s="1124">
        <f t="shared" si="23"/>
        <v>0.11901864524699346</v>
      </c>
      <c r="M215" s="117">
        <f t="shared" si="23"/>
        <v>0.32145312000294263</v>
      </c>
      <c r="N215" s="1133" t="e">
        <f t="shared" si="23"/>
        <v>#REF!</v>
      </c>
      <c r="O215" s="1134" t="str">
        <f t="shared" si="24"/>
        <v>= =</v>
      </c>
      <c r="P215" s="1248">
        <f t="shared" si="18"/>
        <v>2.2664974928712622</v>
      </c>
      <c r="Q215" s="1135">
        <f t="shared" si="18"/>
        <v>-0.12537902502142731</v>
      </c>
      <c r="R215" s="1129">
        <f t="shared" si="18"/>
        <v>2.136201464388483</v>
      </c>
      <c r="S215" s="1233"/>
      <c r="AG215" s="2092" t="str">
        <f t="shared" si="19"/>
        <v>BT</v>
      </c>
      <c r="AH215" s="1178">
        <f t="shared" si="20"/>
        <v>0.37025195227815472</v>
      </c>
      <c r="AI215" s="1178">
        <f t="shared" si="21"/>
        <v>0.11901864524699346</v>
      </c>
      <c r="AJ215" s="1178">
        <f t="shared" si="22"/>
        <v>0.32145312000294263</v>
      </c>
      <c r="AK215" s="1161"/>
    </row>
    <row r="216" spans="1:47">
      <c r="A216" s="1155" t="s">
        <v>507</v>
      </c>
      <c r="B216" s="73" t="s">
        <v>282</v>
      </c>
      <c r="C216" s="103">
        <f t="shared" si="23"/>
        <v>0.67083419702973635</v>
      </c>
      <c r="D216" s="1131">
        <f t="shared" si="23"/>
        <v>-0.11335389957676706</v>
      </c>
      <c r="E216" s="1132">
        <f t="shared" si="23"/>
        <v>0.63639387890884902</v>
      </c>
      <c r="F216" s="1130">
        <f t="shared" si="23"/>
        <v>0.1536920907726812</v>
      </c>
      <c r="G216" s="1131">
        <f t="shared" si="23"/>
        <v>1.6283818604559013</v>
      </c>
      <c r="H216" s="1132">
        <f t="shared" si="23"/>
        <v>0.2022242346359609</v>
      </c>
      <c r="I216" s="1242">
        <f t="shared" si="23"/>
        <v>0.20961441125119315</v>
      </c>
      <c r="J216" s="1131">
        <f t="shared" si="23"/>
        <v>0.84200521424561081</v>
      </c>
      <c r="K216" s="1132">
        <f t="shared" si="23"/>
        <v>0.28147528322389997</v>
      </c>
      <c r="L216" s="1124">
        <f t="shared" si="23"/>
        <v>5.592232047851195E-2</v>
      </c>
      <c r="M216" s="117">
        <f t="shared" si="23"/>
        <v>0.36385945559959909</v>
      </c>
      <c r="N216" s="1133" t="str">
        <f t="shared" si="23"/>
        <v>No rating</v>
      </c>
      <c r="O216" s="1134"/>
      <c r="P216" s="1248">
        <f t="shared" si="18"/>
        <v>1.4399592566697517</v>
      </c>
      <c r="Q216" s="1135">
        <f t="shared" si="18"/>
        <v>0.8442860967329926</v>
      </c>
      <c r="R216" s="1129">
        <f t="shared" si="18"/>
        <v>1.5521418473212367</v>
      </c>
      <c r="S216" s="1232"/>
      <c r="AG216" s="2092" t="str">
        <f t="shared" si="19"/>
        <v>TEL2</v>
      </c>
      <c r="AH216" s="1178">
        <f t="shared" si="20"/>
        <v>0.1536920907726812</v>
      </c>
      <c r="AI216" s="1178">
        <f t="shared" si="21"/>
        <v>5.592232047851195E-2</v>
      </c>
      <c r="AJ216" s="1178">
        <f t="shared" si="22"/>
        <v>0.36385945559959909</v>
      </c>
      <c r="AK216" s="1161"/>
    </row>
    <row r="217" spans="1:47">
      <c r="A217" s="1156" t="s">
        <v>323</v>
      </c>
      <c r="B217" s="726" t="s">
        <v>773</v>
      </c>
      <c r="C217" s="1071">
        <f t="shared" si="23"/>
        <v>0.95644485424869818</v>
      </c>
      <c r="D217" s="1143">
        <f t="shared" si="23"/>
        <v>5.7346309608293736E-3</v>
      </c>
      <c r="E217" s="1144">
        <f t="shared" si="23"/>
        <v>0.97265268915223335</v>
      </c>
      <c r="F217" s="1142">
        <f t="shared" si="23"/>
        <v>0.16489915086810925</v>
      </c>
      <c r="G217" s="1143">
        <f t="shared" si="23"/>
        <v>2.0043608623878186</v>
      </c>
      <c r="H217" s="1144">
        <f t="shared" si="23"/>
        <v>0.32988338723452482</v>
      </c>
      <c r="I217" s="1243">
        <f t="shared" si="23"/>
        <v>0.27218937885351913</v>
      </c>
      <c r="J217" s="1143">
        <f t="shared" si="23"/>
        <v>1.2181747217666232</v>
      </c>
      <c r="K217" s="1144">
        <f t="shared" si="23"/>
        <v>0.4561905930983241</v>
      </c>
      <c r="L217" s="1136">
        <f t="shared" si="23"/>
        <v>0.10729022798540988</v>
      </c>
      <c r="M217" s="1071">
        <f t="shared" si="23"/>
        <v>0.65064148250965514</v>
      </c>
      <c r="N217" s="1145" t="str">
        <f t="shared" si="23"/>
        <v>No rating</v>
      </c>
      <c r="O217" s="1146"/>
      <c r="P217" s="1247">
        <f t="shared" si="18"/>
        <v>1.2440956586918632</v>
      </c>
      <c r="Q217" s="1147">
        <f t="shared" si="18"/>
        <v>0.5581122698382367</v>
      </c>
      <c r="R217" s="1141">
        <f t="shared" si="18"/>
        <v>1.6771658832683087</v>
      </c>
      <c r="S217" s="1234"/>
      <c r="AG217" s="2092" t="str">
        <f t="shared" si="19"/>
        <v>MOBISTAR</v>
      </c>
      <c r="AH217" s="1178">
        <f t="shared" si="20"/>
        <v>0.16489915086810925</v>
      </c>
      <c r="AI217" s="1178">
        <f t="shared" si="21"/>
        <v>0.10729022798540988</v>
      </c>
      <c r="AJ217" s="1178">
        <f t="shared" si="22"/>
        <v>0.65064148250965514</v>
      </c>
      <c r="AK217" s="1161"/>
    </row>
    <row r="218" spans="1:47" s="119" customFormat="1">
      <c r="A218" s="1190"/>
      <c r="C218" s="1278"/>
      <c r="D218" s="1279"/>
      <c r="E218" s="1278"/>
      <c r="F218" s="1279"/>
      <c r="G218" s="1278"/>
      <c r="H218" s="1279"/>
      <c r="I218" s="1278"/>
      <c r="J218" s="1279"/>
      <c r="K218" s="1278"/>
      <c r="L218" s="1279"/>
      <c r="M218" s="1278"/>
      <c r="N218" s="1279"/>
      <c r="O218" s="1278"/>
      <c r="P218" s="1279"/>
      <c r="Q218" s="1278"/>
      <c r="R218" s="1280"/>
      <c r="AF218" s="2444"/>
      <c r="AG218" s="2428"/>
      <c r="AU218" s="2426"/>
    </row>
    <row r="219" spans="1:47" s="119" customFormat="1">
      <c r="A219" s="1190"/>
      <c r="C219" s="1278"/>
      <c r="D219" s="1279"/>
      <c r="E219" s="1278"/>
      <c r="F219" s="1279"/>
      <c r="G219" s="1278"/>
      <c r="H219" s="1279"/>
      <c r="I219" s="1278"/>
      <c r="J219" s="1279"/>
      <c r="K219" s="1278"/>
      <c r="L219" s="1279"/>
      <c r="M219" s="1278"/>
      <c r="N219" s="1279"/>
      <c r="O219" s="1278"/>
      <c r="P219" s="1279"/>
      <c r="Q219" s="1278"/>
      <c r="R219" s="1280"/>
      <c r="AF219" s="2444"/>
      <c r="AG219" s="2428"/>
      <c r="AU219" s="2426"/>
    </row>
    <row r="220" spans="1:47" s="119" customFormat="1">
      <c r="A220" s="1190"/>
      <c r="C220" s="1278"/>
      <c r="D220" s="1279"/>
      <c r="E220" s="1278"/>
      <c r="F220" s="1279"/>
      <c r="G220" s="1278"/>
      <c r="H220" s="1279"/>
      <c r="I220" s="1278"/>
      <c r="J220" s="1279"/>
      <c r="K220" s="1278"/>
      <c r="L220" s="1279"/>
      <c r="M220" s="1278"/>
      <c r="N220" s="1279"/>
      <c r="O220" s="1278"/>
      <c r="P220" s="1279"/>
      <c r="Q220" s="1278"/>
      <c r="R220" s="1280"/>
      <c r="AF220" s="2444"/>
      <c r="AG220" s="2428"/>
      <c r="AU220" s="2426"/>
    </row>
    <row r="221" spans="1:47" s="119" customFormat="1">
      <c r="A221" s="1190"/>
      <c r="C221" s="1278"/>
      <c r="D221" s="1279"/>
      <c r="E221" s="1278"/>
      <c r="F221" s="1279"/>
      <c r="G221" s="1278"/>
      <c r="H221" s="1279"/>
      <c r="I221" s="1278"/>
      <c r="J221" s="1279"/>
      <c r="K221" s="1278"/>
      <c r="L221" s="1279"/>
      <c r="M221" s="1278"/>
      <c r="N221" s="1279"/>
      <c r="O221" s="1278"/>
      <c r="P221" s="1279"/>
      <c r="Q221" s="1278"/>
      <c r="R221" s="1280"/>
      <c r="AF221" s="2444"/>
      <c r="AG221" s="2428"/>
      <c r="AU221" s="2426"/>
    </row>
    <row r="222" spans="1:47" s="119" customFormat="1">
      <c r="A222" s="1190"/>
      <c r="C222" s="1278"/>
      <c r="D222" s="1279"/>
      <c r="E222" s="1278"/>
      <c r="F222" s="1279"/>
      <c r="G222" s="1278"/>
      <c r="H222" s="1279"/>
      <c r="I222" s="1278"/>
      <c r="J222" s="1279"/>
      <c r="K222" s="1278"/>
      <c r="L222" s="1279"/>
      <c r="M222" s="1278"/>
      <c r="N222" s="1279"/>
      <c r="O222" s="1278"/>
      <c r="P222" s="1279"/>
      <c r="Q222" s="1278"/>
      <c r="R222" s="1280"/>
      <c r="AF222" s="2444"/>
      <c r="AG222" s="2428"/>
      <c r="AU222" s="2426"/>
    </row>
    <row r="223" spans="1:47" s="119" customFormat="1">
      <c r="A223" s="1190"/>
      <c r="C223" s="1278"/>
      <c r="D223" s="1279"/>
      <c r="E223" s="1278"/>
      <c r="F223" s="1279"/>
      <c r="G223" s="1278"/>
      <c r="H223" s="1279"/>
      <c r="I223" s="1278"/>
      <c r="J223" s="1279"/>
      <c r="K223" s="1278"/>
      <c r="L223" s="1279"/>
      <c r="M223" s="1278"/>
      <c r="N223" s="1279"/>
      <c r="O223" s="1278"/>
      <c r="P223" s="1279"/>
      <c r="Q223" s="1278"/>
      <c r="R223" s="1280"/>
      <c r="AF223" s="2444"/>
      <c r="AG223" s="2428"/>
      <c r="AU223" s="2426"/>
    </row>
    <row r="224" spans="1:47" s="119" customFormat="1">
      <c r="A224" s="1190"/>
      <c r="C224" s="1278"/>
      <c r="D224" s="1279"/>
      <c r="E224" s="1278"/>
      <c r="F224" s="1279"/>
      <c r="G224" s="1278"/>
      <c r="H224" s="1279"/>
      <c r="I224" s="1278"/>
      <c r="J224" s="1279"/>
      <c r="K224" s="1278"/>
      <c r="L224" s="1279"/>
      <c r="M224" s="1278"/>
      <c r="N224" s="1279"/>
      <c r="O224" s="1278"/>
      <c r="P224" s="1279"/>
      <c r="Q224" s="1278"/>
      <c r="R224" s="1280"/>
      <c r="AF224" s="2444"/>
      <c r="AG224" s="2428"/>
      <c r="AU224" s="2426"/>
    </row>
    <row r="225" spans="1:47" s="119" customFormat="1">
      <c r="A225" s="1190"/>
      <c r="C225" s="1278"/>
      <c r="D225" s="1279"/>
      <c r="E225" s="1278"/>
      <c r="F225" s="1279"/>
      <c r="G225" s="1278"/>
      <c r="H225" s="1279"/>
      <c r="I225" s="1278"/>
      <c r="J225" s="1279"/>
      <c r="K225" s="1278"/>
      <c r="L225" s="1279"/>
      <c r="M225" s="1278"/>
      <c r="N225" s="1279"/>
      <c r="O225" s="1278"/>
      <c r="P225" s="1279"/>
      <c r="Q225" s="1278"/>
      <c r="R225" s="1280"/>
      <c r="AF225" s="2444"/>
      <c r="AG225" s="2428"/>
      <c r="AU225" s="2426"/>
    </row>
    <row r="226" spans="1:47">
      <c r="A226" s="1252" t="s">
        <v>1141</v>
      </c>
      <c r="B226" s="1123" t="s">
        <v>2287</v>
      </c>
    </row>
    <row r="227" spans="1:47">
      <c r="A227" s="1155" t="s">
        <v>503</v>
      </c>
      <c r="B227" s="73" t="s">
        <v>286</v>
      </c>
      <c r="C227" s="103">
        <f t="shared" ref="C227:R229" si="25">VLOOKUP($B227,$B$7:$R$28,C$29,FALSE)</f>
        <v>0.34534166666666666</v>
      </c>
      <c r="D227" s="1131">
        <f t="shared" si="25"/>
        <v>-5.4500069338510607E-2</v>
      </c>
      <c r="E227" s="1132">
        <f t="shared" si="25"/>
        <v>0.3626280111015483</v>
      </c>
      <c r="F227" s="1130">
        <f t="shared" si="25"/>
        <v>0.67997702229572432</v>
      </c>
      <c r="G227" s="1131">
        <f t="shared" si="25"/>
        <v>0.10658020511075152</v>
      </c>
      <c r="H227" s="1132">
        <f t="shared" si="25"/>
        <v>0.75270955685414354</v>
      </c>
      <c r="I227" s="103">
        <f t="shared" si="25"/>
        <v>0.68457317243488636</v>
      </c>
      <c r="J227" s="1131">
        <f t="shared" si="25"/>
        <v>0.10522314957078965</v>
      </c>
      <c r="K227" s="1132">
        <f t="shared" si="25"/>
        <v>0.75672107111582532</v>
      </c>
      <c r="L227" s="1124">
        <f t="shared" si="25"/>
        <v>4.5961501391620363E-3</v>
      </c>
      <c r="M227" s="1124">
        <f t="shared" si="25"/>
        <v>6.7592727231349809E-3</v>
      </c>
      <c r="N227" s="1133" t="e">
        <f t="shared" si="25"/>
        <v>#REF!</v>
      </c>
      <c r="O227" s="1134" t="str">
        <f t="shared" si="25"/>
        <v>= ¯ ¯</v>
      </c>
      <c r="P227" s="1248">
        <f t="shared" si="25"/>
        <v>2.9152503149286035</v>
      </c>
      <c r="Q227" s="1135">
        <f t="shared" si="25"/>
        <v>-0.14664752669478531</v>
      </c>
      <c r="R227" s="1129">
        <f t="shared" si="25"/>
        <v>2.8370691340232916</v>
      </c>
      <c r="S227" s="1231"/>
    </row>
    <row r="228" spans="1:47">
      <c r="A228" s="1155" t="s">
        <v>378</v>
      </c>
      <c r="B228" s="73" t="s">
        <v>42</v>
      </c>
      <c r="C228" s="103">
        <f t="shared" si="25"/>
        <v>0.56323171407839789</v>
      </c>
      <c r="D228" s="1131">
        <f t="shared" si="25"/>
        <v>-0.12023286586287618</v>
      </c>
      <c r="E228" s="1132">
        <f t="shared" si="25"/>
        <v>0.53987730061349704</v>
      </c>
      <c r="F228" s="1130">
        <f t="shared" si="25"/>
        <v>0.60887331285954671</v>
      </c>
      <c r="G228" s="1131">
        <f t="shared" si="25"/>
        <v>-0.37303497156800469</v>
      </c>
      <c r="H228" s="1132">
        <f t="shared" si="25"/>
        <v>0.37659759063604481</v>
      </c>
      <c r="I228" s="103">
        <f t="shared" si="25"/>
        <v>0.63388271448107447</v>
      </c>
      <c r="J228" s="1131">
        <f t="shared" si="25"/>
        <v>-0.25869992498286548</v>
      </c>
      <c r="K228" s="1132">
        <f t="shared" si="25"/>
        <v>0.44527495080222473</v>
      </c>
      <c r="L228" s="1124">
        <f t="shared" si="25"/>
        <v>2.500940162152776E-2</v>
      </c>
      <c r="M228" s="1124">
        <f t="shared" si="25"/>
        <v>4.1074885519406669E-2</v>
      </c>
      <c r="N228" s="1133" t="e">
        <f t="shared" si="25"/>
        <v>#REF!</v>
      </c>
      <c r="O228" s="1134" t="str">
        <f t="shared" si="25"/>
        <v>= =</v>
      </c>
      <c r="P228" s="1248">
        <f t="shared" si="25"/>
        <v>2.172629043332774</v>
      </c>
      <c r="Q228" s="1135">
        <f t="shared" si="25"/>
        <v>-0.22035736928264804</v>
      </c>
      <c r="R228" s="1129">
        <f t="shared" si="25"/>
        <v>1.5517268924243866</v>
      </c>
      <c r="S228" s="1231"/>
    </row>
    <row r="229" spans="1:47">
      <c r="A229" s="1155" t="s">
        <v>502</v>
      </c>
      <c r="B229" s="73" t="s">
        <v>52</v>
      </c>
      <c r="C229" s="103">
        <f t="shared" si="25"/>
        <v>0.61</v>
      </c>
      <c r="D229" s="1131">
        <f t="shared" si="25"/>
        <v>0</v>
      </c>
      <c r="E229" s="1132">
        <f t="shared" si="25"/>
        <v>0.62983042679437373</v>
      </c>
      <c r="F229" s="1130">
        <f t="shared" si="25"/>
        <v>0.51528895508035288</v>
      </c>
      <c r="G229" s="1131">
        <f t="shared" si="25"/>
        <v>-2.4931247740904369E-2</v>
      </c>
      <c r="H229" s="1132">
        <f t="shared" si="25"/>
        <v>0.51939744871548044</v>
      </c>
      <c r="I229" s="103">
        <f t="shared" si="25"/>
        <v>0.58808850315066874</v>
      </c>
      <c r="J229" s="1131">
        <f t="shared" si="25"/>
        <v>-2.8226553900756759E-2</v>
      </c>
      <c r="K229" s="1132">
        <f t="shared" si="25"/>
        <v>0.59074959904524027</v>
      </c>
      <c r="L229" s="1124">
        <f t="shared" si="25"/>
        <v>7.2799548070315856E-2</v>
      </c>
      <c r="M229" s="1124">
        <f t="shared" si="25"/>
        <v>0.14127907721011346</v>
      </c>
      <c r="N229" s="1133" t="e">
        <f t="shared" si="25"/>
        <v>#REF!</v>
      </c>
      <c r="O229" s="1134" t="str">
        <f t="shared" si="25"/>
        <v>= = =</v>
      </c>
      <c r="P229" s="1248">
        <f t="shared" si="25"/>
        <v>2.7906818261625395</v>
      </c>
      <c r="Q229" s="1135">
        <f t="shared" si="25"/>
        <v>8.5841806528642844E-2</v>
      </c>
      <c r="R229" s="1129">
        <f t="shared" si="25"/>
        <v>2.9178287645268703</v>
      </c>
      <c r="S229" s="1231"/>
    </row>
    <row r="230" spans="1:47">
      <c r="A230" s="1155" t="s">
        <v>27</v>
      </c>
      <c r="B230" s="73" t="s">
        <v>54</v>
      </c>
      <c r="C230" s="103">
        <f t="shared" ref="C230:N239" si="26">VLOOKUP($B230,$B$7:$R$28,C$29,FALSE)</f>
        <v>0.48460704112825509</v>
      </c>
      <c r="D230" s="1131">
        <f t="shared" si="26"/>
        <v>-0.18079580514885477</v>
      </c>
      <c r="E230" s="1132">
        <f t="shared" si="26"/>
        <v>0.49497857034449522</v>
      </c>
      <c r="F230" s="1130">
        <f t="shared" si="26"/>
        <v>0.56717095077467305</v>
      </c>
      <c r="G230" s="1131">
        <f t="shared" si="26"/>
        <v>0.64731222518720821</v>
      </c>
      <c r="H230" s="1132">
        <f t="shared" si="26"/>
        <v>0.74754623070756221</v>
      </c>
      <c r="I230" s="103">
        <f t="shared" si="26"/>
        <v>0.5748403529709204</v>
      </c>
      <c r="J230" s="1131">
        <f t="shared" si="26"/>
        <v>0.5906099669472562</v>
      </c>
      <c r="K230" s="1132">
        <f t="shared" si="26"/>
        <v>0.7506672643344422</v>
      </c>
      <c r="L230" s="1124">
        <f t="shared" si="26"/>
        <v>7.6694021962473435E-3</v>
      </c>
      <c r="M230" s="1124">
        <f t="shared" si="26"/>
        <v>1.3522205581530675E-2</v>
      </c>
      <c r="N230" s="1133" t="e">
        <f t="shared" si="26"/>
        <v>#REF!</v>
      </c>
      <c r="O230" s="1134"/>
      <c r="P230" s="1248">
        <f t="shared" ref="P230:R248" si="27">VLOOKUP($B230,$B$7:$R$28,P$29,FALSE)</f>
        <v>3.4278891827637503</v>
      </c>
      <c r="Q230" s="1135">
        <f t="shared" si="27"/>
        <v>0.24423537898737996</v>
      </c>
      <c r="R230" s="1129">
        <f t="shared" si="27"/>
        <v>3.8230610288109381</v>
      </c>
      <c r="S230" s="1237"/>
    </row>
    <row r="231" spans="1:47">
      <c r="A231" s="1155" t="s">
        <v>505</v>
      </c>
      <c r="B231" s="73" t="s">
        <v>44</v>
      </c>
      <c r="C231" s="103">
        <f t="shared" si="26"/>
        <v>0.5805147103617575</v>
      </c>
      <c r="D231" s="1131">
        <f t="shared" si="26"/>
        <v>8.4948466413752491E-2</v>
      </c>
      <c r="E231" s="1132">
        <f t="shared" si="26"/>
        <v>0.6264024463118032</v>
      </c>
      <c r="F231" s="1130">
        <f t="shared" si="26"/>
        <v>0.51826084585195908</v>
      </c>
      <c r="G231" s="1131">
        <f t="shared" si="26"/>
        <v>0.40005999871326348</v>
      </c>
      <c r="H231" s="1132">
        <f t="shared" si="26"/>
        <v>0.58973938770950263</v>
      </c>
      <c r="I231" s="103">
        <f t="shared" si="26"/>
        <v>0.5495689942142129</v>
      </c>
      <c r="J231" s="1131">
        <f t="shared" si="26"/>
        <v>0.40637993517884302</v>
      </c>
      <c r="K231" s="1132">
        <f t="shared" si="26"/>
        <v>0.63323863537070213</v>
      </c>
      <c r="L231" s="1124">
        <f t="shared" si="26"/>
        <v>3.1308148362253818E-2</v>
      </c>
      <c r="M231" s="1124">
        <f t="shared" si="26"/>
        <v>6.0410020577161203E-2</v>
      </c>
      <c r="N231" s="1133" t="e">
        <f t="shared" si="26"/>
        <v>#REF!</v>
      </c>
      <c r="O231" s="1134" t="str">
        <f>VLOOKUP($B231,$B$7:$R$28,O$29,FALSE)</f>
        <v>= = ¯</v>
      </c>
      <c r="P231" s="1248">
        <f t="shared" si="27"/>
        <v>2.643581803383519</v>
      </c>
      <c r="Q231" s="1135">
        <f t="shared" si="27"/>
        <v>2.8580691559688957E-2</v>
      </c>
      <c r="R231" s="1129">
        <f t="shared" si="27"/>
        <v>2.5466878830879209</v>
      </c>
      <c r="S231" s="1231"/>
      <c r="T231" s="79"/>
    </row>
    <row r="232" spans="1:47">
      <c r="A232" s="1155" t="s">
        <v>19</v>
      </c>
      <c r="B232" s="152" t="s">
        <v>288</v>
      </c>
      <c r="C232" s="103">
        <f t="shared" si="26"/>
        <v>0.60741568747204655</v>
      </c>
      <c r="D232" s="1131">
        <f t="shared" si="26"/>
        <v>4.0950219141690898E-2</v>
      </c>
      <c r="E232" s="1132">
        <f t="shared" si="26"/>
        <v>0.62738172243152124</v>
      </c>
      <c r="F232" s="1130">
        <f t="shared" si="26"/>
        <v>0.50834561454306215</v>
      </c>
      <c r="G232" s="1131">
        <f t="shared" si="26"/>
        <v>0.27477182203191691</v>
      </c>
      <c r="H232" s="1132">
        <f t="shared" si="26"/>
        <v>0.61196382356206247</v>
      </c>
      <c r="I232" s="103">
        <f t="shared" si="26"/>
        <v>0.54898628094174651</v>
      </c>
      <c r="J232" s="1131">
        <f t="shared" si="26"/>
        <v>0.26756473067663017</v>
      </c>
      <c r="K232" s="1132">
        <f t="shared" si="26"/>
        <v>0.65530118542007598</v>
      </c>
      <c r="L232" s="1124">
        <f t="shared" si="26"/>
        <v>4.0640666398684355E-2</v>
      </c>
      <c r="M232" s="1124">
        <f t="shared" si="26"/>
        <v>7.9946920433679999E-2</v>
      </c>
      <c r="N232" s="1133" t="e">
        <f t="shared" si="26"/>
        <v>#REF!</v>
      </c>
      <c r="O232" s="1134"/>
      <c r="P232" s="1248">
        <f t="shared" si="27"/>
        <v>2.5321561588471506</v>
      </c>
      <c r="Q232" s="1135">
        <f t="shared" si="27"/>
        <v>1.3257606300410854E-2</v>
      </c>
      <c r="R232" s="1129">
        <f t="shared" si="27"/>
        <v>2.8138910595815916</v>
      </c>
      <c r="S232" s="1231"/>
    </row>
    <row r="233" spans="1:47">
      <c r="A233" s="1155" t="s">
        <v>219</v>
      </c>
      <c r="B233" s="73" t="s">
        <v>53</v>
      </c>
      <c r="C233" s="103">
        <f t="shared" si="26"/>
        <v>0.6158872479982318</v>
      </c>
      <c r="D233" s="1131">
        <f t="shared" si="26"/>
        <v>0.11044311863454735</v>
      </c>
      <c r="E233" s="1132">
        <f t="shared" si="26"/>
        <v>0.66127040038880336</v>
      </c>
      <c r="F233" s="1130">
        <f t="shared" si="26"/>
        <v>0.48384306036910518</v>
      </c>
      <c r="G233" s="1131">
        <f t="shared" si="26"/>
        <v>0.2595878527386451</v>
      </c>
      <c r="H233" s="1132">
        <f t="shared" si="26"/>
        <v>0.54381370963962039</v>
      </c>
      <c r="I233" s="103">
        <f t="shared" si="26"/>
        <v>0.51513010935716153</v>
      </c>
      <c r="J233" s="1131">
        <f t="shared" si="26"/>
        <v>0.26130995158024306</v>
      </c>
      <c r="K233" s="1132">
        <f t="shared" si="26"/>
        <v>0.57929804018594233</v>
      </c>
      <c r="L233" s="1124">
        <f t="shared" si="26"/>
        <v>3.1287048988056343E-2</v>
      </c>
      <c r="M233" s="1124">
        <f t="shared" si="26"/>
        <v>6.4663630732222685E-2</v>
      </c>
      <c r="N233" s="1133" t="e">
        <f t="shared" si="26"/>
        <v>#REF!</v>
      </c>
      <c r="O233" s="1134" t="str">
        <f>VLOOKUP($B233,$B$7:$R$28,O$29,FALSE)</f>
        <v>¯ ¯ ¯</v>
      </c>
      <c r="P233" s="1248">
        <f t="shared" si="27"/>
        <v>2.7929780820851775</v>
      </c>
      <c r="Q233" s="1135">
        <f t="shared" si="27"/>
        <v>0.12404595260605845</v>
      </c>
      <c r="R233" s="1129">
        <f t="shared" si="27"/>
        <v>2.8353348809740444</v>
      </c>
      <c r="S233" s="1237"/>
    </row>
    <row r="234" spans="1:47">
      <c r="A234" s="1155" t="s">
        <v>389</v>
      </c>
      <c r="B234" s="73" t="s">
        <v>278</v>
      </c>
      <c r="C234" s="103">
        <f t="shared" si="26"/>
        <v>0.60910298289809772</v>
      </c>
      <c r="D234" s="1131">
        <f t="shared" si="26"/>
        <v>-5.2071170724915891E-2</v>
      </c>
      <c r="E234" s="1132">
        <f t="shared" si="26"/>
        <v>0.6207941242005639</v>
      </c>
      <c r="F234" s="1130">
        <f t="shared" si="26"/>
        <v>0.49050145598877937</v>
      </c>
      <c r="G234" s="1131">
        <f t="shared" si="26"/>
        <v>0.42102559519407173</v>
      </c>
      <c r="H234" s="1132">
        <f t="shared" si="26"/>
        <v>0.61744816018521742</v>
      </c>
      <c r="I234" s="103">
        <f t="shared" si="26"/>
        <v>0.49698573886957192</v>
      </c>
      <c r="J234" s="1131">
        <f t="shared" si="26"/>
        <v>0.41032171167013903</v>
      </c>
      <c r="K234" s="1132">
        <f t="shared" si="26"/>
        <v>0.62319136029119382</v>
      </c>
      <c r="L234" s="1124">
        <f t="shared" si="26"/>
        <v>6.4842828807925579E-3</v>
      </c>
      <c r="M234" s="1124">
        <f t="shared" si="26"/>
        <v>1.3219701596443154E-2</v>
      </c>
      <c r="N234" s="1133" t="e">
        <f t="shared" si="26"/>
        <v>#REF!</v>
      </c>
      <c r="O234" s="1134" t="str">
        <f>VLOOKUP($B234,$B$7:$R$28,O$29,FALSE)</f>
        <v>= ¯</v>
      </c>
      <c r="P234" s="1248">
        <f t="shared" si="27"/>
        <v>2.1902281092407181</v>
      </c>
      <c r="Q234" s="1135">
        <f t="shared" si="27"/>
        <v>0.36844726500440206</v>
      </c>
      <c r="R234" s="1129">
        <f t="shared" si="27"/>
        <v>2.5252968522290931</v>
      </c>
      <c r="S234" s="1231"/>
    </row>
    <row r="235" spans="1:47">
      <c r="A235" s="1155" t="s">
        <v>32</v>
      </c>
      <c r="B235" s="73" t="s">
        <v>50</v>
      </c>
      <c r="C235" s="103">
        <f t="shared" si="26"/>
        <v>0</v>
      </c>
      <c r="D235" s="1131">
        <f t="shared" si="26"/>
        <v>0</v>
      </c>
      <c r="E235" s="1132">
        <f t="shared" si="26"/>
        <v>0</v>
      </c>
      <c r="F235" s="1130">
        <f t="shared" si="26"/>
        <v>0.37025195227815472</v>
      </c>
      <c r="G235" s="1131">
        <f t="shared" si="26"/>
        <v>-0.46222821771061889</v>
      </c>
      <c r="H235" s="1132">
        <f t="shared" si="26"/>
        <v>0.26403640782716253</v>
      </c>
      <c r="I235" s="103">
        <f t="shared" si="26"/>
        <v>0.48927059752514818</v>
      </c>
      <c r="J235" s="1131">
        <f t="shared" si="26"/>
        <v>-0.38189416595312975</v>
      </c>
      <c r="K235" s="1132">
        <f t="shared" si="26"/>
        <v>0.37414035756341019</v>
      </c>
      <c r="L235" s="1124">
        <f t="shared" si="26"/>
        <v>0.11901864524699346</v>
      </c>
      <c r="M235" s="1124">
        <f t="shared" si="26"/>
        <v>0.32145312000294263</v>
      </c>
      <c r="N235" s="1133" t="e">
        <f t="shared" si="26"/>
        <v>#REF!</v>
      </c>
      <c r="O235" s="1134" t="str">
        <f>VLOOKUP($B235,$B$7:$R$28,O$29,FALSE)</f>
        <v>= =</v>
      </c>
      <c r="P235" s="1248">
        <f t="shared" si="27"/>
        <v>2.2664974928712622</v>
      </c>
      <c r="Q235" s="1135">
        <f t="shared" si="27"/>
        <v>-0.12537902502142731</v>
      </c>
      <c r="R235" s="1129">
        <f t="shared" si="27"/>
        <v>2.136201464388483</v>
      </c>
      <c r="S235" s="1233"/>
    </row>
    <row r="236" spans="1:47">
      <c r="A236" s="1155" t="s">
        <v>27</v>
      </c>
      <c r="B236" s="73" t="s">
        <v>357</v>
      </c>
      <c r="C236" s="103">
        <f t="shared" si="26"/>
        <v>0.90539538726018864</v>
      </c>
      <c r="D236" s="1131">
        <f t="shared" si="26"/>
        <v>-4.1189056985539901E-2</v>
      </c>
      <c r="E236" s="1132">
        <f t="shared" si="26"/>
        <v>0.90138346931536006</v>
      </c>
      <c r="F236" s="1130">
        <f t="shared" si="26"/>
        <v>0.38160323267486906</v>
      </c>
      <c r="G236" s="1131">
        <f t="shared" si="26"/>
        <v>0.13281779457810056</v>
      </c>
      <c r="H236" s="1132">
        <f t="shared" si="26"/>
        <v>0.39444904186551905</v>
      </c>
      <c r="I236" s="103">
        <f t="shared" si="26"/>
        <v>0.47841518539184064</v>
      </c>
      <c r="J236" s="1131">
        <f t="shared" si="26"/>
        <v>1.1717685634717274E-2</v>
      </c>
      <c r="K236" s="1132">
        <f t="shared" si="26"/>
        <v>0.46507375880431212</v>
      </c>
      <c r="L236" s="1124">
        <f t="shared" si="26"/>
        <v>9.6811952716971572E-2</v>
      </c>
      <c r="M236" s="1124">
        <f t="shared" si="26"/>
        <v>0.25369793656715856</v>
      </c>
      <c r="N236" s="1133" t="str">
        <f t="shared" si="26"/>
        <v>No rating</v>
      </c>
      <c r="O236" s="1134"/>
      <c r="P236" s="1248">
        <f t="shared" si="27"/>
        <v>1.832329792526622</v>
      </c>
      <c r="Q236" s="1135">
        <f t="shared" si="27"/>
        <v>-9.9442962217240083E-2</v>
      </c>
      <c r="R236" s="1129">
        <f t="shared" si="27"/>
        <v>1.8160302149559577</v>
      </c>
      <c r="S236" s="1234"/>
    </row>
    <row r="237" spans="1:47">
      <c r="A237" s="1155" t="s">
        <v>545</v>
      </c>
      <c r="B237" s="73" t="s">
        <v>39</v>
      </c>
      <c r="C237" s="103">
        <f t="shared" si="26"/>
        <v>0.31054928118178421</v>
      </c>
      <c r="D237" s="1131">
        <f t="shared" si="26"/>
        <v>-0.11491916916279199</v>
      </c>
      <c r="E237" s="1132">
        <f t="shared" si="26"/>
        <v>0.28165979767703259</v>
      </c>
      <c r="F237" s="1130">
        <f t="shared" si="26"/>
        <v>0.3899242463002407</v>
      </c>
      <c r="G237" s="1131">
        <f t="shared" si="26"/>
        <v>-0.1197676600756727</v>
      </c>
      <c r="H237" s="1132">
        <f t="shared" si="26"/>
        <v>0.37944762378701169</v>
      </c>
      <c r="I237" s="103">
        <f t="shared" si="26"/>
        <v>0.45093517146474416</v>
      </c>
      <c r="J237" s="1131">
        <f t="shared" si="26"/>
        <v>-8.3572610535330494E-2</v>
      </c>
      <c r="K237" s="1132">
        <f t="shared" si="26"/>
        <v>0.43916945384982109</v>
      </c>
      <c r="L237" s="1124">
        <f t="shared" si="26"/>
        <v>6.101092516450346E-2</v>
      </c>
      <c r="M237" s="1124">
        <f t="shared" si="26"/>
        <v>0.15646866216553562</v>
      </c>
      <c r="N237" s="1133" t="e">
        <f t="shared" si="26"/>
        <v>#REF!</v>
      </c>
      <c r="O237" s="1134" t="str">
        <f>VLOOKUP($B237,$B$7:$R$28,O$29,FALSE)</f>
        <v>­ = =</v>
      </c>
      <c r="P237" s="1248">
        <f t="shared" si="27"/>
        <v>2.6587814840492587</v>
      </c>
      <c r="Q237" s="1135">
        <f t="shared" si="27"/>
        <v>-0.25803195656746131</v>
      </c>
      <c r="R237" s="1129">
        <f t="shared" si="27"/>
        <v>2.5933932385229874</v>
      </c>
      <c r="S237" s="1236"/>
    </row>
    <row r="238" spans="1:47">
      <c r="A238" s="1156" t="s">
        <v>323</v>
      </c>
      <c r="B238" s="726" t="s">
        <v>774</v>
      </c>
      <c r="C238" s="1076">
        <f t="shared" si="26"/>
        <v>6.4385445236561381E-2</v>
      </c>
      <c r="D238" s="1143">
        <f t="shared" si="26"/>
        <v>14.697799124913645</v>
      </c>
      <c r="E238" s="1144">
        <f t="shared" si="26"/>
        <v>0.15462918080465343</v>
      </c>
      <c r="F238" s="1142">
        <f t="shared" si="26"/>
        <v>0.42399287000325037</v>
      </c>
      <c r="G238" s="1143">
        <f t="shared" si="26"/>
        <v>4.5742782667206161E-2</v>
      </c>
      <c r="H238" s="1144">
        <f t="shared" si="26"/>
        <v>0.48144640266975475</v>
      </c>
      <c r="I238" s="1076">
        <f t="shared" si="26"/>
        <v>0.42695023434228802</v>
      </c>
      <c r="J238" s="1143">
        <f t="shared" si="26"/>
        <v>4.1366838913311048E-2</v>
      </c>
      <c r="K238" s="1144">
        <f t="shared" si="26"/>
        <v>0.4832654138496531</v>
      </c>
      <c r="L238" s="1136">
        <f t="shared" si="26"/>
        <v>2.9573643390376492E-3</v>
      </c>
      <c r="M238" s="1136">
        <f t="shared" si="26"/>
        <v>6.9750331863245195E-3</v>
      </c>
      <c r="N238" s="1145" t="e">
        <f t="shared" si="26"/>
        <v>#REF!</v>
      </c>
      <c r="O238" s="1146"/>
      <c r="P238" s="1247">
        <f t="shared" si="27"/>
        <v>3.7014756930154613</v>
      </c>
      <c r="Q238" s="1147">
        <f t="shared" si="27"/>
        <v>0.31334582285320112</v>
      </c>
      <c r="R238" s="1141">
        <f t="shared" si="27"/>
        <v>4.3704719780651446</v>
      </c>
      <c r="S238" s="1235"/>
    </row>
    <row r="239" spans="1:47">
      <c r="A239" s="1155" t="s">
        <v>508</v>
      </c>
      <c r="B239" s="73" t="s">
        <v>290</v>
      </c>
      <c r="C239" s="103">
        <f t="shared" si="26"/>
        <v>0.32615050588405037</v>
      </c>
      <c r="D239" s="1131">
        <f t="shared" si="26"/>
        <v>-8.7660674172335792E-2</v>
      </c>
      <c r="E239" s="1132">
        <f t="shared" si="26"/>
        <v>0.30985103942866765</v>
      </c>
      <c r="F239" s="1130">
        <f t="shared" si="26"/>
        <v>0.30558583418722468</v>
      </c>
      <c r="G239" s="1131">
        <f t="shared" si="26"/>
        <v>-0.13620468181810452</v>
      </c>
      <c r="H239" s="1132">
        <f t="shared" si="26"/>
        <v>0.29018390059321952</v>
      </c>
      <c r="I239" s="103">
        <f t="shared" si="26"/>
        <v>0.31922230141848357</v>
      </c>
      <c r="J239" s="1131">
        <f t="shared" si="26"/>
        <v>-0.13496032758973828</v>
      </c>
      <c r="K239" s="1132">
        <f t="shared" si="26"/>
        <v>0.30362227391248225</v>
      </c>
      <c r="L239" s="1124">
        <f t="shared" si="26"/>
        <v>1.3636467231258886E-2</v>
      </c>
      <c r="M239" s="1124">
        <f t="shared" si="26"/>
        <v>4.4624016252350789E-2</v>
      </c>
      <c r="N239" s="1133" t="e">
        <f t="shared" si="26"/>
        <v>#REF!</v>
      </c>
      <c r="O239" s="1134" t="str">
        <f>VLOOKUP($B239,$B$7:$R$28,O$29,FALSE)</f>
        <v>= =</v>
      </c>
      <c r="P239" s="1248">
        <f t="shared" si="27"/>
        <v>2.1579177629636748</v>
      </c>
      <c r="Q239" s="1135">
        <f t="shared" si="27"/>
        <v>6.0078851309961184E-2</v>
      </c>
      <c r="R239" s="1129">
        <f t="shared" si="27"/>
        <v>2.3009327536910358</v>
      </c>
      <c r="S239" s="1232"/>
    </row>
    <row r="240" spans="1:47">
      <c r="A240" s="1155" t="s">
        <v>32</v>
      </c>
      <c r="B240" s="73" t="s">
        <v>279</v>
      </c>
      <c r="C240" s="103">
        <f t="shared" ref="C240:N248" si="28">VLOOKUP($B240,$B$7:$R$28,C$29,FALSE)</f>
        <v>0.91487499999999988</v>
      </c>
      <c r="D240" s="1131">
        <f t="shared" si="28"/>
        <v>-4.3736501079913587E-2</v>
      </c>
      <c r="E240" s="1132">
        <f t="shared" si="28"/>
        <v>0.89481420237931208</v>
      </c>
      <c r="F240" s="1130">
        <f t="shared" si="28"/>
        <v>0.24509229252810941</v>
      </c>
      <c r="G240" s="1131">
        <f t="shared" si="28"/>
        <v>-0.16501821733667812</v>
      </c>
      <c r="H240" s="1132">
        <f t="shared" si="28"/>
        <v>0.23828807339295358</v>
      </c>
      <c r="I240" s="103">
        <f t="shared" si="28"/>
        <v>0.27870192226407053</v>
      </c>
      <c r="J240" s="1131">
        <f t="shared" si="28"/>
        <v>-0.14309331637647091</v>
      </c>
      <c r="K240" s="1132">
        <f t="shared" si="28"/>
        <v>0.2718321660431175</v>
      </c>
      <c r="L240" s="1124">
        <f t="shared" si="28"/>
        <v>3.3609629735961127E-2</v>
      </c>
      <c r="M240" s="1124">
        <f t="shared" si="28"/>
        <v>0.13713050455108242</v>
      </c>
      <c r="N240" s="1133" t="e">
        <f t="shared" si="28"/>
        <v>#REF!</v>
      </c>
      <c r="O240" s="1134"/>
      <c r="P240" s="1248">
        <f t="shared" si="27"/>
        <v>2.0880314655341889</v>
      </c>
      <c r="Q240" s="1135">
        <f t="shared" si="27"/>
        <v>-3.7762767487534328E-2</v>
      </c>
      <c r="R240" s="1129">
        <f t="shared" si="27"/>
        <v>2.3348198024327131</v>
      </c>
      <c r="S240" s="1233"/>
    </row>
    <row r="241" spans="1:47">
      <c r="A241" s="1156" t="s">
        <v>323</v>
      </c>
      <c r="B241" s="726" t="s">
        <v>773</v>
      </c>
      <c r="C241" s="1076">
        <f t="shared" si="28"/>
        <v>0.95644485424869818</v>
      </c>
      <c r="D241" s="1143">
        <f t="shared" si="28"/>
        <v>5.7346309608293736E-3</v>
      </c>
      <c r="E241" s="1144">
        <f t="shared" si="28"/>
        <v>0.97265268915223335</v>
      </c>
      <c r="F241" s="1142">
        <f t="shared" si="28"/>
        <v>0.16489915086810925</v>
      </c>
      <c r="G241" s="1143">
        <f t="shared" si="28"/>
        <v>2.0043608623878186</v>
      </c>
      <c r="H241" s="1144">
        <f t="shared" si="28"/>
        <v>0.32988338723452482</v>
      </c>
      <c r="I241" s="1076">
        <f t="shared" si="28"/>
        <v>0.27218937885351913</v>
      </c>
      <c r="J241" s="1143">
        <f t="shared" si="28"/>
        <v>1.2181747217666232</v>
      </c>
      <c r="K241" s="1144">
        <f t="shared" si="28"/>
        <v>0.4561905930983241</v>
      </c>
      <c r="L241" s="1136">
        <f t="shared" si="28"/>
        <v>0.10729022798540988</v>
      </c>
      <c r="M241" s="1136">
        <f t="shared" si="28"/>
        <v>0.65064148250965514</v>
      </c>
      <c r="N241" s="1145" t="str">
        <f t="shared" si="28"/>
        <v>No rating</v>
      </c>
      <c r="O241" s="1146"/>
      <c r="P241" s="1247">
        <f t="shared" si="27"/>
        <v>1.2440956586918632</v>
      </c>
      <c r="Q241" s="1147">
        <f t="shared" si="27"/>
        <v>0.5581122698382367</v>
      </c>
      <c r="R241" s="1141">
        <f t="shared" si="27"/>
        <v>1.6771658832683087</v>
      </c>
      <c r="S241" s="1234"/>
    </row>
    <row r="242" spans="1:47">
      <c r="A242" s="1155" t="s">
        <v>73</v>
      </c>
      <c r="B242" s="73" t="s">
        <v>285</v>
      </c>
      <c r="C242" s="103">
        <f t="shared" si="28"/>
        <v>0.62657499999999999</v>
      </c>
      <c r="D242" s="1131">
        <f t="shared" si="28"/>
        <v>5.5614710459497153E-2</v>
      </c>
      <c r="E242" s="1132">
        <f t="shared" si="28"/>
        <v>0.64439999999999997</v>
      </c>
      <c r="F242" s="1130">
        <f t="shared" si="28"/>
        <v>0.24190098439360719</v>
      </c>
      <c r="G242" s="1131">
        <f t="shared" si="28"/>
        <v>0.20667512064869559</v>
      </c>
      <c r="H242" s="1132">
        <f t="shared" si="28"/>
        <v>0.30597960586046052</v>
      </c>
      <c r="I242" s="103">
        <f t="shared" si="28"/>
        <v>0.2616424852780464</v>
      </c>
      <c r="J242" s="1131">
        <f t="shared" si="28"/>
        <v>0.20296552626351777</v>
      </c>
      <c r="K242" s="1132">
        <f t="shared" si="28"/>
        <v>0.32061814749302248</v>
      </c>
      <c r="L242" s="1124">
        <f t="shared" si="28"/>
        <v>1.9741500884439211E-2</v>
      </c>
      <c r="M242" s="1124">
        <f t="shared" si="28"/>
        <v>8.1609841042717679E-2</v>
      </c>
      <c r="N242" s="1133" t="e">
        <f t="shared" si="28"/>
        <v>#REF!</v>
      </c>
      <c r="O242" s="1134" t="str">
        <f>VLOOKUP($B242,$B$7:$R$28,O$29,FALSE)</f>
        <v>= =</v>
      </c>
      <c r="P242" s="1248">
        <f t="shared" si="27"/>
        <v>1.7511002028712532</v>
      </c>
      <c r="Q242" s="1135">
        <f t="shared" si="27"/>
        <v>0.37093258903528414</v>
      </c>
      <c r="R242" s="1129">
        <f t="shared" si="27"/>
        <v>2.2311132077757287</v>
      </c>
      <c r="S242" s="1232"/>
    </row>
    <row r="243" spans="1:47">
      <c r="A243" s="1155" t="s">
        <v>507</v>
      </c>
      <c r="B243" s="73" t="s">
        <v>284</v>
      </c>
      <c r="C243" s="103">
        <f t="shared" si="28"/>
        <v>0.67984865616162071</v>
      </c>
      <c r="D243" s="1131">
        <f t="shared" si="28"/>
        <v>0.13956056160252914</v>
      </c>
      <c r="E243" s="1132">
        <f t="shared" si="28"/>
        <v>0.7167630057803468</v>
      </c>
      <c r="F243" s="1130">
        <f t="shared" si="28"/>
        <v>0.23215418017261674</v>
      </c>
      <c r="G243" s="1131">
        <f t="shared" si="28"/>
        <v>0.36187217108516367</v>
      </c>
      <c r="H243" s="1132">
        <f t="shared" si="28"/>
        <v>0.26525179681706468</v>
      </c>
      <c r="I243" s="103">
        <f t="shared" si="28"/>
        <v>0.2501311526811702</v>
      </c>
      <c r="J243" s="1131">
        <f t="shared" si="28"/>
        <v>0.31916438327965047</v>
      </c>
      <c r="K243" s="1132">
        <f t="shared" si="28"/>
        <v>0.28287599661626001</v>
      </c>
      <c r="L243" s="1124">
        <f t="shared" si="28"/>
        <v>1.7976972508553457E-2</v>
      </c>
      <c r="M243" s="1124">
        <f t="shared" si="28"/>
        <v>7.7435489187344358E-2</v>
      </c>
      <c r="N243" s="1133" t="e">
        <f t="shared" si="28"/>
        <v>#REF!</v>
      </c>
      <c r="O243" s="1134" t="str">
        <f>VLOOKUP($B243,$B$7:$R$28,O$29,FALSE)</f>
        <v>= =</v>
      </c>
      <c r="P243" s="1248">
        <f t="shared" si="27"/>
        <v>1.845874038975184</v>
      </c>
      <c r="Q243" s="1135">
        <f t="shared" si="27"/>
        <v>0.36079457239176377</v>
      </c>
      <c r="R243" s="1129">
        <f t="shared" si="27"/>
        <v>2.1424428051274771</v>
      </c>
      <c r="S243" s="1232"/>
    </row>
    <row r="244" spans="1:47">
      <c r="A244" s="1155" t="s">
        <v>507</v>
      </c>
      <c r="B244" s="73" t="s">
        <v>282</v>
      </c>
      <c r="C244" s="103">
        <f t="shared" si="28"/>
        <v>0.67083419702973635</v>
      </c>
      <c r="D244" s="1131">
        <f t="shared" si="28"/>
        <v>-0.11335389957676706</v>
      </c>
      <c r="E244" s="1132">
        <f t="shared" si="28"/>
        <v>0.63639387890884902</v>
      </c>
      <c r="F244" s="1130">
        <f t="shared" si="28"/>
        <v>0.1536920907726812</v>
      </c>
      <c r="G244" s="1131">
        <f t="shared" si="28"/>
        <v>1.6283818604559013</v>
      </c>
      <c r="H244" s="1132">
        <f t="shared" si="28"/>
        <v>0.2022242346359609</v>
      </c>
      <c r="I244" s="103">
        <f t="shared" si="28"/>
        <v>0.20961441125119315</v>
      </c>
      <c r="J244" s="1131">
        <f t="shared" si="28"/>
        <v>0.84200521424561081</v>
      </c>
      <c r="K244" s="1132">
        <f t="shared" si="28"/>
        <v>0.28147528322389997</v>
      </c>
      <c r="L244" s="1124">
        <f t="shared" si="28"/>
        <v>5.592232047851195E-2</v>
      </c>
      <c r="M244" s="1124">
        <f t="shared" si="28"/>
        <v>0.36385945559959909</v>
      </c>
      <c r="N244" s="1133" t="str">
        <f t="shared" si="28"/>
        <v>No rating</v>
      </c>
      <c r="O244" s="1134"/>
      <c r="P244" s="1248">
        <f t="shared" si="27"/>
        <v>1.4399592566697517</v>
      </c>
      <c r="Q244" s="1135">
        <f t="shared" si="27"/>
        <v>0.8442860967329926</v>
      </c>
      <c r="R244" s="1129">
        <f t="shared" si="27"/>
        <v>1.5521418473212367</v>
      </c>
      <c r="S244" s="1232"/>
    </row>
    <row r="245" spans="1:47">
      <c r="A245" s="1156" t="s">
        <v>323</v>
      </c>
      <c r="B245" s="726" t="s">
        <v>772</v>
      </c>
      <c r="C245" s="1076">
        <f t="shared" si="28"/>
        <v>0.37158673775730477</v>
      </c>
      <c r="D245" s="1143">
        <f t="shared" si="28"/>
        <v>-0.1153634304384116</v>
      </c>
      <c r="E245" s="1144">
        <f t="shared" si="28"/>
        <v>0.36037883142173305</v>
      </c>
      <c r="F245" s="1142">
        <f t="shared" si="28"/>
        <v>0.17383796150947908</v>
      </c>
      <c r="G245" s="1143">
        <f t="shared" si="28"/>
        <v>0.54445307336528614</v>
      </c>
      <c r="H245" s="1144">
        <f t="shared" si="28"/>
        <v>0.26356163003804695</v>
      </c>
      <c r="I245" s="1076">
        <f t="shared" si="28"/>
        <v>0.19702478682132593</v>
      </c>
      <c r="J245" s="1143">
        <f t="shared" si="28"/>
        <v>0.50034734616182497</v>
      </c>
      <c r="K245" s="1144">
        <f t="shared" si="28"/>
        <v>0.28756363720088318</v>
      </c>
      <c r="L245" s="1136">
        <f t="shared" si="28"/>
        <v>2.3186825311846848E-2</v>
      </c>
      <c r="M245" s="1136">
        <f t="shared" si="28"/>
        <v>0.13338182932260462</v>
      </c>
      <c r="N245" s="1145" t="e">
        <f t="shared" si="28"/>
        <v>#REF!</v>
      </c>
      <c r="O245" s="1146" t="str">
        <f>VLOOKUP($B245,$B$7:$R$28,O$29,FALSE)</f>
        <v>= =</v>
      </c>
      <c r="P245" s="1247">
        <f t="shared" si="27"/>
        <v>0.93248540191552354</v>
      </c>
      <c r="Q245" s="1147">
        <f t="shared" si="27"/>
        <v>0.78949919521054279</v>
      </c>
      <c r="R245" s="1141">
        <f t="shared" si="27"/>
        <v>1.3109622071604587</v>
      </c>
      <c r="S245" s="1302"/>
    </row>
    <row r="246" spans="1:47">
      <c r="A246" s="1155" t="s">
        <v>506</v>
      </c>
      <c r="B246" s="73" t="s">
        <v>289</v>
      </c>
      <c r="C246" s="103">
        <f t="shared" si="28"/>
        <v>0.42290073595624156</v>
      </c>
      <c r="D246" s="1131">
        <f t="shared" si="28"/>
        <v>-9.0086339251873371E-2</v>
      </c>
      <c r="E246" s="1132">
        <f t="shared" si="28"/>
        <v>0.44946685046944856</v>
      </c>
      <c r="F246" s="1130">
        <f t="shared" si="28"/>
        <v>0.16307046534988884</v>
      </c>
      <c r="G246" s="1131">
        <f t="shared" si="28"/>
        <v>1.3005419282788433</v>
      </c>
      <c r="H246" s="1132">
        <f t="shared" si="28"/>
        <v>0.30950096360373897</v>
      </c>
      <c r="I246" s="103">
        <f t="shared" si="28"/>
        <v>0.18570292678335293</v>
      </c>
      <c r="J246" s="1131">
        <f t="shared" si="28"/>
        <v>1.251733079461073</v>
      </c>
      <c r="K246" s="1132">
        <f t="shared" si="28"/>
        <v>0.34197601038246805</v>
      </c>
      <c r="L246" s="1124">
        <f t="shared" si="28"/>
        <v>2.2632461433464091E-2</v>
      </c>
      <c r="M246" s="1124">
        <f t="shared" si="28"/>
        <v>0.13878945758144007</v>
      </c>
      <c r="N246" s="1133" t="e">
        <f t="shared" si="28"/>
        <v>#REF!</v>
      </c>
      <c r="O246" s="1134" t="str">
        <f>VLOOKUP($B246,$B$7:$R$28,O$29,FALSE)</f>
        <v>¯ ¯</v>
      </c>
      <c r="P246" s="1248">
        <f t="shared" si="27"/>
        <v>0.77886477042851432</v>
      </c>
      <c r="Q246" s="1135">
        <f t="shared" si="27"/>
        <v>1.0703005310133176</v>
      </c>
      <c r="R246" s="1129">
        <f t="shared" si="27"/>
        <v>1.1762690733772538</v>
      </c>
      <c r="S246" s="1231"/>
      <c r="AC246" s="1488"/>
      <c r="AF246" s="2263"/>
      <c r="AG246" s="2427"/>
    </row>
    <row r="247" spans="1:47">
      <c r="A247" s="1155" t="s">
        <v>504</v>
      </c>
      <c r="B247" s="73" t="s">
        <v>281</v>
      </c>
      <c r="C247" s="103">
        <f t="shared" si="28"/>
        <v>0.7344324868237998</v>
      </c>
      <c r="D247" s="1131">
        <f t="shared" si="28"/>
        <v>0.10784712869930438</v>
      </c>
      <c r="E247" s="1132">
        <f t="shared" si="28"/>
        <v>0.74956908795771016</v>
      </c>
      <c r="F247" s="1130">
        <f t="shared" si="28"/>
        <v>0.14726898954609682</v>
      </c>
      <c r="G247" s="1131">
        <f t="shared" si="28"/>
        <v>4.9939774449528171E-2</v>
      </c>
      <c r="H247" s="1132">
        <f t="shared" si="28"/>
        <v>0.17272839211728983</v>
      </c>
      <c r="I247" s="103">
        <f t="shared" si="28"/>
        <v>0.18443136241749356</v>
      </c>
      <c r="J247" s="1131">
        <f t="shared" si="28"/>
        <v>-5.7258906752796622E-2</v>
      </c>
      <c r="K247" s="1132">
        <f t="shared" si="28"/>
        <v>0.198117589718218</v>
      </c>
      <c r="L247" s="1124">
        <f t="shared" si="28"/>
        <v>3.7162372871396732E-2</v>
      </c>
      <c r="M247" s="1124">
        <f t="shared" si="28"/>
        <v>0.25234350412762557</v>
      </c>
      <c r="N247" s="1133" t="e">
        <f t="shared" si="28"/>
        <v>#REF!</v>
      </c>
      <c r="O247" s="1134" t="str">
        <f>VLOOKUP($B247,$B$7:$R$28,O$29,FALSE)</f>
        <v>= =</v>
      </c>
      <c r="P247" s="1248">
        <f t="shared" si="27"/>
        <v>1.0395975936863313</v>
      </c>
      <c r="Q247" s="1135">
        <f t="shared" si="27"/>
        <v>2.9438923535487854E-2</v>
      </c>
      <c r="R247" s="1129">
        <f t="shared" si="27"/>
        <v>1.2087727199953455</v>
      </c>
      <c r="S247" s="1232"/>
      <c r="AF247" s="2263"/>
      <c r="AG247" s="2427"/>
    </row>
    <row r="248" spans="1:47">
      <c r="A248" s="1155" t="s">
        <v>19</v>
      </c>
      <c r="B248" s="73" t="s">
        <v>287</v>
      </c>
      <c r="C248" s="117">
        <f t="shared" si="28"/>
        <v>9.1630231095150338E-2</v>
      </c>
      <c r="D248" s="1148" t="str">
        <f t="shared" si="28"/>
        <v>¥</v>
      </c>
      <c r="E248" s="1132">
        <f t="shared" si="28"/>
        <v>0.34976819018989347</v>
      </c>
      <c r="F248" s="1130">
        <f t="shared" si="28"/>
        <v>0.13477545507373562</v>
      </c>
      <c r="G248" s="1131">
        <f t="shared" si="28"/>
        <v>-0.4264373226073967</v>
      </c>
      <c r="H248" s="1132">
        <f t="shared" si="28"/>
        <v>9.7905485588969735E-2</v>
      </c>
      <c r="I248" s="103">
        <f t="shared" si="28"/>
        <v>0.16024846762312819</v>
      </c>
      <c r="J248" s="1131">
        <f t="shared" si="28"/>
        <v>-0.25253039609468159</v>
      </c>
      <c r="K248" s="1132">
        <f t="shared" si="28"/>
        <v>0.12849893093161849</v>
      </c>
      <c r="L248" s="1124">
        <f t="shared" si="28"/>
        <v>2.5473012549392576E-2</v>
      </c>
      <c r="M248" s="1124">
        <f t="shared" si="28"/>
        <v>0.18900335031669008</v>
      </c>
      <c r="N248" s="1133" t="str">
        <f t="shared" si="28"/>
        <v>No rating</v>
      </c>
      <c r="O248" s="1134"/>
      <c r="P248" s="1248">
        <f t="shared" si="27"/>
        <v>1.265551414722516</v>
      </c>
      <c r="Q248" s="1135">
        <f t="shared" si="27"/>
        <v>0.38040351489576829</v>
      </c>
      <c r="R248" s="1129">
        <f t="shared" si="27"/>
        <v>1.242834927692577</v>
      </c>
      <c r="S248" s="1235"/>
      <c r="AF248" s="2263"/>
      <c r="AG248" s="2427"/>
    </row>
    <row r="249" spans="1:47">
      <c r="AF249" s="2263"/>
      <c r="AG249" s="2427"/>
    </row>
    <row r="250" spans="1:47" s="1488" customFormat="1">
      <c r="A250" s="2844" t="s">
        <v>305</v>
      </c>
      <c r="B250" s="2844"/>
      <c r="C250" s="1871"/>
      <c r="D250" s="1871"/>
      <c r="E250" s="1871"/>
      <c r="F250" s="1871"/>
      <c r="G250" s="1871"/>
      <c r="H250" s="1871"/>
      <c r="I250" s="1871"/>
      <c r="J250" s="1871"/>
      <c r="K250" s="1871"/>
      <c r="L250" s="1871"/>
      <c r="M250" s="1871"/>
      <c r="N250" s="1871"/>
      <c r="O250" s="1871"/>
      <c r="P250" s="1871"/>
      <c r="Q250" s="1871"/>
      <c r="R250" s="1871"/>
      <c r="S250" s="1871"/>
      <c r="T250" s="3425" t="s">
        <v>1323</v>
      </c>
      <c r="U250" s="3425"/>
      <c r="V250" s="3425"/>
      <c r="W250" s="3425"/>
      <c r="X250" s="3425"/>
      <c r="Y250" s="3425"/>
      <c r="Z250" s="3425"/>
      <c r="AA250" s="3425"/>
      <c r="AB250" s="3425"/>
      <c r="AC250" s="3425"/>
      <c r="AD250" s="3425"/>
      <c r="AE250" s="3425"/>
      <c r="AF250" s="3425"/>
      <c r="AG250" s="2427"/>
      <c r="AU250" s="80"/>
    </row>
    <row r="251" spans="1:47" s="1488" customFormat="1">
      <c r="A251" s="2844" t="s">
        <v>323</v>
      </c>
      <c r="B251" s="2844"/>
      <c r="C251" s="1871"/>
      <c r="D251" s="1871"/>
      <c r="E251" s="1871"/>
      <c r="F251" s="1871"/>
      <c r="G251" s="1871"/>
      <c r="H251" s="1871"/>
      <c r="I251" s="1871"/>
      <c r="J251" s="1871"/>
      <c r="K251" s="1871"/>
      <c r="L251" s="1871"/>
      <c r="M251" s="1871"/>
      <c r="N251" s="1871"/>
      <c r="O251" s="1871"/>
      <c r="P251" s="1871"/>
      <c r="Q251" s="1871"/>
      <c r="R251" s="1871"/>
      <c r="S251" s="1871"/>
      <c r="T251" s="3309" t="s">
        <v>1320</v>
      </c>
      <c r="U251" s="3309"/>
      <c r="V251" s="3309"/>
      <c r="W251" s="3309"/>
      <c r="X251" s="3309"/>
      <c r="Y251" s="3309"/>
      <c r="Z251" s="3309"/>
      <c r="AA251" s="3309"/>
      <c r="AB251" s="3309"/>
      <c r="AC251" s="3309"/>
      <c r="AD251" s="3309"/>
      <c r="AE251" s="3309"/>
      <c r="AF251" s="3309"/>
      <c r="AG251" s="2427"/>
      <c r="AU251" s="80"/>
    </row>
    <row r="252" spans="1:47" s="1161" customFormat="1">
      <c r="A252" s="2845"/>
      <c r="B252" s="2845"/>
      <c r="C252" s="1871"/>
      <c r="D252" s="1871"/>
      <c r="E252" s="1871"/>
      <c r="F252" s="1871"/>
      <c r="G252" s="1871"/>
      <c r="H252" s="1871"/>
      <c r="I252" s="1871"/>
      <c r="J252" s="1871"/>
      <c r="K252" s="1871"/>
      <c r="L252" s="1871"/>
      <c r="M252" s="1871"/>
      <c r="N252" s="1871"/>
      <c r="O252" s="1871"/>
      <c r="P252" s="1871"/>
      <c r="Q252" s="1871"/>
      <c r="R252" s="1871"/>
      <c r="S252" s="1871"/>
      <c r="T252" s="3310"/>
      <c r="U252" s="3310"/>
      <c r="V252" s="3310"/>
      <c r="W252" s="3310"/>
      <c r="X252" s="3310"/>
      <c r="Y252" s="3310"/>
      <c r="Z252" s="3310"/>
      <c r="AA252" s="3310"/>
      <c r="AB252" s="3310"/>
      <c r="AC252" s="3310"/>
      <c r="AD252" s="3310"/>
      <c r="AE252" s="3310"/>
      <c r="AF252" s="3310"/>
      <c r="AG252" s="2427"/>
      <c r="AU252" s="80"/>
    </row>
    <row r="253" spans="1:47">
      <c r="AF253" s="2263"/>
    </row>
    <row r="254" spans="1:47" s="1488" customFormat="1">
      <c r="A254" s="1155"/>
      <c r="AF254" s="2263"/>
      <c r="AG254" s="2263"/>
      <c r="AU254" s="80"/>
    </row>
    <row r="255" spans="1:47" s="1488" customFormat="1" ht="13.2" customHeight="1">
      <c r="A255" s="1252" t="s">
        <v>1141</v>
      </c>
      <c r="B255" s="1123" t="s">
        <v>1187</v>
      </c>
      <c r="V255" s="1300" t="s">
        <v>323</v>
      </c>
      <c r="X255" s="1542"/>
      <c r="AD255" s="1300" t="s">
        <v>2302</v>
      </c>
      <c r="AG255" s="3119"/>
      <c r="AP255" s="1300" t="s">
        <v>2303</v>
      </c>
      <c r="AU255" s="80"/>
    </row>
    <row r="256" spans="1:47" s="1488" customFormat="1">
      <c r="A256" s="1155"/>
      <c r="AF256" s="3119"/>
      <c r="AG256" s="3119"/>
      <c r="AU256" s="80"/>
    </row>
    <row r="257" spans="1:47" s="1488" customFormat="1">
      <c r="A257" s="1155"/>
      <c r="AF257" s="2263"/>
      <c r="AG257" s="2263"/>
      <c r="AU257" s="80"/>
    </row>
    <row r="258" spans="1:47" s="1488" customFormat="1">
      <c r="A258" s="1155"/>
      <c r="AF258" s="2263"/>
      <c r="AG258" s="2263"/>
      <c r="AU258" s="80"/>
    </row>
    <row r="259" spans="1:47" s="1488" customFormat="1">
      <c r="A259" s="1155"/>
      <c r="AF259" s="2263"/>
      <c r="AG259" s="2263"/>
      <c r="AU259" s="80"/>
    </row>
    <row r="260" spans="1:47" s="1488" customFormat="1">
      <c r="A260" s="1155"/>
      <c r="AF260" s="2263"/>
      <c r="AG260" s="2263"/>
      <c r="AU260" s="80"/>
    </row>
    <row r="261" spans="1:47" s="1488" customFormat="1">
      <c r="A261" s="1155"/>
      <c r="AF261" s="2263"/>
      <c r="AG261" s="2263"/>
      <c r="AU261" s="80"/>
    </row>
    <row r="262" spans="1:47" s="1488" customFormat="1">
      <c r="A262" s="1155"/>
      <c r="AF262" s="2263"/>
      <c r="AG262" s="2263"/>
      <c r="AI262" s="3119" t="s">
        <v>2599</v>
      </c>
      <c r="AU262" s="80"/>
    </row>
    <row r="263" spans="1:47" s="1488" customFormat="1">
      <c r="A263" s="1155"/>
      <c r="AF263" s="2263"/>
      <c r="AG263" s="2263"/>
      <c r="AU263" s="80"/>
    </row>
    <row r="264" spans="1:47" s="1488" customFormat="1">
      <c r="A264" s="1155"/>
      <c r="AF264" s="2263"/>
      <c r="AG264" s="2263"/>
      <c r="AU264" s="80"/>
    </row>
    <row r="265" spans="1:47" s="1488" customFormat="1">
      <c r="A265" s="1155"/>
      <c r="AF265" s="2263"/>
      <c r="AG265" s="2263"/>
      <c r="AU265" s="80"/>
    </row>
    <row r="266" spans="1:47" s="1488" customFormat="1">
      <c r="A266" s="1155"/>
      <c r="AF266" s="2263"/>
      <c r="AG266" s="2263"/>
      <c r="AU266" s="80"/>
    </row>
    <row r="267" spans="1:47" s="1488" customFormat="1">
      <c r="A267" s="1155"/>
      <c r="AF267" s="2263"/>
      <c r="AG267" s="2263"/>
      <c r="AU267" s="80"/>
    </row>
    <row r="268" spans="1:47" s="1488" customFormat="1">
      <c r="A268" s="1155"/>
      <c r="AF268" s="2263"/>
      <c r="AG268" s="2263"/>
      <c r="AI268" s="1492"/>
      <c r="AJ268" s="2753" t="s">
        <v>2242</v>
      </c>
      <c r="AK268" s="1492" t="s">
        <v>1322</v>
      </c>
      <c r="AL268" s="1492" t="s">
        <v>1324</v>
      </c>
      <c r="AU268" s="80"/>
    </row>
    <row r="269" spans="1:47" s="1488" customFormat="1">
      <c r="A269" s="1155"/>
      <c r="AF269" s="2263"/>
      <c r="AG269" s="2263"/>
      <c r="AI269" s="1492" t="s">
        <v>289</v>
      </c>
      <c r="AJ269" s="150">
        <f>I304</f>
        <v>0.18570292678335293</v>
      </c>
      <c r="AK269" s="150">
        <f>K304</f>
        <v>0.34197601038246805</v>
      </c>
      <c r="AL269" s="1546">
        <f>1/(1+PROFILES!G427)</f>
        <v>0.80848289160193576</v>
      </c>
      <c r="AU269" s="80"/>
    </row>
    <row r="270" spans="1:47" s="1488" customFormat="1">
      <c r="A270" s="1155"/>
      <c r="AF270" s="2263"/>
      <c r="AG270" s="2263"/>
      <c r="AI270" s="1492" t="s">
        <v>39</v>
      </c>
      <c r="AJ270" s="150">
        <f>F302</f>
        <v>0.3899242463002407</v>
      </c>
      <c r="AK270" s="150">
        <f>H302</f>
        <v>0.37944762378701169</v>
      </c>
      <c r="AL270" s="1546">
        <f>1/(1+PROFILES!G428)</f>
        <v>0.79640465585414466</v>
      </c>
      <c r="AU270" s="80"/>
    </row>
    <row r="271" spans="1:47" s="1488" customFormat="1">
      <c r="A271" s="1155"/>
      <c r="AF271" s="2263"/>
      <c r="AG271" s="2263"/>
      <c r="AI271" s="1492" t="s">
        <v>286</v>
      </c>
      <c r="AJ271" s="150">
        <f>I291</f>
        <v>0.68457317243488636</v>
      </c>
      <c r="AK271" s="150">
        <f>K291</f>
        <v>0.75672107111582532</v>
      </c>
      <c r="AL271" s="1546">
        <f>1/(1+PROFILES!G429)</f>
        <v>0.74777116255796494</v>
      </c>
      <c r="AU271" s="80"/>
    </row>
    <row r="272" spans="1:47" s="1488" customFormat="1">
      <c r="A272" s="1155"/>
      <c r="AF272" s="2263"/>
      <c r="AG272" s="2263"/>
      <c r="AI272" s="1492" t="s">
        <v>44</v>
      </c>
      <c r="AJ272" s="150">
        <f>F294</f>
        <v>0.51826084585195908</v>
      </c>
      <c r="AK272" s="150">
        <f>H294</f>
        <v>0.58973938770950263</v>
      </c>
      <c r="AL272" s="1546">
        <f>1/(1+PROFILES!G431)</f>
        <v>0.7336718778851482</v>
      </c>
      <c r="AU272" s="80"/>
    </row>
    <row r="273" spans="1:47" s="1488" customFormat="1">
      <c r="A273" s="1155"/>
      <c r="AF273" s="2263"/>
      <c r="AG273" s="2263"/>
      <c r="AI273" s="1492" t="s">
        <v>290</v>
      </c>
      <c r="AJ273" s="150">
        <f>I306</f>
        <v>0.31922230141848357</v>
      </c>
      <c r="AK273" s="150">
        <f>K306</f>
        <v>0.30362227391248225</v>
      </c>
      <c r="AL273" s="1546">
        <f>1/(1+PROFILES!G432)</f>
        <v>0.67478204184630697</v>
      </c>
      <c r="AU273" s="80"/>
    </row>
    <row r="274" spans="1:47" s="1488" customFormat="1">
      <c r="A274" s="1155"/>
      <c r="AF274" s="2263"/>
      <c r="AG274" s="2263"/>
      <c r="AI274" s="1492" t="s">
        <v>278</v>
      </c>
      <c r="AJ274" s="150">
        <f>I295</f>
        <v>0.49698573886957192</v>
      </c>
      <c r="AK274" s="150">
        <f>K295</f>
        <v>0.62319136029119382</v>
      </c>
      <c r="AL274" s="1546">
        <f>1/(1+PROFILES!G433)</f>
        <v>0.66259577894959409</v>
      </c>
      <c r="AU274" s="80"/>
    </row>
    <row r="275" spans="1:47" s="1488" customFormat="1">
      <c r="A275" s="1155"/>
      <c r="AF275" s="2263"/>
      <c r="AG275" s="2263"/>
      <c r="AI275" s="107" t="s">
        <v>1069</v>
      </c>
      <c r="AJ275" s="108">
        <f>AVERAGE(AJ269:AJ274)</f>
        <v>0.4324448719430824</v>
      </c>
      <c r="AK275" s="108">
        <f>AVERAGE(AK269:AK274)</f>
        <v>0.49911628786641399</v>
      </c>
      <c r="AL275" s="107"/>
      <c r="AU275" s="80"/>
    </row>
    <row r="276" spans="1:47" s="1488" customFormat="1">
      <c r="A276" s="1155"/>
      <c r="AF276" s="2263"/>
      <c r="AG276" s="2263"/>
      <c r="AI276" s="1493" t="s">
        <v>1068</v>
      </c>
      <c r="AJ276" s="155">
        <f>SUMPRODUCT(AJ269:AJ274,$AL$269:$AL$274)/$AL$276</f>
        <v>0.42894299606735475</v>
      </c>
      <c r="AK276" s="155">
        <f>SUMPRODUCT(AK269:AK274,$AL$269:$AL$274)/$AL$276</f>
        <v>0.49619179815884484</v>
      </c>
      <c r="AL276" s="240">
        <f>SUM(AL269:AL274)</f>
        <v>4.4237084086950942</v>
      </c>
      <c r="AU276" s="80"/>
    </row>
    <row r="277" spans="1:47" s="1488" customFormat="1">
      <c r="A277" s="1155"/>
      <c r="AF277" s="2263"/>
      <c r="AG277" s="2263"/>
      <c r="AU277" s="80"/>
    </row>
    <row r="278" spans="1:47" s="1488" customFormat="1">
      <c r="A278" s="1155"/>
      <c r="AF278" s="2263"/>
      <c r="AG278" s="2263"/>
      <c r="AU278" s="80"/>
    </row>
    <row r="279" spans="1:47" s="1488" customFormat="1">
      <c r="A279" s="1155"/>
      <c r="AF279" s="2263"/>
      <c r="AG279" s="2263"/>
      <c r="AU279" s="80"/>
    </row>
    <row r="280" spans="1:47" s="1488" customFormat="1">
      <c r="A280" s="1155"/>
      <c r="AF280" s="2263"/>
      <c r="AG280" s="1526"/>
      <c r="AJ280" s="1871" t="s">
        <v>1528</v>
      </c>
      <c r="AL280" s="2857" t="s">
        <v>2248</v>
      </c>
      <c r="AU280" s="80"/>
    </row>
    <row r="281" spans="1:47" s="1488" customFormat="1">
      <c r="A281" s="1284" t="s">
        <v>38</v>
      </c>
      <c r="B281" s="1284"/>
      <c r="T281" s="3313" t="s">
        <v>1325</v>
      </c>
      <c r="U281" s="3313"/>
      <c r="V281" s="3313"/>
      <c r="W281" s="3313"/>
      <c r="X281" s="3313"/>
      <c r="Y281" s="3313"/>
      <c r="Z281" s="3313"/>
      <c r="AA281" s="3313"/>
      <c r="AB281" s="3313"/>
      <c r="AC281" s="3313"/>
      <c r="AD281" s="3313"/>
      <c r="AE281" s="3313"/>
      <c r="AF281" s="3313"/>
      <c r="AG281" s="3313"/>
      <c r="AH281" s="3314"/>
      <c r="AI281" s="2858">
        <v>0.39</v>
      </c>
      <c r="AJ281" s="1754" t="s">
        <v>1338</v>
      </c>
      <c r="AK281" s="1754"/>
      <c r="AL281" s="1754"/>
      <c r="AU281" s="80"/>
    </row>
    <row r="282" spans="1:47" s="1488" customFormat="1">
      <c r="A282" s="1284" t="s">
        <v>36</v>
      </c>
      <c r="B282" s="1284"/>
      <c r="T282" s="3315" t="s">
        <v>1326</v>
      </c>
      <c r="U282" s="3315"/>
      <c r="V282" s="3315"/>
      <c r="W282" s="3315"/>
      <c r="X282" s="3315"/>
      <c r="Y282" s="3315"/>
      <c r="Z282" s="3315"/>
      <c r="AA282" s="3315"/>
      <c r="AB282" s="3315"/>
      <c r="AC282" s="3315"/>
      <c r="AD282" s="3315"/>
      <c r="AE282" s="3315"/>
      <c r="AF282" s="3315"/>
      <c r="AG282" s="3315"/>
      <c r="AH282" s="3316"/>
      <c r="AJ282" s="1871" t="s">
        <v>2244</v>
      </c>
      <c r="AK282" s="1871"/>
      <c r="AL282" s="1871"/>
      <c r="AU282" s="80"/>
    </row>
    <row r="283" spans="1:47" s="1488" customFormat="1">
      <c r="A283" s="1284" t="s">
        <v>37</v>
      </c>
      <c r="B283" s="1284"/>
      <c r="T283" s="3317" t="s">
        <v>2246</v>
      </c>
      <c r="U283" s="3317"/>
      <c r="V283" s="3317"/>
      <c r="W283" s="3317"/>
      <c r="X283" s="3317"/>
      <c r="Y283" s="3317"/>
      <c r="Z283" s="3317"/>
      <c r="AA283" s="3317"/>
      <c r="AB283" s="3317"/>
      <c r="AC283" s="3317"/>
      <c r="AD283" s="3317"/>
      <c r="AE283" s="3317"/>
      <c r="AF283" s="3317"/>
      <c r="AG283" s="3317"/>
      <c r="AH283" s="3318"/>
      <c r="AJ283" s="2854" t="s">
        <v>2245</v>
      </c>
      <c r="AK283" s="2854"/>
      <c r="AL283" s="2854"/>
      <c r="AU283" s="80"/>
    </row>
    <row r="284" spans="1:47" s="1488" customFormat="1">
      <c r="A284" s="1481"/>
      <c r="B284" s="1481"/>
      <c r="T284" s="3307"/>
      <c r="U284" s="3307"/>
      <c r="V284" s="3307"/>
      <c r="W284" s="3307"/>
      <c r="X284" s="3307"/>
      <c r="Y284" s="3307"/>
      <c r="Z284" s="3307"/>
      <c r="AA284" s="3307"/>
      <c r="AB284" s="3307"/>
      <c r="AC284" s="3307"/>
      <c r="AD284" s="3307"/>
      <c r="AE284" s="3307"/>
      <c r="AF284" s="3307"/>
      <c r="AG284" s="3307"/>
      <c r="AH284" s="3308"/>
      <c r="AJ284" s="2855"/>
      <c r="AK284" s="2855"/>
      <c r="AL284" s="2855"/>
      <c r="AU284" s="80"/>
    </row>
    <row r="285" spans="1:47" s="1488" customFormat="1">
      <c r="A285" s="1481"/>
      <c r="B285" s="1481"/>
      <c r="T285" s="1526" t="s">
        <v>2247</v>
      </c>
      <c r="U285" s="1526"/>
      <c r="V285" s="1526"/>
      <c r="W285" s="1526"/>
      <c r="X285" s="1526"/>
      <c r="Y285" s="1526"/>
      <c r="Z285" s="1526"/>
      <c r="AA285" s="1526"/>
      <c r="AB285" s="1526"/>
      <c r="AC285" s="1526"/>
      <c r="AD285" s="1526"/>
      <c r="AE285" s="1526"/>
      <c r="AF285" s="1526"/>
      <c r="AG285" s="1526"/>
      <c r="AH285" s="1829"/>
      <c r="AJ285" s="2856" t="s">
        <v>1339</v>
      </c>
      <c r="AK285" s="2856"/>
      <c r="AL285" s="2856"/>
      <c r="AU285" s="80"/>
    </row>
    <row r="286" spans="1:47" s="1488" customFormat="1">
      <c r="A286" s="1284" t="s">
        <v>32</v>
      </c>
      <c r="B286" s="1284"/>
      <c r="T286" s="3317" t="s">
        <v>2249</v>
      </c>
      <c r="U286" s="3317"/>
      <c r="V286" s="3317"/>
      <c r="W286" s="3317"/>
      <c r="X286" s="3317"/>
      <c r="Y286" s="3317"/>
      <c r="Z286" s="3317"/>
      <c r="AA286" s="3317"/>
      <c r="AB286" s="3317"/>
      <c r="AC286" s="3317"/>
      <c r="AD286" s="3317"/>
      <c r="AE286" s="3317"/>
      <c r="AF286" s="3317"/>
      <c r="AG286" s="3317"/>
      <c r="AH286" s="3318"/>
      <c r="AU286" s="80"/>
    </row>
    <row r="287" spans="1:47" s="1488" customFormat="1">
      <c r="A287" s="1285"/>
      <c r="B287" s="1285"/>
      <c r="T287" s="3319"/>
      <c r="U287" s="3319"/>
      <c r="V287" s="3319"/>
      <c r="W287" s="3319"/>
      <c r="X287" s="3319"/>
      <c r="Y287" s="3319"/>
      <c r="Z287" s="3319"/>
      <c r="AA287" s="3319"/>
      <c r="AB287" s="3319"/>
      <c r="AC287" s="3319"/>
      <c r="AD287" s="3319"/>
      <c r="AE287" s="3319"/>
      <c r="AF287" s="3319"/>
      <c r="AG287" s="3319"/>
      <c r="AH287" s="3320"/>
      <c r="AU287" s="80"/>
    </row>
    <row r="288" spans="1:47" s="1488" customFormat="1">
      <c r="A288" s="1155"/>
      <c r="AF288" s="2263"/>
      <c r="AG288" s="2262"/>
      <c r="AU288" s="80"/>
    </row>
    <row r="289" spans="1:35">
      <c r="AF289" s="2263"/>
    </row>
    <row r="290" spans="1:35">
      <c r="A290" s="1252" t="s">
        <v>1141</v>
      </c>
      <c r="B290" s="1123" t="s">
        <v>1278</v>
      </c>
      <c r="AF290" s="2263"/>
      <c r="AI290" s="2487" t="s">
        <v>2252</v>
      </c>
    </row>
    <row r="291" spans="1:35">
      <c r="A291" s="1155" t="s">
        <v>503</v>
      </c>
      <c r="B291" s="73" t="s">
        <v>286</v>
      </c>
      <c r="C291" s="103">
        <f t="shared" ref="C291:R291" si="29">VLOOKUP($B291,$B$7:$R$28,C$29,FALSE)</f>
        <v>0.34534166666666666</v>
      </c>
      <c r="D291" s="1131">
        <f t="shared" si="29"/>
        <v>-5.4500069338510607E-2</v>
      </c>
      <c r="E291" s="104">
        <f t="shared" si="29"/>
        <v>0.3626280111015483</v>
      </c>
      <c r="F291" s="1130">
        <f t="shared" si="29"/>
        <v>0.67997702229572432</v>
      </c>
      <c r="G291" s="1131">
        <f t="shared" si="29"/>
        <v>0.10658020511075152</v>
      </c>
      <c r="H291" s="1132">
        <f t="shared" si="29"/>
        <v>0.75270955685414354</v>
      </c>
      <c r="I291" s="1242">
        <f t="shared" si="29"/>
        <v>0.68457317243488636</v>
      </c>
      <c r="J291" s="1131">
        <f t="shared" si="29"/>
        <v>0.10522314957078965</v>
      </c>
      <c r="K291" s="104">
        <f t="shared" si="29"/>
        <v>0.75672107111582532</v>
      </c>
      <c r="L291" s="1124">
        <f t="shared" si="29"/>
        <v>4.5961501391620363E-3</v>
      </c>
      <c r="M291" s="1124">
        <f t="shared" si="29"/>
        <v>6.7592727231349809E-3</v>
      </c>
      <c r="N291" s="1133" t="e">
        <f t="shared" si="29"/>
        <v>#REF!</v>
      </c>
      <c r="O291" s="1134" t="str">
        <f t="shared" si="29"/>
        <v>= ¯ ¯</v>
      </c>
      <c r="P291" s="1248">
        <f t="shared" si="29"/>
        <v>2.9152503149286035</v>
      </c>
      <c r="Q291" s="1135">
        <f t="shared" si="29"/>
        <v>-0.14664752669478531</v>
      </c>
      <c r="R291" s="1129">
        <f t="shared" si="29"/>
        <v>2.8370691340232916</v>
      </c>
      <c r="S291" s="1231"/>
      <c r="AF291" s="2263"/>
    </row>
    <row r="292" spans="1:35">
      <c r="A292" s="1155" t="s">
        <v>27</v>
      </c>
      <c r="B292" s="73" t="s">
        <v>54</v>
      </c>
      <c r="C292" s="103">
        <f t="shared" ref="C292:N301" si="30">VLOOKUP($B292,$B$7:$R$28,C$29,FALSE)</f>
        <v>0.48460704112825509</v>
      </c>
      <c r="D292" s="1131">
        <f t="shared" si="30"/>
        <v>-0.18079580514885477</v>
      </c>
      <c r="E292" s="104">
        <f t="shared" si="30"/>
        <v>0.49497857034449522</v>
      </c>
      <c r="F292" s="1130">
        <f t="shared" si="30"/>
        <v>0.56717095077467305</v>
      </c>
      <c r="G292" s="1131">
        <f t="shared" si="30"/>
        <v>0.64731222518720821</v>
      </c>
      <c r="H292" s="1132">
        <f t="shared" si="30"/>
        <v>0.74754623070756221</v>
      </c>
      <c r="I292" s="1242">
        <f t="shared" si="30"/>
        <v>0.5748403529709204</v>
      </c>
      <c r="J292" s="1131">
        <f t="shared" si="30"/>
        <v>0.5906099669472562</v>
      </c>
      <c r="K292" s="104">
        <f t="shared" si="30"/>
        <v>0.7506672643344422</v>
      </c>
      <c r="L292" s="1124">
        <f t="shared" si="30"/>
        <v>7.6694021962473435E-3</v>
      </c>
      <c r="M292" s="1124">
        <f t="shared" si="30"/>
        <v>1.3522205581530675E-2</v>
      </c>
      <c r="N292" s="1133" t="e">
        <f t="shared" si="30"/>
        <v>#REF!</v>
      </c>
      <c r="O292" s="1134"/>
      <c r="P292" s="1248">
        <f t="shared" ref="P292:R312" si="31">VLOOKUP($B292,$B$7:$R$28,P$29,FALSE)</f>
        <v>3.4278891827637503</v>
      </c>
      <c r="Q292" s="1135">
        <f t="shared" si="31"/>
        <v>0.24423537898737996</v>
      </c>
      <c r="R292" s="1129">
        <f t="shared" si="31"/>
        <v>3.8230610288109381</v>
      </c>
      <c r="S292" s="1237"/>
      <c r="AF292" s="2263"/>
    </row>
    <row r="293" spans="1:35">
      <c r="A293" s="1155" t="s">
        <v>19</v>
      </c>
      <c r="B293" s="152" t="s">
        <v>288</v>
      </c>
      <c r="C293" s="103">
        <f t="shared" si="30"/>
        <v>0.60741568747204655</v>
      </c>
      <c r="D293" s="1131">
        <f t="shared" si="30"/>
        <v>4.0950219141690898E-2</v>
      </c>
      <c r="E293" s="104">
        <f t="shared" si="30"/>
        <v>0.62738172243152124</v>
      </c>
      <c r="F293" s="1130">
        <f t="shared" si="30"/>
        <v>0.50834561454306215</v>
      </c>
      <c r="G293" s="1131">
        <f t="shared" si="30"/>
        <v>0.27477182203191691</v>
      </c>
      <c r="H293" s="1132">
        <f t="shared" si="30"/>
        <v>0.61196382356206247</v>
      </c>
      <c r="I293" s="1242">
        <f t="shared" si="30"/>
        <v>0.54898628094174651</v>
      </c>
      <c r="J293" s="1131">
        <f t="shared" si="30"/>
        <v>0.26756473067663017</v>
      </c>
      <c r="K293" s="104">
        <f t="shared" si="30"/>
        <v>0.65530118542007598</v>
      </c>
      <c r="L293" s="1124">
        <f t="shared" si="30"/>
        <v>4.0640666398684355E-2</v>
      </c>
      <c r="M293" s="1124">
        <f t="shared" si="30"/>
        <v>7.9946920433679999E-2</v>
      </c>
      <c r="N293" s="1133" t="e">
        <f t="shared" si="30"/>
        <v>#REF!</v>
      </c>
      <c r="O293" s="1134"/>
      <c r="P293" s="1248">
        <f t="shared" si="31"/>
        <v>2.5321561588471506</v>
      </c>
      <c r="Q293" s="1135">
        <f t="shared" si="31"/>
        <v>1.3257606300410854E-2</v>
      </c>
      <c r="R293" s="1129">
        <f t="shared" si="31"/>
        <v>2.8138910595815916</v>
      </c>
      <c r="S293" s="1231"/>
      <c r="AF293" s="2263"/>
    </row>
    <row r="294" spans="1:35">
      <c r="A294" s="1155" t="s">
        <v>505</v>
      </c>
      <c r="B294" s="73" t="s">
        <v>44</v>
      </c>
      <c r="C294" s="103">
        <f t="shared" si="30"/>
        <v>0.5805147103617575</v>
      </c>
      <c r="D294" s="1131">
        <f t="shared" si="30"/>
        <v>8.4948466413752491E-2</v>
      </c>
      <c r="E294" s="104">
        <f t="shared" si="30"/>
        <v>0.6264024463118032</v>
      </c>
      <c r="F294" s="1130">
        <f t="shared" si="30"/>
        <v>0.51826084585195908</v>
      </c>
      <c r="G294" s="1131">
        <f t="shared" si="30"/>
        <v>0.40005999871326348</v>
      </c>
      <c r="H294" s="1132">
        <f t="shared" si="30"/>
        <v>0.58973938770950263</v>
      </c>
      <c r="I294" s="1242">
        <f t="shared" si="30"/>
        <v>0.5495689942142129</v>
      </c>
      <c r="J294" s="1131">
        <f t="shared" si="30"/>
        <v>0.40637993517884302</v>
      </c>
      <c r="K294" s="104">
        <f t="shared" si="30"/>
        <v>0.63323863537070213</v>
      </c>
      <c r="L294" s="1124">
        <f t="shared" si="30"/>
        <v>3.1308148362253818E-2</v>
      </c>
      <c r="M294" s="1124">
        <f t="shared" si="30"/>
        <v>6.0410020577161203E-2</v>
      </c>
      <c r="N294" s="1133" t="e">
        <f t="shared" si="30"/>
        <v>#REF!</v>
      </c>
      <c r="O294" s="1134" t="str">
        <f>VLOOKUP($B294,$B$7:$R$28,O$29,FALSE)</f>
        <v>= = ¯</v>
      </c>
      <c r="P294" s="1248">
        <f t="shared" si="31"/>
        <v>2.643581803383519</v>
      </c>
      <c r="Q294" s="1135">
        <f t="shared" si="31"/>
        <v>2.8580691559688957E-2</v>
      </c>
      <c r="R294" s="1129">
        <f t="shared" si="31"/>
        <v>2.5466878830879209</v>
      </c>
      <c r="S294" s="1231"/>
      <c r="AF294" s="2263"/>
    </row>
    <row r="295" spans="1:35">
      <c r="A295" s="1155" t="s">
        <v>389</v>
      </c>
      <c r="B295" s="73" t="s">
        <v>278</v>
      </c>
      <c r="C295" s="103">
        <f t="shared" si="30"/>
        <v>0.60910298289809772</v>
      </c>
      <c r="D295" s="1131">
        <f t="shared" si="30"/>
        <v>-5.2071170724915891E-2</v>
      </c>
      <c r="E295" s="104">
        <f t="shared" si="30"/>
        <v>0.6207941242005639</v>
      </c>
      <c r="F295" s="1130">
        <f t="shared" si="30"/>
        <v>0.49050145598877937</v>
      </c>
      <c r="G295" s="1131">
        <f t="shared" si="30"/>
        <v>0.42102559519407173</v>
      </c>
      <c r="H295" s="1132">
        <f t="shared" si="30"/>
        <v>0.61744816018521742</v>
      </c>
      <c r="I295" s="1242">
        <f t="shared" si="30"/>
        <v>0.49698573886957192</v>
      </c>
      <c r="J295" s="1131">
        <f t="shared" si="30"/>
        <v>0.41032171167013903</v>
      </c>
      <c r="K295" s="104">
        <f t="shared" si="30"/>
        <v>0.62319136029119382</v>
      </c>
      <c r="L295" s="1124">
        <f t="shared" si="30"/>
        <v>6.4842828807925579E-3</v>
      </c>
      <c r="M295" s="1124">
        <f t="shared" si="30"/>
        <v>1.3219701596443154E-2</v>
      </c>
      <c r="N295" s="1133" t="e">
        <f t="shared" si="30"/>
        <v>#REF!</v>
      </c>
      <c r="O295" s="1134" t="str">
        <f>VLOOKUP($B295,$B$7:$R$28,O$29,FALSE)</f>
        <v>= ¯</v>
      </c>
      <c r="P295" s="1248">
        <f t="shared" si="31"/>
        <v>2.1902281092407181</v>
      </c>
      <c r="Q295" s="1135">
        <f t="shared" si="31"/>
        <v>0.36844726500440206</v>
      </c>
      <c r="R295" s="1129">
        <f t="shared" si="31"/>
        <v>2.5252968522290931</v>
      </c>
      <c r="S295" s="1231"/>
      <c r="T295" s="79"/>
      <c r="AF295" s="2263"/>
    </row>
    <row r="296" spans="1:35">
      <c r="A296" s="1155" t="s">
        <v>502</v>
      </c>
      <c r="B296" s="73" t="s">
        <v>52</v>
      </c>
      <c r="C296" s="103">
        <f t="shared" si="30"/>
        <v>0.61</v>
      </c>
      <c r="D296" s="1131">
        <f t="shared" si="30"/>
        <v>0</v>
      </c>
      <c r="E296" s="104">
        <f t="shared" si="30"/>
        <v>0.62983042679437373</v>
      </c>
      <c r="F296" s="1130">
        <f t="shared" si="30"/>
        <v>0.51528895508035288</v>
      </c>
      <c r="G296" s="1131">
        <f t="shared" si="30"/>
        <v>-2.4931247740904369E-2</v>
      </c>
      <c r="H296" s="1132">
        <f t="shared" si="30"/>
        <v>0.51939744871548044</v>
      </c>
      <c r="I296" s="1242">
        <f t="shared" si="30"/>
        <v>0.58808850315066874</v>
      </c>
      <c r="J296" s="1131">
        <f t="shared" si="30"/>
        <v>-2.8226553900756759E-2</v>
      </c>
      <c r="K296" s="104">
        <f t="shared" si="30"/>
        <v>0.59074959904524027</v>
      </c>
      <c r="L296" s="1124">
        <f t="shared" si="30"/>
        <v>7.2799548070315856E-2</v>
      </c>
      <c r="M296" s="1124">
        <f t="shared" si="30"/>
        <v>0.14127907721011346</v>
      </c>
      <c r="N296" s="1133" t="e">
        <f t="shared" si="30"/>
        <v>#REF!</v>
      </c>
      <c r="O296" s="1134" t="str">
        <f>VLOOKUP($B296,$B$7:$R$28,O$29,FALSE)</f>
        <v>= = =</v>
      </c>
      <c r="P296" s="1248">
        <f t="shared" si="31"/>
        <v>2.7906818261625395</v>
      </c>
      <c r="Q296" s="1135">
        <f t="shared" si="31"/>
        <v>8.5841806528642844E-2</v>
      </c>
      <c r="R296" s="1129">
        <f t="shared" si="31"/>
        <v>2.9178287645268703</v>
      </c>
      <c r="S296" s="1231"/>
      <c r="AD296" s="79"/>
      <c r="AF296" s="2263"/>
    </row>
    <row r="297" spans="1:35">
      <c r="A297" s="1155" t="s">
        <v>219</v>
      </c>
      <c r="B297" s="73" t="s">
        <v>53</v>
      </c>
      <c r="C297" s="103">
        <f t="shared" si="30"/>
        <v>0.6158872479982318</v>
      </c>
      <c r="D297" s="1131">
        <f t="shared" si="30"/>
        <v>0.11044311863454735</v>
      </c>
      <c r="E297" s="104">
        <f t="shared" si="30"/>
        <v>0.66127040038880336</v>
      </c>
      <c r="F297" s="1130">
        <f t="shared" si="30"/>
        <v>0.48384306036910518</v>
      </c>
      <c r="G297" s="1131">
        <f t="shared" si="30"/>
        <v>0.2595878527386451</v>
      </c>
      <c r="H297" s="1132">
        <f t="shared" si="30"/>
        <v>0.54381370963962039</v>
      </c>
      <c r="I297" s="1242">
        <f t="shared" si="30"/>
        <v>0.51513010935716153</v>
      </c>
      <c r="J297" s="1131">
        <f t="shared" si="30"/>
        <v>0.26130995158024306</v>
      </c>
      <c r="K297" s="104">
        <f t="shared" si="30"/>
        <v>0.57929804018594233</v>
      </c>
      <c r="L297" s="1124">
        <f t="shared" si="30"/>
        <v>3.1287048988056343E-2</v>
      </c>
      <c r="M297" s="1124">
        <f t="shared" si="30"/>
        <v>6.4663630732222685E-2</v>
      </c>
      <c r="N297" s="1133" t="e">
        <f t="shared" si="30"/>
        <v>#REF!</v>
      </c>
      <c r="O297" s="1134" t="str">
        <f>VLOOKUP($B297,$B$7:$R$28,O$29,FALSE)</f>
        <v>¯ ¯ ¯</v>
      </c>
      <c r="P297" s="1248">
        <f t="shared" si="31"/>
        <v>2.7929780820851775</v>
      </c>
      <c r="Q297" s="1135">
        <f t="shared" si="31"/>
        <v>0.12404595260605845</v>
      </c>
      <c r="R297" s="1129">
        <f t="shared" si="31"/>
        <v>2.8353348809740444</v>
      </c>
      <c r="S297" s="1237"/>
      <c r="AC297" s="79" t="s">
        <v>2256</v>
      </c>
      <c r="AF297" s="2263"/>
    </row>
    <row r="298" spans="1:35">
      <c r="A298" s="1156" t="s">
        <v>323</v>
      </c>
      <c r="B298" s="726" t="s">
        <v>774</v>
      </c>
      <c r="C298" s="1076">
        <f t="shared" si="30"/>
        <v>6.4385445236561381E-2</v>
      </c>
      <c r="D298" s="1143">
        <f t="shared" si="30"/>
        <v>14.697799124913645</v>
      </c>
      <c r="E298" s="1077">
        <f t="shared" si="30"/>
        <v>0.15462918080465343</v>
      </c>
      <c r="F298" s="1142">
        <f t="shared" si="30"/>
        <v>0.42399287000325037</v>
      </c>
      <c r="G298" s="1143">
        <f t="shared" si="30"/>
        <v>4.5742782667206161E-2</v>
      </c>
      <c r="H298" s="1144">
        <f t="shared" si="30"/>
        <v>0.48144640266975475</v>
      </c>
      <c r="I298" s="1243">
        <f t="shared" si="30"/>
        <v>0.42695023434228802</v>
      </c>
      <c r="J298" s="1143">
        <f t="shared" si="30"/>
        <v>4.1366838913311048E-2</v>
      </c>
      <c r="K298" s="1077">
        <f t="shared" si="30"/>
        <v>0.4832654138496531</v>
      </c>
      <c r="L298" s="1136">
        <f t="shared" si="30"/>
        <v>2.9573643390376492E-3</v>
      </c>
      <c r="M298" s="1136">
        <f t="shared" si="30"/>
        <v>6.9750331863245195E-3</v>
      </c>
      <c r="N298" s="1145" t="e">
        <f t="shared" si="30"/>
        <v>#REF!</v>
      </c>
      <c r="O298" s="1146"/>
      <c r="P298" s="1247">
        <f t="shared" si="31"/>
        <v>3.7014756930154613</v>
      </c>
      <c r="Q298" s="1147">
        <f t="shared" si="31"/>
        <v>0.31334582285320112</v>
      </c>
      <c r="R298" s="1141">
        <f t="shared" si="31"/>
        <v>4.3704719780651446</v>
      </c>
      <c r="S298" s="1235"/>
      <c r="AC298" s="1748" t="s">
        <v>2258</v>
      </c>
      <c r="AD298" s="1742"/>
      <c r="AE298" s="1742"/>
      <c r="AF298" s="1836"/>
    </row>
    <row r="299" spans="1:35">
      <c r="A299" s="1155" t="s">
        <v>27</v>
      </c>
      <c r="B299" s="73" t="s">
        <v>357</v>
      </c>
      <c r="C299" s="103">
        <f t="shared" si="30"/>
        <v>0.90539538726018864</v>
      </c>
      <c r="D299" s="1131">
        <f t="shared" si="30"/>
        <v>-4.1189056985539901E-2</v>
      </c>
      <c r="E299" s="104">
        <f t="shared" si="30"/>
        <v>0.90138346931536006</v>
      </c>
      <c r="F299" s="1130">
        <f t="shared" si="30"/>
        <v>0.38160323267486906</v>
      </c>
      <c r="G299" s="1131">
        <f t="shared" si="30"/>
        <v>0.13281779457810056</v>
      </c>
      <c r="H299" s="1132">
        <f t="shared" si="30"/>
        <v>0.39444904186551905</v>
      </c>
      <c r="I299" s="1242">
        <f t="shared" si="30"/>
        <v>0.47841518539184064</v>
      </c>
      <c r="J299" s="1131">
        <f t="shared" si="30"/>
        <v>1.1717685634717274E-2</v>
      </c>
      <c r="K299" s="104">
        <f t="shared" si="30"/>
        <v>0.46507375880431212</v>
      </c>
      <c r="L299" s="1124">
        <f t="shared" si="30"/>
        <v>9.6811952716971572E-2</v>
      </c>
      <c r="M299" s="1124">
        <f t="shared" si="30"/>
        <v>0.25369793656715856</v>
      </c>
      <c r="N299" s="1133" t="str">
        <f t="shared" si="30"/>
        <v>No rating</v>
      </c>
      <c r="O299" s="1134"/>
      <c r="P299" s="1248">
        <f t="shared" si="31"/>
        <v>1.832329792526622</v>
      </c>
      <c r="Q299" s="1135">
        <f t="shared" si="31"/>
        <v>-9.9442962217240083E-2</v>
      </c>
      <c r="R299" s="1129">
        <f t="shared" si="31"/>
        <v>1.8160302149559577</v>
      </c>
      <c r="S299" s="1234"/>
      <c r="AC299" s="3304" t="s">
        <v>1321</v>
      </c>
      <c r="AD299" s="3311"/>
      <c r="AE299" s="3311"/>
      <c r="AF299" s="3312"/>
    </row>
    <row r="300" spans="1:35">
      <c r="A300" s="1156" t="s">
        <v>323</v>
      </c>
      <c r="B300" s="726" t="s">
        <v>773</v>
      </c>
      <c r="C300" s="1076">
        <f t="shared" si="30"/>
        <v>0.95644485424869818</v>
      </c>
      <c r="D300" s="1143">
        <f t="shared" si="30"/>
        <v>5.7346309608293736E-3</v>
      </c>
      <c r="E300" s="1077">
        <f t="shared" si="30"/>
        <v>0.97265268915223335</v>
      </c>
      <c r="F300" s="1142">
        <f t="shared" si="30"/>
        <v>0.16489915086810925</v>
      </c>
      <c r="G300" s="1143">
        <f t="shared" si="30"/>
        <v>2.0043608623878186</v>
      </c>
      <c r="H300" s="1144">
        <f t="shared" si="30"/>
        <v>0.32988338723452482</v>
      </c>
      <c r="I300" s="1243">
        <f t="shared" si="30"/>
        <v>0.27218937885351913</v>
      </c>
      <c r="J300" s="1143">
        <f t="shared" si="30"/>
        <v>1.2181747217666232</v>
      </c>
      <c r="K300" s="1077">
        <f t="shared" si="30"/>
        <v>0.4561905930983241</v>
      </c>
      <c r="L300" s="1136">
        <f t="shared" si="30"/>
        <v>0.10729022798540988</v>
      </c>
      <c r="M300" s="1136">
        <f t="shared" si="30"/>
        <v>0.65064148250965514</v>
      </c>
      <c r="N300" s="1145" t="str">
        <f t="shared" si="30"/>
        <v>No rating</v>
      </c>
      <c r="O300" s="1146"/>
      <c r="P300" s="1247">
        <f t="shared" si="31"/>
        <v>1.2440956586918632</v>
      </c>
      <c r="Q300" s="1147">
        <f t="shared" si="31"/>
        <v>0.5581122698382367</v>
      </c>
      <c r="R300" s="1141">
        <f t="shared" si="31"/>
        <v>1.6771658832683087</v>
      </c>
      <c r="S300" s="1234"/>
      <c r="AC300" s="3311"/>
      <c r="AD300" s="3311"/>
      <c r="AE300" s="3311"/>
      <c r="AF300" s="3312"/>
    </row>
    <row r="301" spans="1:35">
      <c r="A301" s="1155" t="s">
        <v>378</v>
      </c>
      <c r="B301" s="73" t="s">
        <v>42</v>
      </c>
      <c r="C301" s="103">
        <f t="shared" si="30"/>
        <v>0.56323171407839789</v>
      </c>
      <c r="D301" s="1131">
        <f t="shared" si="30"/>
        <v>-0.12023286586287618</v>
      </c>
      <c r="E301" s="104">
        <f t="shared" si="30"/>
        <v>0.53987730061349704</v>
      </c>
      <c r="F301" s="1130">
        <f t="shared" si="30"/>
        <v>0.60887331285954671</v>
      </c>
      <c r="G301" s="1131">
        <f t="shared" si="30"/>
        <v>-0.37303497156800469</v>
      </c>
      <c r="H301" s="1132">
        <f t="shared" si="30"/>
        <v>0.37659759063604481</v>
      </c>
      <c r="I301" s="1242">
        <f t="shared" si="30"/>
        <v>0.63388271448107447</v>
      </c>
      <c r="J301" s="1131">
        <f t="shared" si="30"/>
        <v>-0.25869992498286548</v>
      </c>
      <c r="K301" s="104">
        <f t="shared" si="30"/>
        <v>0.44527495080222473</v>
      </c>
      <c r="L301" s="1124">
        <f t="shared" si="30"/>
        <v>2.500940162152776E-2</v>
      </c>
      <c r="M301" s="1124">
        <f t="shared" si="30"/>
        <v>4.1074885519406669E-2</v>
      </c>
      <c r="N301" s="1133" t="e">
        <f t="shared" si="30"/>
        <v>#REF!</v>
      </c>
      <c r="O301" s="1134" t="str">
        <f t="shared" ref="O301:O308" si="32">VLOOKUP($B301,$B$7:$R$28,O$29,FALSE)</f>
        <v>= =</v>
      </c>
      <c r="P301" s="1248">
        <f t="shared" si="31"/>
        <v>2.172629043332774</v>
      </c>
      <c r="Q301" s="1135">
        <f t="shared" si="31"/>
        <v>-0.22035736928264804</v>
      </c>
      <c r="R301" s="1129">
        <f t="shared" si="31"/>
        <v>1.5517268924243866</v>
      </c>
      <c r="S301" s="1231"/>
      <c r="AC301" s="3304" t="s">
        <v>2257</v>
      </c>
      <c r="AD301" s="3304"/>
      <c r="AE301" s="3304"/>
      <c r="AF301" s="3304"/>
    </row>
    <row r="302" spans="1:35">
      <c r="A302" s="1155" t="s">
        <v>545</v>
      </c>
      <c r="B302" s="73" t="s">
        <v>39</v>
      </c>
      <c r="C302" s="103">
        <f t="shared" ref="C302:N312" si="33">VLOOKUP($B302,$B$7:$R$28,C$29,FALSE)</f>
        <v>0.31054928118178421</v>
      </c>
      <c r="D302" s="1131">
        <f t="shared" si="33"/>
        <v>-0.11491916916279199</v>
      </c>
      <c r="E302" s="104">
        <f t="shared" si="33"/>
        <v>0.28165979767703259</v>
      </c>
      <c r="F302" s="1130">
        <f t="shared" si="33"/>
        <v>0.3899242463002407</v>
      </c>
      <c r="G302" s="1131">
        <f t="shared" si="33"/>
        <v>-0.1197676600756727</v>
      </c>
      <c r="H302" s="1132">
        <f t="shared" si="33"/>
        <v>0.37944762378701169</v>
      </c>
      <c r="I302" s="1242">
        <f t="shared" si="33"/>
        <v>0.45093517146474416</v>
      </c>
      <c r="J302" s="1131">
        <f t="shared" si="33"/>
        <v>-8.3572610535330494E-2</v>
      </c>
      <c r="K302" s="104">
        <f t="shared" si="33"/>
        <v>0.43916945384982109</v>
      </c>
      <c r="L302" s="1124">
        <f t="shared" si="33"/>
        <v>6.101092516450346E-2</v>
      </c>
      <c r="M302" s="1124">
        <f t="shared" si="33"/>
        <v>0.15646866216553562</v>
      </c>
      <c r="N302" s="1133" t="e">
        <f t="shared" si="33"/>
        <v>#REF!</v>
      </c>
      <c r="O302" s="1134" t="str">
        <f t="shared" si="32"/>
        <v>­ = =</v>
      </c>
      <c r="P302" s="1248">
        <f t="shared" si="31"/>
        <v>2.6587814840492587</v>
      </c>
      <c r="Q302" s="1135">
        <f t="shared" si="31"/>
        <v>-0.25803195656746131</v>
      </c>
      <c r="R302" s="1129">
        <f t="shared" si="31"/>
        <v>2.5933932385229874</v>
      </c>
      <c r="S302" s="1236"/>
      <c r="AC302" s="3304"/>
      <c r="AD302" s="3304"/>
      <c r="AE302" s="3304"/>
      <c r="AF302" s="3304"/>
    </row>
    <row r="303" spans="1:35">
      <c r="A303" s="1155" t="s">
        <v>32</v>
      </c>
      <c r="B303" s="73" t="s">
        <v>50</v>
      </c>
      <c r="C303" s="103">
        <f t="shared" si="33"/>
        <v>0</v>
      </c>
      <c r="D303" s="1131">
        <f t="shared" si="33"/>
        <v>0</v>
      </c>
      <c r="E303" s="104">
        <f t="shared" si="33"/>
        <v>0</v>
      </c>
      <c r="F303" s="1130">
        <f t="shared" si="33"/>
        <v>0.37025195227815472</v>
      </c>
      <c r="G303" s="1131">
        <f t="shared" si="33"/>
        <v>-0.46222821771061889</v>
      </c>
      <c r="H303" s="1132">
        <f t="shared" si="33"/>
        <v>0.26403640782716253</v>
      </c>
      <c r="I303" s="1242">
        <f t="shared" si="33"/>
        <v>0.48927059752514818</v>
      </c>
      <c r="J303" s="1131">
        <f t="shared" si="33"/>
        <v>-0.38189416595312975</v>
      </c>
      <c r="K303" s="104">
        <f t="shared" si="33"/>
        <v>0.37414035756341019</v>
      </c>
      <c r="L303" s="1124">
        <f t="shared" si="33"/>
        <v>0.11901864524699346</v>
      </c>
      <c r="M303" s="1124">
        <f t="shared" si="33"/>
        <v>0.32145312000294263</v>
      </c>
      <c r="N303" s="1133" t="e">
        <f t="shared" si="33"/>
        <v>#REF!</v>
      </c>
      <c r="O303" s="1134" t="str">
        <f t="shared" si="32"/>
        <v>= =</v>
      </c>
      <c r="P303" s="1248">
        <f t="shared" si="31"/>
        <v>2.2664974928712622</v>
      </c>
      <c r="Q303" s="1135">
        <f t="shared" si="31"/>
        <v>-0.12537902502142731</v>
      </c>
      <c r="R303" s="1129">
        <f t="shared" si="31"/>
        <v>2.136201464388483</v>
      </c>
      <c r="S303" s="1233"/>
      <c r="AC303" s="3305" t="s">
        <v>2288</v>
      </c>
      <c r="AD303" s="3305"/>
      <c r="AE303" s="3305"/>
      <c r="AF303" s="3305"/>
    </row>
    <row r="304" spans="1:35">
      <c r="A304" s="1155" t="s">
        <v>506</v>
      </c>
      <c r="B304" s="73" t="s">
        <v>289</v>
      </c>
      <c r="C304" s="103">
        <f t="shared" si="33"/>
        <v>0.42290073595624156</v>
      </c>
      <c r="D304" s="1131">
        <f t="shared" si="33"/>
        <v>-9.0086339251873371E-2</v>
      </c>
      <c r="E304" s="104">
        <f t="shared" si="33"/>
        <v>0.44946685046944856</v>
      </c>
      <c r="F304" s="1130">
        <f t="shared" si="33"/>
        <v>0.16307046534988884</v>
      </c>
      <c r="G304" s="1131">
        <f t="shared" si="33"/>
        <v>1.3005419282788433</v>
      </c>
      <c r="H304" s="1132">
        <f t="shared" si="33"/>
        <v>0.30950096360373897</v>
      </c>
      <c r="I304" s="1242">
        <f t="shared" si="33"/>
        <v>0.18570292678335293</v>
      </c>
      <c r="J304" s="1131">
        <f t="shared" si="33"/>
        <v>1.251733079461073</v>
      </c>
      <c r="K304" s="104">
        <f t="shared" si="33"/>
        <v>0.34197601038246805</v>
      </c>
      <c r="L304" s="1124">
        <f t="shared" si="33"/>
        <v>2.2632461433464091E-2</v>
      </c>
      <c r="M304" s="1124">
        <f t="shared" si="33"/>
        <v>0.13878945758144007</v>
      </c>
      <c r="N304" s="1133" t="e">
        <f t="shared" si="33"/>
        <v>#REF!</v>
      </c>
      <c r="O304" s="1134" t="str">
        <f t="shared" si="32"/>
        <v>¯ ¯</v>
      </c>
      <c r="P304" s="1248">
        <f t="shared" si="31"/>
        <v>0.77886477042851432</v>
      </c>
      <c r="Q304" s="1135">
        <f t="shared" si="31"/>
        <v>1.0703005310133176</v>
      </c>
      <c r="R304" s="1129">
        <f t="shared" si="31"/>
        <v>1.1762690733772538</v>
      </c>
      <c r="S304" s="1231"/>
      <c r="AC304" s="3305"/>
      <c r="AD304" s="3305"/>
      <c r="AE304" s="3305"/>
      <c r="AF304" s="3305"/>
    </row>
    <row r="305" spans="1:47">
      <c r="A305" s="1155" t="s">
        <v>73</v>
      </c>
      <c r="B305" s="73" t="s">
        <v>285</v>
      </c>
      <c r="C305" s="103">
        <f t="shared" si="33"/>
        <v>0.62657499999999999</v>
      </c>
      <c r="D305" s="1131">
        <f t="shared" si="33"/>
        <v>5.5614710459497153E-2</v>
      </c>
      <c r="E305" s="104">
        <f t="shared" si="33"/>
        <v>0.64439999999999997</v>
      </c>
      <c r="F305" s="1130">
        <f t="shared" si="33"/>
        <v>0.24190098439360719</v>
      </c>
      <c r="G305" s="1131">
        <f t="shared" si="33"/>
        <v>0.20667512064869559</v>
      </c>
      <c r="H305" s="1132">
        <f t="shared" si="33"/>
        <v>0.30597960586046052</v>
      </c>
      <c r="I305" s="1242">
        <f t="shared" si="33"/>
        <v>0.2616424852780464</v>
      </c>
      <c r="J305" s="1131">
        <f t="shared" si="33"/>
        <v>0.20296552626351777</v>
      </c>
      <c r="K305" s="104">
        <f t="shared" si="33"/>
        <v>0.32061814749302248</v>
      </c>
      <c r="L305" s="1124">
        <f t="shared" si="33"/>
        <v>1.9741500884439211E-2</v>
      </c>
      <c r="M305" s="1124">
        <f t="shared" si="33"/>
        <v>8.1609841042717679E-2</v>
      </c>
      <c r="N305" s="1133" t="e">
        <f t="shared" si="33"/>
        <v>#REF!</v>
      </c>
      <c r="O305" s="1134" t="str">
        <f t="shared" si="32"/>
        <v>= =</v>
      </c>
      <c r="P305" s="1248">
        <f t="shared" si="31"/>
        <v>1.7511002028712532</v>
      </c>
      <c r="Q305" s="1135">
        <f t="shared" si="31"/>
        <v>0.37093258903528414</v>
      </c>
      <c r="R305" s="1129">
        <f t="shared" si="31"/>
        <v>2.2311132077757287</v>
      </c>
      <c r="S305" s="1232"/>
      <c r="AC305" s="3305"/>
      <c r="AD305" s="3305"/>
      <c r="AE305" s="3305"/>
      <c r="AF305" s="3305"/>
    </row>
    <row r="306" spans="1:47">
      <c r="A306" s="1155" t="s">
        <v>508</v>
      </c>
      <c r="B306" s="73" t="s">
        <v>290</v>
      </c>
      <c r="C306" s="103">
        <f t="shared" si="33"/>
        <v>0.32615050588405037</v>
      </c>
      <c r="D306" s="1131">
        <f t="shared" si="33"/>
        <v>-8.7660674172335792E-2</v>
      </c>
      <c r="E306" s="104">
        <f t="shared" si="33"/>
        <v>0.30985103942866765</v>
      </c>
      <c r="F306" s="1130">
        <f t="shared" si="33"/>
        <v>0.30558583418722468</v>
      </c>
      <c r="G306" s="1131">
        <f t="shared" si="33"/>
        <v>-0.13620468181810452</v>
      </c>
      <c r="H306" s="1132">
        <f t="shared" si="33"/>
        <v>0.29018390059321952</v>
      </c>
      <c r="I306" s="1242">
        <f t="shared" si="33"/>
        <v>0.31922230141848357</v>
      </c>
      <c r="J306" s="1131">
        <f t="shared" si="33"/>
        <v>-0.13496032758973828</v>
      </c>
      <c r="K306" s="104">
        <f t="shared" si="33"/>
        <v>0.30362227391248225</v>
      </c>
      <c r="L306" s="1124">
        <f t="shared" si="33"/>
        <v>1.3636467231258886E-2</v>
      </c>
      <c r="M306" s="1124">
        <f t="shared" si="33"/>
        <v>4.4624016252350789E-2</v>
      </c>
      <c r="N306" s="1133" t="e">
        <f t="shared" si="33"/>
        <v>#REF!</v>
      </c>
      <c r="O306" s="1134" t="str">
        <f t="shared" si="32"/>
        <v>= =</v>
      </c>
      <c r="P306" s="1248">
        <f t="shared" si="31"/>
        <v>2.1579177629636748</v>
      </c>
      <c r="Q306" s="1135">
        <f t="shared" si="31"/>
        <v>6.0078851309961184E-2</v>
      </c>
      <c r="R306" s="1129">
        <f t="shared" si="31"/>
        <v>2.3009327536910358</v>
      </c>
      <c r="S306" s="1232"/>
      <c r="AD306" s="155"/>
      <c r="AE306" s="2709"/>
      <c r="AF306" s="2263"/>
    </row>
    <row r="307" spans="1:47">
      <c r="A307" s="1156" t="s">
        <v>323</v>
      </c>
      <c r="B307" s="726" t="s">
        <v>772</v>
      </c>
      <c r="C307" s="1076">
        <f t="shared" si="33"/>
        <v>0.37158673775730477</v>
      </c>
      <c r="D307" s="1143">
        <f t="shared" si="33"/>
        <v>-0.1153634304384116</v>
      </c>
      <c r="E307" s="1077">
        <f t="shared" si="33"/>
        <v>0.36037883142173305</v>
      </c>
      <c r="F307" s="1142">
        <f t="shared" si="33"/>
        <v>0.17383796150947908</v>
      </c>
      <c r="G307" s="1143">
        <f t="shared" si="33"/>
        <v>0.54445307336528614</v>
      </c>
      <c r="H307" s="1144">
        <f t="shared" si="33"/>
        <v>0.26356163003804695</v>
      </c>
      <c r="I307" s="1243">
        <f t="shared" si="33"/>
        <v>0.19702478682132593</v>
      </c>
      <c r="J307" s="1143">
        <f t="shared" si="33"/>
        <v>0.50034734616182497</v>
      </c>
      <c r="K307" s="1077">
        <f t="shared" si="33"/>
        <v>0.28756363720088318</v>
      </c>
      <c r="L307" s="1136">
        <f t="shared" si="33"/>
        <v>2.3186825311846848E-2</v>
      </c>
      <c r="M307" s="1136">
        <f t="shared" si="33"/>
        <v>0.13338182932260462</v>
      </c>
      <c r="N307" s="1145" t="e">
        <f t="shared" si="33"/>
        <v>#REF!</v>
      </c>
      <c r="O307" s="1146" t="str">
        <f t="shared" si="32"/>
        <v>= =</v>
      </c>
      <c r="P307" s="1247">
        <f t="shared" si="31"/>
        <v>0.93248540191552354</v>
      </c>
      <c r="Q307" s="1147">
        <f t="shared" si="31"/>
        <v>0.78949919521054279</v>
      </c>
      <c r="R307" s="1141">
        <f t="shared" si="31"/>
        <v>1.3109622071604587</v>
      </c>
      <c r="S307" s="1302"/>
      <c r="AF307" s="2263"/>
    </row>
    <row r="308" spans="1:47">
      <c r="A308" s="1155" t="s">
        <v>507</v>
      </c>
      <c r="B308" s="73" t="s">
        <v>284</v>
      </c>
      <c r="C308" s="103">
        <f t="shared" si="33"/>
        <v>0.67984865616162071</v>
      </c>
      <c r="D308" s="1131">
        <f t="shared" si="33"/>
        <v>0.13956056160252914</v>
      </c>
      <c r="E308" s="104">
        <f t="shared" si="33"/>
        <v>0.7167630057803468</v>
      </c>
      <c r="F308" s="1130">
        <f t="shared" si="33"/>
        <v>0.23215418017261674</v>
      </c>
      <c r="G308" s="1131">
        <f t="shared" si="33"/>
        <v>0.36187217108516367</v>
      </c>
      <c r="H308" s="1132">
        <f t="shared" si="33"/>
        <v>0.26525179681706468</v>
      </c>
      <c r="I308" s="1242">
        <f t="shared" si="33"/>
        <v>0.2501311526811702</v>
      </c>
      <c r="J308" s="1131">
        <f t="shared" si="33"/>
        <v>0.31916438327965047</v>
      </c>
      <c r="K308" s="104">
        <f t="shared" si="33"/>
        <v>0.28287599661626001</v>
      </c>
      <c r="L308" s="1124">
        <f t="shared" si="33"/>
        <v>1.7976972508553457E-2</v>
      </c>
      <c r="M308" s="1124">
        <f t="shared" si="33"/>
        <v>7.7435489187344358E-2</v>
      </c>
      <c r="N308" s="1133" t="e">
        <f t="shared" si="33"/>
        <v>#REF!</v>
      </c>
      <c r="O308" s="1134" t="str">
        <f t="shared" si="32"/>
        <v>= =</v>
      </c>
      <c r="P308" s="1248">
        <f t="shared" si="31"/>
        <v>1.845874038975184</v>
      </c>
      <c r="Q308" s="1135">
        <f t="shared" si="31"/>
        <v>0.36079457239176377</v>
      </c>
      <c r="R308" s="1129">
        <f t="shared" si="31"/>
        <v>2.1424428051274771</v>
      </c>
      <c r="S308" s="1232"/>
      <c r="AF308" s="2263"/>
    </row>
    <row r="309" spans="1:47">
      <c r="A309" s="1155" t="s">
        <v>507</v>
      </c>
      <c r="B309" s="73" t="s">
        <v>282</v>
      </c>
      <c r="C309" s="103">
        <f t="shared" si="33"/>
        <v>0.67083419702973635</v>
      </c>
      <c r="D309" s="1131">
        <f t="shared" si="33"/>
        <v>-0.11335389957676706</v>
      </c>
      <c r="E309" s="104">
        <f t="shared" si="33"/>
        <v>0.63639387890884902</v>
      </c>
      <c r="F309" s="1130">
        <f t="shared" si="33"/>
        <v>0.1536920907726812</v>
      </c>
      <c r="G309" s="1131">
        <f t="shared" si="33"/>
        <v>1.6283818604559013</v>
      </c>
      <c r="H309" s="1132">
        <f t="shared" si="33"/>
        <v>0.2022242346359609</v>
      </c>
      <c r="I309" s="1242">
        <f t="shared" si="33"/>
        <v>0.20961441125119315</v>
      </c>
      <c r="J309" s="1131">
        <f t="shared" si="33"/>
        <v>0.84200521424561081</v>
      </c>
      <c r="K309" s="104">
        <f t="shared" si="33"/>
        <v>0.28147528322389997</v>
      </c>
      <c r="L309" s="1124">
        <f t="shared" si="33"/>
        <v>5.592232047851195E-2</v>
      </c>
      <c r="M309" s="1124">
        <f t="shared" si="33"/>
        <v>0.36385945559959909</v>
      </c>
      <c r="N309" s="1133" t="str">
        <f t="shared" si="33"/>
        <v>No rating</v>
      </c>
      <c r="O309" s="1134"/>
      <c r="P309" s="1248">
        <f t="shared" si="31"/>
        <v>1.4399592566697517</v>
      </c>
      <c r="Q309" s="1135">
        <f t="shared" si="31"/>
        <v>0.8442860967329926</v>
      </c>
      <c r="R309" s="1129">
        <f t="shared" si="31"/>
        <v>1.5521418473212367</v>
      </c>
      <c r="S309" s="1232"/>
      <c r="AF309" s="2263"/>
    </row>
    <row r="310" spans="1:47">
      <c r="A310" s="1155" t="s">
        <v>32</v>
      </c>
      <c r="B310" s="73" t="s">
        <v>279</v>
      </c>
      <c r="C310" s="103">
        <f t="shared" si="33"/>
        <v>0.91487499999999988</v>
      </c>
      <c r="D310" s="1131">
        <f t="shared" si="33"/>
        <v>-4.3736501079913587E-2</v>
      </c>
      <c r="E310" s="104">
        <f t="shared" si="33"/>
        <v>0.89481420237931208</v>
      </c>
      <c r="F310" s="1130">
        <f t="shared" si="33"/>
        <v>0.24509229252810941</v>
      </c>
      <c r="G310" s="1131">
        <f t="shared" si="33"/>
        <v>-0.16501821733667812</v>
      </c>
      <c r="H310" s="1132">
        <f t="shared" si="33"/>
        <v>0.23828807339295358</v>
      </c>
      <c r="I310" s="1242">
        <f t="shared" si="33"/>
        <v>0.27870192226407053</v>
      </c>
      <c r="J310" s="1131">
        <f t="shared" si="33"/>
        <v>-0.14309331637647091</v>
      </c>
      <c r="K310" s="104">
        <f t="shared" si="33"/>
        <v>0.2718321660431175</v>
      </c>
      <c r="L310" s="1124">
        <f t="shared" si="33"/>
        <v>3.3609629735961127E-2</v>
      </c>
      <c r="M310" s="1124">
        <f t="shared" si="33"/>
        <v>0.13713050455108242</v>
      </c>
      <c r="N310" s="1133" t="e">
        <f t="shared" si="33"/>
        <v>#REF!</v>
      </c>
      <c r="O310" s="1134"/>
      <c r="P310" s="1248">
        <f t="shared" si="31"/>
        <v>2.0880314655341889</v>
      </c>
      <c r="Q310" s="1135">
        <f t="shared" si="31"/>
        <v>-3.7762767487534328E-2</v>
      </c>
      <c r="R310" s="1129">
        <f t="shared" si="31"/>
        <v>2.3348198024327131</v>
      </c>
      <c r="S310" s="1233"/>
      <c r="AF310" s="2263"/>
    </row>
    <row r="311" spans="1:47">
      <c r="A311" s="1155" t="s">
        <v>504</v>
      </c>
      <c r="B311" s="73" t="s">
        <v>281</v>
      </c>
      <c r="C311" s="103">
        <f t="shared" si="33"/>
        <v>0.7344324868237998</v>
      </c>
      <c r="D311" s="1131">
        <f t="shared" si="33"/>
        <v>0.10784712869930438</v>
      </c>
      <c r="E311" s="104">
        <f t="shared" si="33"/>
        <v>0.74956908795771016</v>
      </c>
      <c r="F311" s="1130">
        <f t="shared" si="33"/>
        <v>0.14726898954609682</v>
      </c>
      <c r="G311" s="1131">
        <f t="shared" si="33"/>
        <v>4.9939774449528171E-2</v>
      </c>
      <c r="H311" s="1132">
        <f t="shared" si="33"/>
        <v>0.17272839211728983</v>
      </c>
      <c r="I311" s="1242">
        <f t="shared" si="33"/>
        <v>0.18443136241749356</v>
      </c>
      <c r="J311" s="1131">
        <f t="shared" si="33"/>
        <v>-5.7258906752796622E-2</v>
      </c>
      <c r="K311" s="104">
        <f t="shared" si="33"/>
        <v>0.198117589718218</v>
      </c>
      <c r="L311" s="1124">
        <f t="shared" si="33"/>
        <v>3.7162372871396732E-2</v>
      </c>
      <c r="M311" s="1124">
        <f t="shared" si="33"/>
        <v>0.25234350412762557</v>
      </c>
      <c r="N311" s="1133" t="e">
        <f t="shared" si="33"/>
        <v>#REF!</v>
      </c>
      <c r="O311" s="1134" t="str">
        <f>VLOOKUP($B311,$B$7:$R$28,O$29,FALSE)</f>
        <v>= =</v>
      </c>
      <c r="P311" s="1248">
        <f t="shared" si="31"/>
        <v>1.0395975936863313</v>
      </c>
      <c r="Q311" s="1135">
        <f t="shared" si="31"/>
        <v>2.9438923535487854E-2</v>
      </c>
      <c r="R311" s="1129">
        <f t="shared" si="31"/>
        <v>1.2087727199953455</v>
      </c>
      <c r="S311" s="1232"/>
      <c r="AF311" s="2263"/>
    </row>
    <row r="312" spans="1:47">
      <c r="A312" s="1155" t="s">
        <v>19</v>
      </c>
      <c r="B312" s="73" t="s">
        <v>287</v>
      </c>
      <c r="C312" s="117">
        <f t="shared" si="33"/>
        <v>9.1630231095150338E-2</v>
      </c>
      <c r="D312" s="1148" t="str">
        <f t="shared" si="33"/>
        <v>¥</v>
      </c>
      <c r="E312" s="104">
        <f t="shared" si="33"/>
        <v>0.34976819018989347</v>
      </c>
      <c r="F312" s="1130">
        <f t="shared" si="33"/>
        <v>0.13477545507373562</v>
      </c>
      <c r="G312" s="1131">
        <f t="shared" si="33"/>
        <v>-0.4264373226073967</v>
      </c>
      <c r="H312" s="1132">
        <f t="shared" si="33"/>
        <v>9.7905485588969735E-2</v>
      </c>
      <c r="I312" s="1242">
        <f t="shared" si="33"/>
        <v>0.16024846762312819</v>
      </c>
      <c r="J312" s="1131">
        <f t="shared" si="33"/>
        <v>-0.25253039609468159</v>
      </c>
      <c r="K312" s="104">
        <f t="shared" si="33"/>
        <v>0.12849893093161849</v>
      </c>
      <c r="L312" s="1124">
        <f t="shared" si="33"/>
        <v>2.5473012549392576E-2</v>
      </c>
      <c r="M312" s="1124">
        <f t="shared" si="33"/>
        <v>0.18900335031669008</v>
      </c>
      <c r="N312" s="1133" t="str">
        <f t="shared" si="33"/>
        <v>No rating</v>
      </c>
      <c r="O312" s="1134"/>
      <c r="P312" s="1248">
        <f t="shared" si="31"/>
        <v>1.265551414722516</v>
      </c>
      <c r="Q312" s="1135">
        <f t="shared" si="31"/>
        <v>0.38040351489576829</v>
      </c>
      <c r="R312" s="1129">
        <f t="shared" si="31"/>
        <v>1.242834927692577</v>
      </c>
      <c r="S312" s="1235"/>
      <c r="AF312" s="2263"/>
    </row>
    <row r="313" spans="1:47">
      <c r="AC313" s="136"/>
      <c r="AF313" s="2263"/>
    </row>
    <row r="314" spans="1:47">
      <c r="AF314" s="2263"/>
    </row>
    <row r="315" spans="1:47" s="1488" customFormat="1" ht="13.2" customHeight="1">
      <c r="A315" s="1528" t="s">
        <v>2309</v>
      </c>
      <c r="B315" s="1528"/>
      <c r="T315" s="3307" t="s">
        <v>2253</v>
      </c>
      <c r="U315" s="3307"/>
      <c r="V315" s="3307"/>
      <c r="W315" s="3307"/>
      <c r="X315" s="3307"/>
      <c r="Y315" s="3307"/>
      <c r="Z315" s="3307"/>
      <c r="AA315" s="3307"/>
      <c r="AB315" s="3307"/>
      <c r="AC315" s="3307"/>
      <c r="AD315" s="3307"/>
      <c r="AE315" s="3307"/>
      <c r="AF315" s="3308"/>
      <c r="AG315" s="2263"/>
      <c r="AH315" s="90" t="s">
        <v>1403</v>
      </c>
      <c r="AI315" s="90" t="s">
        <v>785</v>
      </c>
      <c r="AJ315" s="90" t="s">
        <v>1344</v>
      </c>
      <c r="AK315" s="1591"/>
      <c r="AU315" s="80"/>
    </row>
    <row r="316" spans="1:47" s="1488" customFormat="1" ht="13.2" customHeight="1">
      <c r="A316" s="1190"/>
      <c r="B316" s="1190"/>
      <c r="T316" s="3307"/>
      <c r="U316" s="3307"/>
      <c r="V316" s="3307"/>
      <c r="W316" s="3307"/>
      <c r="X316" s="3307"/>
      <c r="Y316" s="3307"/>
      <c r="Z316" s="3307"/>
      <c r="AA316" s="3307"/>
      <c r="AB316" s="3307"/>
      <c r="AC316" s="3307"/>
      <c r="AD316" s="3307"/>
      <c r="AE316" s="3307"/>
      <c r="AF316" s="3308"/>
      <c r="AG316" s="2263"/>
      <c r="AH316" s="1591" t="s">
        <v>55</v>
      </c>
      <c r="AI316" s="150">
        <v>1</v>
      </c>
      <c r="AJ316" s="150">
        <f>$T$327</f>
        <v>0.27500000000000002</v>
      </c>
      <c r="AK316" s="150"/>
      <c r="AN316" s="2757"/>
      <c r="AO316" s="2757"/>
      <c r="AP316" s="2757"/>
      <c r="AU316" s="80"/>
    </row>
    <row r="317" spans="1:47" s="1488" customFormat="1">
      <c r="A317" s="2881" t="s">
        <v>2307</v>
      </c>
      <c r="T317" s="3307" t="s">
        <v>2254</v>
      </c>
      <c r="U317" s="3307"/>
      <c r="V317" s="3307"/>
      <c r="W317" s="3307"/>
      <c r="X317" s="3307"/>
      <c r="Y317" s="3307"/>
      <c r="Z317" s="3307"/>
      <c r="AA317" s="3307"/>
      <c r="AB317" s="3307"/>
      <c r="AC317" s="3307"/>
      <c r="AD317" s="3307"/>
      <c r="AE317" s="3307"/>
      <c r="AF317" s="3308"/>
      <c r="AG317" s="2263"/>
      <c r="AH317" s="1591" t="s">
        <v>37</v>
      </c>
      <c r="AI317" s="150">
        <f>$E$307</f>
        <v>0.36037883142173305</v>
      </c>
      <c r="AJ317" s="150">
        <f>X323</f>
        <v>0.4</v>
      </c>
      <c r="AK317" s="90" t="s">
        <v>1346</v>
      </c>
      <c r="AM317" s="2431" t="s">
        <v>2306</v>
      </c>
      <c r="AN317" s="2755"/>
      <c r="AO317" s="2755"/>
      <c r="AP317" s="2755"/>
      <c r="AU317" s="80"/>
    </row>
    <row r="318" spans="1:47" s="1488" customFormat="1" ht="13.2" customHeight="1">
      <c r="A318" s="1155"/>
      <c r="T318" s="3307"/>
      <c r="U318" s="3307"/>
      <c r="V318" s="3307"/>
      <c r="W318" s="3307"/>
      <c r="X318" s="3307"/>
      <c r="Y318" s="3307"/>
      <c r="Z318" s="3307"/>
      <c r="AA318" s="3307"/>
      <c r="AB318" s="3307"/>
      <c r="AC318" s="3307"/>
      <c r="AD318" s="3307"/>
      <c r="AE318" s="3307"/>
      <c r="AF318" s="3308"/>
      <c r="AG318" s="2263"/>
      <c r="AH318" s="107" t="s">
        <v>1345</v>
      </c>
      <c r="AI318" s="108">
        <v>0</v>
      </c>
      <c r="AJ318" s="2983">
        <f>AJ316-AK318</f>
        <v>0.47042817864806874</v>
      </c>
      <c r="AK318" s="1540">
        <f>(AJ317-AJ316)/(AI317-AI316)</f>
        <v>-0.19542817864806869</v>
      </c>
      <c r="AL318" s="144"/>
      <c r="AM318" s="3302" t="s">
        <v>2373</v>
      </c>
      <c r="AN318" s="3302"/>
      <c r="AO318" s="3302"/>
      <c r="AP318" s="3302"/>
      <c r="AQ318" s="3302"/>
      <c r="AU318" s="80"/>
    </row>
    <row r="319" spans="1:47" s="1488" customFormat="1">
      <c r="A319" s="1155"/>
      <c r="T319" s="3307" t="s">
        <v>1334</v>
      </c>
      <c r="U319" s="3307"/>
      <c r="V319" s="3307"/>
      <c r="W319" s="3307"/>
      <c r="X319" s="3307"/>
      <c r="Y319" s="3307"/>
      <c r="Z319" s="3307"/>
      <c r="AA319" s="3307"/>
      <c r="AB319" s="3307"/>
      <c r="AC319" s="3307"/>
      <c r="AD319" s="3307"/>
      <c r="AE319" s="3307"/>
      <c r="AF319" s="3308"/>
      <c r="AG319" s="2263"/>
      <c r="AH319" s="1209" t="s">
        <v>36</v>
      </c>
      <c r="AI319" s="1131">
        <f>$E$300</f>
        <v>0.97265268915223335</v>
      </c>
      <c r="AJ319" s="2985">
        <f>AJ316-AK318*(1-AI319)</f>
        <v>0.28034443514990165</v>
      </c>
      <c r="AK319" s="1591"/>
      <c r="AM319" s="3302"/>
      <c r="AN319" s="3302"/>
      <c r="AO319" s="3302"/>
      <c r="AP319" s="3302"/>
      <c r="AQ319" s="3302"/>
      <c r="AU319" s="80"/>
    </row>
    <row r="320" spans="1:47" s="1488" customFormat="1">
      <c r="A320" s="1155"/>
      <c r="T320" s="3307"/>
      <c r="U320" s="3307"/>
      <c r="V320" s="3307"/>
      <c r="W320" s="3307"/>
      <c r="X320" s="3307"/>
      <c r="Y320" s="3307"/>
      <c r="Z320" s="3307"/>
      <c r="AA320" s="3307"/>
      <c r="AB320" s="3307"/>
      <c r="AC320" s="3307"/>
      <c r="AD320" s="3307"/>
      <c r="AE320" s="3307"/>
      <c r="AF320" s="3308"/>
      <c r="AG320" s="2263"/>
      <c r="AH320" s="1591"/>
      <c r="AI320" s="1591"/>
      <c r="AJ320" s="1591"/>
      <c r="AK320" s="1591"/>
      <c r="AM320" s="3302" t="s">
        <v>2304</v>
      </c>
      <c r="AN320" s="3302"/>
      <c r="AO320" s="3302"/>
      <c r="AP320" s="3302"/>
      <c r="AQ320" s="3302"/>
      <c r="AU320" s="80"/>
    </row>
    <row r="321" spans="1:47" s="1488" customFormat="1" ht="13.2" customHeight="1">
      <c r="A321" s="1155"/>
      <c r="AF321" s="1880"/>
      <c r="AG321" s="2263"/>
      <c r="AH321" s="90" t="s">
        <v>1402</v>
      </c>
      <c r="AI321" s="90" t="s">
        <v>785</v>
      </c>
      <c r="AJ321" s="90" t="s">
        <v>1344</v>
      </c>
      <c r="AK321" s="1591"/>
      <c r="AM321" s="3302"/>
      <c r="AN321" s="3302"/>
      <c r="AO321" s="3302"/>
      <c r="AP321" s="3302"/>
      <c r="AQ321" s="3302"/>
      <c r="AU321" s="80"/>
    </row>
    <row r="322" spans="1:47" s="1488" customFormat="1">
      <c r="A322" s="1155"/>
      <c r="T322" s="1530" t="s">
        <v>798</v>
      </c>
      <c r="U322" s="2058" t="s">
        <v>796</v>
      </c>
      <c r="V322" s="1532" t="s">
        <v>797</v>
      </c>
      <c r="X322" s="1530" t="s">
        <v>37</v>
      </c>
      <c r="Y322" s="2874" t="s">
        <v>796</v>
      </c>
      <c r="Z322" s="2875" t="s">
        <v>797</v>
      </c>
      <c r="AA322" s="1530" t="s">
        <v>36</v>
      </c>
      <c r="AB322" s="2878" t="s">
        <v>796</v>
      </c>
      <c r="AC322" s="2875" t="s">
        <v>797</v>
      </c>
      <c r="AD322" s="1530" t="s">
        <v>38</v>
      </c>
      <c r="AE322" s="2878" t="s">
        <v>796</v>
      </c>
      <c r="AF322" s="2878" t="s">
        <v>797</v>
      </c>
      <c r="AG322" s="2263"/>
      <c r="AH322" s="107" t="s">
        <v>55</v>
      </c>
      <c r="AI322" s="150">
        <v>1</v>
      </c>
      <c r="AJ322" s="150">
        <f>$T$327</f>
        <v>0.27500000000000002</v>
      </c>
      <c r="AK322" s="1591"/>
      <c r="AM322" s="3302"/>
      <c r="AN322" s="3302"/>
      <c r="AO322" s="3302"/>
      <c r="AP322" s="3302"/>
      <c r="AQ322" s="3302"/>
      <c r="AU322" s="80"/>
    </row>
    <row r="323" spans="1:47" s="1488" customFormat="1">
      <c r="A323" s="1155"/>
      <c r="T323" s="2872">
        <f>AVERAGE(AJ318,AJ324)</f>
        <v>0.4729330941660323</v>
      </c>
      <c r="U323" s="2226">
        <f>T323-5%</f>
        <v>0.42293309416603231</v>
      </c>
      <c r="V323" s="1533">
        <f>T323+5%</f>
        <v>0.52293309416603229</v>
      </c>
      <c r="X323" s="2227">
        <v>0.4</v>
      </c>
      <c r="Y323" s="2876">
        <v>0.2</v>
      </c>
      <c r="Z323" s="2877">
        <v>0.5</v>
      </c>
      <c r="AA323" s="1531">
        <f>AVERAGE(AJ319,AJ325)</f>
        <v>0.28041293785321875</v>
      </c>
      <c r="AB323" s="2879">
        <v>0.2</v>
      </c>
      <c r="AC323" s="2877">
        <f>K300</f>
        <v>0.4561905930983241</v>
      </c>
      <c r="AD323" s="1531">
        <f>AVERAGE(AE323:AF323)</f>
        <v>0.44444444444444442</v>
      </c>
      <c r="AE323" s="2879">
        <f>3.5/PROFILES!J304</f>
        <v>0.3888888888888889</v>
      </c>
      <c r="AF323" s="2879">
        <f>4.5/PROFILES!J304</f>
        <v>0.5</v>
      </c>
      <c r="AG323" s="2263"/>
      <c r="AH323" s="1591" t="s">
        <v>38</v>
      </c>
      <c r="AI323" s="122">
        <f>E298</f>
        <v>0.15462918080465343</v>
      </c>
      <c r="AJ323" s="122">
        <f>AD323</f>
        <v>0.44444444444444442</v>
      </c>
      <c r="AK323" s="90" t="s">
        <v>1346</v>
      </c>
      <c r="AM323" s="3300" t="s">
        <v>2374</v>
      </c>
      <c r="AN323" s="3300"/>
      <c r="AO323" s="3300"/>
      <c r="AP323" s="3300"/>
      <c r="AQ323" s="3300"/>
      <c r="AU323" s="80"/>
    </row>
    <row r="324" spans="1:47" s="1488" customFormat="1">
      <c r="A324" s="1155"/>
      <c r="T324" s="2896" t="s">
        <v>2418</v>
      </c>
      <c r="X324" s="2896" t="s">
        <v>2419</v>
      </c>
      <c r="AA324" s="2896" t="s">
        <v>2420</v>
      </c>
      <c r="AF324" s="1880"/>
      <c r="AG324" s="2263"/>
      <c r="AH324" s="107" t="s">
        <v>1345</v>
      </c>
      <c r="AI324" s="150">
        <v>0</v>
      </c>
      <c r="AJ324" s="2984">
        <f>AJ322-AK324</f>
        <v>0.47543800968399585</v>
      </c>
      <c r="AK324" s="1540">
        <f>(AJ323-AJ322)/(AI323-AI322)</f>
        <v>-0.20043800968399586</v>
      </c>
      <c r="AM324" s="3300"/>
      <c r="AN324" s="3300"/>
      <c r="AO324" s="3300"/>
      <c r="AP324" s="3300"/>
      <c r="AQ324" s="3300"/>
      <c r="AU324" s="80"/>
    </row>
    <row r="325" spans="1:47" s="2896" customFormat="1">
      <c r="A325" s="1155"/>
      <c r="AF325" s="2892"/>
      <c r="AG325" s="2891"/>
      <c r="AH325" s="1209" t="s">
        <v>36</v>
      </c>
      <c r="AI325" s="1131">
        <f>$E$300</f>
        <v>0.97265268915223335</v>
      </c>
      <c r="AJ325" s="2985">
        <f>AJ322-AK324*(1-AI325)</f>
        <v>0.2804814405565359</v>
      </c>
      <c r="AK325" s="1591"/>
      <c r="AM325" s="3300"/>
      <c r="AN325" s="3300"/>
      <c r="AO325" s="3300"/>
      <c r="AP325" s="3300"/>
      <c r="AQ325" s="3300"/>
      <c r="AU325" s="80"/>
    </row>
    <row r="326" spans="1:47" s="1488" customFormat="1">
      <c r="A326" s="1155"/>
      <c r="T326" s="1530" t="s">
        <v>799</v>
      </c>
      <c r="U326" s="2058" t="s">
        <v>796</v>
      </c>
      <c r="V326" s="1532" t="s">
        <v>797</v>
      </c>
      <c r="X326" s="1492" t="s">
        <v>1347</v>
      </c>
      <c r="AF326" s="1880"/>
      <c r="AG326" s="2263"/>
      <c r="AM326" s="3301" t="s">
        <v>2259</v>
      </c>
      <c r="AN326" s="3301"/>
      <c r="AO326" s="3301"/>
      <c r="AP326" s="3301"/>
      <c r="AQ326" s="3301"/>
      <c r="AU326" s="80"/>
    </row>
    <row r="327" spans="1:47" s="1488" customFormat="1" ht="13.2" customHeight="1">
      <c r="A327" s="1155"/>
      <c r="T327" s="2872">
        <f>AVERAGE(U327:V327)</f>
        <v>0.27500000000000002</v>
      </c>
      <c r="U327" s="2226">
        <f>1.5/PROFILES!K297</f>
        <v>0.25</v>
      </c>
      <c r="V327" s="1533">
        <f>1.5/PROFILES!J297</f>
        <v>0.3</v>
      </c>
      <c r="X327" s="1488" t="s">
        <v>1333</v>
      </c>
      <c r="AF327" s="1880"/>
      <c r="AG327" s="2263"/>
      <c r="AH327" s="1592"/>
      <c r="AI327" s="1591"/>
      <c r="AJ327" s="1591"/>
      <c r="AK327" s="1591"/>
      <c r="AM327" s="3301"/>
      <c r="AN327" s="3301"/>
      <c r="AO327" s="3301"/>
      <c r="AP327" s="3301"/>
      <c r="AQ327" s="3301"/>
      <c r="AU327" s="80"/>
    </row>
    <row r="328" spans="1:47" s="1488" customFormat="1" ht="13.2" customHeight="1">
      <c r="A328" s="1155"/>
      <c r="T328" s="2896" t="s">
        <v>2420</v>
      </c>
      <c r="AF328" s="1880"/>
      <c r="AG328" s="2263"/>
      <c r="AM328" s="3301"/>
      <c r="AN328" s="3301"/>
      <c r="AO328" s="3301"/>
      <c r="AP328" s="3301"/>
      <c r="AQ328" s="3301"/>
      <c r="AU328" s="80"/>
    </row>
    <row r="329" spans="1:47" s="2896" customFormat="1" ht="13.2" customHeight="1">
      <c r="A329" s="1155"/>
      <c r="AF329" s="2892"/>
      <c r="AG329" s="2891"/>
      <c r="AM329" s="2880" t="s">
        <v>2260</v>
      </c>
      <c r="AN329" s="2431"/>
      <c r="AO329" s="2431"/>
      <c r="AP329" s="2431"/>
      <c r="AQ329" s="2269"/>
      <c r="AU329" s="80"/>
    </row>
    <row r="330" spans="1:47" s="2269" customFormat="1" ht="13.2" customHeight="1">
      <c r="A330" s="1155"/>
      <c r="T330" s="3321" t="s">
        <v>2421</v>
      </c>
      <c r="U330" s="3321"/>
      <c r="V330" s="3321"/>
      <c r="W330" s="3321"/>
      <c r="X330" s="3321"/>
      <c r="Y330" s="3321"/>
      <c r="Z330" s="3321"/>
      <c r="AA330" s="3321"/>
      <c r="AB330" s="3321"/>
      <c r="AC330" s="3321"/>
      <c r="AD330" s="3321"/>
      <c r="AE330" s="3321"/>
      <c r="AF330" s="3322"/>
      <c r="AG330" s="2273"/>
      <c r="AH330" s="90"/>
      <c r="AI330" s="90" t="s">
        <v>785</v>
      </c>
      <c r="AJ330" s="90" t="s">
        <v>1159</v>
      </c>
      <c r="AK330" s="1591"/>
      <c r="AM330" s="3302" t="s">
        <v>2305</v>
      </c>
      <c r="AN330" s="3302"/>
      <c r="AO330" s="3302"/>
      <c r="AP330" s="3302"/>
      <c r="AQ330" s="3302"/>
      <c r="AU330" s="80"/>
    </row>
    <row r="331" spans="1:47" s="2269" customFormat="1" ht="13.2" customHeight="1">
      <c r="A331" s="1155"/>
      <c r="T331" s="3321"/>
      <c r="U331" s="3321"/>
      <c r="V331" s="3321"/>
      <c r="W331" s="3321"/>
      <c r="X331" s="3321"/>
      <c r="Y331" s="3321"/>
      <c r="Z331" s="3321"/>
      <c r="AA331" s="3321"/>
      <c r="AB331" s="3321"/>
      <c r="AC331" s="3321"/>
      <c r="AD331" s="3321"/>
      <c r="AE331" s="3321"/>
      <c r="AF331" s="3322"/>
      <c r="AG331" s="2273"/>
      <c r="AH331" s="1591" t="s">
        <v>55</v>
      </c>
      <c r="AI331" s="150">
        <v>1</v>
      </c>
      <c r="AJ331" s="136">
        <v>1.5</v>
      </c>
      <c r="AK331" s="1592"/>
      <c r="AM331" s="3302"/>
      <c r="AN331" s="3302"/>
      <c r="AO331" s="3302"/>
      <c r="AP331" s="3302"/>
      <c r="AQ331" s="3302"/>
      <c r="AU331" s="80"/>
    </row>
    <row r="332" spans="1:47" s="1591" customFormat="1" ht="13.2" customHeight="1">
      <c r="A332" s="1155"/>
      <c r="T332" s="1591" t="s">
        <v>1401</v>
      </c>
      <c r="AF332" s="1880"/>
      <c r="AG332" s="2263"/>
      <c r="AH332" s="1591" t="s">
        <v>37</v>
      </c>
      <c r="AI332" s="150">
        <f>$E$307</f>
        <v>0.36037883142173305</v>
      </c>
      <c r="AJ332" s="136">
        <v>2</v>
      </c>
      <c r="AK332" s="90" t="s">
        <v>1346</v>
      </c>
      <c r="AU332" s="80"/>
    </row>
    <row r="333" spans="1:47" s="1591" customFormat="1" ht="13.2" customHeight="1">
      <c r="A333" s="1155"/>
      <c r="T333" s="2817" t="s">
        <v>2310</v>
      </c>
      <c r="Z333" s="79" t="str">
        <f xml:space="preserve"> CONCATENATE(ROUND(AJ333,1),"x implying an EV/Ebitda around : ",ROUND(AJ333/T323,1),"x")</f>
        <v>2.3x implying an EV/Ebitda around : 4.8x</v>
      </c>
      <c r="AC333" s="2817" t="s">
        <v>2311</v>
      </c>
      <c r="AF333" s="1880"/>
      <c r="AG333" s="2263"/>
      <c r="AH333" s="107" t="s">
        <v>1345</v>
      </c>
      <c r="AI333" s="108">
        <v>0</v>
      </c>
      <c r="AJ333" s="1626">
        <f>AJ331-AK333</f>
        <v>2.2817127145922749</v>
      </c>
      <c r="AK333" s="1540">
        <f>(AJ332-AJ331)/(AI332-AI331)</f>
        <v>-0.78171271459227476</v>
      </c>
      <c r="AM333" s="2880"/>
      <c r="AN333" s="2880"/>
      <c r="AO333" s="2880"/>
      <c r="AP333" s="2880"/>
      <c r="AQ333" s="2880"/>
      <c r="AU333" s="80"/>
    </row>
    <row r="334" spans="1:47" s="1591" customFormat="1" ht="13.2" customHeight="1">
      <c r="A334" s="1155"/>
      <c r="AF334" s="1880"/>
      <c r="AG334" s="2263"/>
      <c r="AU334" s="80"/>
    </row>
    <row r="335" spans="1:47" s="1488" customFormat="1">
      <c r="A335" s="1155"/>
      <c r="X335" s="2138"/>
      <c r="AF335" s="1880"/>
      <c r="AG335" s="2263"/>
      <c r="AH335" s="1590"/>
      <c r="AI335" s="1590"/>
      <c r="AJ335" s="1590"/>
      <c r="AK335" s="1590"/>
      <c r="AU335" s="80"/>
    </row>
    <row r="336" spans="1:47" s="1488" customFormat="1">
      <c r="A336" s="1512" t="s">
        <v>1525</v>
      </c>
      <c r="B336" s="1513"/>
      <c r="T336" s="1978"/>
      <c r="U336" s="1978"/>
      <c r="V336" s="1978"/>
      <c r="W336" s="1978"/>
      <c r="X336" s="1978"/>
      <c r="Y336" s="1978"/>
      <c r="Z336" s="1978"/>
      <c r="AA336" s="1978"/>
      <c r="AB336" s="1978"/>
      <c r="AC336" s="1978"/>
      <c r="AD336" s="1978"/>
      <c r="AE336" s="1978"/>
      <c r="AF336" s="2445"/>
      <c r="AG336" s="2263"/>
      <c r="AH336" s="3306" t="s">
        <v>2261</v>
      </c>
      <c r="AI336" s="3306"/>
      <c r="AJ336" s="3306"/>
      <c r="AK336" s="3306"/>
      <c r="AU336" s="80"/>
    </row>
    <row r="337" spans="1:47" s="1488" customFormat="1">
      <c r="A337" s="1155"/>
      <c r="B337" s="1736"/>
      <c r="C337" s="1736"/>
      <c r="D337" s="1736"/>
      <c r="E337" s="1736"/>
      <c r="F337" s="1736"/>
      <c r="G337" s="1736"/>
      <c r="H337" s="1736"/>
      <c r="I337" s="1736"/>
      <c r="J337" s="1736"/>
      <c r="K337" s="1736"/>
      <c r="L337" s="1736"/>
      <c r="M337" s="1736"/>
      <c r="N337" s="1736"/>
      <c r="O337" s="1736"/>
      <c r="P337" s="1736"/>
      <c r="Q337" s="1736"/>
      <c r="R337" s="1736"/>
      <c r="S337" s="1736"/>
      <c r="T337" s="1910"/>
      <c r="U337" s="1910"/>
      <c r="V337" s="1910"/>
      <c r="W337" s="1910"/>
      <c r="X337" s="1910"/>
      <c r="Y337" s="1910"/>
      <c r="Z337" s="1910"/>
      <c r="AA337" s="1910"/>
      <c r="AB337" s="1910"/>
      <c r="AC337" s="1910"/>
      <c r="AD337" s="1910"/>
      <c r="AE337" s="1910"/>
      <c r="AF337" s="2446"/>
      <c r="AG337" s="2263"/>
      <c r="AH337" s="3306"/>
      <c r="AI337" s="3306"/>
      <c r="AJ337" s="3306"/>
      <c r="AK337" s="3306"/>
      <c r="AU337" s="80"/>
    </row>
    <row r="338" spans="1:47">
      <c r="B338" s="1736"/>
      <c r="C338" s="1736"/>
      <c r="D338" s="1736"/>
      <c r="E338" s="1736"/>
      <c r="F338" s="1736"/>
      <c r="G338" s="1736"/>
      <c r="H338" s="1736"/>
      <c r="I338" s="1736"/>
      <c r="J338" s="1736"/>
      <c r="K338" s="1736"/>
      <c r="L338" s="1736"/>
      <c r="M338" s="1736"/>
      <c r="N338" s="1736"/>
      <c r="O338" s="1736"/>
      <c r="P338" s="1736"/>
      <c r="Q338" s="1736"/>
      <c r="R338" s="1736"/>
      <c r="S338" s="1736"/>
      <c r="T338" s="1910"/>
      <c r="U338" s="1910"/>
      <c r="V338" s="1910"/>
      <c r="W338" s="1910"/>
      <c r="X338" s="1910"/>
      <c r="Y338" s="1910"/>
      <c r="Z338" s="1910"/>
      <c r="AA338" s="1910"/>
      <c r="AB338" s="1910"/>
      <c r="AC338" s="1910"/>
      <c r="AD338" s="1910"/>
      <c r="AE338" s="1910"/>
      <c r="AF338" s="2446"/>
      <c r="AH338" s="3306"/>
      <c r="AI338" s="3306"/>
      <c r="AJ338" s="3306"/>
      <c r="AK338" s="3306"/>
    </row>
    <row r="339" spans="1:47">
      <c r="B339" s="73"/>
      <c r="C339" s="1124"/>
      <c r="D339" s="1131"/>
      <c r="E339" s="1124"/>
      <c r="F339" s="117"/>
      <c r="G339" s="1131"/>
      <c r="H339" s="1124"/>
      <c r="I339" s="1124"/>
      <c r="J339" s="1131"/>
      <c r="K339" s="1124"/>
      <c r="L339" s="1124"/>
      <c r="M339" s="1124"/>
      <c r="N339" s="1209"/>
      <c r="O339" s="1249"/>
      <c r="P339" s="1250"/>
      <c r="Q339" s="1135"/>
      <c r="R339" s="1250"/>
      <c r="S339" s="1736"/>
      <c r="T339" s="1910"/>
      <c r="U339" s="1910"/>
      <c r="V339" s="1910"/>
      <c r="W339" s="1910"/>
      <c r="X339" s="1910"/>
      <c r="Y339" s="1910"/>
      <c r="Z339" s="1910"/>
      <c r="AA339" s="1910"/>
      <c r="AB339" s="1910"/>
      <c r="AC339" s="1910"/>
      <c r="AD339" s="1910"/>
      <c r="AE339" s="1910"/>
      <c r="AF339" s="2446"/>
      <c r="AH339" s="3306"/>
      <c r="AI339" s="3306"/>
      <c r="AJ339" s="3306"/>
      <c r="AK339" s="3306"/>
    </row>
    <row r="340" spans="1:47" s="1161" customFormat="1">
      <c r="A340" s="1155"/>
      <c r="B340" s="73"/>
      <c r="C340" s="1124"/>
      <c r="D340" s="1131"/>
      <c r="E340" s="1124"/>
      <c r="F340" s="117"/>
      <c r="G340" s="1131"/>
      <c r="H340" s="1124"/>
      <c r="I340" s="1124"/>
      <c r="J340" s="1131"/>
      <c r="K340" s="1124"/>
      <c r="L340" s="1124"/>
      <c r="M340" s="1124"/>
      <c r="N340" s="1209"/>
      <c r="O340" s="1249"/>
      <c r="P340" s="1250"/>
      <c r="Q340" s="1135"/>
      <c r="R340" s="1250"/>
      <c r="S340" s="1736"/>
      <c r="T340" s="1910"/>
      <c r="U340" s="1910"/>
      <c r="V340" s="1910"/>
      <c r="W340" s="1910"/>
      <c r="X340" s="1910"/>
      <c r="Y340" s="1910"/>
      <c r="Z340" s="1910"/>
      <c r="AA340" s="1910"/>
      <c r="AB340" s="1910"/>
      <c r="AC340" s="1910"/>
      <c r="AD340" s="1910"/>
      <c r="AE340" s="1910"/>
      <c r="AF340" s="2446"/>
      <c r="AG340" s="2263"/>
      <c r="AH340" s="3306"/>
      <c r="AI340" s="3306"/>
      <c r="AJ340" s="3306"/>
      <c r="AK340" s="3306"/>
      <c r="AU340" s="80"/>
    </row>
    <row r="341" spans="1:47" s="1161" customFormat="1">
      <c r="A341" s="1155"/>
      <c r="B341" s="73"/>
      <c r="C341" s="1124"/>
      <c r="D341" s="1131"/>
      <c r="E341" s="1124"/>
      <c r="F341" s="117"/>
      <c r="G341" s="1131"/>
      <c r="H341" s="1124"/>
      <c r="I341" s="1124"/>
      <c r="J341" s="1131"/>
      <c r="K341" s="1124"/>
      <c r="L341" s="1124"/>
      <c r="M341" s="1124"/>
      <c r="N341" s="1209"/>
      <c r="O341" s="1249"/>
      <c r="P341" s="1250"/>
      <c r="Q341" s="1135"/>
      <c r="R341" s="1250"/>
      <c r="S341" s="1736"/>
      <c r="T341" s="1910"/>
      <c r="U341" s="1910"/>
      <c r="V341" s="1910"/>
      <c r="W341" s="1910"/>
      <c r="X341" s="1910"/>
      <c r="Y341" s="1910"/>
      <c r="Z341" s="1910"/>
      <c r="AA341" s="1910"/>
      <c r="AB341" s="1910"/>
      <c r="AC341" s="1910"/>
      <c r="AD341" s="1910"/>
      <c r="AE341" s="1910"/>
      <c r="AF341" s="2446"/>
      <c r="AG341" s="2263"/>
      <c r="AH341" s="3306"/>
      <c r="AI341" s="3306"/>
      <c r="AJ341" s="3306"/>
      <c r="AK341" s="3306"/>
      <c r="AU341" s="80"/>
    </row>
    <row r="342" spans="1:47" s="1161" customFormat="1">
      <c r="A342" s="1155"/>
      <c r="B342" s="73"/>
      <c r="C342" s="1124"/>
      <c r="D342" s="1131"/>
      <c r="E342" s="1124"/>
      <c r="F342" s="117"/>
      <c r="G342" s="1131"/>
      <c r="H342" s="1124"/>
      <c r="I342" s="1124"/>
      <c r="J342" s="1131"/>
      <c r="K342" s="1124"/>
      <c r="L342" s="1124"/>
      <c r="M342" s="1124"/>
      <c r="N342" s="1209"/>
      <c r="O342" s="1249"/>
      <c r="P342" s="1250"/>
      <c r="Q342" s="1135"/>
      <c r="R342" s="1250"/>
      <c r="S342" s="1736"/>
      <c r="T342" s="1910"/>
      <c r="U342" s="1910"/>
      <c r="V342" s="1910"/>
      <c r="W342" s="1910"/>
      <c r="X342" s="1910"/>
      <c r="Y342" s="1910"/>
      <c r="Z342" s="1910"/>
      <c r="AA342" s="1910"/>
      <c r="AB342" s="1910"/>
      <c r="AC342" s="1910"/>
      <c r="AD342" s="1910"/>
      <c r="AE342" s="1910"/>
      <c r="AF342" s="2446"/>
      <c r="AG342" s="2263"/>
      <c r="AH342" s="3306"/>
      <c r="AI342" s="3306"/>
      <c r="AJ342" s="3306"/>
      <c r="AK342" s="3306"/>
      <c r="AU342" s="80"/>
    </row>
    <row r="343" spans="1:47" s="1161" customFormat="1">
      <c r="A343" s="1155"/>
      <c r="B343" s="73"/>
      <c r="C343" s="1124"/>
      <c r="D343" s="1131"/>
      <c r="E343" s="1124"/>
      <c r="F343" s="117"/>
      <c r="G343" s="1131"/>
      <c r="H343" s="1124"/>
      <c r="I343" s="1124"/>
      <c r="J343" s="1131"/>
      <c r="K343" s="1124"/>
      <c r="L343" s="1124"/>
      <c r="M343" s="1124"/>
      <c r="N343" s="1209"/>
      <c r="O343" s="1249"/>
      <c r="P343" s="1250"/>
      <c r="Q343" s="1135"/>
      <c r="R343" s="1250"/>
      <c r="S343" s="1736"/>
      <c r="T343" s="1910"/>
      <c r="U343" s="1910"/>
      <c r="V343" s="1910"/>
      <c r="W343" s="1910"/>
      <c r="X343" s="1910"/>
      <c r="Y343" s="1910"/>
      <c r="Z343" s="1910"/>
      <c r="AA343" s="1910"/>
      <c r="AB343" s="1910"/>
      <c r="AC343" s="1910"/>
      <c r="AD343" s="1910"/>
      <c r="AE343" s="1910"/>
      <c r="AF343" s="2446"/>
      <c r="AG343" s="2263"/>
      <c r="AH343" s="3306"/>
      <c r="AI343" s="3306"/>
      <c r="AJ343" s="3306"/>
      <c r="AK343" s="3306"/>
      <c r="AU343" s="80"/>
    </row>
    <row r="344" spans="1:47" s="1488" customFormat="1">
      <c r="A344" s="1155"/>
      <c r="B344" s="73"/>
      <c r="C344" s="1124"/>
      <c r="D344" s="1131"/>
      <c r="E344" s="1124"/>
      <c r="F344" s="117"/>
      <c r="G344" s="1131"/>
      <c r="H344" s="1124"/>
      <c r="I344" s="1124"/>
      <c r="J344" s="1131"/>
      <c r="K344" s="1124"/>
      <c r="L344" s="1124"/>
      <c r="M344" s="1124"/>
      <c r="N344" s="1209"/>
      <c r="O344" s="1249"/>
      <c r="P344" s="1250"/>
      <c r="Q344" s="1135"/>
      <c r="R344" s="1250"/>
      <c r="S344" s="1736"/>
      <c r="T344" s="1736"/>
      <c r="U344" s="1736"/>
      <c r="V344" s="1736"/>
      <c r="W344" s="1736"/>
      <c r="X344" s="1736"/>
      <c r="Y344" s="1736"/>
      <c r="Z344" s="1736"/>
      <c r="AA344" s="1736"/>
      <c r="AB344" s="1736"/>
      <c r="AC344" s="1736"/>
      <c r="AD344" s="1736"/>
      <c r="AE344" s="1736"/>
      <c r="AF344" s="1880"/>
      <c r="AG344" s="2263"/>
      <c r="AH344" s="1736"/>
      <c r="AI344" s="1736"/>
      <c r="AJ344" s="1736"/>
      <c r="AK344" s="1736"/>
      <c r="AL344" s="1153"/>
      <c r="AU344" s="80"/>
    </row>
    <row r="345" spans="1:47" s="1488" customFormat="1">
      <c r="A345" s="1155"/>
      <c r="B345" s="73"/>
      <c r="C345" s="1124"/>
      <c r="D345" s="1131"/>
      <c r="E345" s="1124"/>
      <c r="F345" s="117"/>
      <c r="G345" s="1131"/>
      <c r="H345" s="1124"/>
      <c r="I345" s="1124"/>
      <c r="J345" s="1131"/>
      <c r="K345" s="1124"/>
      <c r="L345" s="1124"/>
      <c r="M345" s="1124"/>
      <c r="N345" s="1209"/>
      <c r="O345" s="1249"/>
      <c r="P345" s="1250"/>
      <c r="Q345" s="1135"/>
      <c r="R345" s="1250"/>
      <c r="S345" s="1736"/>
      <c r="T345" s="2865" t="s">
        <v>1526</v>
      </c>
      <c r="U345" s="1153"/>
      <c r="V345" s="1153"/>
      <c r="W345" s="1153"/>
      <c r="X345" s="1153"/>
      <c r="Y345" s="1153"/>
      <c r="Z345" s="1153"/>
      <c r="AA345" s="1153"/>
      <c r="AB345" s="1153"/>
      <c r="AC345" s="1153"/>
      <c r="AD345" s="1153"/>
      <c r="AE345" s="1153"/>
      <c r="AF345" s="2449"/>
      <c r="AG345" s="2263"/>
      <c r="AH345" s="1580" t="s">
        <v>1403</v>
      </c>
      <c r="AI345" s="1580" t="s">
        <v>785</v>
      </c>
      <c r="AJ345" s="1580" t="s">
        <v>804</v>
      </c>
      <c r="AK345" s="1153"/>
      <c r="AL345" s="1153"/>
      <c r="AU345" s="80"/>
    </row>
    <row r="346" spans="1:47" s="1488" customFormat="1">
      <c r="A346" s="1155"/>
      <c r="B346" s="73"/>
      <c r="C346" s="1124"/>
      <c r="D346" s="1131"/>
      <c r="E346" s="1124"/>
      <c r="F346" s="117"/>
      <c r="G346" s="1131"/>
      <c r="H346" s="1124"/>
      <c r="I346" s="1124"/>
      <c r="J346" s="1131"/>
      <c r="K346" s="1124"/>
      <c r="L346" s="1124"/>
      <c r="M346" s="1124"/>
      <c r="N346" s="1209"/>
      <c r="O346" s="1249"/>
      <c r="P346" s="1250"/>
      <c r="Q346" s="1135"/>
      <c r="R346" s="1250"/>
      <c r="S346" s="1736"/>
      <c r="T346" s="1153"/>
      <c r="U346" s="1153"/>
      <c r="V346" s="1153"/>
      <c r="W346" s="1153"/>
      <c r="X346" s="1153"/>
      <c r="Y346" s="1153"/>
      <c r="Z346" s="1153"/>
      <c r="AA346" s="1153"/>
      <c r="AB346" s="1153"/>
      <c r="AC346" s="1153"/>
      <c r="AD346" s="1153"/>
      <c r="AE346" s="1153"/>
      <c r="AF346" s="2449"/>
      <c r="AG346" s="2263"/>
      <c r="AH346" s="1153" t="s">
        <v>55</v>
      </c>
      <c r="AI346" s="1131">
        <v>1</v>
      </c>
      <c r="AJ346" s="1131">
        <f>T351</f>
        <v>0.18333333333333335</v>
      </c>
      <c r="AK346" s="1153"/>
      <c r="AL346" s="1153"/>
      <c r="AU346" s="80"/>
    </row>
    <row r="347" spans="1:47" s="1488" customFormat="1">
      <c r="A347" s="1155"/>
      <c r="B347" s="73"/>
      <c r="C347" s="1124"/>
      <c r="D347" s="1131"/>
      <c r="E347" s="1124"/>
      <c r="F347" s="117"/>
      <c r="G347" s="1131"/>
      <c r="H347" s="1124"/>
      <c r="I347" s="1124"/>
      <c r="J347" s="1131"/>
      <c r="K347" s="1124"/>
      <c r="L347" s="1124"/>
      <c r="M347" s="1124"/>
      <c r="N347" s="1209"/>
      <c r="O347" s="1249"/>
      <c r="P347" s="1250"/>
      <c r="Q347" s="1135"/>
      <c r="R347" s="1250"/>
      <c r="S347" s="1736"/>
      <c r="T347" s="2866" t="s">
        <v>798</v>
      </c>
      <c r="U347" s="2882" t="s">
        <v>796</v>
      </c>
      <c r="V347" s="2873" t="s">
        <v>797</v>
      </c>
      <c r="W347" s="1153"/>
      <c r="X347" s="2867" t="s">
        <v>37</v>
      </c>
      <c r="Y347" s="2884" t="s">
        <v>796</v>
      </c>
      <c r="Z347" s="2885" t="s">
        <v>797</v>
      </c>
      <c r="AA347" s="2868" t="s">
        <v>36</v>
      </c>
      <c r="AB347" s="2884" t="s">
        <v>796</v>
      </c>
      <c r="AC347" s="2885" t="s">
        <v>797</v>
      </c>
      <c r="AD347" s="2868" t="s">
        <v>38</v>
      </c>
      <c r="AE347" s="2884" t="s">
        <v>796</v>
      </c>
      <c r="AF347" s="2884" t="s">
        <v>797</v>
      </c>
      <c r="AG347" s="2263"/>
      <c r="AH347" s="1153" t="s">
        <v>37</v>
      </c>
      <c r="AI347" s="1131">
        <f>AI317</f>
        <v>0.36037883142173305</v>
      </c>
      <c r="AJ347" s="1131">
        <f>X348</f>
        <v>0.374</v>
      </c>
      <c r="AK347" s="1580" t="s">
        <v>1346</v>
      </c>
      <c r="AL347" s="1153"/>
      <c r="AU347" s="80"/>
    </row>
    <row r="348" spans="1:47" s="1488" customFormat="1">
      <c r="A348" s="1155"/>
      <c r="B348" s="73"/>
      <c r="C348" s="1124"/>
      <c r="D348" s="1131"/>
      <c r="E348" s="1124"/>
      <c r="F348" s="117"/>
      <c r="G348" s="1131"/>
      <c r="H348" s="1124"/>
      <c r="I348" s="1124"/>
      <c r="J348" s="1131"/>
      <c r="K348" s="1124"/>
      <c r="L348" s="1124"/>
      <c r="M348" s="1124"/>
      <c r="N348" s="1209"/>
      <c r="O348" s="1249"/>
      <c r="P348" s="1250"/>
      <c r="Q348" s="1135"/>
      <c r="R348" s="1250"/>
      <c r="S348" s="1736"/>
      <c r="T348" s="2869">
        <f>AVERAGE(AJ348,AJ354)</f>
        <v>0.48681573444260695</v>
      </c>
      <c r="U348" s="2883">
        <f>T348-5%</f>
        <v>0.43681573444260696</v>
      </c>
      <c r="V348" s="2231">
        <f>T348+5%</f>
        <v>0.536815734442607</v>
      </c>
      <c r="W348" s="1153"/>
      <c r="X348" s="2870">
        <f>AL154</f>
        <v>0.374</v>
      </c>
      <c r="Y348" s="2886">
        <v>0.17</v>
      </c>
      <c r="Z348" s="2887">
        <f>AK154</f>
        <v>0.47400000000000003</v>
      </c>
      <c r="AA348" s="2871">
        <f>AVERAGE(AJ349,AJ356)</f>
        <v>0.1914853784153166</v>
      </c>
      <c r="AB348" s="2886">
        <v>0.1</v>
      </c>
      <c r="AC348" s="2887">
        <v>0.33</v>
      </c>
      <c r="AD348" s="2871">
        <f>AVERAGE(AE348:AF348)</f>
        <v>0.44444444444444442</v>
      </c>
      <c r="AE348" s="2886">
        <f>AE323</f>
        <v>0.3888888888888889</v>
      </c>
      <c r="AF348" s="2886">
        <f>AF323</f>
        <v>0.5</v>
      </c>
      <c r="AG348" s="2263"/>
      <c r="AH348" s="1627" t="s">
        <v>1348</v>
      </c>
      <c r="AI348" s="1581">
        <v>0</v>
      </c>
      <c r="AJ348" s="1583">
        <f>AJ346-AK348</f>
        <v>0.4814264484978541</v>
      </c>
      <c r="AK348" s="1582">
        <f>(AJ347-AJ346)/(AI347-AI346)</f>
        <v>-0.29809311516452075</v>
      </c>
      <c r="AL348" s="1153"/>
      <c r="AU348" s="80"/>
    </row>
    <row r="349" spans="1:47" s="1488" customFormat="1">
      <c r="A349" s="1155"/>
      <c r="B349" s="73"/>
      <c r="C349" s="1124"/>
      <c r="D349" s="1131"/>
      <c r="E349" s="1124"/>
      <c r="F349" s="117"/>
      <c r="G349" s="1131"/>
      <c r="H349" s="1124"/>
      <c r="I349" s="1124"/>
      <c r="J349" s="1131"/>
      <c r="K349" s="1124"/>
      <c r="L349" s="1124"/>
      <c r="M349" s="1124"/>
      <c r="N349" s="1209"/>
      <c r="O349" s="1249"/>
      <c r="P349" s="1250"/>
      <c r="Q349" s="1135"/>
      <c r="R349" s="1250"/>
      <c r="S349" s="1736"/>
      <c r="T349" s="1153"/>
      <c r="U349" s="1165"/>
      <c r="V349" s="1165"/>
      <c r="W349" s="1153"/>
      <c r="X349" s="1153"/>
      <c r="Y349" s="1153"/>
      <c r="Z349" s="1153"/>
      <c r="AA349" s="1153"/>
      <c r="AB349" s="1153"/>
      <c r="AC349" s="1153"/>
      <c r="AD349" s="1153"/>
      <c r="AE349" s="1153"/>
      <c r="AF349" s="2449"/>
      <c r="AG349" s="2263"/>
      <c r="AH349" s="1613" t="s">
        <v>36</v>
      </c>
      <c r="AI349" s="1584">
        <f>$E$300</f>
        <v>0.97265268915223335</v>
      </c>
      <c r="AJ349" s="1584">
        <f>AJ346-AK348*(1-AI349)</f>
        <v>0.1914853784153166</v>
      </c>
      <c r="AK349" s="1153"/>
      <c r="AL349" s="1153"/>
      <c r="AU349" s="80"/>
    </row>
    <row r="350" spans="1:47" s="1488" customFormat="1">
      <c r="A350" s="1155"/>
      <c r="B350" s="73"/>
      <c r="C350" s="1124"/>
      <c r="D350" s="1131"/>
      <c r="E350" s="1124"/>
      <c r="F350" s="117"/>
      <c r="G350" s="1131"/>
      <c r="H350" s="1124"/>
      <c r="I350" s="1124"/>
      <c r="J350" s="1131"/>
      <c r="K350" s="1124"/>
      <c r="L350" s="1124"/>
      <c r="M350" s="1124"/>
      <c r="N350" s="1209"/>
      <c r="O350" s="1249"/>
      <c r="P350" s="1250"/>
      <c r="Q350" s="1135"/>
      <c r="R350" s="1250"/>
      <c r="S350" s="1736"/>
      <c r="T350" s="2866" t="s">
        <v>799</v>
      </c>
      <c r="U350" s="2882" t="s">
        <v>796</v>
      </c>
      <c r="V350" s="2873" t="s">
        <v>797</v>
      </c>
      <c r="W350" s="1153"/>
      <c r="X350" s="1153" t="s">
        <v>2255</v>
      </c>
      <c r="Y350" s="1153"/>
      <c r="Z350" s="1153"/>
      <c r="AA350" s="1153"/>
      <c r="AB350" s="1153"/>
      <c r="AC350" s="1153"/>
      <c r="AD350" s="1153"/>
      <c r="AE350" s="1153"/>
      <c r="AF350" s="2449"/>
      <c r="AG350" s="2263"/>
      <c r="AH350" s="1153"/>
      <c r="AI350" s="1153"/>
      <c r="AJ350" s="1153"/>
      <c r="AK350" s="1153"/>
      <c r="AL350" s="1153"/>
      <c r="AU350" s="80"/>
    </row>
    <row r="351" spans="1:47" s="1488" customFormat="1">
      <c r="A351" s="1155"/>
      <c r="B351" s="73"/>
      <c r="C351" s="1124"/>
      <c r="D351" s="1131"/>
      <c r="E351" s="1124"/>
      <c r="F351" s="117"/>
      <c r="G351" s="1131"/>
      <c r="H351" s="1124"/>
      <c r="I351" s="1124"/>
      <c r="J351" s="1131"/>
      <c r="K351" s="1124"/>
      <c r="L351" s="1124"/>
      <c r="M351" s="1124"/>
      <c r="N351" s="1209"/>
      <c r="O351" s="1249"/>
      <c r="P351" s="1250"/>
      <c r="Q351" s="1135"/>
      <c r="R351" s="1250"/>
      <c r="S351" s="1736"/>
      <c r="T351" s="2869">
        <f>AVERAGE(U351:V351)</f>
        <v>0.18333333333333335</v>
      </c>
      <c r="U351" s="2883">
        <f>AJ157</f>
        <v>0.16666666666666666</v>
      </c>
      <c r="V351" s="2231">
        <f>AK157</f>
        <v>0.2</v>
      </c>
      <c r="W351" s="1153"/>
      <c r="X351" s="1153" t="str">
        <f>CONCATENATE("This implies for Fixed services : D/Ebitda = ", ROUND(AJ359,1)," and EV/Ebitda = ",ROUND(AJ359/T348,1),", both almost unchanged.")</f>
        <v>This implies for Fixed services : D/Ebitda = 2.4 and EV/Ebitda = 4.8, both almost unchanged.</v>
      </c>
      <c r="Y351" s="1153"/>
      <c r="Z351" s="1153"/>
      <c r="AA351" s="1153"/>
      <c r="AB351" s="1153"/>
      <c r="AC351" s="1153"/>
      <c r="AD351" s="1153"/>
      <c r="AE351" s="1153"/>
      <c r="AF351" s="2449"/>
      <c r="AG351" s="2263"/>
      <c r="AH351" s="1153" t="s">
        <v>1402</v>
      </c>
      <c r="AI351" s="1580" t="s">
        <v>785</v>
      </c>
      <c r="AJ351" s="1580" t="s">
        <v>804</v>
      </c>
      <c r="AK351" s="1153"/>
      <c r="AL351" s="1153"/>
      <c r="AU351" s="80"/>
    </row>
    <row r="352" spans="1:47" s="1488" customFormat="1">
      <c r="A352" s="1155"/>
      <c r="B352" s="73"/>
      <c r="C352" s="1124"/>
      <c r="D352" s="1131"/>
      <c r="E352" s="1124"/>
      <c r="F352" s="117"/>
      <c r="G352" s="1131"/>
      <c r="H352" s="1124"/>
      <c r="I352" s="1124"/>
      <c r="J352" s="1131"/>
      <c r="K352" s="1124"/>
      <c r="L352" s="1124"/>
      <c r="M352" s="1124"/>
      <c r="N352" s="1209"/>
      <c r="O352" s="1249"/>
      <c r="P352" s="1250"/>
      <c r="Q352" s="1135"/>
      <c r="R352" s="1250"/>
      <c r="AF352" s="1880"/>
      <c r="AG352" s="2263"/>
      <c r="AH352" s="1627" t="s">
        <v>55</v>
      </c>
      <c r="AI352" s="1131">
        <v>1</v>
      </c>
      <c r="AJ352" s="1131">
        <f>T351</f>
        <v>0.18333333333333335</v>
      </c>
      <c r="AK352" s="1153"/>
      <c r="AL352" s="1153"/>
      <c r="AU352" s="80"/>
    </row>
    <row r="353" spans="1:47" s="1488" customFormat="1">
      <c r="A353" s="1155"/>
      <c r="B353" s="73"/>
      <c r="C353" s="1124"/>
      <c r="D353" s="1131"/>
      <c r="E353" s="1124"/>
      <c r="F353" s="117"/>
      <c r="G353" s="1131"/>
      <c r="H353" s="1124"/>
      <c r="I353" s="1124"/>
      <c r="J353" s="1131"/>
      <c r="K353" s="1124"/>
      <c r="L353" s="1124"/>
      <c r="M353" s="1124"/>
      <c r="N353" s="1209"/>
      <c r="O353" s="1249"/>
      <c r="P353" s="1250"/>
      <c r="Q353" s="1135"/>
      <c r="R353" s="1250"/>
      <c r="AF353" s="1880"/>
      <c r="AG353" s="2263"/>
      <c r="AH353" s="1153" t="s">
        <v>38</v>
      </c>
      <c r="AI353" s="1131">
        <f>AI323</f>
        <v>0.15462918080465343</v>
      </c>
      <c r="AJ353" s="1131">
        <f>AD348</f>
        <v>0.44444444444444442</v>
      </c>
      <c r="AK353" s="1580" t="s">
        <v>1346</v>
      </c>
      <c r="AL353" s="1153"/>
      <c r="AU353" s="80"/>
    </row>
    <row r="354" spans="1:47" s="1161" customFormat="1">
      <c r="A354" s="1155"/>
      <c r="B354" s="73"/>
      <c r="C354" s="1124"/>
      <c r="D354" s="1131"/>
      <c r="E354" s="1124"/>
      <c r="F354" s="117"/>
      <c r="G354" s="1131"/>
      <c r="H354" s="1124"/>
      <c r="I354" s="1124"/>
      <c r="J354" s="1131"/>
      <c r="K354" s="1124"/>
      <c r="L354" s="1124"/>
      <c r="M354" s="1124"/>
      <c r="N354" s="1209"/>
      <c r="O354" s="1249"/>
      <c r="P354" s="1250"/>
      <c r="Q354" s="1135"/>
      <c r="R354" s="1250"/>
      <c r="AF354" s="1880"/>
      <c r="AG354" s="2263"/>
      <c r="AH354" s="1627" t="s">
        <v>1348</v>
      </c>
      <c r="AI354" s="1581">
        <v>0</v>
      </c>
      <c r="AJ354" s="1583">
        <f>AJ352-AK354</f>
        <v>0.4922050203873598</v>
      </c>
      <c r="AK354" s="1582">
        <f>(AJ353-AJ352)/(AI353-AI352)</f>
        <v>-0.30887168705402646</v>
      </c>
      <c r="AL354" s="1153"/>
      <c r="AU354" s="80"/>
    </row>
    <row r="355" spans="1:47" s="1854" customFormat="1">
      <c r="A355" s="1155"/>
      <c r="B355" s="73"/>
      <c r="C355" s="1124"/>
      <c r="D355" s="1131"/>
      <c r="E355" s="1124"/>
      <c r="F355" s="117"/>
      <c r="G355" s="1131"/>
      <c r="H355" s="1124"/>
      <c r="I355" s="1124"/>
      <c r="J355" s="1131"/>
      <c r="K355" s="1124"/>
      <c r="L355" s="1124"/>
      <c r="M355" s="1124"/>
      <c r="N355" s="1209"/>
      <c r="O355" s="1249"/>
      <c r="P355" s="1250"/>
      <c r="Q355" s="1135"/>
      <c r="R355" s="1250"/>
      <c r="AB355" s="2139"/>
      <c r="AC355" s="2139"/>
      <c r="AD355" s="2139"/>
      <c r="AE355" s="2139"/>
      <c r="AF355" s="1880"/>
      <c r="AG355" s="2263"/>
      <c r="AH355" s="1209"/>
      <c r="AI355" s="1124"/>
      <c r="AJ355" s="1900"/>
      <c r="AK355" s="1582"/>
      <c r="AL355" s="1153"/>
      <c r="AU355" s="80"/>
    </row>
    <row r="356" spans="1:47" s="1854" customFormat="1">
      <c r="A356" s="1189" t="s">
        <v>1783</v>
      </c>
      <c r="B356" s="94"/>
      <c r="C356" s="1254"/>
      <c r="D356" s="1255"/>
      <c r="E356" s="1254"/>
      <c r="F356" s="1255"/>
      <c r="G356" s="1254"/>
      <c r="H356" s="1255"/>
      <c r="I356" s="1254"/>
      <c r="J356" s="1255"/>
      <c r="K356" s="1254"/>
      <c r="L356" s="1255"/>
      <c r="M356" s="1254"/>
      <c r="N356" s="1255"/>
      <c r="O356" s="1254"/>
      <c r="P356" s="1255"/>
      <c r="Q356" s="1254"/>
      <c r="R356" s="1253"/>
      <c r="S356" s="119"/>
      <c r="T356" s="94"/>
      <c r="U356" s="94"/>
      <c r="V356" s="94"/>
      <c r="W356" s="94"/>
      <c r="X356" s="1903"/>
      <c r="Y356" s="1235"/>
      <c r="Z356" s="1235"/>
      <c r="AA356" s="1235"/>
      <c r="AB356" s="1982"/>
      <c r="AC356" s="1982"/>
      <c r="AD356" s="1982"/>
      <c r="AE356" s="1982"/>
      <c r="AF356" s="2447"/>
      <c r="AG356" s="2263"/>
      <c r="AH356" s="1623"/>
      <c r="AI356" s="1623" t="s">
        <v>785</v>
      </c>
      <c r="AJ356" s="1623" t="s">
        <v>95</v>
      </c>
      <c r="AK356" s="1165"/>
      <c r="AU356" s="80"/>
    </row>
    <row r="357" spans="1:47" s="1854" customFormat="1">
      <c r="C357" s="92"/>
      <c r="X357" s="1857"/>
      <c r="AB357" s="2139"/>
      <c r="AC357" s="2139"/>
      <c r="AD357" s="2139"/>
      <c r="AE357" s="2139"/>
      <c r="AF357" s="1880"/>
      <c r="AG357" s="2263"/>
      <c r="AH357" s="1165" t="s">
        <v>55</v>
      </c>
      <c r="AI357" s="2196">
        <v>1</v>
      </c>
      <c r="AJ357" s="2197">
        <v>1</v>
      </c>
      <c r="AK357" s="1207"/>
      <c r="AU357" s="80"/>
    </row>
    <row r="358" spans="1:47" s="1854" customFormat="1">
      <c r="C358" s="92"/>
      <c r="N358" s="11"/>
      <c r="O358" s="11"/>
      <c r="P358" s="11"/>
      <c r="Q358" s="11"/>
      <c r="R358" s="11"/>
      <c r="S358" s="11"/>
      <c r="T358" s="11" t="s">
        <v>2262</v>
      </c>
      <c r="U358" s="11"/>
      <c r="V358" s="11"/>
      <c r="W358" s="11"/>
      <c r="X358" s="11"/>
      <c r="Y358" s="11"/>
      <c r="Z358" s="11"/>
      <c r="AB358" s="2139"/>
      <c r="AC358" s="2139"/>
      <c r="AD358" s="2139"/>
      <c r="AE358" s="2139"/>
      <c r="AF358" s="1880"/>
      <c r="AG358" s="2263"/>
      <c r="AH358" s="1165" t="s">
        <v>37</v>
      </c>
      <c r="AI358" s="2196">
        <f>$E$307</f>
        <v>0.36037883142173305</v>
      </c>
      <c r="AJ358" s="2197">
        <f>2-0.13</f>
        <v>1.87</v>
      </c>
      <c r="AK358" s="1623" t="s">
        <v>1346</v>
      </c>
      <c r="AU358" s="80"/>
    </row>
    <row r="359" spans="1:47" s="1854" customFormat="1">
      <c r="C359" s="92"/>
      <c r="N359" s="11"/>
      <c r="O359" s="11"/>
      <c r="P359" s="11"/>
      <c r="Q359" s="11"/>
      <c r="R359" s="11"/>
      <c r="S359" s="11"/>
      <c r="T359" s="2159" t="s">
        <v>2086</v>
      </c>
      <c r="U359" s="11"/>
      <c r="V359" s="11"/>
      <c r="W359" s="1457" t="s">
        <v>1742</v>
      </c>
      <c r="X359" s="2160" t="s">
        <v>2263</v>
      </c>
      <c r="Y359" s="11"/>
      <c r="Z359" s="11"/>
      <c r="AB359" s="2139"/>
      <c r="AC359" s="2139"/>
      <c r="AD359" s="2139"/>
      <c r="AE359" s="2139"/>
      <c r="AF359" s="1880"/>
      <c r="AG359" s="2263"/>
      <c r="AH359" s="2198" t="s">
        <v>1773</v>
      </c>
      <c r="AI359" s="2199">
        <v>0</v>
      </c>
      <c r="AJ359" s="2200">
        <f>AJ357-AK359</f>
        <v>2.3601801233905579</v>
      </c>
      <c r="AK359" s="2201">
        <f>(AJ358-AJ357)/(AI358-AI357)</f>
        <v>-1.3601801233905582</v>
      </c>
      <c r="AU359" s="80"/>
    </row>
    <row r="360" spans="1:47" s="2138" customFormat="1">
      <c r="C360" s="92"/>
      <c r="N360" s="11"/>
      <c r="O360" s="11"/>
      <c r="P360" s="11"/>
      <c r="Q360" s="11"/>
      <c r="R360" s="11"/>
      <c r="S360" s="11"/>
      <c r="T360" s="2159"/>
      <c r="U360" s="11"/>
      <c r="V360" s="11"/>
      <c r="W360" s="1457"/>
      <c r="X360" s="2159" t="s">
        <v>2264</v>
      </c>
      <c r="Y360" s="11"/>
      <c r="Z360" s="11"/>
      <c r="AB360" s="2139"/>
      <c r="AC360" s="2139"/>
      <c r="AD360" s="2139"/>
      <c r="AE360" s="2139"/>
      <c r="AF360" s="1880"/>
      <c r="AG360" s="2263"/>
      <c r="AU360" s="80"/>
    </row>
    <row r="361" spans="1:47" s="2138" customFormat="1">
      <c r="C361" s="92"/>
      <c r="N361" s="11"/>
      <c r="O361" s="11"/>
      <c r="P361" s="11"/>
      <c r="Q361" s="11"/>
      <c r="R361" s="11"/>
      <c r="S361" s="11"/>
      <c r="T361" s="2160"/>
      <c r="U361" s="11"/>
      <c r="V361" s="11"/>
      <c r="W361" s="1457"/>
      <c r="X361" s="2160" t="s">
        <v>1744</v>
      </c>
      <c r="Y361" s="11"/>
      <c r="Z361" s="11"/>
      <c r="AB361" s="2139"/>
      <c r="AC361" s="2139"/>
      <c r="AD361" s="2139"/>
      <c r="AE361" s="2139"/>
      <c r="AF361" s="1880"/>
      <c r="AG361" s="1826"/>
      <c r="AH361" s="2275"/>
      <c r="AI361" s="2275"/>
      <c r="AJ361" s="2275"/>
      <c r="AK361" s="2275"/>
      <c r="AL361" s="2275"/>
      <c r="AM361" s="2275"/>
      <c r="AN361" s="2275"/>
      <c r="AO361" s="2275"/>
      <c r="AP361" s="2275"/>
      <c r="AQ361" s="2275"/>
      <c r="AR361" s="2275"/>
      <c r="AS361" s="2275"/>
      <c r="AT361" s="2471"/>
      <c r="AU361" s="80"/>
    </row>
    <row r="362" spans="1:47" s="2817" customFormat="1">
      <c r="C362" s="92"/>
      <c r="N362" s="11"/>
      <c r="O362" s="11"/>
      <c r="P362" s="11"/>
      <c r="Q362" s="11"/>
      <c r="R362" s="11"/>
      <c r="S362" s="11"/>
      <c r="T362" s="2160"/>
      <c r="U362" s="11"/>
      <c r="V362" s="11"/>
      <c r="W362" s="1457"/>
      <c r="X362" s="2160"/>
      <c r="Y362" s="11"/>
      <c r="Z362" s="11"/>
      <c r="AB362" s="2818"/>
      <c r="AC362" s="2818"/>
      <c r="AD362" s="2818"/>
      <c r="AE362" s="2818"/>
      <c r="AF362" s="2819"/>
      <c r="AG362" s="2818"/>
      <c r="AH362" s="2818"/>
      <c r="AI362" s="2818"/>
      <c r="AJ362" s="2818"/>
      <c r="AK362" s="2818"/>
      <c r="AL362" s="2818"/>
      <c r="AM362" s="2818"/>
      <c r="AN362" s="2818"/>
      <c r="AO362" s="2818"/>
      <c r="AP362" s="2818"/>
      <c r="AQ362" s="2818"/>
      <c r="AR362" s="2818"/>
      <c r="AS362" s="2818"/>
      <c r="AT362" s="2818"/>
      <c r="AU362" s="80"/>
    </row>
    <row r="363" spans="1:47" s="2138" customFormat="1">
      <c r="C363" s="92"/>
      <c r="N363" s="11"/>
      <c r="O363" s="11"/>
      <c r="P363" s="11"/>
      <c r="Q363" s="11"/>
      <c r="R363" s="11"/>
      <c r="S363" s="11"/>
      <c r="T363" s="11" t="s">
        <v>2265</v>
      </c>
      <c r="U363" s="11"/>
      <c r="V363" s="1091" t="s">
        <v>2266</v>
      </c>
      <c r="X363" s="11"/>
      <c r="Y363" s="11"/>
      <c r="Z363" s="11"/>
      <c r="AB363" s="2139"/>
      <c r="AC363" s="2139"/>
      <c r="AD363" s="2139"/>
      <c r="AE363" s="2139"/>
      <c r="AF363" s="1880"/>
      <c r="AG363" s="2263"/>
      <c r="AU363" s="80"/>
    </row>
    <row r="364" spans="1:47" s="2138" customFormat="1">
      <c r="C364" s="92"/>
      <c r="N364" s="11"/>
      <c r="O364" s="11"/>
      <c r="P364" s="11"/>
      <c r="Q364" s="11"/>
      <c r="R364" s="11"/>
      <c r="S364" s="11"/>
      <c r="AB364" s="2139"/>
      <c r="AC364" s="2139"/>
      <c r="AD364" s="2139"/>
      <c r="AE364" s="2139"/>
      <c r="AF364" s="1880"/>
      <c r="AG364" s="2263"/>
      <c r="AU364" s="80"/>
    </row>
    <row r="365" spans="1:47" s="2138" customFormat="1">
      <c r="C365" s="92"/>
      <c r="N365" s="11"/>
      <c r="O365" s="11"/>
      <c r="P365" s="11"/>
      <c r="Q365" s="11"/>
      <c r="R365" s="11"/>
      <c r="S365" s="11"/>
      <c r="T365" s="2158"/>
      <c r="U365" s="11"/>
      <c r="V365" s="11"/>
      <c r="W365" s="1457"/>
      <c r="X365" s="11"/>
      <c r="Y365" s="11"/>
      <c r="Z365" s="11"/>
      <c r="AA365" s="2163" t="s">
        <v>1666</v>
      </c>
      <c r="AB365" s="3408" t="s">
        <v>2312</v>
      </c>
      <c r="AC365" s="3408"/>
      <c r="AD365" s="3408"/>
      <c r="AE365" s="3408"/>
      <c r="AF365" s="3421"/>
      <c r="AU365" s="80"/>
    </row>
    <row r="366" spans="1:47" s="2138" customFormat="1">
      <c r="C366" s="92"/>
      <c r="N366" s="11"/>
      <c r="O366" s="11"/>
      <c r="P366" s="11"/>
      <c r="Q366" s="11"/>
      <c r="R366" s="11"/>
      <c r="S366" s="11"/>
      <c r="T366" s="2158"/>
      <c r="U366" s="11"/>
      <c r="V366" s="11"/>
      <c r="W366" s="1457"/>
      <c r="X366" s="11"/>
      <c r="Y366" s="11"/>
      <c r="Z366" s="11"/>
      <c r="AB366" s="3408"/>
      <c r="AC366" s="3408"/>
      <c r="AD366" s="3408"/>
      <c r="AE366" s="3408"/>
      <c r="AF366" s="3421"/>
      <c r="AG366" s="1209" t="s">
        <v>1562</v>
      </c>
      <c r="AH366" s="2161" t="s">
        <v>1746</v>
      </c>
      <c r="AU366" s="80"/>
    </row>
    <row r="367" spans="1:47" s="2138" customFormat="1" ht="13.2" customHeight="1">
      <c r="C367" s="92"/>
      <c r="N367" s="11"/>
      <c r="O367" s="11"/>
      <c r="P367" s="11"/>
      <c r="Q367" s="11"/>
      <c r="R367" s="11"/>
      <c r="S367" s="11"/>
      <c r="T367" s="2158"/>
      <c r="U367" s="11"/>
      <c r="V367" s="11"/>
      <c r="W367" s="1457"/>
      <c r="X367" s="11"/>
      <c r="Y367" s="11"/>
      <c r="Z367" s="11"/>
      <c r="AB367" s="2818" t="s">
        <v>2313</v>
      </c>
      <c r="AC367" s="2818"/>
      <c r="AD367" s="2818"/>
      <c r="AE367" s="2818"/>
      <c r="AF367" s="2819"/>
      <c r="AG367" s="1209" t="s">
        <v>1755</v>
      </c>
      <c r="AH367" s="2161" t="s">
        <v>1061</v>
      </c>
      <c r="AI367" s="1153"/>
      <c r="AU367" s="80"/>
    </row>
    <row r="368" spans="1:47" s="2138" customFormat="1">
      <c r="C368" s="92"/>
      <c r="N368" s="11"/>
      <c r="O368" s="11"/>
      <c r="P368" s="11"/>
      <c r="Q368" s="11"/>
      <c r="R368" s="11"/>
      <c r="S368" s="11"/>
      <c r="T368" s="2158"/>
      <c r="U368" s="11"/>
      <c r="V368" s="11"/>
      <c r="W368" s="1457"/>
      <c r="X368" s="11"/>
      <c r="Y368" s="11"/>
      <c r="Z368" s="11"/>
      <c r="AB368" s="1744" t="s">
        <v>2314</v>
      </c>
      <c r="AC368" s="2818"/>
      <c r="AD368" s="2818"/>
      <c r="AE368" s="2818"/>
      <c r="AF368" s="2819"/>
      <c r="AG368" s="2263"/>
      <c r="AH368" s="2162" t="s">
        <v>1062</v>
      </c>
      <c r="AU368" s="80"/>
    </row>
    <row r="369" spans="3:47" s="2138" customFormat="1">
      <c r="C369" s="92"/>
      <c r="N369" s="11"/>
      <c r="O369" s="11"/>
      <c r="P369" s="11"/>
      <c r="Q369" s="11"/>
      <c r="R369" s="11"/>
      <c r="S369" s="11"/>
      <c r="T369" s="2158"/>
      <c r="U369" s="11"/>
      <c r="V369" s="11"/>
      <c r="W369" s="1457"/>
      <c r="X369" s="11"/>
      <c r="Y369" s="11"/>
      <c r="Z369" s="11"/>
      <c r="AB369" s="1744" t="s">
        <v>1860</v>
      </c>
      <c r="AC369" s="2818"/>
      <c r="AD369" s="2818"/>
      <c r="AE369" s="2818"/>
      <c r="AF369" s="2819"/>
      <c r="AU369" s="80"/>
    </row>
    <row r="370" spans="3:47" s="2138" customFormat="1">
      <c r="C370" s="92"/>
      <c r="N370" s="11"/>
      <c r="O370" s="11"/>
      <c r="P370" s="11"/>
      <c r="Q370" s="11"/>
      <c r="R370" s="11"/>
      <c r="S370" s="11"/>
      <c r="T370" s="2158"/>
      <c r="U370" s="11"/>
      <c r="V370" s="11"/>
      <c r="W370" s="1457"/>
      <c r="X370" s="11"/>
      <c r="Y370" s="11"/>
      <c r="Z370" s="11"/>
      <c r="AF370" s="2819"/>
      <c r="AG370" s="2263"/>
      <c r="AU370" s="80"/>
    </row>
    <row r="371" spans="3:47" s="2138" customFormat="1">
      <c r="C371" s="92"/>
      <c r="N371" s="11"/>
      <c r="O371" s="11"/>
      <c r="P371" s="11"/>
      <c r="Q371" s="11"/>
      <c r="R371" s="11"/>
      <c r="S371" s="11"/>
      <c r="T371" s="2158"/>
      <c r="U371" s="11"/>
      <c r="V371" s="11"/>
      <c r="W371" s="1457"/>
      <c r="X371" s="11"/>
      <c r="Y371" s="11"/>
      <c r="Z371" s="11"/>
      <c r="AA371" s="2163" t="s">
        <v>1666</v>
      </c>
      <c r="AB371" s="2818" t="s">
        <v>1745</v>
      </c>
      <c r="AC371" s="2818"/>
      <c r="AD371" s="2818"/>
      <c r="AE371" s="2818"/>
      <c r="AF371" s="2819"/>
      <c r="AU371" s="80"/>
    </row>
    <row r="372" spans="3:47" s="2138" customFormat="1" ht="13.2" customHeight="1">
      <c r="C372" s="92"/>
      <c r="N372" s="11"/>
      <c r="O372" s="11"/>
      <c r="P372" s="11"/>
      <c r="Q372" s="11"/>
      <c r="R372" s="11"/>
      <c r="S372" s="11"/>
      <c r="T372" s="2454"/>
      <c r="U372" s="460"/>
      <c r="V372" s="460"/>
      <c r="W372" s="2298"/>
      <c r="X372" s="460"/>
      <c r="Y372" s="460"/>
      <c r="Z372" s="460"/>
      <c r="AA372" s="2263"/>
      <c r="AB372" s="3415" t="s">
        <v>1767</v>
      </c>
      <c r="AC372" s="3415"/>
      <c r="AD372" s="3415"/>
      <c r="AE372" s="3415"/>
      <c r="AF372" s="3416"/>
      <c r="AJ372" s="1153"/>
      <c r="AU372" s="80"/>
    </row>
    <row r="373" spans="3:47" s="2138" customFormat="1">
      <c r="C373" s="92"/>
      <c r="N373" s="11"/>
      <c r="O373" s="11"/>
      <c r="P373" s="11"/>
      <c r="Q373" s="11"/>
      <c r="R373" s="11"/>
      <c r="S373" s="11"/>
      <c r="T373" s="2454"/>
      <c r="U373" s="460"/>
      <c r="V373" s="460"/>
      <c r="W373" s="2298"/>
      <c r="X373" s="460"/>
      <c r="Y373" s="460"/>
      <c r="Z373" s="460"/>
      <c r="AA373" s="2263"/>
      <c r="AB373" s="3415"/>
      <c r="AC373" s="3415"/>
      <c r="AD373" s="3415"/>
      <c r="AE373" s="3415"/>
      <c r="AF373" s="3416"/>
      <c r="AG373" s="2263"/>
      <c r="AU373" s="80"/>
    </row>
    <row r="374" spans="3:47" s="2138" customFormat="1" ht="13.2" customHeight="1">
      <c r="C374" s="92"/>
      <c r="N374" s="11"/>
      <c r="O374" s="11"/>
      <c r="P374" s="11"/>
      <c r="Q374" s="11"/>
      <c r="R374" s="11"/>
      <c r="S374" s="11"/>
      <c r="T374" s="2454"/>
      <c r="U374" s="460"/>
      <c r="V374" s="460"/>
      <c r="W374" s="2298"/>
      <c r="X374" s="460"/>
      <c r="Y374" s="460"/>
      <c r="Z374" s="460"/>
      <c r="AA374" s="2263"/>
      <c r="AB374" s="3415" t="s">
        <v>1768</v>
      </c>
      <c r="AC374" s="3415"/>
      <c r="AD374" s="3415"/>
      <c r="AE374" s="3415"/>
      <c r="AF374" s="3416"/>
      <c r="AG374" s="2263"/>
      <c r="AU374" s="80"/>
    </row>
    <row r="375" spans="3:47" s="2138" customFormat="1">
      <c r="C375" s="92"/>
      <c r="N375" s="11"/>
      <c r="O375" s="11"/>
      <c r="P375" s="11"/>
      <c r="Q375" s="11"/>
      <c r="R375" s="11"/>
      <c r="S375" s="11"/>
      <c r="T375" s="2454"/>
      <c r="U375" s="460"/>
      <c r="V375" s="460"/>
      <c r="W375" s="2298"/>
      <c r="X375" s="460"/>
      <c r="Y375" s="460"/>
      <c r="Z375" s="460"/>
      <c r="AA375" s="2263"/>
      <c r="AB375" s="3415"/>
      <c r="AC375" s="3415"/>
      <c r="AD375" s="3415"/>
      <c r="AE375" s="3415"/>
      <c r="AF375" s="3416"/>
      <c r="AG375" s="2263"/>
      <c r="AU375" s="80"/>
    </row>
    <row r="376" spans="3:47" s="2138" customFormat="1">
      <c r="C376" s="92"/>
      <c r="N376" s="11"/>
      <c r="O376" s="11"/>
      <c r="P376" s="11"/>
      <c r="Q376" s="11"/>
      <c r="R376" s="11"/>
      <c r="S376" s="11"/>
      <c r="T376" s="2454"/>
      <c r="U376" s="460"/>
      <c r="V376" s="460"/>
      <c r="W376" s="2298"/>
      <c r="X376" s="460"/>
      <c r="Y376" s="460"/>
      <c r="Z376" s="460"/>
      <c r="AA376" s="2263"/>
      <c r="AB376" s="2903" t="s">
        <v>1747</v>
      </c>
      <c r="AC376" s="1869" t="s">
        <v>2315</v>
      </c>
      <c r="AD376" s="2818"/>
      <c r="AE376" s="2818"/>
      <c r="AF376" s="2819"/>
      <c r="AG376" s="2263"/>
      <c r="AU376" s="80"/>
    </row>
    <row r="377" spans="3:47" s="2138" customFormat="1">
      <c r="C377" s="92"/>
      <c r="N377" s="11"/>
      <c r="O377" s="11"/>
      <c r="P377" s="11"/>
      <c r="Q377" s="11"/>
      <c r="R377" s="11"/>
      <c r="S377" s="11"/>
      <c r="T377" s="2454"/>
      <c r="U377" s="460"/>
      <c r="V377" s="460"/>
      <c r="W377" s="2298"/>
      <c r="X377" s="460"/>
      <c r="Y377" s="460"/>
      <c r="Z377" s="460"/>
      <c r="AA377" s="2263"/>
      <c r="AB377" s="2818"/>
      <c r="AC377" s="2818"/>
      <c r="AD377" s="2818"/>
      <c r="AE377" s="2818"/>
      <c r="AF377" s="2819"/>
      <c r="AG377" s="2263"/>
      <c r="AU377" s="80"/>
    </row>
    <row r="378" spans="3:47" s="2138" customFormat="1">
      <c r="C378" s="92"/>
      <c r="N378" s="11"/>
      <c r="O378" s="11"/>
      <c r="P378" s="11"/>
      <c r="Q378" s="11"/>
      <c r="R378" s="11"/>
      <c r="S378" s="11"/>
      <c r="T378" s="2454"/>
      <c r="U378" s="460"/>
      <c r="V378" s="460"/>
      <c r="W378" s="2298"/>
      <c r="X378" s="460"/>
      <c r="Y378" s="460"/>
      <c r="Z378" s="460"/>
      <c r="AA378" s="2163" t="s">
        <v>1666</v>
      </c>
      <c r="AB378" s="2818" t="s">
        <v>1748</v>
      </c>
      <c r="AC378" s="2818"/>
      <c r="AD378" s="2818"/>
      <c r="AE378" s="2818"/>
      <c r="AF378" s="2819"/>
      <c r="AG378" s="2263"/>
      <c r="AU378" s="80"/>
    </row>
    <row r="379" spans="3:47" s="2138" customFormat="1" ht="13.2" customHeight="1">
      <c r="C379" s="92"/>
      <c r="N379" s="11"/>
      <c r="O379" s="11"/>
      <c r="P379" s="11"/>
      <c r="Q379" s="11"/>
      <c r="R379" s="11"/>
      <c r="S379" s="11"/>
      <c r="T379" s="2454"/>
      <c r="U379" s="460"/>
      <c r="V379" s="460"/>
      <c r="W379" s="2298"/>
      <c r="X379" s="460"/>
      <c r="Y379" s="460"/>
      <c r="Z379" s="460"/>
      <c r="AA379" s="2263"/>
      <c r="AB379" s="1479" t="s">
        <v>2316</v>
      </c>
      <c r="AC379" s="2818"/>
      <c r="AD379" s="2818"/>
      <c r="AE379" s="2818"/>
      <c r="AF379" s="2819"/>
      <c r="AG379" s="2263"/>
      <c r="AU379" s="80"/>
    </row>
    <row r="380" spans="3:47" s="2138" customFormat="1" ht="13.2" customHeight="1">
      <c r="C380" s="92"/>
      <c r="N380" s="11"/>
      <c r="O380" s="11"/>
      <c r="P380" s="11"/>
      <c r="Q380" s="11"/>
      <c r="R380" s="11"/>
      <c r="S380" s="11"/>
      <c r="T380" s="2454"/>
      <c r="U380" s="460"/>
      <c r="V380" s="460"/>
      <c r="W380" s="2298"/>
      <c r="X380" s="460"/>
      <c r="Y380" s="460"/>
      <c r="Z380" s="460"/>
      <c r="AA380" s="2263"/>
      <c r="AB380" s="2904" t="s">
        <v>2317</v>
      </c>
      <c r="AC380" s="2818"/>
      <c r="AD380" s="2818"/>
      <c r="AE380" s="2818"/>
      <c r="AF380" s="2819"/>
      <c r="AG380" s="2263"/>
      <c r="AU380" s="80"/>
    </row>
    <row r="381" spans="3:47" s="2138" customFormat="1" ht="13.2" customHeight="1">
      <c r="C381" s="92"/>
      <c r="N381" s="11"/>
      <c r="O381" s="11"/>
      <c r="P381" s="11"/>
      <c r="Q381" s="11"/>
      <c r="R381" s="11"/>
      <c r="S381" s="11"/>
      <c r="T381" s="2454"/>
      <c r="U381" s="460"/>
      <c r="V381" s="460"/>
      <c r="W381" s="2298"/>
      <c r="X381" s="460"/>
      <c r="Y381" s="460"/>
      <c r="Z381" s="460"/>
      <c r="AA381" s="2263"/>
      <c r="AB381" s="3413" t="s">
        <v>2267</v>
      </c>
      <c r="AC381" s="3413"/>
      <c r="AD381" s="3413"/>
      <c r="AE381" s="3413"/>
      <c r="AF381" s="3414"/>
      <c r="AG381" s="2263"/>
      <c r="AU381" s="80"/>
    </row>
    <row r="382" spans="3:47" s="2138" customFormat="1" ht="13.2" customHeight="1">
      <c r="C382" s="92"/>
      <c r="N382" s="11"/>
      <c r="O382" s="11"/>
      <c r="P382" s="11"/>
      <c r="Q382" s="11"/>
      <c r="R382" s="11"/>
      <c r="S382" s="11"/>
      <c r="T382" s="2454"/>
      <c r="U382" s="460"/>
      <c r="V382" s="460"/>
      <c r="W382" s="2298"/>
      <c r="X382" s="460"/>
      <c r="Y382" s="460"/>
      <c r="Z382" s="460"/>
      <c r="AA382" s="2263"/>
      <c r="AB382" s="3413"/>
      <c r="AC382" s="3413"/>
      <c r="AD382" s="3413"/>
      <c r="AE382" s="3413"/>
      <c r="AF382" s="3414"/>
      <c r="AG382" s="2263"/>
      <c r="AU382" s="80"/>
    </row>
    <row r="383" spans="3:47" s="2138" customFormat="1">
      <c r="C383" s="92"/>
      <c r="N383" s="11"/>
      <c r="O383" s="11"/>
      <c r="P383" s="11"/>
      <c r="Q383" s="11"/>
      <c r="R383" s="11"/>
      <c r="S383" s="11"/>
      <c r="T383" s="2454"/>
      <c r="U383" s="460"/>
      <c r="V383" s="460"/>
      <c r="W383" s="2298"/>
      <c r="X383" s="460"/>
      <c r="Y383" s="460"/>
      <c r="Z383" s="460"/>
      <c r="AA383" s="2263"/>
      <c r="AB383" s="3413"/>
      <c r="AC383" s="3413"/>
      <c r="AD383" s="3413"/>
      <c r="AE383" s="3413"/>
      <c r="AF383" s="3414"/>
      <c r="AG383" s="2263"/>
      <c r="AU383" s="80"/>
    </row>
    <row r="384" spans="3:47" s="2138" customFormat="1">
      <c r="C384" s="92"/>
      <c r="N384" s="11"/>
      <c r="O384" s="11"/>
      <c r="P384" s="11"/>
      <c r="Q384" s="11"/>
      <c r="R384" s="11"/>
      <c r="S384" s="11"/>
      <c r="T384" s="2454"/>
      <c r="U384" s="460"/>
      <c r="V384" s="460"/>
      <c r="W384" s="2298"/>
      <c r="X384" s="460"/>
      <c r="Y384" s="460"/>
      <c r="Z384" s="460"/>
      <c r="AA384" s="2263"/>
      <c r="AB384" s="3413"/>
      <c r="AC384" s="3413"/>
      <c r="AD384" s="3413"/>
      <c r="AE384" s="3413"/>
      <c r="AF384" s="3414"/>
      <c r="AG384" s="2263"/>
      <c r="AU384" s="80"/>
    </row>
    <row r="385" spans="1:47" s="2138" customFormat="1">
      <c r="C385" s="92"/>
      <c r="N385" s="11"/>
      <c r="O385" s="11"/>
      <c r="P385" s="11"/>
      <c r="Q385" s="11"/>
      <c r="R385" s="11"/>
      <c r="S385" s="11"/>
      <c r="T385" s="2454"/>
      <c r="U385" s="460"/>
      <c r="V385" s="460"/>
      <c r="W385" s="2298"/>
      <c r="X385" s="460"/>
      <c r="Y385" s="460"/>
      <c r="Z385" s="460"/>
      <c r="AA385" s="2263"/>
      <c r="AB385" s="3413"/>
      <c r="AC385" s="3413"/>
      <c r="AD385" s="3413"/>
      <c r="AE385" s="3413"/>
      <c r="AF385" s="3414"/>
      <c r="AG385" s="2263"/>
      <c r="AU385" s="80"/>
    </row>
    <row r="386" spans="1:47" s="2138" customFormat="1">
      <c r="C386" s="92"/>
      <c r="N386" s="11"/>
      <c r="O386" s="11"/>
      <c r="P386" s="11"/>
      <c r="Q386" s="11"/>
      <c r="R386" s="11"/>
      <c r="S386" s="11"/>
      <c r="T386" s="2454"/>
      <c r="U386" s="460"/>
      <c r="V386" s="460"/>
      <c r="W386" s="2298"/>
      <c r="X386" s="460"/>
      <c r="Y386" s="460"/>
      <c r="Z386" s="460"/>
      <c r="AA386" s="2263"/>
      <c r="AB386" s="3413"/>
      <c r="AC386" s="3413"/>
      <c r="AD386" s="3413"/>
      <c r="AE386" s="3413"/>
      <c r="AF386" s="3414"/>
      <c r="AG386" s="2263"/>
      <c r="AU386" s="80"/>
    </row>
    <row r="387" spans="1:47" s="2138" customFormat="1">
      <c r="C387" s="92"/>
      <c r="N387" s="11"/>
      <c r="O387" s="11"/>
      <c r="P387" s="11"/>
      <c r="Q387" s="11"/>
      <c r="R387" s="11"/>
      <c r="S387" s="11"/>
      <c r="T387" s="2454"/>
      <c r="U387" s="460"/>
      <c r="V387" s="460"/>
      <c r="W387" s="2298"/>
      <c r="X387" s="460"/>
      <c r="Y387" s="460"/>
      <c r="Z387" s="460"/>
      <c r="AA387" s="2263"/>
      <c r="AB387" s="3413"/>
      <c r="AC387" s="3413"/>
      <c r="AD387" s="3413"/>
      <c r="AE387" s="3413"/>
      <c r="AF387" s="3414"/>
      <c r="AG387" s="2263"/>
      <c r="AU387" s="80"/>
    </row>
    <row r="388" spans="1:47" s="2138" customFormat="1" ht="13.2" customHeight="1">
      <c r="C388" s="92"/>
      <c r="N388" s="11"/>
      <c r="O388" s="11"/>
      <c r="P388" s="11"/>
      <c r="Q388" s="11"/>
      <c r="R388" s="11"/>
      <c r="S388" s="11"/>
      <c r="T388" s="2454"/>
      <c r="U388" s="460"/>
      <c r="V388" s="460"/>
      <c r="W388" s="2298"/>
      <c r="X388" s="460"/>
      <c r="Y388" s="460"/>
      <c r="Z388" s="460"/>
      <c r="AA388" s="2263"/>
      <c r="AB388" s="3415" t="s">
        <v>2318</v>
      </c>
      <c r="AC388" s="3415"/>
      <c r="AD388" s="3415"/>
      <c r="AE388" s="3415"/>
      <c r="AF388" s="3416"/>
      <c r="AG388" s="2263"/>
      <c r="AU388" s="80"/>
    </row>
    <row r="389" spans="1:47" s="2138" customFormat="1" ht="13.2" customHeight="1">
      <c r="C389" s="92"/>
      <c r="N389" s="11"/>
      <c r="O389" s="11"/>
      <c r="P389" s="11"/>
      <c r="Q389" s="11"/>
      <c r="R389" s="11"/>
      <c r="S389" s="11"/>
      <c r="T389" s="2454"/>
      <c r="U389" s="460"/>
      <c r="V389" s="460"/>
      <c r="W389" s="2298"/>
      <c r="X389" s="460"/>
      <c r="Y389" s="460"/>
      <c r="Z389" s="460"/>
      <c r="AA389" s="2263"/>
      <c r="AB389" s="3415"/>
      <c r="AC389" s="3415"/>
      <c r="AD389" s="3415"/>
      <c r="AE389" s="3415"/>
      <c r="AF389" s="3416"/>
      <c r="AG389" s="2092" t="s">
        <v>1562</v>
      </c>
      <c r="AH389" s="1840" t="s">
        <v>1749</v>
      </c>
      <c r="AU389" s="80"/>
    </row>
    <row r="390" spans="1:47" s="2138" customFormat="1" ht="13.2" customHeight="1">
      <c r="C390" s="92"/>
      <c r="N390" s="11"/>
      <c r="O390" s="11"/>
      <c r="P390" s="11"/>
      <c r="Q390" s="11"/>
      <c r="R390" s="11"/>
      <c r="S390" s="11"/>
      <c r="T390" s="2454"/>
      <c r="U390" s="460"/>
      <c r="V390" s="460"/>
      <c r="W390" s="2298"/>
      <c r="X390" s="460"/>
      <c r="Y390" s="460"/>
      <c r="Z390" s="460"/>
      <c r="AA390" s="2263"/>
      <c r="AB390" s="3312" t="s">
        <v>1754</v>
      </c>
      <c r="AC390" s="3312"/>
      <c r="AD390" s="3312"/>
      <c r="AE390" s="3312"/>
      <c r="AF390" s="3370"/>
      <c r="AG390" s="2263"/>
      <c r="AU390" s="80"/>
    </row>
    <row r="391" spans="1:47" s="2138" customFormat="1" ht="13.2" customHeight="1">
      <c r="C391" s="92"/>
      <c r="N391" s="11"/>
      <c r="O391" s="11"/>
      <c r="P391" s="11"/>
      <c r="Q391" s="11"/>
      <c r="R391" s="11"/>
      <c r="S391" s="11"/>
      <c r="T391" s="2454"/>
      <c r="U391" s="460"/>
      <c r="V391" s="460"/>
      <c r="W391" s="2298"/>
      <c r="X391" s="460"/>
      <c r="Y391" s="460"/>
      <c r="Z391" s="460"/>
      <c r="AA391" s="2263"/>
      <c r="AB391" s="3312"/>
      <c r="AC391" s="3312"/>
      <c r="AD391" s="3312"/>
      <c r="AE391" s="3312"/>
      <c r="AF391" s="3370"/>
      <c r="AG391" s="2263"/>
      <c r="AU391" s="80"/>
    </row>
    <row r="392" spans="1:47" s="2138" customFormat="1">
      <c r="C392" s="92"/>
      <c r="N392" s="11"/>
      <c r="O392" s="11"/>
      <c r="P392" s="11"/>
      <c r="Q392" s="11"/>
      <c r="R392" s="11"/>
      <c r="S392" s="11"/>
      <c r="T392" s="2454"/>
      <c r="U392" s="460"/>
      <c r="V392" s="460"/>
      <c r="W392" s="2298"/>
      <c r="X392" s="460"/>
      <c r="Y392" s="460"/>
      <c r="Z392" s="460"/>
      <c r="AA392" s="2263"/>
      <c r="AB392" s="3312"/>
      <c r="AC392" s="3312"/>
      <c r="AD392" s="3312"/>
      <c r="AE392" s="3312"/>
      <c r="AF392" s="3370"/>
      <c r="AG392" s="2263"/>
      <c r="AU392" s="80"/>
    </row>
    <row r="393" spans="1:47" s="2138" customFormat="1">
      <c r="C393" s="92"/>
      <c r="N393" s="11"/>
      <c r="O393" s="11"/>
      <c r="P393" s="11"/>
      <c r="Q393" s="11"/>
      <c r="R393" s="11"/>
      <c r="S393" s="11"/>
      <c r="T393" s="2263"/>
      <c r="U393" s="460"/>
      <c r="V393" s="460"/>
      <c r="W393" s="2298"/>
      <c r="X393" s="460"/>
      <c r="Y393" s="460"/>
      <c r="Z393" s="460"/>
      <c r="AA393" s="2263"/>
      <c r="AB393" s="2818"/>
      <c r="AC393" s="2818"/>
      <c r="AD393" s="2818"/>
      <c r="AE393" s="2818"/>
      <c r="AF393" s="2819"/>
      <c r="AU393" s="80"/>
    </row>
    <row r="394" spans="1:47" s="2138" customFormat="1">
      <c r="C394" s="92"/>
      <c r="N394" s="11"/>
      <c r="O394" s="11"/>
      <c r="P394" s="11"/>
      <c r="Q394" s="11"/>
      <c r="R394" s="11"/>
      <c r="S394" s="11"/>
      <c r="T394" s="2263"/>
      <c r="U394" s="460"/>
      <c r="V394" s="460"/>
      <c r="W394" s="2298"/>
      <c r="X394" s="460"/>
      <c r="Y394" s="460"/>
      <c r="Z394" s="460"/>
      <c r="AB394" s="2818"/>
      <c r="AC394" s="2818"/>
      <c r="AD394" s="2818"/>
      <c r="AE394" s="2818"/>
      <c r="AF394" s="2819"/>
      <c r="AG394" s="2263"/>
      <c r="AU394" s="80"/>
    </row>
    <row r="395" spans="1:47" s="2138" customFormat="1" ht="13.2" customHeight="1">
      <c r="A395" s="1252" t="s">
        <v>2366</v>
      </c>
      <c r="B395" s="1123" t="s">
        <v>2367</v>
      </c>
      <c r="C395" s="3325" t="s">
        <v>1777</v>
      </c>
      <c r="D395" s="3326"/>
      <c r="E395" s="2210"/>
      <c r="F395" s="3334" t="s">
        <v>1756</v>
      </c>
      <c r="G395" s="3335"/>
      <c r="H395" s="3336"/>
      <c r="J395" s="3385" t="s">
        <v>1757</v>
      </c>
      <c r="K395" s="3386"/>
      <c r="L395" s="3386"/>
      <c r="M395" s="3386"/>
      <c r="N395" s="11"/>
      <c r="O395" s="11"/>
      <c r="P395" s="2141"/>
      <c r="Q395" s="2141"/>
      <c r="R395" s="2140"/>
      <c r="S395" s="11"/>
      <c r="T395" s="2263"/>
      <c r="U395" s="2263"/>
      <c r="V395" s="2263"/>
      <c r="W395" s="2263"/>
      <c r="X395" s="2263"/>
      <c r="Y395" s="2263"/>
      <c r="Z395" s="2263"/>
      <c r="AA395" s="2263"/>
      <c r="AC395" s="2263"/>
      <c r="AD395" s="2263"/>
      <c r="AE395" s="2263"/>
      <c r="AF395" s="2819"/>
      <c r="AG395" s="2263"/>
      <c r="AU395" s="80"/>
    </row>
    <row r="396" spans="1:47" s="2138" customFormat="1" ht="13.2" customHeight="1">
      <c r="A396" s="2817" t="s">
        <v>2340</v>
      </c>
      <c r="C396" s="3331" t="s">
        <v>2233</v>
      </c>
      <c r="D396" s="3333"/>
      <c r="E396" s="2195"/>
      <c r="F396" s="2166" t="s">
        <v>2233</v>
      </c>
      <c r="G396" s="2167"/>
      <c r="H396" s="2164" t="s">
        <v>1278</v>
      </c>
      <c r="J396" s="2165">
        <v>2009</v>
      </c>
      <c r="K396" s="2165">
        <v>2010</v>
      </c>
      <c r="L396" s="2165">
        <v>2011</v>
      </c>
      <c r="M396" s="2040">
        <v>2012</v>
      </c>
      <c r="N396" s="11"/>
      <c r="O396" s="11"/>
      <c r="P396" s="3389" t="s">
        <v>2339</v>
      </c>
      <c r="Q396" s="3390"/>
      <c r="R396" s="3391"/>
      <c r="S396" s="11"/>
      <c r="T396" s="2455"/>
      <c r="U396" s="460"/>
      <c r="V396" s="460"/>
      <c r="W396" s="2298"/>
      <c r="X396" s="460"/>
      <c r="Y396" s="460"/>
      <c r="Z396" s="460"/>
      <c r="AA396" s="2263"/>
      <c r="AB396" s="2754" t="s">
        <v>2268</v>
      </c>
      <c r="AC396" s="2888"/>
      <c r="AD396" s="2888"/>
      <c r="AE396" s="2888"/>
      <c r="AF396" s="2889"/>
      <c r="AG396" s="2092"/>
      <c r="AU396" s="80"/>
    </row>
    <row r="397" spans="1:47" s="2138" customFormat="1" ht="13.2" customHeight="1">
      <c r="A397" s="2028" t="s">
        <v>323</v>
      </c>
      <c r="B397" s="2029" t="s">
        <v>773</v>
      </c>
      <c r="C397" s="3404">
        <f>VLOOKUP(B397,Ranking!$B$7:$G$28,2,FALSE)</f>
        <v>2121.4584571428572</v>
      </c>
      <c r="D397" s="3405"/>
      <c r="E397" s="1281"/>
      <c r="F397" s="3371">
        <f>CALCULATIONS!PE8</f>
        <v>6.3820660890696566</v>
      </c>
      <c r="G397" s="3372"/>
      <c r="H397" s="1075">
        <f>CALCULATIONS!PD8</f>
        <v>3.126768479322696</v>
      </c>
      <c r="J397" s="2174">
        <f>CALCULATIONS!OP8</f>
        <v>6.5204499724381675</v>
      </c>
      <c r="K397" s="2175">
        <f>CALCULATIONS!OT8</f>
        <v>6.7520912864995237</v>
      </c>
      <c r="L397" s="2175">
        <f>CALCULATIONS!OX8</f>
        <v>6.1679093945762649</v>
      </c>
      <c r="M397" s="2176">
        <f>CALCULATIONS!PB8</f>
        <v>3.2523274240565234</v>
      </c>
      <c r="N397" s="725"/>
      <c r="O397" s="725"/>
      <c r="P397" s="3371">
        <f t="shared" ref="P397:P418" si="34">AVERAGE(J397:M397)</f>
        <v>5.6731945193926201</v>
      </c>
      <c r="Q397" s="3387"/>
      <c r="R397" s="3388"/>
      <c r="S397" s="1234"/>
      <c r="T397" s="2454"/>
      <c r="U397" s="460"/>
      <c r="V397" s="460"/>
      <c r="W397" s="2298"/>
      <c r="X397" s="460"/>
      <c r="Y397" s="460"/>
      <c r="Z397" s="460"/>
      <c r="AA397" s="2263"/>
      <c r="AB397" s="1744" t="s">
        <v>2319</v>
      </c>
      <c r="AC397" s="2888"/>
      <c r="AD397" s="2888"/>
      <c r="AE397" s="2888"/>
      <c r="AF397" s="2889"/>
      <c r="AG397" s="2263"/>
      <c r="AH397" s="1835"/>
      <c r="AU397" s="80"/>
    </row>
    <row r="398" spans="1:47" s="2138" customFormat="1" ht="13.2" customHeight="1">
      <c r="A398" s="1183" t="s">
        <v>19</v>
      </c>
      <c r="B398" s="73" t="s">
        <v>287</v>
      </c>
      <c r="C398" s="3365">
        <f>VLOOKUP(B398,Ranking!$B$7:$G$28,2,FALSE)</f>
        <v>6002.7646707914537</v>
      </c>
      <c r="D398" s="3366"/>
      <c r="E398" s="1281"/>
      <c r="F398" s="3341">
        <f>CALCULATIONS!PE13</f>
        <v>4.1497848696984878</v>
      </c>
      <c r="G398" s="3342"/>
      <c r="H398" s="131">
        <f>CALCULATIONS!PD13</f>
        <v>5.1075046454025781</v>
      </c>
      <c r="J398" s="132">
        <f>CALCULATIONS!OP13</f>
        <v>5.9572195549508775</v>
      </c>
      <c r="K398" s="240">
        <f>CALCULATIONS!OT13</f>
        <v>4.1245759450414017</v>
      </c>
      <c r="L398" s="240">
        <f>CALCULATIONS!OX13</f>
        <v>3.5657120220683001</v>
      </c>
      <c r="M398" s="2169">
        <f>CALCULATIONS!PB13</f>
        <v>4.3388638281385283</v>
      </c>
      <c r="P398" s="3341">
        <f t="shared" si="34"/>
        <v>4.4965928375497768</v>
      </c>
      <c r="Q398" s="3375"/>
      <c r="R398" s="3376"/>
      <c r="S398" s="1235"/>
      <c r="T398" s="2454"/>
      <c r="U398" s="460"/>
      <c r="V398" s="460"/>
      <c r="W398" s="2298"/>
      <c r="X398" s="460"/>
      <c r="Y398" s="460"/>
      <c r="Z398" s="460"/>
      <c r="AA398" s="2263"/>
      <c r="AB398" s="3417" t="s">
        <v>2320</v>
      </c>
      <c r="AC398" s="3417"/>
      <c r="AD398" s="3417"/>
      <c r="AE398" s="3417"/>
      <c r="AF398" s="3418"/>
      <c r="AG398" s="2818"/>
      <c r="AH398" s="2818"/>
      <c r="AI398" s="2818"/>
      <c r="AU398" s="80"/>
    </row>
    <row r="399" spans="1:47" s="2138" customFormat="1" ht="13.2" customHeight="1">
      <c r="A399" s="1183" t="s">
        <v>508</v>
      </c>
      <c r="B399" s="73" t="s">
        <v>290</v>
      </c>
      <c r="C399" s="3365">
        <f>VLOOKUP(B399,Ranking!$B$7:$G$28,2,FALSE)</f>
        <v>16250.837973523972</v>
      </c>
      <c r="D399" s="3366"/>
      <c r="E399" s="1281"/>
      <c r="F399" s="3341">
        <f>CALCULATIONS!PE25</f>
        <v>4.0995220850209826</v>
      </c>
      <c r="G399" s="3342"/>
      <c r="H399" s="131">
        <f>CALCULATIONS!PD25</f>
        <v>4.5731712273212377</v>
      </c>
      <c r="J399" s="132">
        <f>CALCULATIONS!OP25</f>
        <v>3.100050332829047</v>
      </c>
      <c r="K399" s="240">
        <f>CALCULATIONS!OT25</f>
        <v>3.9802228598130838</v>
      </c>
      <c r="L399" s="240">
        <f>CALCULATIONS!OX25</f>
        <v>4.2914703677839849</v>
      </c>
      <c r="M399" s="2169">
        <f>CALCULATIONS!PB25</f>
        <v>4.9084286573628484</v>
      </c>
      <c r="P399" s="3341">
        <f t="shared" si="34"/>
        <v>4.0700430544472406</v>
      </c>
      <c r="Q399" s="3375"/>
      <c r="R399" s="3376"/>
      <c r="S399" s="2171"/>
      <c r="T399" s="2454"/>
      <c r="U399" s="460"/>
      <c r="V399" s="460"/>
      <c r="W399" s="2298"/>
      <c r="X399" s="460"/>
      <c r="Y399" s="460"/>
      <c r="Z399" s="460"/>
      <c r="AA399" s="2263"/>
      <c r="AB399" s="3417"/>
      <c r="AC399" s="3417"/>
      <c r="AD399" s="3417"/>
      <c r="AE399" s="3417"/>
      <c r="AF399" s="3418"/>
      <c r="AU399" s="80"/>
    </row>
    <row r="400" spans="1:47" s="2138" customFormat="1" ht="13.2" customHeight="1">
      <c r="A400" s="1183" t="s">
        <v>505</v>
      </c>
      <c r="B400" s="73" t="s">
        <v>44</v>
      </c>
      <c r="C400" s="3365">
        <f>VLOOKUP(B400,Ranking!$B$7:$G$28,2,FALSE)</f>
        <v>12234.494271428572</v>
      </c>
      <c r="D400" s="3366"/>
      <c r="E400" s="1281"/>
      <c r="F400" s="3341">
        <f>CALCULATIONS!PE18</f>
        <v>3.9295455833111754</v>
      </c>
      <c r="G400" s="3342"/>
      <c r="H400" s="131">
        <f>CALCULATIONS!PD18</f>
        <v>1.2175677021960365</v>
      </c>
      <c r="J400" s="132">
        <f>CALCULATIONS!OP18</f>
        <v>5.0209963551158552</v>
      </c>
      <c r="K400" s="240">
        <f>CALCULATIONS!OT18</f>
        <v>4.9065428285714283</v>
      </c>
      <c r="L400" s="240">
        <f>CALCULATIONS!OX18</f>
        <v>4.5168687030716725</v>
      </c>
      <c r="M400" s="2169">
        <f>CALCULATIONS!PB18</f>
        <v>2.1615349451442505</v>
      </c>
      <c r="P400" s="3341">
        <f t="shared" si="34"/>
        <v>4.1514857079758016</v>
      </c>
      <c r="Q400" s="3375"/>
      <c r="R400" s="3376"/>
      <c r="S400" s="1231"/>
      <c r="T400" s="2454"/>
      <c r="U400" s="460"/>
      <c r="V400" s="460"/>
      <c r="W400" s="2298"/>
      <c r="X400" s="460"/>
      <c r="Y400" s="460"/>
      <c r="Z400" s="460"/>
      <c r="AA400" s="2263"/>
      <c r="AB400" s="1745" t="s">
        <v>2321</v>
      </c>
      <c r="AG400" s="2906" t="s">
        <v>2322</v>
      </c>
      <c r="AH400" s="2818"/>
      <c r="AI400" s="2818"/>
      <c r="AU400" s="80"/>
    </row>
    <row r="401" spans="1:47" s="2138" customFormat="1" ht="13.2" customHeight="1">
      <c r="A401" s="1183" t="s">
        <v>389</v>
      </c>
      <c r="B401" s="73" t="s">
        <v>278</v>
      </c>
      <c r="C401" s="3365">
        <f>VLOOKUP(B401,Ranking!$B$7:$G$28,2,FALSE)</f>
        <v>3544.0522571428578</v>
      </c>
      <c r="D401" s="3366"/>
      <c r="E401" s="1281"/>
      <c r="F401" s="3341">
        <f>CALCULATIONS!PE6</f>
        <v>3.4941691326062152</v>
      </c>
      <c r="G401" s="3342"/>
      <c r="H401" s="131">
        <f>CALCULATIONS!PD6</f>
        <v>2.2961398399999999</v>
      </c>
      <c r="J401" s="132">
        <f>CALCULATIONS!OP6</f>
        <v>2.7280750935788953</v>
      </c>
      <c r="K401" s="240">
        <f>CALCULATIONS!OT6</f>
        <v>3.1523421974710972</v>
      </c>
      <c r="L401" s="240">
        <f>CALCULATIONS!OX6</f>
        <v>4.6295545288808873</v>
      </c>
      <c r="M401" s="2169">
        <f>CALCULATIONS!PB6</f>
        <v>3.0381227224399536</v>
      </c>
      <c r="N401" s="11"/>
      <c r="O401" s="11"/>
      <c r="P401" s="3341">
        <f t="shared" si="34"/>
        <v>3.3870236355927084</v>
      </c>
      <c r="Q401" s="3375"/>
      <c r="R401" s="3376"/>
      <c r="S401" s="1231"/>
      <c r="T401" s="2456"/>
      <c r="U401" s="460"/>
      <c r="V401" s="460"/>
      <c r="W401" s="2298"/>
      <c r="X401" s="460"/>
      <c r="Y401" s="460"/>
      <c r="Z401" s="460"/>
      <c r="AA401" s="2263"/>
      <c r="AB401" s="3415" t="s">
        <v>1762</v>
      </c>
      <c r="AC401" s="3415"/>
      <c r="AD401" s="3415"/>
      <c r="AE401" s="3415"/>
      <c r="AF401" s="3415"/>
      <c r="AG401" s="2427"/>
      <c r="AH401" s="2818"/>
      <c r="AI401" s="2818"/>
      <c r="AU401" s="80"/>
    </row>
    <row r="402" spans="1:47" s="2138" customFormat="1" ht="13.2" customHeight="1">
      <c r="A402" s="1183" t="s">
        <v>73</v>
      </c>
      <c r="B402" s="73" t="s">
        <v>285</v>
      </c>
      <c r="C402" s="3365">
        <f>VLOOKUP(B402,Ranking!$B$7:$G$28,2,FALSE)</f>
        <v>2461.5190857142857</v>
      </c>
      <c r="D402" s="3366"/>
      <c r="E402" s="1281"/>
      <c r="F402" s="3341">
        <f>CALCULATIONS!PE12</f>
        <v>3.1397518024733277</v>
      </c>
      <c r="G402" s="3342"/>
      <c r="H402" s="131">
        <f>CALCULATIONS!PD12</f>
        <v>3.0995844257996854</v>
      </c>
      <c r="J402" s="132">
        <f>CALCULATIONS!OP12</f>
        <v>2.7596428888888891</v>
      </c>
      <c r="K402" s="240">
        <f>CALCULATIONS!OT12</f>
        <v>3.2486785928682917</v>
      </c>
      <c r="L402" s="240">
        <f>CALCULATIONS!OX12</f>
        <v>2.9988687373557066</v>
      </c>
      <c r="M402" s="2169">
        <f>CALCULATIONS!PB12</f>
        <v>3.0826835799859054</v>
      </c>
      <c r="N402" s="11"/>
      <c r="O402" s="11"/>
      <c r="P402" s="3341">
        <f t="shared" si="34"/>
        <v>3.0224684497746983</v>
      </c>
      <c r="Q402" s="3375"/>
      <c r="R402" s="3376"/>
      <c r="S402" s="2171"/>
      <c r="T402" s="2456"/>
      <c r="U402" s="460"/>
      <c r="V402" s="460"/>
      <c r="W402" s="2298"/>
      <c r="X402" s="460"/>
      <c r="Y402" s="460"/>
      <c r="Z402" s="460"/>
      <c r="AA402" s="2263"/>
      <c r="AB402" s="3415"/>
      <c r="AC402" s="3415"/>
      <c r="AD402" s="3415"/>
      <c r="AE402" s="3415"/>
      <c r="AF402" s="3415"/>
      <c r="AG402" s="2427"/>
      <c r="AH402" s="2818"/>
      <c r="AI402" s="2818"/>
      <c r="AU402" s="80"/>
    </row>
    <row r="403" spans="1:47" s="2138" customFormat="1">
      <c r="A403" s="1183" t="s">
        <v>507</v>
      </c>
      <c r="B403" s="73" t="s">
        <v>282</v>
      </c>
      <c r="C403" s="3365">
        <f>VLOOKUP(B403,Ranking!$B$7:$G$28,2,FALSE)</f>
        <v>5769.8566757446433</v>
      </c>
      <c r="D403" s="3366"/>
      <c r="E403" s="1281"/>
      <c r="F403" s="3341">
        <f>CALCULATIONS!PE24</f>
        <v>2.446298838298576</v>
      </c>
      <c r="G403" s="3342"/>
      <c r="H403" s="131">
        <f>CALCULATIONS!PD24</f>
        <v>1.6476276710656086</v>
      </c>
      <c r="J403" s="132">
        <f>CALCULATIONS!OP24</f>
        <v>1.7049016160196733</v>
      </c>
      <c r="K403" s="240">
        <f>CALCULATIONS!OT24</f>
        <v>2.1251173298701298</v>
      </c>
      <c r="L403" s="240">
        <f>CALCULATIONS!OX24</f>
        <v>2.7723139800484802</v>
      </c>
      <c r="M403" s="2169">
        <f>CALCULATIONS!PB24</f>
        <v>2.5488192177786479</v>
      </c>
      <c r="P403" s="3341">
        <f t="shared" si="34"/>
        <v>2.2877880359292329</v>
      </c>
      <c r="Q403" s="3375"/>
      <c r="R403" s="3376"/>
      <c r="S403" s="2178"/>
      <c r="T403" s="2457"/>
      <c r="U403" s="460"/>
      <c r="V403" s="460"/>
      <c r="W403" s="2298"/>
      <c r="X403" s="460"/>
      <c r="Y403" s="460"/>
      <c r="Z403" s="460"/>
      <c r="AA403" s="2263"/>
      <c r="AB403" s="3415" t="s">
        <v>2323</v>
      </c>
      <c r="AC403" s="3415"/>
      <c r="AD403" s="3415"/>
      <c r="AE403" s="3415"/>
      <c r="AF403" s="3415"/>
      <c r="AG403" s="2427"/>
      <c r="AH403" s="2818"/>
      <c r="AI403" s="2818"/>
      <c r="AU403" s="80"/>
    </row>
    <row r="404" spans="1:47" s="1854" customFormat="1" ht="13.2" customHeight="1">
      <c r="A404" s="1185" t="s">
        <v>323</v>
      </c>
      <c r="B404" s="726" t="s">
        <v>772</v>
      </c>
      <c r="C404" s="3406">
        <f>VLOOKUP(B404,Ranking!$B$7:$G$28,2,FALSE)</f>
        <v>7616.907214285714</v>
      </c>
      <c r="D404" s="3407"/>
      <c r="E404" s="1281"/>
      <c r="F404" s="3373">
        <f>CALCULATIONS!PE7</f>
        <v>2.4107651340270966</v>
      </c>
      <c r="G404" s="3374"/>
      <c r="H404" s="1075">
        <f>CALCULATIONS!PD7</f>
        <v>2.0327505931612002</v>
      </c>
      <c r="J404" s="1074">
        <f>CALCULATIONS!OP7</f>
        <v>3.2477845879556257</v>
      </c>
      <c r="K404" s="2168">
        <f>CALCULATIONS!OT7</f>
        <v>2.4168915020945541</v>
      </c>
      <c r="L404" s="2168">
        <f>CALCULATIONS!OX7</f>
        <v>2.3318617201695941</v>
      </c>
      <c r="M404" s="2170">
        <f>CALCULATIONS!PB7</f>
        <v>2.190372668112798</v>
      </c>
      <c r="N404" s="725"/>
      <c r="O404" s="725"/>
      <c r="P404" s="3373">
        <f t="shared" si="34"/>
        <v>2.5467276195831428</v>
      </c>
      <c r="Q404" s="3380"/>
      <c r="R404" s="3381"/>
      <c r="S404" s="1231"/>
      <c r="T404" s="2263"/>
      <c r="U404" s="460"/>
      <c r="V404" s="460"/>
      <c r="W404" s="460"/>
      <c r="X404" s="460"/>
      <c r="Y404" s="460"/>
      <c r="Z404" s="460"/>
      <c r="AA404" s="2263"/>
      <c r="AB404" s="3415"/>
      <c r="AC404" s="3415"/>
      <c r="AD404" s="3415"/>
      <c r="AE404" s="3415"/>
      <c r="AF404" s="3415"/>
      <c r="AG404" s="2427"/>
      <c r="AH404" s="2818"/>
      <c r="AI404" s="2818"/>
      <c r="AU404" s="80"/>
    </row>
    <row r="405" spans="1:47" s="1854" customFormat="1">
      <c r="A405" s="1183" t="s">
        <v>219</v>
      </c>
      <c r="B405" s="73" t="s">
        <v>53</v>
      </c>
      <c r="C405" s="3365">
        <f>VLOOKUP(B405,Ranking!$B$7:$G$28,2,FALSE)</f>
        <v>60036.853628571422</v>
      </c>
      <c r="D405" s="3366"/>
      <c r="E405" s="1281"/>
      <c r="F405" s="3341">
        <f>CALCULATIONS!PE11</f>
        <v>2.2644833808097031</v>
      </c>
      <c r="G405" s="3342"/>
      <c r="H405" s="131">
        <f>CALCULATIONS!PD11</f>
        <v>1.7716210773954304</v>
      </c>
      <c r="J405" s="132">
        <f>CALCULATIONS!OP11</f>
        <v>3.6650596934992175</v>
      </c>
      <c r="K405" s="240">
        <f>CALCULATIONS!OT11</f>
        <v>2.4142042829188233</v>
      </c>
      <c r="L405" s="240">
        <f>CALCULATIONS!OX11</f>
        <v>2.1897509622758644</v>
      </c>
      <c r="M405" s="2169">
        <f>CALCULATIONS!PB11</f>
        <v>1.6589194642276128</v>
      </c>
      <c r="N405" s="11"/>
      <c r="O405" s="11"/>
      <c r="P405" s="3341">
        <f t="shared" si="34"/>
        <v>2.4819836007303797</v>
      </c>
      <c r="Q405" s="3375"/>
      <c r="R405" s="3376"/>
      <c r="S405" s="1237"/>
      <c r="T405" s="460"/>
      <c r="U405" s="2263"/>
      <c r="V405" s="2263"/>
      <c r="W405" s="2263"/>
      <c r="X405" s="2263"/>
      <c r="Y405" s="2263"/>
      <c r="Z405" s="2263"/>
      <c r="AA405" s="2263"/>
      <c r="AB405" s="3415" t="s">
        <v>2269</v>
      </c>
      <c r="AC405" s="3415"/>
      <c r="AD405" s="3415"/>
      <c r="AE405" s="3415"/>
      <c r="AF405" s="3415"/>
      <c r="AG405" s="2427"/>
      <c r="AH405" s="2818"/>
      <c r="AI405" s="2818"/>
      <c r="AU405" s="80"/>
    </row>
    <row r="406" spans="1:47" s="1854" customFormat="1">
      <c r="A406" s="1183" t="s">
        <v>504</v>
      </c>
      <c r="B406" s="73" t="s">
        <v>281</v>
      </c>
      <c r="C406" s="3365">
        <f>VLOOKUP(B406,Ranking!$B$7:$G$28,2,FALSE)</f>
        <v>20617.292984255655</v>
      </c>
      <c r="D406" s="3366"/>
      <c r="E406" s="1281"/>
      <c r="F406" s="3341">
        <f>CALCULATIONS!PE17</f>
        <v>1.8990159277875758</v>
      </c>
      <c r="G406" s="3342"/>
      <c r="H406" s="131">
        <f>CALCULATIONS!PD17</f>
        <v>2.509154465418888</v>
      </c>
      <c r="J406" s="132">
        <f>CALCULATIONS!OP17</f>
        <v>1.5778657132780813</v>
      </c>
      <c r="K406" s="240">
        <f>CALCULATIONS!OT17</f>
        <v>1.6077235454904486</v>
      </c>
      <c r="L406" s="240">
        <f>CALCULATIONS!OX17</f>
        <v>1.7883803525810682</v>
      </c>
      <c r="M406" s="2169">
        <f>CALCULATIONS!PB17</f>
        <v>2.2432128345223146</v>
      </c>
      <c r="N406" s="2138"/>
      <c r="O406" s="2138"/>
      <c r="P406" s="3341">
        <f t="shared" si="34"/>
        <v>1.8042956114679782</v>
      </c>
      <c r="Q406" s="3375"/>
      <c r="R406" s="3376"/>
      <c r="S406" s="2171"/>
      <c r="T406" s="460"/>
      <c r="U406" s="2263"/>
      <c r="V406" s="2263"/>
      <c r="W406" s="2263"/>
      <c r="X406" s="2263"/>
      <c r="Y406" s="2263"/>
      <c r="Z406" s="2263"/>
      <c r="AA406" s="2263"/>
      <c r="AB406" s="3415"/>
      <c r="AC406" s="3415"/>
      <c r="AD406" s="3415"/>
      <c r="AE406" s="3415"/>
      <c r="AF406" s="3415"/>
      <c r="AG406" s="2427"/>
      <c r="AH406" s="2818"/>
      <c r="AI406" s="2818"/>
      <c r="AU406" s="80"/>
    </row>
    <row r="407" spans="1:47" s="1854" customFormat="1">
      <c r="A407" s="1183" t="s">
        <v>507</v>
      </c>
      <c r="B407" s="73" t="s">
        <v>284</v>
      </c>
      <c r="C407" s="3365">
        <f>VLOOKUP(B407,Ranking!$B$7:$G$28,2,FALSE)</f>
        <v>22949.481858519866</v>
      </c>
      <c r="D407" s="3366"/>
      <c r="E407" s="1281"/>
      <c r="F407" s="3341">
        <f>CALCULATIONS!PE23</f>
        <v>1.7647070716020126</v>
      </c>
      <c r="G407" s="3342"/>
      <c r="H407" s="131">
        <f>CALCULATIONS!PD23</f>
        <v>1.7786623686113903</v>
      </c>
      <c r="J407" s="132">
        <f>CALCULATIONS!OP23</f>
        <v>1.6339076519835227</v>
      </c>
      <c r="K407" s="240">
        <f>CALCULATIONS!OT23</f>
        <v>1.8041033392379302</v>
      </c>
      <c r="L407" s="240">
        <f>CALCULATIONS!OX23</f>
        <v>1.6472650941094176</v>
      </c>
      <c r="M407" s="2169">
        <f>CALCULATIONS!PB23</f>
        <v>1.6824538387597445</v>
      </c>
      <c r="N407" s="2138"/>
      <c r="O407" s="2138"/>
      <c r="P407" s="3341">
        <f t="shared" si="34"/>
        <v>1.6919324810226537</v>
      </c>
      <c r="Q407" s="3375"/>
      <c r="R407" s="3376"/>
      <c r="S407" s="2171"/>
      <c r="T407" s="2263"/>
      <c r="U407" s="2263"/>
      <c r="V407" s="2263"/>
      <c r="W407" s="2263"/>
      <c r="X407" s="2263"/>
      <c r="Y407" s="2263"/>
      <c r="Z407" s="2263"/>
      <c r="AA407" s="2263"/>
      <c r="AB407" s="3415"/>
      <c r="AC407" s="3415"/>
      <c r="AD407" s="3415"/>
      <c r="AE407" s="3415"/>
      <c r="AF407" s="3415"/>
      <c r="AG407" s="2427"/>
      <c r="AH407" s="460"/>
      <c r="AI407" s="460"/>
      <c r="AN407" s="1857"/>
      <c r="AU407" s="80"/>
    </row>
    <row r="408" spans="1:47" s="1854" customFormat="1">
      <c r="A408" s="1183" t="s">
        <v>545</v>
      </c>
      <c r="B408" s="73" t="s">
        <v>39</v>
      </c>
      <c r="C408" s="3365">
        <f>VLOOKUP(B408,Ranking!$B$7:$G$28,2,FALSE)</f>
        <v>5059.5155870714543</v>
      </c>
      <c r="D408" s="3366"/>
      <c r="E408" s="1281"/>
      <c r="F408" s="3341">
        <f>CALCULATIONS!PE10</f>
        <v>1.6858649053444912</v>
      </c>
      <c r="G408" s="3342"/>
      <c r="H408" s="131">
        <f>CALCULATIONS!PD10</f>
        <v>1.7703056194544857</v>
      </c>
      <c r="J408" s="132">
        <f>CALCULATIONS!OP10</f>
        <v>1.7886600376689563</v>
      </c>
      <c r="K408" s="240">
        <f>CALCULATIONS!OT10</f>
        <v>1.8974798801246704</v>
      </c>
      <c r="L408" s="240">
        <f>CALCULATIONS!OX10</f>
        <v>1.6909778097464483</v>
      </c>
      <c r="M408" s="2169">
        <f>CALCULATIONS!PB10</f>
        <v>1.5354901687351834</v>
      </c>
      <c r="N408" s="11"/>
      <c r="O408" s="11"/>
      <c r="P408" s="3341">
        <f t="shared" si="34"/>
        <v>1.7281519740688145</v>
      </c>
      <c r="Q408" s="3375"/>
      <c r="R408" s="3376"/>
      <c r="S408" s="2171"/>
      <c r="T408" s="2263"/>
      <c r="U408" s="2263"/>
      <c r="V408" s="2263"/>
      <c r="W408" s="2263"/>
      <c r="X408" s="2263"/>
      <c r="Y408" s="2263"/>
      <c r="Z408" s="2263"/>
      <c r="AA408" s="2263"/>
      <c r="AB408" s="3415"/>
      <c r="AC408" s="3415"/>
      <c r="AD408" s="3415"/>
      <c r="AE408" s="3415"/>
      <c r="AF408" s="3415"/>
      <c r="AG408" s="2427"/>
      <c r="AH408" s="105"/>
      <c r="AI408" s="2818"/>
      <c r="AN408" s="1857"/>
      <c r="AU408" s="80"/>
    </row>
    <row r="409" spans="1:47" s="1854" customFormat="1" ht="13.2" customHeight="1">
      <c r="A409" s="1183" t="s">
        <v>506</v>
      </c>
      <c r="B409" s="73" t="s">
        <v>289</v>
      </c>
      <c r="C409" s="3365">
        <f>VLOOKUP(B409,Ranking!$B$7:$G$28,2,FALSE)</f>
        <v>4580.8423286191064</v>
      </c>
      <c r="D409" s="3366"/>
      <c r="E409" s="1281"/>
      <c r="F409" s="3341">
        <f>CALCULATIONS!PE19</f>
        <v>1.4234279787340207</v>
      </c>
      <c r="G409" s="3342"/>
      <c r="H409" s="131">
        <f>CALCULATIONS!PD19</f>
        <v>0.8056764866383116</v>
      </c>
      <c r="J409" s="132">
        <f>CALCULATIONS!OP19</f>
        <v>1.2808747659034616</v>
      </c>
      <c r="K409" s="240">
        <f>CALCULATIONS!OT19</f>
        <v>1.4926609266092661</v>
      </c>
      <c r="L409" s="240">
        <f>CALCULATIONS!OX19</f>
        <v>1.5919005581135761</v>
      </c>
      <c r="M409" s="2169">
        <f>CALCULATIONS!PB19</f>
        <v>1.2606102407778979</v>
      </c>
      <c r="N409" s="2138"/>
      <c r="O409" s="2138"/>
      <c r="P409" s="3341">
        <f t="shared" si="34"/>
        <v>1.4065116228510506</v>
      </c>
      <c r="Q409" s="3375"/>
      <c r="R409" s="3376"/>
      <c r="S409" s="1231"/>
      <c r="T409" s="2263"/>
      <c r="U409" s="2263"/>
      <c r="V409" s="2263"/>
      <c r="W409" s="2263"/>
      <c r="X409" s="2263"/>
      <c r="Y409" s="2263"/>
      <c r="Z409" s="2263"/>
      <c r="AA409" s="2263"/>
      <c r="AB409" s="3415"/>
      <c r="AC409" s="3415"/>
      <c r="AD409" s="3415"/>
      <c r="AE409" s="3415"/>
      <c r="AF409" s="3415"/>
      <c r="AG409" s="2427"/>
      <c r="AH409" s="2818"/>
      <c r="AI409" s="2818"/>
      <c r="AU409" s="80"/>
    </row>
    <row r="410" spans="1:47" s="1854" customFormat="1">
      <c r="A410" s="1183" t="s">
        <v>27</v>
      </c>
      <c r="B410" s="73" t="s">
        <v>54</v>
      </c>
      <c r="C410" s="3365">
        <f>VLOOKUP(B410,Ranking!$B$7:$G$28,2,FALSE)</f>
        <v>4745.1447857142857</v>
      </c>
      <c r="D410" s="3366"/>
      <c r="E410" s="1281"/>
      <c r="F410" s="3341">
        <f>CALCULATIONS!PE20</f>
        <v>1.3569881249181368</v>
      </c>
      <c r="G410" s="3342"/>
      <c r="H410" s="131">
        <f>CALCULATIONS!PD20</f>
        <v>1.0332545966156574</v>
      </c>
      <c r="J410" s="132">
        <f>CALCULATIONS!OP20</f>
        <v>3.1256967224187013</v>
      </c>
      <c r="K410" s="240">
        <f>CALCULATIONS!OT20</f>
        <v>1.5924453322157293</v>
      </c>
      <c r="L410" s="240">
        <f>CALCULATIONS!OX20</f>
        <v>0.96477412801461238</v>
      </c>
      <c r="M410" s="2169">
        <f>CALCULATIONS!PB20</f>
        <v>1.0598724764012948</v>
      </c>
      <c r="N410" s="2138"/>
      <c r="O410" s="2138"/>
      <c r="P410" s="3341">
        <f t="shared" si="34"/>
        <v>1.6856971647625845</v>
      </c>
      <c r="Q410" s="3375"/>
      <c r="R410" s="3376"/>
      <c r="S410" s="1237"/>
      <c r="T410" s="2263"/>
      <c r="U410" s="2263"/>
      <c r="V410" s="2263"/>
      <c r="W410" s="2263"/>
      <c r="X410" s="2263"/>
      <c r="Y410" s="2263"/>
      <c r="Z410" s="2263"/>
      <c r="AA410" s="2263"/>
      <c r="AB410" s="3367" t="s">
        <v>1758</v>
      </c>
      <c r="AC410" s="3367"/>
      <c r="AD410" s="3367"/>
      <c r="AE410" s="3367"/>
      <c r="AF410" s="3367"/>
      <c r="AG410" s="2427"/>
      <c r="AH410" s="2818"/>
      <c r="AI410" s="2818"/>
      <c r="AU410" s="80"/>
    </row>
    <row r="411" spans="1:47" s="1854" customFormat="1">
      <c r="A411" s="1183" t="s">
        <v>378</v>
      </c>
      <c r="B411" s="73" t="s">
        <v>42</v>
      </c>
      <c r="C411" s="3365">
        <f>VLOOKUP(B411,Ranking!$B$7:$G$28,2,FALSE)</f>
        <v>2432.5463571428577</v>
      </c>
      <c r="D411" s="3366"/>
      <c r="E411" s="1281"/>
      <c r="F411" s="3341">
        <f>CALCULATIONS!PE15</f>
        <v>1.2689619717468461</v>
      </c>
      <c r="G411" s="3342"/>
      <c r="H411" s="131">
        <f>CALCULATIONS!PD15</f>
        <v>1.312316956715752</v>
      </c>
      <c r="J411" s="132">
        <f>CALCULATIONS!OP15</f>
        <v>2.6769531871981318</v>
      </c>
      <c r="K411" s="240">
        <f>CALCULATIONS!OT15</f>
        <v>1.8181180563959822</v>
      </c>
      <c r="L411" s="240">
        <f>CALCULATIONS!OX15</f>
        <v>0.80329659136174814</v>
      </c>
      <c r="M411" s="2169">
        <f>CALCULATIONS!PB15</f>
        <v>1.2413184030191677</v>
      </c>
      <c r="N411" s="2138"/>
      <c r="O411" s="2138"/>
      <c r="P411" s="3341">
        <f t="shared" si="34"/>
        <v>1.6349215594937576</v>
      </c>
      <c r="Q411" s="3375"/>
      <c r="R411" s="3376"/>
      <c r="S411" s="1231"/>
      <c r="T411" s="2263"/>
      <c r="U411" s="2263"/>
      <c r="V411" s="2263"/>
      <c r="W411" s="2263"/>
      <c r="X411" s="2263"/>
      <c r="Y411" s="2263"/>
      <c r="Z411" s="2263"/>
      <c r="AA411" s="2263"/>
      <c r="AB411" s="3367"/>
      <c r="AC411" s="3367"/>
      <c r="AD411" s="3367"/>
      <c r="AE411" s="3367"/>
      <c r="AF411" s="3367"/>
      <c r="AG411" s="2427"/>
      <c r="AH411" s="2818"/>
      <c r="AI411" s="2818"/>
      <c r="AU411" s="80"/>
    </row>
    <row r="412" spans="1:47" s="1854" customFormat="1">
      <c r="A412" s="1183" t="s">
        <v>502</v>
      </c>
      <c r="B412" s="73" t="s">
        <v>52</v>
      </c>
      <c r="C412" s="3365">
        <f>VLOOKUP(B412,Ranking!$B$7:$G$28,2,FALSE)</f>
        <v>40464.923042857146</v>
      </c>
      <c r="D412" s="3366"/>
      <c r="E412" s="1281"/>
      <c r="F412" s="3341">
        <f>CALCULATIONS!PE5</f>
        <v>1.0840589348936991</v>
      </c>
      <c r="G412" s="3342"/>
      <c r="H412" s="131">
        <f>CALCULATIONS!PD5</f>
        <v>1.2733420800000002</v>
      </c>
      <c r="J412" s="132">
        <f>CALCULATIONS!OP5</f>
        <v>1.070128592889334</v>
      </c>
      <c r="K412" s="240">
        <f>CALCULATIONS!OT5</f>
        <v>0.96965550106907139</v>
      </c>
      <c r="L412" s="240">
        <f>CALCULATIONS!OX5</f>
        <v>0.95912708244660871</v>
      </c>
      <c r="M412" s="2169">
        <f>CALCULATIONS!PB5</f>
        <v>1.2154846806142161</v>
      </c>
      <c r="N412" s="136"/>
      <c r="O412" s="136"/>
      <c r="P412" s="3341">
        <f t="shared" si="34"/>
        <v>1.0535989642548076</v>
      </c>
      <c r="Q412" s="3375"/>
      <c r="R412" s="3376"/>
      <c r="S412" s="2177"/>
      <c r="T412" s="2263"/>
      <c r="U412" s="2263"/>
      <c r="V412" s="2263"/>
      <c r="W412" s="2263"/>
      <c r="X412" s="2263"/>
      <c r="Y412" s="2263"/>
      <c r="Z412" s="2263"/>
      <c r="AA412" s="2263"/>
      <c r="AB412" s="3392" t="s">
        <v>1759</v>
      </c>
      <c r="AC412" s="3392"/>
      <c r="AD412" s="3392"/>
      <c r="AE412" s="3392"/>
      <c r="AF412" s="3392"/>
      <c r="AG412" s="2427"/>
      <c r="AH412" s="2818"/>
      <c r="AI412" s="2818"/>
      <c r="AU412" s="80"/>
    </row>
    <row r="413" spans="1:47" s="1854" customFormat="1">
      <c r="A413" s="1183" t="s">
        <v>32</v>
      </c>
      <c r="B413" s="73" t="s">
        <v>279</v>
      </c>
      <c r="C413" s="3365">
        <f>VLOOKUP(B413,Ranking!$B$7:$G$28,2,FALSE)</f>
        <v>103061.53572524291</v>
      </c>
      <c r="D413" s="3366"/>
      <c r="E413" s="1281"/>
      <c r="F413" s="3341">
        <f>CALCULATIONS!PE22</f>
        <v>1.0837821931217524</v>
      </c>
      <c r="G413" s="3342"/>
      <c r="H413" s="131">
        <f>CALCULATIONS!PD22</f>
        <v>1.259272460269286</v>
      </c>
      <c r="J413" s="132">
        <f>CALCULATIONS!OP22</f>
        <v>0.88148843299196133</v>
      </c>
      <c r="K413" s="240">
        <f>CALCULATIONS!OT22</f>
        <v>0.9740740965952478</v>
      </c>
      <c r="L413" s="240">
        <f>CALCULATIONS!OX22</f>
        <v>1.0358794731883967</v>
      </c>
      <c r="M413" s="2169">
        <f>CALCULATIONS!PB22</f>
        <v>1.2431028735310576</v>
      </c>
      <c r="N413" s="2138"/>
      <c r="O413" s="2138"/>
      <c r="P413" s="3341">
        <f t="shared" si="34"/>
        <v>1.0336362190766659</v>
      </c>
      <c r="Q413" s="3375"/>
      <c r="R413" s="3376"/>
      <c r="S413" s="2172"/>
      <c r="T413" s="2263"/>
      <c r="U413" s="2263"/>
      <c r="V413" s="2263"/>
      <c r="W413" s="2263"/>
      <c r="X413" s="2263"/>
      <c r="Y413" s="2263"/>
      <c r="Z413" s="2263"/>
      <c r="AA413" s="2263"/>
      <c r="AB413" s="3392"/>
      <c r="AC413" s="3392"/>
      <c r="AD413" s="3392"/>
      <c r="AE413" s="3392"/>
      <c r="AF413" s="3392"/>
      <c r="AG413" s="2427"/>
      <c r="AH413" s="2818"/>
      <c r="AI413" s="2818"/>
      <c r="AU413" s="80"/>
    </row>
    <row r="414" spans="1:47" s="1854" customFormat="1">
      <c r="A414" s="1183" t="s">
        <v>19</v>
      </c>
      <c r="B414" s="152" t="s">
        <v>288</v>
      </c>
      <c r="C414" s="3365">
        <f>VLOOKUP(B414,Ranking!$B$7:$G$28,2,FALSE)</f>
        <v>31174.883771428573</v>
      </c>
      <c r="D414" s="3366"/>
      <c r="E414" s="1281"/>
      <c r="F414" s="3341">
        <f>CALCULATIONS!PE14</f>
        <v>1.0546425468926217</v>
      </c>
      <c r="G414" s="3342"/>
      <c r="H414" s="131">
        <f>CALCULATIONS!PD14</f>
        <v>0.72989058468819168</v>
      </c>
      <c r="J414" s="132">
        <f>CALCULATIONS!OP14</f>
        <v>1.5597053352266963</v>
      </c>
      <c r="K414" s="240">
        <f>CALCULATIONS!OT14</f>
        <v>1.3093561792766808</v>
      </c>
      <c r="L414" s="240">
        <f>CALCULATIONS!OX14</f>
        <v>1.0799089280886727</v>
      </c>
      <c r="M414" s="2169">
        <f>CALCULATIONS!PB14</f>
        <v>0.8304246171922377</v>
      </c>
      <c r="N414" s="2138"/>
      <c r="O414" s="2138"/>
      <c r="P414" s="3341">
        <f t="shared" si="34"/>
        <v>1.194848764946072</v>
      </c>
      <c r="Q414" s="3375"/>
      <c r="R414" s="3376"/>
      <c r="S414" s="1231"/>
      <c r="T414" s="2263"/>
      <c r="U414" s="2263"/>
      <c r="V414" s="460"/>
      <c r="W414" s="460"/>
      <c r="X414" s="460"/>
      <c r="Y414" s="460"/>
      <c r="Z414" s="460"/>
      <c r="AA414" s="460"/>
      <c r="AB414" s="2920" t="s">
        <v>1761</v>
      </c>
      <c r="AC414" s="2921"/>
      <c r="AD414" s="2922"/>
      <c r="AE414" s="2922"/>
      <c r="AF414" s="2922"/>
      <c r="AG414" s="2427"/>
      <c r="AH414" s="2818"/>
      <c r="AI414" s="2818"/>
      <c r="AU414" s="80"/>
    </row>
    <row r="415" spans="1:47" s="1854" customFormat="1">
      <c r="A415" s="1183" t="s">
        <v>503</v>
      </c>
      <c r="B415" s="73" t="s">
        <v>286</v>
      </c>
      <c r="C415" s="3365">
        <f>VLOOKUP(B415,Ranking!$B$7:$G$28,2,FALSE)</f>
        <v>15596.516285714286</v>
      </c>
      <c r="D415" s="3366"/>
      <c r="E415" s="1281"/>
      <c r="F415" s="3341">
        <f>CALCULATIONS!PE16</f>
        <v>0.58081043687158529</v>
      </c>
      <c r="G415" s="3342"/>
      <c r="H415" s="131">
        <f>CALCULATIONS!PD16</f>
        <v>0.5027794267018264</v>
      </c>
      <c r="J415" s="132">
        <f>CALCULATIONS!OP16</f>
        <v>0.77206322271386429</v>
      </c>
      <c r="K415" s="240">
        <f>CALCULATIONS!OT16</f>
        <v>0.57147794234897276</v>
      </c>
      <c r="L415" s="240">
        <f>CALCULATIONS!OX16</f>
        <v>0.60022094852775909</v>
      </c>
      <c r="M415" s="2169">
        <f>CALCULATIONS!PB16</f>
        <v>0.57225568833652007</v>
      </c>
      <c r="N415" s="2138"/>
      <c r="O415" s="2138"/>
      <c r="P415" s="3341">
        <f t="shared" si="34"/>
        <v>0.629004450481779</v>
      </c>
      <c r="Q415" s="3375"/>
      <c r="R415" s="3376"/>
      <c r="S415" s="1231"/>
      <c r="T415" s="2263"/>
      <c r="U415" s="2263"/>
      <c r="V415" s="460"/>
      <c r="W415" s="460"/>
      <c r="X415" s="460"/>
      <c r="Y415" s="460"/>
      <c r="Z415" s="460"/>
      <c r="AA415" s="460"/>
      <c r="AB415" s="2920" t="s">
        <v>2324</v>
      </c>
      <c r="AC415" s="2917"/>
      <c r="AD415" s="2855"/>
      <c r="AE415" s="2855"/>
      <c r="AF415" s="2855"/>
      <c r="AG415" s="2427"/>
      <c r="AH415" s="2818"/>
      <c r="AI415" s="2818"/>
      <c r="AU415" s="80"/>
    </row>
    <row r="416" spans="1:47" s="1854" customFormat="1">
      <c r="A416" s="1183" t="s">
        <v>27</v>
      </c>
      <c r="B416" s="73" t="s">
        <v>357</v>
      </c>
      <c r="C416" s="3365">
        <f>VLOOKUP(B416,Ranking!$B$7:$G$28,2,FALSE)</f>
        <v>504.56125714285719</v>
      </c>
      <c r="D416" s="3366"/>
      <c r="E416" s="1281"/>
      <c r="F416" s="3341">
        <f>CALCULATIONS!PE26</f>
        <v>0.48825120153947199</v>
      </c>
      <c r="G416" s="3342"/>
      <c r="H416" s="131">
        <f>CALCULATIONS!PD26</f>
        <v>0.52140126030951717</v>
      </c>
      <c r="J416" s="132">
        <f>CALCULATIONS!OP26</f>
        <v>0.74145702954745663</v>
      </c>
      <c r="K416" s="240">
        <f>CALCULATIONS!OT26</f>
        <v>0.49416684098058761</v>
      </c>
      <c r="L416" s="240">
        <f>CALCULATIONS!OX26</f>
        <v>0.41956649307183574</v>
      </c>
      <c r="M416" s="2169">
        <f>CALCULATIONS!PB26</f>
        <v>0.49482175282923596</v>
      </c>
      <c r="N416" s="2138"/>
      <c r="O416" s="2138"/>
      <c r="P416" s="3341">
        <f t="shared" si="34"/>
        <v>0.53750302910727898</v>
      </c>
      <c r="Q416" s="3375"/>
      <c r="R416" s="3376"/>
      <c r="S416" s="1234"/>
      <c r="T416" s="2263"/>
      <c r="U416" s="2263"/>
      <c r="V416" s="460"/>
      <c r="W416" s="460"/>
      <c r="X416" s="460"/>
      <c r="Y416" s="460"/>
      <c r="Z416" s="460"/>
      <c r="AA416" s="460"/>
      <c r="AB416" s="2920" t="s">
        <v>1760</v>
      </c>
      <c r="AC416" s="2917"/>
      <c r="AD416" s="2855"/>
      <c r="AE416" s="2855"/>
      <c r="AF416" s="2855"/>
      <c r="AG416" s="2427"/>
      <c r="AH416" s="2818"/>
      <c r="AI416" s="2818"/>
      <c r="AU416" s="80"/>
    </row>
    <row r="417" spans="1:47" s="1854" customFormat="1">
      <c r="A417" s="1183" t="s">
        <v>32</v>
      </c>
      <c r="B417" s="73" t="s">
        <v>50</v>
      </c>
      <c r="C417" s="3365">
        <f>VLOOKUP(B417,Ranking!$B$7:$G$28,2,FALSE)</f>
        <v>19515.355899391296</v>
      </c>
      <c r="D417" s="3366"/>
      <c r="E417" s="1281"/>
      <c r="F417" s="3341">
        <f>CALCULATIONS!PE21</f>
        <v>-0.89894076859195104</v>
      </c>
      <c r="G417" s="3342"/>
      <c r="H417" s="131">
        <f>CALCULATIONS!PD21</f>
        <v>39.625784878048783</v>
      </c>
      <c r="J417" s="132">
        <f>CALCULATIONS!OP21</f>
        <v>-2.9120070951585979</v>
      </c>
      <c r="K417" s="240">
        <f>CALCULATIONS!OT21</f>
        <v>25.372190415913199</v>
      </c>
      <c r="L417" s="240">
        <f>CALCULATIONS!OX21</f>
        <v>45.950368730650155</v>
      </c>
      <c r="M417" s="2169">
        <f>CALCULATIONS!PB21</f>
        <v>-79.80150570175438</v>
      </c>
      <c r="N417" s="2138"/>
      <c r="O417" s="2138"/>
      <c r="P417" s="3341">
        <f t="shared" si="34"/>
        <v>-2.8477384125874075</v>
      </c>
      <c r="Q417" s="3375"/>
      <c r="R417" s="3376"/>
      <c r="S417" s="2172"/>
      <c r="T417" s="2263"/>
      <c r="U417" s="2263"/>
      <c r="V417" s="460"/>
      <c r="W417" s="460"/>
      <c r="X417" s="460"/>
      <c r="Y417" s="460"/>
      <c r="Z417" s="460"/>
      <c r="AA417" s="460"/>
      <c r="AG417" s="2427"/>
      <c r="AH417" s="2818"/>
      <c r="AI417" s="2818"/>
      <c r="AU417" s="80"/>
    </row>
    <row r="418" spans="1:47" s="1854" customFormat="1">
      <c r="A418" s="2180" t="s">
        <v>323</v>
      </c>
      <c r="B418" s="2181" t="s">
        <v>774</v>
      </c>
      <c r="C418" s="3402">
        <f>VLOOKUP(B418,Ranking!$B$7:$G$28,2,FALSE)</f>
        <v>3541.6238999999996</v>
      </c>
      <c r="D418" s="3403"/>
      <c r="E418" s="1281"/>
      <c r="F418" s="3377">
        <f>CALCULATIONS!PE9</f>
        <v>-1.4186196832586249</v>
      </c>
      <c r="G418" s="3382"/>
      <c r="H418" s="2182">
        <f>CALCULATIONS!PD9</f>
        <v>-2.7147098893731143</v>
      </c>
      <c r="J418" s="2183">
        <f>CALCULATIONS!OP9</f>
        <v>6.1862876885817757</v>
      </c>
      <c r="K418" s="2184">
        <f>CALCULATIONS!OT9</f>
        <v>15.240484292230724</v>
      </c>
      <c r="L418" s="2184">
        <f>CALCULATIONS!OX9</f>
        <v>-13.485765792622253</v>
      </c>
      <c r="M418" s="2185">
        <f>CALCULATIONS!PB9</f>
        <v>-5.6607725113971119</v>
      </c>
      <c r="N418" s="725"/>
      <c r="O418" s="725"/>
      <c r="P418" s="3377">
        <f t="shared" si="34"/>
        <v>0.57005841919828382</v>
      </c>
      <c r="Q418" s="3378"/>
      <c r="R418" s="3379"/>
      <c r="S418" s="1235"/>
      <c r="T418" s="2263"/>
      <c r="U418" s="2263"/>
      <c r="V418" s="460"/>
      <c r="W418" s="460"/>
      <c r="X418" s="460"/>
      <c r="Y418" s="460"/>
      <c r="Z418" s="460"/>
      <c r="AA418" s="460"/>
      <c r="AG418" s="2427"/>
      <c r="AH418" s="2818"/>
      <c r="AI418" s="2818"/>
      <c r="AU418" s="80"/>
    </row>
    <row r="419" spans="1:47" s="1854" customFormat="1">
      <c r="T419" s="2263"/>
      <c r="U419" s="2263"/>
      <c r="V419" s="460"/>
      <c r="W419" s="460"/>
      <c r="X419" s="460"/>
      <c r="Y419" s="460"/>
      <c r="Z419" s="460"/>
      <c r="AA419" s="460"/>
      <c r="AB419" s="460"/>
      <c r="AC419" s="460"/>
      <c r="AD419" s="2263"/>
      <c r="AE419" s="2263"/>
      <c r="AF419" s="2818"/>
      <c r="AG419" s="2427"/>
      <c r="AH419" s="2818"/>
      <c r="AI419" s="2818"/>
      <c r="AU419" s="80"/>
    </row>
    <row r="420" spans="1:47" s="1854" customFormat="1">
      <c r="T420" s="2458" t="s">
        <v>1763</v>
      </c>
      <c r="U420" s="2459"/>
      <c r="V420" s="2459"/>
      <c r="W420" s="2460"/>
      <c r="X420" s="2459"/>
      <c r="Y420" s="2459"/>
      <c r="Z420" s="2459"/>
      <c r="AA420" s="1209"/>
      <c r="AB420" s="1209"/>
      <c r="AC420" s="1209"/>
      <c r="AD420" s="1209"/>
      <c r="AE420" s="1209"/>
      <c r="AF420" s="1209"/>
      <c r="AG420" s="2907"/>
      <c r="AH420" s="2818"/>
      <c r="AI420" s="2818"/>
      <c r="AU420" s="80"/>
    </row>
    <row r="421" spans="1:47" s="1854" customFormat="1">
      <c r="T421" s="2461" t="s">
        <v>2325</v>
      </c>
      <c r="U421" s="2459"/>
      <c r="V421" s="2459"/>
      <c r="W421" s="2460"/>
      <c r="X421" s="2459"/>
      <c r="Y421" s="2459"/>
      <c r="Z421" s="2459"/>
      <c r="AA421" s="1209"/>
      <c r="AB421" s="1209"/>
      <c r="AC421" s="1209"/>
      <c r="AD421" s="1209"/>
      <c r="AE421" s="1209"/>
      <c r="AF421" s="1209"/>
      <c r="AG421" s="2940" t="s">
        <v>1750</v>
      </c>
      <c r="AH421" s="2941" t="s">
        <v>2602</v>
      </c>
      <c r="AI421" s="2818"/>
      <c r="AU421" s="80"/>
    </row>
    <row r="422" spans="1:47" s="1854" customFormat="1">
      <c r="T422" s="3369" t="s">
        <v>2326</v>
      </c>
      <c r="U422" s="3369"/>
      <c r="V422" s="3369"/>
      <c r="W422" s="3369"/>
      <c r="X422" s="3369"/>
      <c r="Y422" s="3369"/>
      <c r="Z422" s="3369"/>
      <c r="AA422" s="3369"/>
      <c r="AB422" s="3369"/>
      <c r="AC422" s="3369"/>
      <c r="AD422" s="3369"/>
      <c r="AE422" s="3369"/>
      <c r="AF422" s="3369"/>
      <c r="AG422" s="2940" t="s">
        <v>1750</v>
      </c>
      <c r="AH422" s="2941" t="s">
        <v>2602</v>
      </c>
      <c r="AI422" s="2818"/>
      <c r="AU422" s="80"/>
    </row>
    <row r="423" spans="1:47" s="1854" customFormat="1">
      <c r="T423" s="3369"/>
      <c r="U423" s="3369"/>
      <c r="V423" s="3369"/>
      <c r="W423" s="3369"/>
      <c r="X423" s="3369"/>
      <c r="Y423" s="3369"/>
      <c r="Z423" s="3369"/>
      <c r="AA423" s="3369"/>
      <c r="AB423" s="3369"/>
      <c r="AC423" s="3369"/>
      <c r="AD423" s="3369"/>
      <c r="AE423" s="3369"/>
      <c r="AF423" s="3369"/>
      <c r="AG423" s="2957" t="s">
        <v>2381</v>
      </c>
      <c r="AH423" s="2186"/>
      <c r="AI423" s="2186"/>
      <c r="AU423" s="80"/>
    </row>
    <row r="424" spans="1:47" s="1854" customFormat="1">
      <c r="T424" s="2455"/>
      <c r="U424" s="2459"/>
      <c r="V424" s="2459"/>
      <c r="W424" s="2460"/>
      <c r="X424" s="2459"/>
      <c r="Y424" s="2459"/>
      <c r="Z424" s="2459"/>
      <c r="AA424" s="1209"/>
      <c r="AB424" s="1209"/>
      <c r="AC424" s="1209"/>
      <c r="AD424" s="1209"/>
      <c r="AE424" s="1209"/>
      <c r="AF424" s="1209"/>
      <c r="AG424" s="3383" t="s">
        <v>2329</v>
      </c>
      <c r="AH424" s="3384"/>
      <c r="AI424" s="3384"/>
      <c r="AU424" s="80"/>
    </row>
    <row r="425" spans="1:47" s="1854" customFormat="1">
      <c r="T425" s="2263"/>
      <c r="U425" s="2263"/>
      <c r="V425" s="460"/>
      <c r="W425" s="460"/>
      <c r="X425" s="460"/>
      <c r="Y425" s="2263"/>
      <c r="Z425" s="2263"/>
      <c r="AA425" s="2263"/>
      <c r="AB425" s="2263"/>
      <c r="AC425" s="2263"/>
      <c r="AD425" s="2263"/>
      <c r="AE425" s="2263"/>
      <c r="AF425" s="2818"/>
      <c r="AG425" s="3383"/>
      <c r="AH425" s="3384"/>
      <c r="AI425" s="3384"/>
      <c r="AU425" s="80"/>
    </row>
    <row r="426" spans="1:47" s="1854" customFormat="1">
      <c r="T426" s="2263"/>
      <c r="U426" s="2263"/>
      <c r="V426" s="460"/>
      <c r="W426" s="460"/>
      <c r="X426" s="460"/>
      <c r="Y426" s="460"/>
      <c r="Z426" s="460"/>
      <c r="AA426" s="460"/>
      <c r="AB426" s="2917" t="s">
        <v>2350</v>
      </c>
      <c r="AC426" s="2917"/>
      <c r="AD426" s="2855"/>
      <c r="AE426" s="2855"/>
      <c r="AF426" s="2918"/>
      <c r="AG426" s="2263"/>
      <c r="AU426" s="80"/>
    </row>
    <row r="427" spans="1:47" s="1854" customFormat="1">
      <c r="T427" s="2263"/>
      <c r="U427" s="2263"/>
      <c r="V427" s="460"/>
      <c r="W427" s="460"/>
      <c r="X427" s="460"/>
      <c r="Y427" s="460"/>
      <c r="Z427" s="460"/>
      <c r="AA427" s="460"/>
      <c r="AB427" s="2919" t="s">
        <v>2327</v>
      </c>
      <c r="AC427" s="2855"/>
      <c r="AD427" s="2855"/>
      <c r="AE427" s="2855"/>
      <c r="AF427" s="2918"/>
      <c r="AG427" s="2263"/>
      <c r="AU427" s="80"/>
    </row>
    <row r="428" spans="1:47" s="1854" customFormat="1">
      <c r="T428" s="2263"/>
      <c r="U428" s="2263"/>
      <c r="V428" s="460"/>
      <c r="W428" s="460"/>
      <c r="X428" s="460"/>
      <c r="Y428" s="460"/>
      <c r="Z428" s="2263"/>
      <c r="AA428" s="2263"/>
      <c r="AB428" s="3367" t="s">
        <v>2328</v>
      </c>
      <c r="AC428" s="3367"/>
      <c r="AD428" s="3367"/>
      <c r="AE428" s="3367"/>
      <c r="AF428" s="3368"/>
      <c r="AG428" s="2263"/>
      <c r="AU428" s="80"/>
    </row>
    <row r="429" spans="1:47" s="1854" customFormat="1" ht="13.2" customHeight="1">
      <c r="T429" s="2263"/>
      <c r="U429" s="2263"/>
      <c r="V429" s="460"/>
      <c r="W429" s="460"/>
      <c r="X429" s="2263"/>
      <c r="Y429" s="2263"/>
      <c r="Z429" s="2263"/>
      <c r="AA429" s="2263"/>
      <c r="AB429" s="3367"/>
      <c r="AC429" s="3367"/>
      <c r="AD429" s="3367"/>
      <c r="AE429" s="3367"/>
      <c r="AF429" s="3368"/>
      <c r="AG429" s="2263"/>
      <c r="AU429" s="80"/>
    </row>
    <row r="430" spans="1:47" s="1854" customFormat="1">
      <c r="T430" s="2263"/>
      <c r="U430" s="2263"/>
      <c r="V430" s="460"/>
      <c r="W430" s="460"/>
      <c r="X430" s="460"/>
      <c r="Y430" s="460"/>
      <c r="Z430" s="460"/>
      <c r="AA430" s="460"/>
      <c r="AB430" s="3367" t="s">
        <v>2351</v>
      </c>
      <c r="AC430" s="3367"/>
      <c r="AD430" s="3367"/>
      <c r="AE430" s="3367"/>
      <c r="AF430" s="3368"/>
      <c r="AG430" s="2940" t="s">
        <v>2349</v>
      </c>
      <c r="AH430" s="2818"/>
      <c r="AI430" s="2138"/>
      <c r="AJ430" s="2916" t="s">
        <v>2348</v>
      </c>
      <c r="AU430" s="80"/>
    </row>
    <row r="431" spans="1:47" s="1854" customFormat="1">
      <c r="A431" s="1155"/>
      <c r="C431" s="92"/>
      <c r="T431" s="2263"/>
      <c r="U431" s="2263"/>
      <c r="V431" s="2263"/>
      <c r="W431" s="2263"/>
      <c r="X431" s="2263"/>
      <c r="Y431" s="2263"/>
      <c r="Z431" s="2263"/>
      <c r="AA431" s="2263"/>
      <c r="AB431" s="3367"/>
      <c r="AC431" s="3367"/>
      <c r="AD431" s="3367"/>
      <c r="AE431" s="3367"/>
      <c r="AF431" s="3368"/>
      <c r="AU431" s="80"/>
    </row>
    <row r="432" spans="1:47" s="1854" customFormat="1" ht="13.2" customHeight="1">
      <c r="A432" s="1155"/>
      <c r="C432" s="92"/>
      <c r="T432" s="2263"/>
      <c r="U432" s="2263"/>
      <c r="V432" s="2263"/>
      <c r="W432" s="2263"/>
      <c r="X432" s="2263"/>
      <c r="Y432" s="2263"/>
      <c r="Z432" s="2263"/>
      <c r="AA432" s="2263"/>
      <c r="AB432" s="2855"/>
      <c r="AC432" s="2855"/>
      <c r="AD432" s="2855"/>
      <c r="AE432" s="2855"/>
      <c r="AF432" s="2918"/>
      <c r="AU432" s="80"/>
    </row>
    <row r="433" spans="1:47" s="1854" customFormat="1">
      <c r="A433" s="1155"/>
      <c r="C433" s="92"/>
      <c r="T433" s="2263"/>
      <c r="U433" s="2263"/>
      <c r="V433" s="2263"/>
      <c r="W433" s="2263"/>
      <c r="X433" s="2263"/>
      <c r="Y433" s="2263"/>
      <c r="Z433" s="2263"/>
      <c r="AA433" s="2263"/>
      <c r="AB433" s="3298" t="s">
        <v>1764</v>
      </c>
      <c r="AC433" s="3298"/>
      <c r="AD433" s="3298"/>
      <c r="AE433" s="3298"/>
      <c r="AF433" s="3299"/>
      <c r="AG433" s="2263"/>
      <c r="AU433" s="80"/>
    </row>
    <row r="434" spans="1:47" ht="13.2" customHeight="1">
      <c r="T434" s="2263"/>
      <c r="U434" s="2263"/>
      <c r="V434" s="2263"/>
      <c r="W434" s="2263"/>
      <c r="X434" s="2263"/>
      <c r="Y434" s="2263"/>
      <c r="Z434" s="2263"/>
      <c r="AA434" s="2263"/>
      <c r="AB434" s="3298"/>
      <c r="AC434" s="3298"/>
      <c r="AD434" s="3298"/>
      <c r="AE434" s="3298"/>
      <c r="AF434" s="3299"/>
    </row>
    <row r="435" spans="1:47" ht="13.2" customHeight="1">
      <c r="T435" s="2263"/>
      <c r="U435" s="2263"/>
      <c r="V435" s="2263"/>
      <c r="W435" s="2263"/>
      <c r="X435" s="2263"/>
      <c r="Y435" s="2263"/>
      <c r="Z435" s="2263"/>
      <c r="AA435" s="2263"/>
      <c r="AB435" s="3367" t="s">
        <v>1765</v>
      </c>
      <c r="AC435" s="3367"/>
      <c r="AD435" s="3367"/>
      <c r="AE435" s="3367"/>
      <c r="AF435" s="3368"/>
    </row>
    <row r="436" spans="1:47">
      <c r="T436" s="2263"/>
      <c r="U436" s="2263"/>
      <c r="V436" s="2263"/>
      <c r="W436" s="2263"/>
      <c r="X436" s="2263"/>
      <c r="Y436" s="2263"/>
      <c r="Z436" s="2263"/>
      <c r="AA436" s="2263"/>
      <c r="AB436" s="3367"/>
      <c r="AC436" s="3367"/>
      <c r="AD436" s="3367"/>
      <c r="AE436" s="3367"/>
      <c r="AF436" s="3368"/>
    </row>
    <row r="437" spans="1:47" ht="13.2" customHeight="1">
      <c r="T437" s="2263"/>
      <c r="U437" s="2263"/>
      <c r="V437" s="2263"/>
      <c r="W437" s="2263"/>
      <c r="X437" s="2263"/>
      <c r="Y437" s="2263"/>
      <c r="Z437" s="2263"/>
      <c r="AA437" s="2263"/>
      <c r="AB437" s="3367"/>
      <c r="AC437" s="3367"/>
      <c r="AD437" s="3367"/>
      <c r="AE437" s="3367"/>
      <c r="AF437" s="3368"/>
    </row>
    <row r="438" spans="1:47" ht="13.2" customHeight="1">
      <c r="T438" s="2263"/>
      <c r="U438" s="2263"/>
      <c r="V438" s="2263"/>
      <c r="W438" s="2263"/>
      <c r="X438" s="2263"/>
      <c r="Y438" s="2263"/>
      <c r="Z438" s="2263"/>
      <c r="AA438" s="2263"/>
      <c r="AB438" s="3367" t="s">
        <v>1766</v>
      </c>
      <c r="AC438" s="3367"/>
      <c r="AD438" s="3367"/>
      <c r="AE438" s="3367"/>
      <c r="AF438" s="3368"/>
    </row>
    <row r="439" spans="1:47">
      <c r="T439" s="2263"/>
      <c r="U439" s="2263"/>
      <c r="V439" s="2263"/>
      <c r="W439" s="2263"/>
      <c r="X439" s="2263"/>
      <c r="Y439" s="2263"/>
      <c r="Z439" s="2263"/>
      <c r="AA439" s="2263"/>
      <c r="AB439" s="3367"/>
      <c r="AC439" s="3367"/>
      <c r="AD439" s="3367"/>
      <c r="AE439" s="3367"/>
      <c r="AF439" s="3368"/>
    </row>
    <row r="440" spans="1:47">
      <c r="T440" s="2263"/>
      <c r="U440" s="2263"/>
      <c r="V440" s="2263"/>
      <c r="W440" s="2263"/>
      <c r="X440" s="2263"/>
      <c r="Y440" s="2263"/>
      <c r="Z440" s="2263"/>
      <c r="AA440" s="2263"/>
      <c r="AB440" s="3367"/>
      <c r="AC440" s="3367"/>
      <c r="AD440" s="3367"/>
      <c r="AE440" s="3367"/>
      <c r="AF440" s="3368"/>
    </row>
    <row r="441" spans="1:47">
      <c r="T441" s="2263"/>
      <c r="U441" s="2263"/>
      <c r="V441" s="2263"/>
      <c r="W441" s="2263"/>
      <c r="X441" s="2263"/>
      <c r="Y441" s="2263"/>
      <c r="Z441" s="2263"/>
      <c r="AA441" s="2263"/>
      <c r="AB441" s="3367"/>
      <c r="AC441" s="3367"/>
      <c r="AD441" s="3367"/>
      <c r="AE441" s="3367"/>
      <c r="AF441" s="3368"/>
    </row>
    <row r="442" spans="1:47" ht="13.2" customHeight="1">
      <c r="T442" s="2263"/>
      <c r="U442" s="2263"/>
      <c r="V442" s="2263"/>
      <c r="W442" s="2263"/>
      <c r="X442" s="2263"/>
      <c r="Y442" s="2263"/>
      <c r="Z442" s="2263"/>
      <c r="AA442" s="2263"/>
      <c r="AB442" s="2820"/>
      <c r="AC442" s="2820"/>
      <c r="AD442" s="2820"/>
      <c r="AE442" s="2820"/>
      <c r="AF442" s="2905"/>
    </row>
    <row r="443" spans="1:47">
      <c r="T443" s="2263"/>
      <c r="U443" s="2263"/>
      <c r="V443" s="2263"/>
      <c r="W443" s="2263"/>
      <c r="X443" s="2263"/>
      <c r="Y443" s="2263"/>
      <c r="Z443" s="2263"/>
      <c r="AA443" s="2263"/>
      <c r="AB443" s="2888"/>
      <c r="AC443" s="2888"/>
      <c r="AD443" s="2888"/>
      <c r="AE443" s="2888"/>
      <c r="AF443" s="2889"/>
    </row>
    <row r="444" spans="1:47">
      <c r="T444" s="2263"/>
      <c r="U444" s="2263"/>
      <c r="V444" s="2263"/>
      <c r="W444" s="2263"/>
      <c r="X444" s="2263"/>
      <c r="Y444" s="2263"/>
      <c r="Z444" s="2263"/>
      <c r="AA444" s="2263"/>
      <c r="AB444" s="2818"/>
      <c r="AC444" s="2818"/>
      <c r="AD444" s="2818"/>
      <c r="AE444" s="2818"/>
      <c r="AF444" s="2819"/>
    </row>
    <row r="445" spans="1:47">
      <c r="T445" s="2263"/>
      <c r="U445" s="2263"/>
      <c r="V445" s="2263"/>
      <c r="W445" s="2263"/>
      <c r="X445" s="2263"/>
      <c r="Y445" s="2263"/>
      <c r="Z445" s="2263"/>
      <c r="AA445" s="2263"/>
      <c r="AB445" s="2818"/>
      <c r="AC445" s="2818"/>
      <c r="AD445" s="2818"/>
      <c r="AE445" s="2818"/>
      <c r="AF445" s="2819"/>
    </row>
    <row r="446" spans="1:47" s="2817" customFormat="1">
      <c r="A446" s="1512" t="s">
        <v>1525</v>
      </c>
      <c r="B446" s="1513"/>
      <c r="T446" s="1683"/>
      <c r="U446" s="1683"/>
      <c r="V446" s="1683"/>
      <c r="W446" s="1683"/>
      <c r="X446" s="1683"/>
      <c r="Y446" s="1683"/>
      <c r="Z446" s="1683"/>
      <c r="AA446" s="1683"/>
      <c r="AB446" s="1683"/>
      <c r="AC446" s="1683"/>
      <c r="AD446" s="1683"/>
      <c r="AE446" s="1683"/>
      <c r="AF446" s="2445"/>
      <c r="AG446" s="2818"/>
      <c r="AU446" s="80"/>
    </row>
    <row r="447" spans="1:47" s="2817" customFormat="1">
      <c r="A447" s="1155"/>
      <c r="T447" s="2101"/>
      <c r="U447" s="2101"/>
      <c r="V447" s="2101"/>
      <c r="W447" s="2101"/>
      <c r="X447" s="2101"/>
      <c r="Y447" s="2101"/>
      <c r="Z447" s="2101"/>
      <c r="AA447" s="2101"/>
      <c r="AB447" s="2101"/>
      <c r="AC447" s="2101"/>
      <c r="AD447" s="2101"/>
      <c r="AE447" s="2101"/>
      <c r="AF447" s="2446"/>
      <c r="AG447" s="2818"/>
      <c r="AU447" s="80"/>
    </row>
    <row r="448" spans="1:47" s="2817" customFormat="1">
      <c r="A448" s="1155"/>
      <c r="T448" s="2101"/>
      <c r="U448" s="2101"/>
      <c r="V448" s="2101"/>
      <c r="W448" s="2101"/>
      <c r="X448" s="2101"/>
      <c r="Y448" s="2101"/>
      <c r="Z448" s="2101"/>
      <c r="AA448" s="2101"/>
      <c r="AB448" s="2101"/>
      <c r="AC448" s="2101"/>
      <c r="AD448" s="2101"/>
      <c r="AE448" s="2101"/>
      <c r="AF448" s="2446"/>
      <c r="AG448" s="2818"/>
      <c r="AU448" s="80"/>
    </row>
    <row r="449" spans="1:47" s="2817" customFormat="1">
      <c r="A449" s="1155"/>
      <c r="T449" s="2101"/>
      <c r="U449" s="2101"/>
      <c r="V449" s="2101"/>
      <c r="W449" s="2101"/>
      <c r="X449" s="2101"/>
      <c r="Y449" s="2101"/>
      <c r="Z449" s="2101"/>
      <c r="AA449" s="2101"/>
      <c r="AB449" s="2101"/>
      <c r="AC449" s="2101"/>
      <c r="AD449" s="2101"/>
      <c r="AE449" s="2101"/>
      <c r="AF449" s="2446"/>
      <c r="AG449" s="2818"/>
      <c r="AU449" s="80"/>
    </row>
    <row r="450" spans="1:47" s="2817" customFormat="1">
      <c r="A450" s="1155"/>
      <c r="T450" s="2818"/>
      <c r="U450" s="2818"/>
      <c r="V450" s="2818"/>
      <c r="W450" s="2818"/>
      <c r="X450" s="2818"/>
      <c r="Y450" s="2818"/>
      <c r="Z450" s="2818"/>
      <c r="AA450" s="2818"/>
      <c r="AB450" s="2818"/>
      <c r="AC450" s="2818"/>
      <c r="AD450" s="2818"/>
      <c r="AE450" s="2818"/>
      <c r="AF450" s="2819"/>
      <c r="AG450" s="2818"/>
      <c r="AU450" s="80"/>
    </row>
    <row r="451" spans="1:47" s="2817" customFormat="1">
      <c r="A451" s="1155"/>
      <c r="T451" s="2818"/>
      <c r="U451" s="2818"/>
      <c r="V451" s="2818"/>
      <c r="W451" s="2818"/>
      <c r="X451" s="2818"/>
      <c r="Y451" s="2818"/>
      <c r="Z451" s="2818"/>
      <c r="AA451" s="2818"/>
      <c r="AB451" s="2818"/>
      <c r="AC451" s="2818"/>
      <c r="AD451" s="2818"/>
      <c r="AE451" s="2818"/>
      <c r="AF451" s="2819"/>
      <c r="AG451" s="2818"/>
      <c r="AU451" s="80"/>
    </row>
    <row r="452" spans="1:47">
      <c r="T452" s="1673" t="s">
        <v>2330</v>
      </c>
      <c r="U452" s="1673"/>
      <c r="V452" s="1673"/>
      <c r="W452" s="1673"/>
      <c r="X452" s="1673"/>
      <c r="Y452" s="1673"/>
      <c r="Z452" s="1673"/>
      <c r="AA452" s="1673"/>
      <c r="AB452" s="1673"/>
      <c r="AC452" s="1673"/>
      <c r="AD452" s="1673"/>
      <c r="AE452" s="1673"/>
      <c r="AF452" s="2450"/>
    </row>
    <row r="453" spans="1:47">
      <c r="T453" s="1673" t="s">
        <v>2347</v>
      </c>
      <c r="U453" s="1673"/>
      <c r="V453" s="1673"/>
      <c r="W453" s="1673"/>
      <c r="X453" s="1673"/>
      <c r="Y453" s="1673"/>
      <c r="Z453" s="1673"/>
      <c r="AA453" s="1673"/>
      <c r="AB453" s="1673"/>
      <c r="AC453" s="1673"/>
      <c r="AD453" s="1673"/>
      <c r="AE453" s="1673"/>
      <c r="AF453" s="2450"/>
    </row>
    <row r="454" spans="1:47" s="2138" customFormat="1">
      <c r="A454" s="1155"/>
      <c r="T454" s="2818" t="s">
        <v>2331</v>
      </c>
      <c r="U454" s="2818"/>
      <c r="V454" s="2818"/>
      <c r="W454" s="2818"/>
      <c r="X454" s="2601" t="s">
        <v>2332</v>
      </c>
      <c r="Y454" s="2910" t="s">
        <v>2335</v>
      </c>
      <c r="Z454" s="2101"/>
      <c r="AA454" s="2101"/>
      <c r="AB454" s="2101"/>
      <c r="AC454" s="2101"/>
      <c r="AD454" s="2815"/>
      <c r="AE454" s="2815"/>
      <c r="AF454" s="2816"/>
      <c r="AG454" s="2263"/>
      <c r="AU454" s="80"/>
    </row>
    <row r="455" spans="1:47" s="2138" customFormat="1" ht="13.2" customHeight="1">
      <c r="A455" s="1155"/>
      <c r="T455" s="1673" t="s">
        <v>2363</v>
      </c>
      <c r="U455" s="1673"/>
      <c r="V455" s="1673"/>
      <c r="W455" s="1673"/>
      <c r="X455" s="1673"/>
      <c r="Y455" s="1673"/>
      <c r="Z455" s="1673"/>
      <c r="AA455" s="1673"/>
      <c r="AB455" s="1673"/>
      <c r="AC455" s="1673"/>
      <c r="AD455" s="1673"/>
      <c r="AE455" s="1673"/>
      <c r="AF455" s="2450"/>
      <c r="AU455" s="80"/>
    </row>
    <row r="456" spans="1:47">
      <c r="T456" s="2818"/>
      <c r="U456" s="2818"/>
      <c r="V456" s="2818"/>
      <c r="W456" s="2818"/>
      <c r="X456" s="2818"/>
      <c r="Y456" s="2818"/>
      <c r="Z456" s="2818"/>
      <c r="AA456" s="2818"/>
      <c r="AB456" s="2818"/>
      <c r="AC456" s="2818"/>
      <c r="AD456" s="2818"/>
      <c r="AE456" s="2818"/>
      <c r="AF456" s="2819"/>
    </row>
    <row r="457" spans="1:47">
      <c r="A457" s="1252" t="s">
        <v>2336</v>
      </c>
      <c r="B457" s="1123" t="s">
        <v>2367</v>
      </c>
      <c r="C457" s="3325" t="s">
        <v>1777</v>
      </c>
      <c r="D457" s="3326"/>
      <c r="E457" s="2210"/>
      <c r="F457" s="3334" t="s">
        <v>2338</v>
      </c>
      <c r="G457" s="3335"/>
      <c r="H457" s="3336"/>
      <c r="J457" s="2188"/>
      <c r="K457" s="2188"/>
      <c r="L457" s="2188"/>
      <c r="M457" s="2188"/>
      <c r="N457" s="105"/>
      <c r="O457" s="105"/>
      <c r="P457" s="2187"/>
      <c r="Q457" s="3334" t="s">
        <v>2336</v>
      </c>
      <c r="R457" s="3336"/>
      <c r="T457" s="2818"/>
      <c r="U457" s="2818"/>
      <c r="V457" s="2818"/>
      <c r="W457" s="2818"/>
      <c r="X457" s="2818"/>
      <c r="Y457" s="2818"/>
      <c r="Z457" s="2818"/>
      <c r="AA457" s="2818"/>
      <c r="AB457" s="1748" t="s">
        <v>2342</v>
      </c>
      <c r="AC457" s="1742"/>
      <c r="AD457" s="1869" t="str">
        <f>CONCATENATE("Ebitda*/Eb has been very stable at ",ROUND(Q468,1),"x,")</f>
        <v>Ebitda*/Eb has been very stable at 0.6x,</v>
      </c>
      <c r="AE457" s="1836"/>
      <c r="AF457" s="2435"/>
      <c r="AG457" s="2818"/>
      <c r="AH457" s="2817"/>
      <c r="AI457" s="2817"/>
      <c r="AJ457" s="2817"/>
    </row>
    <row r="458" spans="1:47">
      <c r="A458" s="2817" t="s">
        <v>2341</v>
      </c>
      <c r="C458" s="3331" t="s">
        <v>2233</v>
      </c>
      <c r="D458" s="3333"/>
      <c r="E458" s="2195"/>
      <c r="F458" s="2166" t="s">
        <v>2233</v>
      </c>
      <c r="G458" s="2190"/>
      <c r="H458" s="2191" t="s">
        <v>1278</v>
      </c>
      <c r="M458" s="592"/>
      <c r="N458" s="105"/>
      <c r="O458" s="105"/>
      <c r="P458" s="1697"/>
      <c r="Q458" s="2166" t="s">
        <v>2337</v>
      </c>
      <c r="R458" s="2189"/>
      <c r="T458" s="2818"/>
      <c r="U458" s="2818"/>
      <c r="V458" s="2818"/>
      <c r="W458" s="2818"/>
      <c r="X458" s="2818"/>
      <c r="Y458" s="2818"/>
      <c r="Z458" s="2818"/>
      <c r="AA458" s="2818"/>
      <c r="AB458" s="1836" t="s">
        <v>2343</v>
      </c>
      <c r="AC458" s="1836"/>
      <c r="AD458" s="1836"/>
      <c r="AE458" s="1836"/>
      <c r="AF458" s="2435"/>
      <c r="AG458" s="2817"/>
      <c r="AH458" s="2817"/>
      <c r="AI458" s="2817"/>
      <c r="AJ458" s="2817"/>
    </row>
    <row r="459" spans="1:47">
      <c r="A459" s="1191" t="s">
        <v>505</v>
      </c>
      <c r="B459" s="82" t="s">
        <v>44</v>
      </c>
      <c r="C459" s="3400">
        <f>VLOOKUP(B459,Ranking!$B$7:$G$28,2,FALSE)</f>
        <v>12234.494271428572</v>
      </c>
      <c r="D459" s="3401"/>
      <c r="E459" s="1281"/>
      <c r="F459" s="3426">
        <f>CALCULATIONS!PY18</f>
        <v>1.733135944090503</v>
      </c>
      <c r="G459" s="3427"/>
      <c r="H459" s="2911">
        <f>CALCULATIONS!PX18</f>
        <v>0.82546986182299031</v>
      </c>
      <c r="I459" s="2194"/>
      <c r="J459" s="92"/>
      <c r="K459" s="92"/>
      <c r="L459" s="92"/>
      <c r="M459" s="92"/>
      <c r="N459" s="92"/>
      <c r="O459" s="92"/>
      <c r="P459" s="92"/>
      <c r="Q459" s="3426">
        <f>CALCULATIONS!PZ18</f>
        <v>1.7931869481807905</v>
      </c>
      <c r="R459" s="3428"/>
      <c r="S459" s="1231"/>
      <c r="T459" s="2263"/>
      <c r="U459" s="2263"/>
      <c r="V459" s="2263"/>
      <c r="W459" s="2263"/>
      <c r="X459" s="2263"/>
      <c r="Y459" s="2263"/>
      <c r="Z459" s="2263"/>
      <c r="AA459" s="2263"/>
      <c r="AB459" s="3312" t="s">
        <v>2346</v>
      </c>
      <c r="AC459" s="3312"/>
      <c r="AD459" s="3312"/>
      <c r="AE459" s="3312"/>
      <c r="AF459" s="3370"/>
      <c r="AG459" s="2906" t="s">
        <v>2322</v>
      </c>
      <c r="AH459" s="2817"/>
      <c r="AI459" s="2817"/>
      <c r="AJ459" s="2817"/>
    </row>
    <row r="460" spans="1:47" ht="13.2" customHeight="1">
      <c r="A460" s="1183" t="s">
        <v>389</v>
      </c>
      <c r="B460" s="73" t="s">
        <v>278</v>
      </c>
      <c r="C460" s="3393">
        <f>VLOOKUP(B460,Ranking!$B$7:$G$28,2,FALSE)</f>
        <v>3544.0522571428578</v>
      </c>
      <c r="D460" s="3394"/>
      <c r="E460" s="1281"/>
      <c r="F460" s="3398">
        <f>CALCULATIONS!PY6</f>
        <v>1.5712473422253432</v>
      </c>
      <c r="G460" s="3399"/>
      <c r="H460" s="2912">
        <f>CALCULATIONS!PX6</f>
        <v>1.5037874928039701</v>
      </c>
      <c r="I460" s="2194"/>
      <c r="J460" s="92"/>
      <c r="K460" s="92"/>
      <c r="L460" s="92"/>
      <c r="M460" s="92"/>
      <c r="N460" s="92"/>
      <c r="O460" s="92"/>
      <c r="P460" s="92"/>
      <c r="Q460" s="3398">
        <f>CALCULATIONS!PZ6</f>
        <v>1.75898272026461</v>
      </c>
      <c r="R460" s="3412"/>
      <c r="S460" s="1231"/>
      <c r="T460" s="2263"/>
      <c r="U460" s="2263"/>
      <c r="V460" s="2263"/>
      <c r="W460" s="2263"/>
      <c r="X460" s="2263"/>
      <c r="Y460" s="2263"/>
      <c r="Z460" s="2263"/>
      <c r="AA460" s="2263"/>
      <c r="AB460" s="3312"/>
      <c r="AC460" s="3312"/>
      <c r="AD460" s="3312"/>
      <c r="AE460" s="3312"/>
      <c r="AF460" s="3370"/>
      <c r="AG460" s="2817"/>
      <c r="AH460" s="2496"/>
      <c r="AI460" s="2496"/>
      <c r="AJ460" s="2817"/>
    </row>
    <row r="461" spans="1:47" ht="13.2" customHeight="1">
      <c r="A461" s="1185" t="s">
        <v>323</v>
      </c>
      <c r="B461" s="726" t="s">
        <v>773</v>
      </c>
      <c r="C461" s="3395">
        <f>VLOOKUP(B461,Ranking!$B$7:$G$28,2,FALSE)</f>
        <v>2121.4584571428572</v>
      </c>
      <c r="D461" s="3396"/>
      <c r="E461" s="1281"/>
      <c r="F461" s="3373">
        <f>CALCULATIONS!PY8</f>
        <v>1.7278643484170493</v>
      </c>
      <c r="G461" s="3397"/>
      <c r="H461" s="2192">
        <f>CALCULATIONS!PX8</f>
        <v>1.5639372203564612</v>
      </c>
      <c r="I461" s="2194"/>
      <c r="J461" s="92"/>
      <c r="K461" s="92"/>
      <c r="L461" s="92"/>
      <c r="M461" s="92"/>
      <c r="N461" s="92"/>
      <c r="O461" s="92"/>
      <c r="P461" s="92"/>
      <c r="Q461" s="3373">
        <f>CALCULATIONS!PZ8</f>
        <v>1.7324408696464886</v>
      </c>
      <c r="R461" s="3381"/>
      <c r="S461" s="1234"/>
      <c r="T461" s="2263"/>
      <c r="U461" s="2263"/>
      <c r="V461" s="2263"/>
      <c r="W461" s="2263"/>
      <c r="X461" s="2263"/>
      <c r="Y461" s="2263"/>
      <c r="Z461" s="2263"/>
      <c r="AA461" s="2263"/>
      <c r="AB461" s="3312" t="s">
        <v>2359</v>
      </c>
      <c r="AC461" s="3312"/>
      <c r="AD461" s="3312"/>
      <c r="AE461" s="3312"/>
      <c r="AF461" s="3370"/>
      <c r="AG461" s="3296" t="s">
        <v>2380</v>
      </c>
      <c r="AH461" s="3297"/>
      <c r="AI461" s="3297"/>
      <c r="AJ461" s="3297"/>
    </row>
    <row r="462" spans="1:47" ht="13.2" customHeight="1">
      <c r="A462" s="1183" t="s">
        <v>508</v>
      </c>
      <c r="B462" s="73" t="s">
        <v>290</v>
      </c>
      <c r="C462" s="3393">
        <f>VLOOKUP(B462,Ranking!$B$7:$G$28,2,FALSE)</f>
        <v>16250.837973523972</v>
      </c>
      <c r="D462" s="3394"/>
      <c r="E462" s="1281"/>
      <c r="F462" s="3398">
        <f>CALCULATIONS!PY25</f>
        <v>0.88808217206937379</v>
      </c>
      <c r="G462" s="3399"/>
      <c r="H462" s="2912">
        <f>CALCULATIONS!PX25</f>
        <v>0.86656729231392782</v>
      </c>
      <c r="I462" s="2194"/>
      <c r="J462" s="92"/>
      <c r="K462" s="92"/>
      <c r="L462" s="92"/>
      <c r="M462" s="92"/>
      <c r="N462" s="92"/>
      <c r="O462" s="92"/>
      <c r="P462" s="92"/>
      <c r="Q462" s="3398">
        <f>CALCULATIONS!PZ25</f>
        <v>0.93554609653532461</v>
      </c>
      <c r="R462" s="3412"/>
      <c r="S462" s="2171"/>
      <c r="T462" s="2263"/>
      <c r="U462" s="2263"/>
      <c r="V462" s="2263"/>
      <c r="W462" s="2263"/>
      <c r="X462" s="2263"/>
      <c r="Y462" s="2263"/>
      <c r="Z462" s="2263"/>
      <c r="AA462" s="2263"/>
      <c r="AB462" s="3312"/>
      <c r="AC462" s="3312"/>
      <c r="AD462" s="3312"/>
      <c r="AE462" s="3312"/>
      <c r="AF462" s="3370"/>
      <c r="AG462" s="3296"/>
      <c r="AH462" s="3297"/>
      <c r="AI462" s="3297"/>
      <c r="AJ462" s="3297"/>
    </row>
    <row r="463" spans="1:47">
      <c r="A463" s="1183" t="s">
        <v>378</v>
      </c>
      <c r="B463" s="73" t="s">
        <v>42</v>
      </c>
      <c r="C463" s="3393">
        <f>VLOOKUP(B463,Ranking!$B$7:$G$28,2,FALSE)</f>
        <v>2432.5463571428577</v>
      </c>
      <c r="D463" s="3394"/>
      <c r="E463" s="1281"/>
      <c r="F463" s="3398">
        <f>CALCULATIONS!PY15</f>
        <v>0.97345273782221031</v>
      </c>
      <c r="G463" s="3399"/>
      <c r="H463" s="2912">
        <f>CALCULATIONS!PX15</f>
        <v>0.67885018494522231</v>
      </c>
      <c r="I463" s="2194"/>
      <c r="J463" s="92"/>
      <c r="K463" s="92"/>
      <c r="L463" s="92"/>
      <c r="M463" s="92"/>
      <c r="N463" s="92"/>
      <c r="O463" s="92"/>
      <c r="P463" s="92"/>
      <c r="Q463" s="3398">
        <f>CALCULATIONS!PZ15</f>
        <v>0.88825316191663328</v>
      </c>
      <c r="R463" s="3412"/>
      <c r="S463" s="1231"/>
      <c r="T463" s="2263"/>
      <c r="U463" s="2263"/>
      <c r="V463" s="2263"/>
      <c r="W463" s="2263"/>
      <c r="X463" s="2263"/>
      <c r="Y463" s="2263"/>
      <c r="Z463" s="2263"/>
      <c r="AA463" s="2263"/>
      <c r="AB463" s="3415" t="s">
        <v>2355</v>
      </c>
      <c r="AC463" s="3415"/>
      <c r="AD463" s="3415"/>
      <c r="AE463" s="3415"/>
      <c r="AF463" s="3416"/>
      <c r="AG463" s="2818"/>
      <c r="AH463" s="2817"/>
      <c r="AI463" s="2817"/>
      <c r="AJ463" s="2817"/>
    </row>
    <row r="464" spans="1:47" ht="13.2" customHeight="1">
      <c r="A464" s="1183" t="s">
        <v>219</v>
      </c>
      <c r="B464" s="73" t="s">
        <v>53</v>
      </c>
      <c r="C464" s="3393">
        <f>VLOOKUP(B464,Ranking!$B$7:$G$28,2,FALSE)</f>
        <v>60036.853628571422</v>
      </c>
      <c r="D464" s="3394"/>
      <c r="E464" s="1281"/>
      <c r="F464" s="3398">
        <f>CALCULATIONS!PY11</f>
        <v>0.85763216756174776</v>
      </c>
      <c r="G464" s="3399"/>
      <c r="H464" s="2912">
        <f>CALCULATIONS!PX11</f>
        <v>0.8603873211853359</v>
      </c>
      <c r="I464" s="2194"/>
      <c r="J464" s="92"/>
      <c r="K464" s="92"/>
      <c r="L464" s="92"/>
      <c r="M464" s="92"/>
      <c r="N464" s="92"/>
      <c r="O464" s="92"/>
      <c r="P464" s="92"/>
      <c r="Q464" s="3398">
        <f>CALCULATIONS!PZ11</f>
        <v>0.84781032652448884</v>
      </c>
      <c r="R464" s="3412"/>
      <c r="S464" s="1237"/>
      <c r="T464" s="2263"/>
      <c r="U464" s="2263"/>
      <c r="V464" s="2263"/>
      <c r="W464" s="2263"/>
      <c r="X464" s="2263"/>
      <c r="Y464" s="2263"/>
      <c r="Z464" s="2263"/>
      <c r="AA464" s="2263"/>
      <c r="AB464" s="3415"/>
      <c r="AC464" s="3415"/>
      <c r="AD464" s="3415"/>
      <c r="AE464" s="3415"/>
      <c r="AF464" s="3416"/>
      <c r="AG464" s="2427"/>
      <c r="AH464" s="2817"/>
      <c r="AI464" s="2817"/>
      <c r="AJ464" s="2817"/>
    </row>
    <row r="465" spans="1:36" ht="13.2" customHeight="1">
      <c r="A465" s="1183" t="s">
        <v>32</v>
      </c>
      <c r="B465" s="73" t="s">
        <v>50</v>
      </c>
      <c r="C465" s="3393">
        <f>VLOOKUP(B465,Ranking!$B$7:$G$28,2,FALSE)</f>
        <v>19515.355899391296</v>
      </c>
      <c r="D465" s="3394"/>
      <c r="E465" s="1281"/>
      <c r="F465" s="3398">
        <f>CALCULATIONS!PY21</f>
        <v>-0.11649490961844619</v>
      </c>
      <c r="G465" s="3399"/>
      <c r="H465" s="2912">
        <f>CALCULATIONS!PX21</f>
        <v>11.089022848996263</v>
      </c>
      <c r="I465" s="2194"/>
      <c r="J465" s="92"/>
      <c r="K465" s="92"/>
      <c r="L465" s="92"/>
      <c r="M465" s="92"/>
      <c r="N465" s="92"/>
      <c r="O465" s="92"/>
      <c r="P465" s="92"/>
      <c r="Q465" s="3398">
        <f>CALCULATIONS!PZ21</f>
        <v>0.76507587463447024</v>
      </c>
      <c r="R465" s="3412"/>
      <c r="S465" s="1233"/>
      <c r="T465" s="2263"/>
      <c r="U465" s="2263"/>
      <c r="V465" s="2263"/>
      <c r="W465" s="2263"/>
      <c r="X465" s="2263"/>
      <c r="Y465" s="2263"/>
      <c r="Z465" s="2263"/>
      <c r="AA465" s="2263"/>
      <c r="AB465" s="3415"/>
      <c r="AC465" s="3415"/>
      <c r="AD465" s="3415"/>
      <c r="AE465" s="3415"/>
      <c r="AF465" s="3416"/>
      <c r="AG465" s="2427"/>
      <c r="AH465" s="2817"/>
      <c r="AI465" s="2817"/>
      <c r="AJ465" s="2817"/>
    </row>
    <row r="466" spans="1:36">
      <c r="A466" s="1183" t="s">
        <v>27</v>
      </c>
      <c r="B466" s="73" t="s">
        <v>54</v>
      </c>
      <c r="C466" s="3393">
        <f>VLOOKUP(B466,Ranking!$B$7:$G$28,2,FALSE)</f>
        <v>4745.1447857142857</v>
      </c>
      <c r="D466" s="3394"/>
      <c r="E466" s="1281"/>
      <c r="F466" s="3398">
        <f>CALCULATIONS!PY20</f>
        <v>0.60141626133968629</v>
      </c>
      <c r="G466" s="3399"/>
      <c r="H466" s="2912">
        <f>CALCULATIONS!PX20</f>
        <v>0.81369995177272569</v>
      </c>
      <c r="I466" s="2194"/>
      <c r="J466" s="92"/>
      <c r="K466" s="92"/>
      <c r="L466" s="92"/>
      <c r="M466" s="92"/>
      <c r="N466" s="92"/>
      <c r="O466" s="92"/>
      <c r="P466" s="92"/>
      <c r="Q466" s="3398">
        <f>CALCULATIONS!PZ20</f>
        <v>0.67337771057886564</v>
      </c>
      <c r="R466" s="3412"/>
      <c r="S466" s="1237"/>
      <c r="T466" s="2263"/>
      <c r="U466" s="2263"/>
      <c r="V466" s="2263"/>
      <c r="W466" s="2263"/>
      <c r="X466" s="2263"/>
      <c r="Y466" s="2263"/>
      <c r="Z466" s="2263"/>
      <c r="AA466" s="2263"/>
      <c r="AB466" s="3415"/>
      <c r="AC466" s="3415"/>
      <c r="AD466" s="3415"/>
      <c r="AE466" s="3415"/>
      <c r="AF466" s="3416"/>
      <c r="AG466" s="2427"/>
      <c r="AH466" s="2817"/>
      <c r="AI466" s="2817"/>
      <c r="AJ466" s="2817"/>
    </row>
    <row r="467" spans="1:36" ht="13.2" customHeight="1">
      <c r="A467" s="1183" t="s">
        <v>73</v>
      </c>
      <c r="B467" s="73" t="s">
        <v>285</v>
      </c>
      <c r="C467" s="3393">
        <f>VLOOKUP(B467,Ranking!$B$7:$G$28,2,FALSE)</f>
        <v>2461.5190857142857</v>
      </c>
      <c r="D467" s="3394"/>
      <c r="E467" s="1281"/>
      <c r="F467" s="3398">
        <f>CALCULATIONS!PY12</f>
        <v>0.63691156189956355</v>
      </c>
      <c r="G467" s="3399"/>
      <c r="H467" s="2912">
        <f>CALCULATIONS!PX12</f>
        <v>0.6556257788563975</v>
      </c>
      <c r="I467" s="2194"/>
      <c r="J467" s="92"/>
      <c r="K467" s="92"/>
      <c r="L467" s="92"/>
      <c r="M467" s="92"/>
      <c r="N467" s="92"/>
      <c r="O467" s="92"/>
      <c r="P467" s="92"/>
      <c r="Q467" s="3398">
        <f>CALCULATIONS!PZ12</f>
        <v>0.6478435384172303</v>
      </c>
      <c r="R467" s="3412"/>
      <c r="S467" s="2171"/>
      <c r="T467" s="2263"/>
      <c r="U467" s="2263"/>
      <c r="V467" s="2263"/>
      <c r="W467" s="2263"/>
      <c r="X467" s="2263"/>
      <c r="Y467" s="2263"/>
      <c r="Z467" s="2263"/>
      <c r="AA467" s="2263"/>
      <c r="AB467" s="1836" t="s">
        <v>2352</v>
      </c>
      <c r="AC467" s="1744"/>
      <c r="AD467" s="1744"/>
      <c r="AE467" s="1744"/>
      <c r="AF467" s="2448"/>
      <c r="AG467" s="2427"/>
      <c r="AH467" s="2817"/>
      <c r="AI467" s="2817"/>
      <c r="AJ467" s="2817"/>
    </row>
    <row r="468" spans="1:36" ht="13.2" customHeight="1">
      <c r="A468" s="1185" t="s">
        <v>323</v>
      </c>
      <c r="B468" s="726" t="s">
        <v>772</v>
      </c>
      <c r="C468" s="3395">
        <f>VLOOKUP(B468,Ranking!$B$7:$G$28,2,FALSE)</f>
        <v>7616.907214285714</v>
      </c>
      <c r="D468" s="3396"/>
      <c r="E468" s="1281"/>
      <c r="F468" s="3373">
        <f>CALCULATIONS!PY7</f>
        <v>0.64386681687804925</v>
      </c>
      <c r="G468" s="3397"/>
      <c r="H468" s="2192">
        <f>CALCULATIONS!PX7</f>
        <v>0.62586665658446805</v>
      </c>
      <c r="I468" s="2194"/>
      <c r="J468" s="92"/>
      <c r="K468" s="92"/>
      <c r="L468" s="92"/>
      <c r="M468" s="92"/>
      <c r="N468" s="92"/>
      <c r="O468" s="92"/>
      <c r="P468" s="92"/>
      <c r="Q468" s="3373">
        <f>CALCULATIONS!PZ7</f>
        <v>0.58623158014465515</v>
      </c>
      <c r="R468" s="3381"/>
      <c r="S468" s="1231"/>
      <c r="T468" s="2263"/>
      <c r="U468" s="2263"/>
      <c r="V468" s="2263"/>
      <c r="W468" s="2263"/>
      <c r="X468" s="2263"/>
      <c r="Y468" s="2263"/>
      <c r="Z468" s="2263"/>
      <c r="AA468" s="2263"/>
      <c r="AB468" s="1744" t="str">
        <f>CONCATENATE("= ", ROUND(Q461,1),"x. We consider this value as well for")</f>
        <v>= 1.7x. We consider this value as well for</v>
      </c>
      <c r="AC468" s="1744"/>
      <c r="AD468" s="1744"/>
      <c r="AE468" s="1836" t="s">
        <v>2353</v>
      </c>
      <c r="AF468" s="2448"/>
      <c r="AG468" s="2818"/>
      <c r="AH468" s="2817"/>
      <c r="AI468" s="2817"/>
      <c r="AJ468" s="2817"/>
    </row>
    <row r="469" spans="1:36">
      <c r="A469" s="1183" t="s">
        <v>19</v>
      </c>
      <c r="B469" s="73" t="s">
        <v>287</v>
      </c>
      <c r="C469" s="3393">
        <f>VLOOKUP(B469,Ranking!$B$7:$G$28,2,FALSE)</f>
        <v>6002.7646707914537</v>
      </c>
      <c r="D469" s="3394"/>
      <c r="E469" s="1281"/>
      <c r="F469" s="3398">
        <f>CALCULATIONS!PY13</f>
        <v>0.64101045221828379</v>
      </c>
      <c r="G469" s="3399"/>
      <c r="H469" s="2912">
        <f>CALCULATIONS!PX13</f>
        <v>0.60593621641291628</v>
      </c>
      <c r="I469" s="2194"/>
      <c r="J469" s="92"/>
      <c r="K469" s="92"/>
      <c r="L469" s="92"/>
      <c r="M469" s="92"/>
      <c r="N469" s="92"/>
      <c r="O469" s="92"/>
      <c r="P469" s="92"/>
      <c r="Q469" s="3398">
        <f>CALCULATIONS!PZ13</f>
        <v>0.58329819996939869</v>
      </c>
      <c r="R469" s="3412"/>
      <c r="S469" s="1235"/>
      <c r="T469" s="2263"/>
      <c r="U469" s="2263"/>
      <c r="V469" s="2263"/>
      <c r="W469" s="2263"/>
      <c r="X469" s="2263"/>
      <c r="Y469" s="2263"/>
      <c r="Z469" s="2263"/>
      <c r="AA469" s="2263"/>
      <c r="AB469" s="1744" t="s">
        <v>2354</v>
      </c>
      <c r="AC469" s="1744"/>
      <c r="AD469" s="1744"/>
      <c r="AE469" s="1744"/>
      <c r="AF469" s="2448"/>
      <c r="AG469" s="2818"/>
      <c r="AH469" s="2817"/>
      <c r="AI469" s="2817"/>
      <c r="AJ469" s="2817"/>
    </row>
    <row r="470" spans="1:36">
      <c r="A470" s="1183" t="s">
        <v>502</v>
      </c>
      <c r="B470" s="73" t="s">
        <v>52</v>
      </c>
      <c r="C470" s="3393">
        <f>VLOOKUP(B470,Ranking!$B$7:$G$28,2,FALSE)</f>
        <v>40464.923042857146</v>
      </c>
      <c r="D470" s="3394"/>
      <c r="E470" s="1281"/>
      <c r="F470" s="3398">
        <f>CALCULATIONS!PY5</f>
        <v>0.55783516181662229</v>
      </c>
      <c r="G470" s="3399"/>
      <c r="H470" s="2912">
        <f>CALCULATIONS!PX5</f>
        <v>0.6299406178000273</v>
      </c>
      <c r="I470" s="2194"/>
      <c r="J470" s="92"/>
      <c r="K470" s="92"/>
      <c r="L470" s="92"/>
      <c r="M470" s="92"/>
      <c r="N470" s="92"/>
      <c r="O470" s="92"/>
      <c r="P470" s="92"/>
      <c r="Q470" s="3398">
        <f>CALCULATIONS!PZ5</f>
        <v>0.58207443103410705</v>
      </c>
      <c r="R470" s="3412"/>
      <c r="S470" s="1231"/>
      <c r="T470" s="2263"/>
      <c r="U470" s="2263"/>
      <c r="V470" s="2263"/>
      <c r="W470" s="2263"/>
      <c r="X470" s="2263"/>
      <c r="Y470" s="2263"/>
      <c r="Z470" s="2263"/>
      <c r="AA470" s="2263"/>
      <c r="AB470" s="3367" t="s">
        <v>1776</v>
      </c>
      <c r="AC470" s="3367"/>
      <c r="AD470" s="3367"/>
      <c r="AE470" s="3367"/>
      <c r="AF470" s="3368"/>
      <c r="AG470" s="2818"/>
      <c r="AH470" s="2817"/>
      <c r="AI470" s="2817"/>
      <c r="AJ470" s="2817"/>
    </row>
    <row r="471" spans="1:36" ht="13.2" customHeight="1">
      <c r="A471" s="1183" t="s">
        <v>545</v>
      </c>
      <c r="B471" s="73" t="s">
        <v>39</v>
      </c>
      <c r="C471" s="3393">
        <f>VLOOKUP(B471,Ranking!$B$7:$G$28,2,FALSE)</f>
        <v>5059.5155870714543</v>
      </c>
      <c r="D471" s="3394"/>
      <c r="E471" s="1281"/>
      <c r="F471" s="3398">
        <f>CALCULATIONS!PY10</f>
        <v>0.5261679904425669</v>
      </c>
      <c r="G471" s="3399"/>
      <c r="H471" s="2912">
        <f>CALCULATIONS!PX10</f>
        <v>0.5345401599616556</v>
      </c>
      <c r="I471" s="2194"/>
      <c r="J471" s="92"/>
      <c r="K471" s="92"/>
      <c r="L471" s="92"/>
      <c r="M471" s="92"/>
      <c r="N471" s="92"/>
      <c r="O471" s="92"/>
      <c r="P471" s="92"/>
      <c r="Q471" s="3398">
        <f>CALCULATIONS!PZ10</f>
        <v>0.54952991392975126</v>
      </c>
      <c r="R471" s="3412"/>
      <c r="S471" s="2171"/>
      <c r="T471" s="2263"/>
      <c r="U471" s="2263"/>
      <c r="V471" s="2263"/>
      <c r="W471" s="2263"/>
      <c r="X471" s="2263"/>
      <c r="Y471" s="2263"/>
      <c r="Z471" s="2263"/>
      <c r="AA471" s="2263"/>
      <c r="AB471" s="3367"/>
      <c r="AC471" s="3367"/>
      <c r="AD471" s="3367"/>
      <c r="AE471" s="3367"/>
      <c r="AF471" s="3368"/>
      <c r="AG471" s="2818"/>
      <c r="AH471" s="2817"/>
      <c r="AI471" s="2817"/>
      <c r="AJ471" s="2817"/>
    </row>
    <row r="472" spans="1:36" ht="13.2" customHeight="1">
      <c r="A472" s="1183" t="s">
        <v>19</v>
      </c>
      <c r="B472" s="152" t="s">
        <v>288</v>
      </c>
      <c r="C472" s="3393">
        <f>VLOOKUP(B472,Ranking!$B$7:$G$28,2,FALSE)</f>
        <v>31174.883771428573</v>
      </c>
      <c r="D472" s="3394"/>
      <c r="E472" s="1281"/>
      <c r="F472" s="3398">
        <f>CALCULATIONS!PY14</f>
        <v>0.5016073266917348</v>
      </c>
      <c r="G472" s="3399"/>
      <c r="H472" s="2912">
        <f>CALCULATIONS!PX14</f>
        <v>0.4931188969212375</v>
      </c>
      <c r="I472" s="2194"/>
      <c r="J472" s="92"/>
      <c r="K472" s="92"/>
      <c r="L472" s="92"/>
      <c r="M472" s="92"/>
      <c r="N472" s="92"/>
      <c r="O472" s="92"/>
      <c r="P472" s="92"/>
      <c r="Q472" s="3398">
        <f>CALCULATIONS!PZ14</f>
        <v>0.51280001041017309</v>
      </c>
      <c r="R472" s="3412"/>
      <c r="S472" s="1231"/>
      <c r="T472" s="2263"/>
      <c r="U472" s="2263"/>
      <c r="V472" s="2263"/>
      <c r="W472" s="2263"/>
      <c r="X472" s="2263"/>
      <c r="Y472" s="2263"/>
      <c r="Z472" s="2263"/>
      <c r="AA472" s="2263"/>
      <c r="AB472" s="2818"/>
      <c r="AC472" s="2818"/>
      <c r="AD472" s="2818"/>
      <c r="AE472" s="2818"/>
      <c r="AF472" s="2819"/>
    </row>
    <row r="473" spans="1:36">
      <c r="A473" s="1183" t="s">
        <v>507</v>
      </c>
      <c r="B473" s="73" t="s">
        <v>282</v>
      </c>
      <c r="C473" s="3393">
        <f>VLOOKUP(B473,Ranking!$B$7:$G$28,2,FALSE)</f>
        <v>5769.8566757446433</v>
      </c>
      <c r="D473" s="3394"/>
      <c r="E473" s="1281"/>
      <c r="F473" s="3398">
        <f>CALCULATIONS!PY24</f>
        <v>0.46699084555369935</v>
      </c>
      <c r="G473" s="3399"/>
      <c r="H473" s="2912">
        <f>CALCULATIONS!PX24</f>
        <v>0.41583996120044775</v>
      </c>
      <c r="I473" s="2194"/>
      <c r="J473" s="92"/>
      <c r="K473" s="92"/>
      <c r="L473" s="92"/>
      <c r="M473" s="92"/>
      <c r="N473" s="92"/>
      <c r="O473" s="92"/>
      <c r="P473" s="92"/>
      <c r="Q473" s="3398">
        <f>CALCULATIONS!PZ24</f>
        <v>0.49738424136578513</v>
      </c>
      <c r="R473" s="3412"/>
      <c r="S473" s="2171"/>
      <c r="T473" s="2263"/>
      <c r="U473" s="2263"/>
      <c r="V473" s="2263"/>
      <c r="W473" s="2263"/>
      <c r="X473" s="2263"/>
      <c r="Y473" s="2263"/>
      <c r="Z473" s="2263"/>
      <c r="AA473" s="2263"/>
      <c r="AB473" s="2818"/>
      <c r="AC473" s="2818"/>
      <c r="AD473" s="2818"/>
      <c r="AE473" s="2818"/>
      <c r="AF473" s="2819"/>
      <c r="AG473" s="1158"/>
    </row>
    <row r="474" spans="1:36">
      <c r="A474" s="1183" t="s">
        <v>503</v>
      </c>
      <c r="B474" s="73" t="s">
        <v>286</v>
      </c>
      <c r="C474" s="3393">
        <f>VLOOKUP(B474,Ranking!$B$7:$G$28,2,FALSE)</f>
        <v>15596.516285714286</v>
      </c>
      <c r="D474" s="3394"/>
      <c r="E474" s="1281"/>
      <c r="F474" s="3398">
        <f>CALCULATIONS!PY16</f>
        <v>0.43712398188376872</v>
      </c>
      <c r="G474" s="3399"/>
      <c r="H474" s="2912">
        <f>CALCULATIONS!PX16</f>
        <v>0.55123769968206804</v>
      </c>
      <c r="I474" s="2194"/>
      <c r="J474" s="92"/>
      <c r="K474" s="92"/>
      <c r="L474" s="92"/>
      <c r="M474" s="92"/>
      <c r="N474" s="92"/>
      <c r="O474" s="92"/>
      <c r="P474" s="92"/>
      <c r="Q474" s="3398">
        <f>CALCULATIONS!PZ16</f>
        <v>0.46435984748246845</v>
      </c>
      <c r="R474" s="3412"/>
      <c r="S474" s="1231"/>
      <c r="T474" s="2263"/>
      <c r="U474" s="2263"/>
      <c r="V474" s="2263"/>
      <c r="W474" s="2263"/>
      <c r="X474" s="2263"/>
      <c r="Y474" s="2263"/>
      <c r="Z474" s="2263"/>
      <c r="AA474" s="2263"/>
      <c r="AB474" s="3408" t="s">
        <v>2357</v>
      </c>
      <c r="AC474" s="3408"/>
      <c r="AD474" s="3408"/>
      <c r="AE474" s="3408"/>
      <c r="AF474" s="3421"/>
    </row>
    <row r="475" spans="1:36" ht="13.2" customHeight="1">
      <c r="A475" s="1183" t="s">
        <v>504</v>
      </c>
      <c r="B475" s="73" t="s">
        <v>281</v>
      </c>
      <c r="C475" s="3393">
        <f>VLOOKUP(B475,Ranking!$B$7:$G$28,2,FALSE)</f>
        <v>20617.292984255655</v>
      </c>
      <c r="D475" s="3394"/>
      <c r="E475" s="1281"/>
      <c r="F475" s="3398">
        <f>CALCULATIONS!PY17</f>
        <v>0.41612897562056816</v>
      </c>
      <c r="G475" s="3399"/>
      <c r="H475" s="2912">
        <f>CALCULATIONS!PX17</f>
        <v>0.51285559303398898</v>
      </c>
      <c r="I475" s="2194"/>
      <c r="J475" s="92"/>
      <c r="K475" s="92"/>
      <c r="L475" s="92"/>
      <c r="M475" s="92"/>
      <c r="N475" s="92"/>
      <c r="O475" s="92"/>
      <c r="P475" s="92"/>
      <c r="Q475" s="3398">
        <f>CALCULATIONS!PZ17</f>
        <v>0.45943292634817368</v>
      </c>
      <c r="R475" s="3412"/>
      <c r="S475" s="2171"/>
      <c r="T475" s="2263"/>
      <c r="U475" s="2263"/>
      <c r="V475" s="2263"/>
      <c r="W475" s="2263"/>
      <c r="X475" s="2263"/>
      <c r="Y475" s="2263"/>
      <c r="Z475" s="2263"/>
      <c r="AA475" s="2263"/>
      <c r="AB475" s="3408"/>
      <c r="AC475" s="3408"/>
      <c r="AD475" s="3408"/>
      <c r="AE475" s="3408"/>
      <c r="AF475" s="3421"/>
      <c r="AG475" s="3296" t="s">
        <v>2425</v>
      </c>
      <c r="AH475" s="3297"/>
      <c r="AI475" s="3297"/>
      <c r="AJ475" s="3297"/>
    </row>
    <row r="476" spans="1:36" ht="13.2" customHeight="1">
      <c r="A476" s="1183" t="s">
        <v>506</v>
      </c>
      <c r="B476" s="73" t="s">
        <v>289</v>
      </c>
      <c r="C476" s="3393">
        <f>VLOOKUP(B476,Ranking!$B$7:$G$28,2,FALSE)</f>
        <v>4580.8423286191064</v>
      </c>
      <c r="D476" s="3394"/>
      <c r="E476" s="1281"/>
      <c r="F476" s="3398">
        <f>CALCULATIONS!PY19</f>
        <v>0.39270752825495087</v>
      </c>
      <c r="G476" s="3399"/>
      <c r="H476" s="2912">
        <f>CALCULATIONS!PX19</f>
        <v>0.35596551346428723</v>
      </c>
      <c r="I476" s="2194"/>
      <c r="J476" s="92"/>
      <c r="K476" s="92"/>
      <c r="L476" s="92"/>
      <c r="M476" s="92"/>
      <c r="N476" s="92"/>
      <c r="O476" s="92"/>
      <c r="P476" s="92"/>
      <c r="Q476" s="3398">
        <f>CALCULATIONS!PZ19</f>
        <v>0.38866445555970902</v>
      </c>
      <c r="R476" s="3412"/>
      <c r="S476" s="1231"/>
      <c r="T476" s="2263"/>
      <c r="U476" s="2263"/>
      <c r="V476" s="2263"/>
      <c r="W476" s="2263"/>
      <c r="X476" s="2263"/>
      <c r="Y476" s="2263"/>
      <c r="Z476" s="2263"/>
      <c r="AA476" s="2263"/>
      <c r="AB476" s="3408"/>
      <c r="AC476" s="3408"/>
      <c r="AD476" s="3408"/>
      <c r="AE476" s="3408"/>
      <c r="AF476" s="3421"/>
      <c r="AG476" s="3296"/>
      <c r="AH476" s="3297"/>
      <c r="AI476" s="3297"/>
      <c r="AJ476" s="3297"/>
    </row>
    <row r="477" spans="1:36" ht="13.2" customHeight="1">
      <c r="A477" s="1183" t="s">
        <v>507</v>
      </c>
      <c r="B477" s="73" t="s">
        <v>284</v>
      </c>
      <c r="C477" s="3393">
        <f>VLOOKUP(B477,Ranking!$B$7:$G$28,2,FALSE)</f>
        <v>22949.481858519866</v>
      </c>
      <c r="D477" s="3394"/>
      <c r="E477" s="1281"/>
      <c r="F477" s="3398">
        <f>CALCULATIONS!PY23</f>
        <v>0.31908804881126174</v>
      </c>
      <c r="G477" s="3399"/>
      <c r="H477" s="2912">
        <f>CALCULATIONS!PX23</f>
        <v>0.32748100738175862</v>
      </c>
      <c r="I477" s="2194"/>
      <c r="J477" s="92"/>
      <c r="K477" s="92"/>
      <c r="L477" s="92"/>
      <c r="M477" s="92"/>
      <c r="N477" s="92"/>
      <c r="O477" s="92"/>
      <c r="P477" s="92"/>
      <c r="Q477" s="3398">
        <f>CALCULATIONS!PZ23</f>
        <v>0.32758154991492044</v>
      </c>
      <c r="R477" s="3412"/>
      <c r="S477" s="2171"/>
      <c r="T477" s="2263"/>
      <c r="U477" s="2263"/>
      <c r="V477" s="2263"/>
      <c r="W477" s="2263"/>
      <c r="X477" s="2263"/>
      <c r="Y477" s="2263"/>
      <c r="Z477" s="2263"/>
      <c r="AA477" s="2263"/>
      <c r="AB477" s="3408"/>
      <c r="AC477" s="3408"/>
      <c r="AD477" s="3408"/>
      <c r="AE477" s="3408"/>
      <c r="AF477" s="3421"/>
      <c r="AG477" s="3296"/>
      <c r="AH477" s="3297"/>
      <c r="AI477" s="3297"/>
      <c r="AJ477" s="3297"/>
    </row>
    <row r="478" spans="1:36">
      <c r="A478" s="1183" t="s">
        <v>27</v>
      </c>
      <c r="B478" s="73" t="s">
        <v>357</v>
      </c>
      <c r="C478" s="3393">
        <f>VLOOKUP(B478,Ranking!$B$7:$G$28,2,FALSE)</f>
        <v>504.56125714285719</v>
      </c>
      <c r="D478" s="3394"/>
      <c r="E478" s="1281"/>
      <c r="F478" s="3398">
        <f>CALCULATIONS!PY26</f>
        <v>0.24433745396355661</v>
      </c>
      <c r="G478" s="3399"/>
      <c r="H478" s="2912">
        <f>CALCULATIONS!PX26</f>
        <v>0.24961859777947401</v>
      </c>
      <c r="I478" s="2194"/>
      <c r="J478" s="92"/>
      <c r="K478" s="92"/>
      <c r="L478" s="92"/>
      <c r="M478" s="92"/>
      <c r="N478" s="92"/>
      <c r="O478" s="92"/>
      <c r="P478" s="92"/>
      <c r="Q478" s="3398">
        <f>CALCULATIONS!PZ26</f>
        <v>0.25201607459384812</v>
      </c>
      <c r="R478" s="3412"/>
      <c r="S478" s="1234"/>
      <c r="T478" s="2263"/>
      <c r="U478" s="2263"/>
      <c r="V478" s="2263"/>
      <c r="W478" s="2263"/>
      <c r="X478" s="2263"/>
      <c r="Y478" s="2263"/>
      <c r="Z478" s="2263"/>
      <c r="AA478" s="2263"/>
      <c r="AB478" s="1744" t="s">
        <v>2358</v>
      </c>
      <c r="AC478" s="2930"/>
      <c r="AD478" s="2930"/>
      <c r="AE478" s="2930"/>
      <c r="AF478" s="2931"/>
      <c r="AG478" s="3296"/>
      <c r="AH478" s="3297"/>
      <c r="AI478" s="3297"/>
      <c r="AJ478" s="3297"/>
    </row>
    <row r="479" spans="1:36">
      <c r="A479" s="1183" t="s">
        <v>32</v>
      </c>
      <c r="B479" s="73" t="s">
        <v>279</v>
      </c>
      <c r="C479" s="3393">
        <f>VLOOKUP(B479,Ranking!$B$7:$G$28,2,FALSE)</f>
        <v>103061.53572524291</v>
      </c>
      <c r="D479" s="3394"/>
      <c r="E479" s="1281"/>
      <c r="F479" s="3398">
        <f>CALCULATIONS!PY22</f>
        <v>0.20210947012156755</v>
      </c>
      <c r="G479" s="3399"/>
      <c r="H479" s="2912">
        <f>CALCULATIONS!PX22</f>
        <v>0.20134260940831458</v>
      </c>
      <c r="I479" s="2194"/>
      <c r="J479" s="92"/>
      <c r="K479" s="92"/>
      <c r="L479" s="92"/>
      <c r="M479" s="92"/>
      <c r="N479" s="92"/>
      <c r="O479" s="92"/>
      <c r="P479" s="92"/>
      <c r="Q479" s="3398">
        <f>CALCULATIONS!PZ22</f>
        <v>0.21503813429926816</v>
      </c>
      <c r="R479" s="3412"/>
      <c r="S479" s="1233"/>
      <c r="T479" s="2263"/>
      <c r="U479" s="2263"/>
      <c r="V479" s="2263"/>
      <c r="W479" s="2263"/>
      <c r="X479" s="2263"/>
      <c r="Y479" s="2263"/>
      <c r="Z479" s="2263"/>
      <c r="AA479" s="2263"/>
      <c r="AB479" s="3415" t="s">
        <v>2364</v>
      </c>
      <c r="AC479" s="3415"/>
      <c r="AD479" s="3415"/>
      <c r="AE479" s="3415"/>
      <c r="AF479" s="3416"/>
    </row>
    <row r="480" spans="1:36">
      <c r="A480" s="2180" t="s">
        <v>323</v>
      </c>
      <c r="B480" s="2181" t="s">
        <v>774</v>
      </c>
      <c r="C480" s="3409">
        <f>VLOOKUP(B480,Ranking!$B$7:$G$28,2,FALSE)</f>
        <v>3541.6238999999996</v>
      </c>
      <c r="D480" s="3410"/>
      <c r="E480" s="1281"/>
      <c r="F480" s="3377">
        <f>CALCULATIONS!PY9</f>
        <v>-0.14970534265683255</v>
      </c>
      <c r="G480" s="3411"/>
      <c r="H480" s="2193">
        <f>CALCULATIONS!PX9</f>
        <v>-0.58091590737417254</v>
      </c>
      <c r="I480" s="2194"/>
      <c r="J480" s="92"/>
      <c r="K480" s="92"/>
      <c r="L480" s="92"/>
      <c r="M480" s="92"/>
      <c r="N480" s="92"/>
      <c r="O480" s="92"/>
      <c r="P480" s="92"/>
      <c r="Q480" s="3377">
        <f>CALCULATIONS!PZ9</f>
        <v>-1.7724769382029877</v>
      </c>
      <c r="R480" s="3379"/>
      <c r="S480" s="1235"/>
      <c r="T480" s="2263"/>
      <c r="U480" s="2263"/>
      <c r="V480" s="2263"/>
      <c r="W480" s="2263"/>
      <c r="X480" s="2263"/>
      <c r="Y480" s="2263"/>
      <c r="Z480" s="2263"/>
      <c r="AA480" s="2263"/>
      <c r="AB480" s="3415"/>
      <c r="AC480" s="3415"/>
      <c r="AD480" s="3415"/>
      <c r="AE480" s="3415"/>
      <c r="AF480" s="3416"/>
    </row>
    <row r="481" spans="1:47">
      <c r="I481" s="92"/>
      <c r="J481" s="92"/>
      <c r="K481" s="92"/>
      <c r="L481" s="92"/>
      <c r="M481" s="92"/>
      <c r="N481" s="92"/>
      <c r="O481" s="92"/>
      <c r="P481" s="92"/>
      <c r="T481" s="2263"/>
      <c r="U481" s="2263"/>
      <c r="V481" s="2263"/>
      <c r="W481" s="2263"/>
      <c r="X481" s="2263"/>
      <c r="Y481" s="2263"/>
      <c r="Z481" s="2263"/>
      <c r="AA481" s="2263"/>
      <c r="AB481" s="3415"/>
      <c r="AC481" s="3415"/>
      <c r="AD481" s="3415"/>
      <c r="AE481" s="3415"/>
      <c r="AF481" s="3416"/>
    </row>
    <row r="482" spans="1:47" s="2817" customFormat="1">
      <c r="A482" s="1155"/>
      <c r="I482" s="92"/>
      <c r="J482" s="92"/>
      <c r="K482" s="92"/>
      <c r="L482" s="92"/>
      <c r="M482" s="92"/>
      <c r="N482" s="92"/>
      <c r="O482" s="92"/>
      <c r="P482" s="92"/>
      <c r="T482" s="2818"/>
      <c r="U482" s="2818"/>
      <c r="V482" s="2818"/>
      <c r="W482" s="2818"/>
      <c r="X482" s="2818"/>
      <c r="Y482" s="2818"/>
      <c r="Z482" s="2818"/>
      <c r="AA482" s="2818"/>
      <c r="AB482" s="2818" t="s">
        <v>2362</v>
      </c>
      <c r="AC482" s="2818"/>
      <c r="AD482" s="2818"/>
      <c r="AE482" s="2818"/>
      <c r="AF482" s="2819"/>
      <c r="AG482" s="2818"/>
      <c r="AU482" s="80"/>
    </row>
    <row r="483" spans="1:47" s="2138" customFormat="1">
      <c r="A483" s="1155"/>
      <c r="T483" s="109"/>
      <c r="U483" s="109"/>
      <c r="V483" s="109"/>
      <c r="W483" s="109"/>
      <c r="X483" s="109"/>
      <c r="Y483" s="109"/>
      <c r="Z483" s="109"/>
      <c r="AA483" s="109"/>
      <c r="AB483" s="109"/>
      <c r="AC483" s="109"/>
      <c r="AD483" s="109"/>
      <c r="AE483" s="109"/>
      <c r="AF483" s="2451"/>
      <c r="AG483" s="2263"/>
      <c r="AU483" s="80"/>
    </row>
    <row r="484" spans="1:47">
      <c r="A484" s="1528" t="s">
        <v>1785</v>
      </c>
      <c r="B484" s="1528"/>
      <c r="T484" s="2818" t="s">
        <v>2360</v>
      </c>
      <c r="U484" s="2263"/>
      <c r="V484" s="2263"/>
      <c r="W484" s="2263"/>
      <c r="X484" s="2263"/>
      <c r="Y484" s="2263"/>
      <c r="Z484" s="2263"/>
      <c r="AA484" s="2263"/>
      <c r="AB484" s="2263"/>
      <c r="AC484" s="2263"/>
      <c r="AD484" s="2263"/>
      <c r="AE484" s="2263"/>
      <c r="AG484" s="2914"/>
    </row>
    <row r="485" spans="1:47" s="92" customFormat="1">
      <c r="A485" s="1955"/>
      <c r="B485" s="1955"/>
      <c r="T485" s="2937" t="s">
        <v>2368</v>
      </c>
      <c r="U485" s="109"/>
      <c r="V485" s="109"/>
      <c r="W485" s="109"/>
      <c r="X485" s="109"/>
      <c r="Y485" s="109"/>
      <c r="Z485" s="109"/>
      <c r="AA485" s="109"/>
      <c r="AB485" s="109"/>
      <c r="AC485" s="109"/>
      <c r="AD485" s="109"/>
      <c r="AE485" s="109"/>
      <c r="AF485" s="2451"/>
      <c r="AG485" s="1696"/>
      <c r="AU485" s="2425"/>
    </row>
    <row r="486" spans="1:47" s="92" customFormat="1">
      <c r="A486" s="1955"/>
      <c r="B486" s="1955"/>
      <c r="T486" s="2936" t="s">
        <v>2361</v>
      </c>
      <c r="U486" s="109"/>
      <c r="V486" s="109"/>
      <c r="W486" s="109"/>
      <c r="X486" s="109"/>
      <c r="Y486" s="109"/>
      <c r="Z486" s="109"/>
      <c r="AA486" s="109"/>
      <c r="AB486" s="109"/>
      <c r="AC486" s="109"/>
      <c r="AD486" s="109"/>
      <c r="AE486" s="109"/>
      <c r="AF486" s="2451"/>
      <c r="AG486" s="1696"/>
      <c r="AU486" s="2425"/>
    </row>
    <row r="487" spans="1:47" s="2138" customFormat="1">
      <c r="A487" s="1155"/>
      <c r="T487" s="2263"/>
      <c r="U487" s="2263"/>
      <c r="V487" s="2263"/>
      <c r="W487" s="2263"/>
      <c r="X487" s="2263"/>
      <c r="Y487" s="2263"/>
      <c r="Z487" s="2263"/>
      <c r="AA487" s="2263"/>
      <c r="AB487" s="2263"/>
      <c r="AC487" s="2263"/>
      <c r="AD487" s="2263"/>
      <c r="AE487" s="2263"/>
      <c r="AF487" s="1880"/>
      <c r="AG487" s="2263"/>
      <c r="AU487" s="80"/>
    </row>
    <row r="488" spans="1:47" s="2138" customFormat="1">
      <c r="A488" s="1155"/>
      <c r="S488" s="2139"/>
      <c r="T488" s="91"/>
      <c r="U488" s="143" t="s">
        <v>1770</v>
      </c>
      <c r="V488" s="1779" t="s">
        <v>1771</v>
      </c>
      <c r="W488" s="1779" t="s">
        <v>797</v>
      </c>
      <c r="X488" s="143" t="s">
        <v>2365</v>
      </c>
      <c r="Y488" s="2942"/>
      <c r="Z488" s="2942" t="s">
        <v>797</v>
      </c>
      <c r="AA488" s="143" t="s">
        <v>38</v>
      </c>
      <c r="AB488" s="1779" t="s">
        <v>1771</v>
      </c>
      <c r="AC488" s="2932" t="s">
        <v>797</v>
      </c>
      <c r="AD488" s="1529" t="s">
        <v>372</v>
      </c>
      <c r="AE488" s="1779" t="s">
        <v>1771</v>
      </c>
      <c r="AF488" s="2933" t="s">
        <v>797</v>
      </c>
      <c r="AG488" s="1207"/>
      <c r="AU488" s="80"/>
    </row>
    <row r="489" spans="1:47" s="2138" customFormat="1">
      <c r="A489" s="1155"/>
      <c r="T489" s="2208" t="s">
        <v>1158</v>
      </c>
      <c r="U489" s="80">
        <f>PROFILES!J294</f>
        <v>5</v>
      </c>
      <c r="V489" s="1209"/>
      <c r="W489" s="1209"/>
      <c r="X489" s="80">
        <f>AVERAGE(Z489,Y489)</f>
        <v>5.5</v>
      </c>
      <c r="Y489" s="2943">
        <f>PROFILES!K297</f>
        <v>6</v>
      </c>
      <c r="Z489" s="1613">
        <f>PROFILES!J297</f>
        <v>5</v>
      </c>
      <c r="AA489" s="80">
        <f>PROFILES!J304</f>
        <v>9</v>
      </c>
      <c r="AB489" s="1209"/>
      <c r="AC489" s="1209"/>
      <c r="AD489" s="132">
        <f>AD490/T323</f>
        <v>4.8245993835889935</v>
      </c>
      <c r="AE489" s="1209"/>
      <c r="AF489" s="2449"/>
      <c r="AU489" s="80"/>
    </row>
    <row r="490" spans="1:47" s="2138" customFormat="1">
      <c r="A490" s="1155"/>
      <c r="T490" s="2209" t="s">
        <v>1159</v>
      </c>
      <c r="U490" s="2052">
        <v>2</v>
      </c>
      <c r="V490" s="2915">
        <v>1.5</v>
      </c>
      <c r="W490" s="2915">
        <v>2.5</v>
      </c>
      <c r="X490" s="2207">
        <f>AJ331</f>
        <v>1.5</v>
      </c>
      <c r="Y490" s="2944"/>
      <c r="Z490" s="2945"/>
      <c r="AA490" s="2052">
        <f>AVERAGE(AB490,AC490)</f>
        <v>4</v>
      </c>
      <c r="AB490" s="2915">
        <v>4.5</v>
      </c>
      <c r="AC490" s="2915">
        <v>3.5</v>
      </c>
      <c r="AD490" s="2207">
        <f>AJ333</f>
        <v>2.2817127145922749</v>
      </c>
      <c r="AE490" s="2915"/>
      <c r="AF490" s="2934"/>
      <c r="AG490" s="2263"/>
      <c r="AH490" s="2694" t="s">
        <v>1770</v>
      </c>
      <c r="AI490" s="2694" t="s">
        <v>36</v>
      </c>
      <c r="AJ490" s="2694" t="s">
        <v>1346</v>
      </c>
      <c r="AK490" s="2694" t="s">
        <v>38</v>
      </c>
      <c r="AL490" s="2896" t="s">
        <v>2371</v>
      </c>
      <c r="AU490" s="80"/>
    </row>
    <row r="491" spans="1:47" s="2138" customFormat="1">
      <c r="A491" s="1155"/>
      <c r="T491" s="2209" t="s">
        <v>1772</v>
      </c>
      <c r="U491" s="2052">
        <f>$U$489-U490</f>
        <v>3</v>
      </c>
      <c r="V491" s="2915">
        <f>$U$489-V490</f>
        <v>3.5</v>
      </c>
      <c r="W491" s="2915">
        <f>$U$489-W490</f>
        <v>2.5</v>
      </c>
      <c r="X491" s="2207">
        <f>X489-$X$490</f>
        <v>4</v>
      </c>
      <c r="Y491" s="2946">
        <f>Y489-$X$490</f>
        <v>4.5</v>
      </c>
      <c r="Z491" s="2947">
        <f>Z489-$X$490</f>
        <v>3.5</v>
      </c>
      <c r="AA491" s="2052">
        <f>$AA$489-AA490</f>
        <v>5</v>
      </c>
      <c r="AB491" s="2915">
        <f>$AA$489-AB490</f>
        <v>4.5</v>
      </c>
      <c r="AC491" s="2915">
        <f>$AA$489-AC490</f>
        <v>5.5</v>
      </c>
      <c r="AD491" s="2207">
        <f>AD489-AD490</f>
        <v>2.5428866689967187</v>
      </c>
      <c r="AE491" s="2915"/>
      <c r="AF491" s="2934"/>
      <c r="AG491" s="2695" t="s">
        <v>2087</v>
      </c>
      <c r="AH491" s="150">
        <f>ROUND(E9,2)</f>
        <v>0.36</v>
      </c>
      <c r="AI491" s="150">
        <f>ROUND(E10,2)</f>
        <v>0.97</v>
      </c>
      <c r="AJ491" s="150"/>
      <c r="AK491" s="150">
        <f>ROUND(E11,2)</f>
        <v>0.15</v>
      </c>
      <c r="AL491" s="150">
        <v>0</v>
      </c>
      <c r="AU491" s="80"/>
    </row>
    <row r="492" spans="1:47">
      <c r="T492" s="2208" t="s">
        <v>2336</v>
      </c>
      <c r="U492" s="2924">
        <v>0.6</v>
      </c>
      <c r="V492" s="2923">
        <v>1</v>
      </c>
      <c r="W492" s="2923">
        <f>U492</f>
        <v>0.6</v>
      </c>
      <c r="X492" s="2925">
        <v>1.7</v>
      </c>
      <c r="Y492" s="2948">
        <v>1.7</v>
      </c>
      <c r="Z492" s="2949">
        <v>1.7</v>
      </c>
      <c r="AA492" s="2952">
        <f>AA493/AA491</f>
        <v>0.28727972297037324</v>
      </c>
      <c r="AB492" s="2954">
        <f t="shared" ref="AB492:AC492" si="35">AB493/AB491</f>
        <v>0.65538100397255328</v>
      </c>
      <c r="AC492" s="2954">
        <f t="shared" si="35"/>
        <v>0.2168851087562744</v>
      </c>
      <c r="AD492" s="2952">
        <f>AD493/AD491</f>
        <v>0.48150059458968242</v>
      </c>
      <c r="AE492" s="2954">
        <f>AE493/AD491</f>
        <v>1.0219438335647963</v>
      </c>
      <c r="AF492" s="2956">
        <f>AF493/AD491</f>
        <v>0.39906287629417497</v>
      </c>
      <c r="AG492" s="2891" t="s">
        <v>2336</v>
      </c>
      <c r="AH492" s="1546">
        <f>U492</f>
        <v>0.6</v>
      </c>
      <c r="AI492" s="1546">
        <f>X492</f>
        <v>1.7</v>
      </c>
      <c r="AJ492" s="1546">
        <f>(AI492-AH492)/($AI$491-$AH$491)</f>
        <v>1.8032786885245904</v>
      </c>
      <c r="AK492" s="1546">
        <f>$AH492-$AJ492*($AH$491-AK$491)</f>
        <v>0.22131147540983603</v>
      </c>
      <c r="AL492" s="1546">
        <f>$AI492-AJ492</f>
        <v>-0.10327868852459043</v>
      </c>
      <c r="AM492" s="2955" t="s">
        <v>2372</v>
      </c>
    </row>
    <row r="493" spans="1:47" s="2817" customFormat="1">
      <c r="A493" s="1155"/>
      <c r="T493" s="2987" t="s">
        <v>1058</v>
      </c>
      <c r="U493" s="2988">
        <f>U491*U492</f>
        <v>1.7999999999999998</v>
      </c>
      <c r="V493" s="2989">
        <f t="shared" ref="V493:Z493" si="36">V491*V492</f>
        <v>3.5</v>
      </c>
      <c r="W493" s="2989">
        <f t="shared" si="36"/>
        <v>1.5</v>
      </c>
      <c r="X493" s="2988">
        <f t="shared" si="36"/>
        <v>6.8</v>
      </c>
      <c r="Y493" s="2990">
        <f t="shared" si="36"/>
        <v>7.6499999999999995</v>
      </c>
      <c r="Z493" s="2991">
        <f t="shared" si="36"/>
        <v>5.95</v>
      </c>
      <c r="AA493" s="2988">
        <f>1/AA494</f>
        <v>1.4363986148518662</v>
      </c>
      <c r="AB493" s="2992">
        <f t="shared" ref="AB493:AC493" si="37">1/AB494</f>
        <v>2.9492145178764897</v>
      </c>
      <c r="AC493" s="2992">
        <f t="shared" si="37"/>
        <v>1.1928680981595092</v>
      </c>
      <c r="AD493" s="2993">
        <f>1/AD494</f>
        <v>1.224401443096097</v>
      </c>
      <c r="AE493" s="2992">
        <f t="shared" ref="AE493" si="38">1/AE494</f>
        <v>2.5986873508353221</v>
      </c>
      <c r="AF493" s="2994">
        <f t="shared" ref="AF493" si="39">1/AF494</f>
        <v>1.0147716682199441</v>
      </c>
      <c r="AG493" s="2695" t="s">
        <v>2088</v>
      </c>
      <c r="AH493" s="1546">
        <f>U494</f>
        <v>0.55555555555555558</v>
      </c>
      <c r="AI493" s="1546">
        <f>X494</f>
        <v>0.14705882352941177</v>
      </c>
      <c r="AJ493" s="1546">
        <f>(AI493-AH493)/($AI$491-$AH$491)</f>
        <v>-0.66966677381335049</v>
      </c>
      <c r="AK493" s="1546">
        <f t="shared" ref="AK493:AK495" si="40">$AH493-$AJ493*($AH$491-AK$491)</f>
        <v>0.69618557805635917</v>
      </c>
      <c r="AL493" s="1546">
        <f t="shared" ref="AL493:AL495" si="41">$AI493-AJ493</f>
        <v>0.81672559734276229</v>
      </c>
      <c r="AM493" s="2955" t="s">
        <v>2372</v>
      </c>
      <c r="AU493" s="80"/>
    </row>
    <row r="494" spans="1:47">
      <c r="T494" s="2926" t="s">
        <v>2088</v>
      </c>
      <c r="U494" s="2928">
        <f>1/U493</f>
        <v>0.55555555555555558</v>
      </c>
      <c r="V494" s="2433">
        <f t="shared" ref="V494:Z494" si="42">1/V493</f>
        <v>0.2857142857142857</v>
      </c>
      <c r="W494" s="2927">
        <f t="shared" si="42"/>
        <v>0.66666666666666663</v>
      </c>
      <c r="X494" s="2929">
        <f t="shared" si="42"/>
        <v>0.14705882352941177</v>
      </c>
      <c r="Y494" s="2950">
        <f t="shared" si="42"/>
        <v>0.13071895424836602</v>
      </c>
      <c r="Z494" s="2951">
        <f t="shared" si="42"/>
        <v>0.16806722689075629</v>
      </c>
      <c r="AA494" s="2928">
        <f>AK493</f>
        <v>0.69618557805635917</v>
      </c>
      <c r="AB494" s="2433">
        <f>AK494</f>
        <v>0.33907333425173347</v>
      </c>
      <c r="AC494" s="2927">
        <f>AK495</f>
        <v>0.83831565413050457</v>
      </c>
      <c r="AD494" s="2929">
        <f>AL493</f>
        <v>0.81672559734276229</v>
      </c>
      <c r="AE494" s="2433">
        <f>AL494</f>
        <v>0.38480966156954588</v>
      </c>
      <c r="AF494" s="2935">
        <f>AL495</f>
        <v>0.98544335767093716</v>
      </c>
      <c r="AG494" s="1209" t="s">
        <v>2369</v>
      </c>
      <c r="AH494" s="2953">
        <f>V494</f>
        <v>0.2857142857142857</v>
      </c>
      <c r="AI494" s="2953">
        <f>Y494</f>
        <v>0.13071895424836602</v>
      </c>
      <c r="AJ494" s="2953">
        <f>(AI494-AH494)/($AI$491-$AH$491)</f>
        <v>-0.25409070732117983</v>
      </c>
      <c r="AK494" s="2953">
        <f t="shared" si="40"/>
        <v>0.33907333425173347</v>
      </c>
      <c r="AL494" s="2953">
        <f t="shared" si="41"/>
        <v>0.38480966156954588</v>
      </c>
      <c r="AM494" s="2955" t="s">
        <v>2372</v>
      </c>
    </row>
    <row r="495" spans="1:47" s="2138" customFormat="1">
      <c r="A495" s="1155"/>
      <c r="T495" s="2995" t="s">
        <v>2356</v>
      </c>
      <c r="U495" s="2996">
        <f>1/H404</f>
        <v>0.49194426673115155</v>
      </c>
      <c r="V495" s="2996"/>
      <c r="W495" s="2996"/>
      <c r="X495" s="2997">
        <f>1/H397</f>
        <v>0.31981901014193886</v>
      </c>
      <c r="Y495" s="2998"/>
      <c r="Z495" s="2999"/>
      <c r="AA495" s="2997">
        <f>1/H418</f>
        <v>-0.36836348661584672</v>
      </c>
      <c r="AB495" s="1135"/>
      <c r="AC495" s="1135"/>
      <c r="AD495" s="1468"/>
      <c r="AE495" s="1135"/>
      <c r="AF495" s="3000"/>
      <c r="AG495" s="1153" t="s">
        <v>2370</v>
      </c>
      <c r="AH495" s="2953">
        <f>W494</f>
        <v>0.66666666666666663</v>
      </c>
      <c r="AI495" s="2953">
        <f>Z494</f>
        <v>0.16806722689075629</v>
      </c>
      <c r="AJ495" s="2953">
        <f>(AI495-AH495)/($AI$491-$AH$491)</f>
        <v>-0.8173761307801809</v>
      </c>
      <c r="AK495" s="2953">
        <f t="shared" si="40"/>
        <v>0.83831565413050457</v>
      </c>
      <c r="AL495" s="2953">
        <f t="shared" si="41"/>
        <v>0.98544335767093716</v>
      </c>
      <c r="AM495" s="2955" t="s">
        <v>2372</v>
      </c>
      <c r="AU495" s="80"/>
    </row>
    <row r="496" spans="1:47" s="2138" customFormat="1">
      <c r="A496" s="1155"/>
      <c r="T496" s="3001" t="s">
        <v>2423</v>
      </c>
      <c r="U496" s="3002">
        <v>0.24</v>
      </c>
      <c r="V496" s="3003"/>
      <c r="W496" s="3003"/>
      <c r="X496" s="3004">
        <v>0.17</v>
      </c>
      <c r="Y496" s="3005"/>
      <c r="Z496" s="1549"/>
      <c r="AA496" s="3006"/>
      <c r="AB496" s="1549"/>
      <c r="AC496" s="1549"/>
      <c r="AD496" s="3004" t="s">
        <v>2424</v>
      </c>
      <c r="AE496" s="1549"/>
      <c r="AF496" s="3007"/>
      <c r="AG496" s="2263"/>
      <c r="AU496" s="80"/>
    </row>
    <row r="497" spans="1:47" s="2896" customFormat="1">
      <c r="A497" s="1155"/>
      <c r="T497" s="2891"/>
      <c r="U497" s="240"/>
      <c r="V497" s="2221"/>
      <c r="W497" s="2221"/>
      <c r="X497" s="240"/>
      <c r="Y497" s="2222"/>
      <c r="Z497" s="2221"/>
      <c r="AA497" s="2891"/>
      <c r="AB497" s="2891"/>
      <c r="AC497" s="2891"/>
      <c r="AD497" s="240"/>
      <c r="AE497" s="2221"/>
      <c r="AF497" s="2452"/>
      <c r="AG497" s="2891"/>
      <c r="AU497" s="80"/>
    </row>
    <row r="498" spans="1:47">
      <c r="T498" s="2902" t="s">
        <v>1784</v>
      </c>
      <c r="U498" s="2902"/>
      <c r="V498" s="2902"/>
      <c r="W498" s="2902"/>
      <c r="X498" s="2902"/>
      <c r="Y498" s="2902"/>
      <c r="Z498" s="2902"/>
      <c r="AA498" s="2902"/>
      <c r="AB498" s="2902"/>
      <c r="AC498" s="2902"/>
      <c r="AD498" s="2902"/>
      <c r="AE498" s="2902"/>
      <c r="AF498" s="2918"/>
    </row>
    <row r="499" spans="1:47" s="2138" customFormat="1">
      <c r="A499" s="1155"/>
      <c r="T499" s="2919" t="s">
        <v>2376</v>
      </c>
      <c r="U499" s="2902"/>
      <c r="V499" s="2902"/>
      <c r="W499" s="2902"/>
      <c r="X499" s="2902"/>
      <c r="Y499" s="2902"/>
      <c r="Z499" s="2902"/>
      <c r="AA499" s="2902"/>
      <c r="AB499" s="2902"/>
      <c r="AC499" s="2902"/>
      <c r="AD499" s="2902"/>
      <c r="AE499" s="2902"/>
      <c r="AF499" s="2918"/>
      <c r="AG499" s="2263"/>
      <c r="AU499" s="80"/>
    </row>
    <row r="500" spans="1:47" s="2138" customFormat="1">
      <c r="A500" s="1155"/>
      <c r="T500" s="2919" t="s">
        <v>2344</v>
      </c>
      <c r="U500" s="2902"/>
      <c r="V500" s="2902"/>
      <c r="W500" s="2902"/>
      <c r="X500" s="2902"/>
      <c r="Y500" s="2902"/>
      <c r="Z500" s="2902"/>
      <c r="AA500" s="2902"/>
      <c r="AB500" s="2902"/>
      <c r="AC500" s="2902"/>
      <c r="AD500" s="2902"/>
      <c r="AE500" s="2902"/>
      <c r="AF500" s="2918"/>
      <c r="AG500" s="2263"/>
      <c r="AU500" s="80"/>
    </row>
    <row r="501" spans="1:47" s="2138" customFormat="1">
      <c r="A501" s="1155"/>
      <c r="T501" s="2919" t="s">
        <v>2345</v>
      </c>
      <c r="U501" s="2902"/>
      <c r="V501" s="2902"/>
      <c r="W501" s="2902"/>
      <c r="X501" s="2902"/>
      <c r="Y501" s="2902"/>
      <c r="Z501" s="2902"/>
      <c r="AA501" s="2902"/>
      <c r="AB501" s="2902"/>
      <c r="AC501" s="2902"/>
      <c r="AD501" s="2902"/>
      <c r="AE501" s="2902"/>
      <c r="AF501" s="2918"/>
      <c r="AG501" s="2263"/>
      <c r="AU501" s="80"/>
    </row>
    <row r="502" spans="1:47" s="2138" customFormat="1">
      <c r="A502" s="1155"/>
      <c r="T502" s="3298" t="s">
        <v>2377</v>
      </c>
      <c r="U502" s="3298"/>
      <c r="V502" s="3298"/>
      <c r="W502" s="3298"/>
      <c r="X502" s="3298"/>
      <c r="Y502" s="3298"/>
      <c r="Z502" s="3298"/>
      <c r="AA502" s="3298"/>
      <c r="AB502" s="3298"/>
      <c r="AC502" s="3298"/>
      <c r="AD502" s="3298"/>
      <c r="AE502" s="3298"/>
      <c r="AF502" s="3299"/>
      <c r="AH502" s="2573"/>
      <c r="AI502" s="2573"/>
      <c r="AU502" s="80"/>
    </row>
    <row r="503" spans="1:47" s="2138" customFormat="1" ht="13.2" customHeight="1">
      <c r="A503" s="1155"/>
      <c r="T503" s="3298"/>
      <c r="U503" s="3298"/>
      <c r="V503" s="3298"/>
      <c r="W503" s="3298"/>
      <c r="X503" s="3298"/>
      <c r="Y503" s="3298"/>
      <c r="Z503" s="3298"/>
      <c r="AA503" s="3298"/>
      <c r="AB503" s="3298"/>
      <c r="AC503" s="3298"/>
      <c r="AD503" s="3298"/>
      <c r="AE503" s="3298"/>
      <c r="AF503" s="3299"/>
      <c r="AG503" s="2913"/>
      <c r="AH503" s="2573"/>
      <c r="AI503" s="2573"/>
      <c r="AU503" s="80"/>
    </row>
    <row r="504" spans="1:47" s="2896" customFormat="1" ht="13.2" customHeight="1">
      <c r="A504" s="1155"/>
      <c r="T504" s="3298"/>
      <c r="U504" s="3298"/>
      <c r="V504" s="3298"/>
      <c r="W504" s="3298"/>
      <c r="X504" s="3298"/>
      <c r="Y504" s="3298"/>
      <c r="Z504" s="3298"/>
      <c r="AA504" s="3298"/>
      <c r="AB504" s="3298"/>
      <c r="AC504" s="3298"/>
      <c r="AD504" s="3298"/>
      <c r="AE504" s="3298"/>
      <c r="AF504" s="3299"/>
      <c r="AG504" s="2914" t="s">
        <v>2375</v>
      </c>
      <c r="AH504" s="2573"/>
      <c r="AI504" s="2573"/>
      <c r="AU504" s="80"/>
    </row>
    <row r="505" spans="1:47" s="2138" customFormat="1">
      <c r="A505" s="1155"/>
      <c r="AF505" s="1880"/>
      <c r="AU505" s="80"/>
    </row>
    <row r="506" spans="1:47" s="2138" customFormat="1">
      <c r="A506" s="1155"/>
      <c r="T506" s="2263"/>
      <c r="U506" s="1530" t="s">
        <v>1770</v>
      </c>
      <c r="V506" s="1105" t="s">
        <v>1771</v>
      </c>
      <c r="W506" s="1470" t="s">
        <v>797</v>
      </c>
      <c r="X506" s="1530" t="s">
        <v>1523</v>
      </c>
      <c r="Y506" s="1105" t="s">
        <v>1771</v>
      </c>
      <c r="Z506" s="1470" t="s">
        <v>797</v>
      </c>
      <c r="AA506" s="1530" t="s">
        <v>38</v>
      </c>
      <c r="AB506" s="1105" t="s">
        <v>1771</v>
      </c>
      <c r="AC506" s="1470" t="s">
        <v>797</v>
      </c>
      <c r="AD506" s="2263"/>
      <c r="AE506" s="2263"/>
      <c r="AF506" s="1880"/>
      <c r="AG506" s="2092"/>
      <c r="AU506" s="80"/>
    </row>
    <row r="507" spans="1:47" s="2138" customFormat="1">
      <c r="A507" s="1155"/>
      <c r="T507" s="1610" t="s">
        <v>804</v>
      </c>
      <c r="U507" s="2223">
        <f>X323</f>
        <v>0.4</v>
      </c>
      <c r="V507" s="2206">
        <f>Z323</f>
        <v>0.5</v>
      </c>
      <c r="W507" s="2231">
        <f>Y323</f>
        <v>0.2</v>
      </c>
      <c r="X507" s="2223">
        <f>AA323</f>
        <v>0.28041293785321875</v>
      </c>
      <c r="Y507" s="2206">
        <f>AC323</f>
        <v>0.4561905930983241</v>
      </c>
      <c r="Z507" s="2231">
        <f>AB323</f>
        <v>0.2</v>
      </c>
      <c r="AA507" s="2223">
        <f>AD323</f>
        <v>0.44444444444444442</v>
      </c>
      <c r="AB507" s="2206">
        <f>AF323</f>
        <v>0.5</v>
      </c>
      <c r="AC507" s="2231">
        <f>AE323</f>
        <v>0.3888888888888889</v>
      </c>
      <c r="AD507" s="2263"/>
      <c r="AE507" s="2263"/>
      <c r="AF507" s="1880"/>
      <c r="AG507" s="2263"/>
      <c r="AU507" s="80"/>
    </row>
    <row r="508" spans="1:47" s="2138" customFormat="1">
      <c r="A508" s="1155"/>
      <c r="T508" s="1610" t="s">
        <v>1779</v>
      </c>
      <c r="U508" s="2223">
        <f t="shared" ref="U508:AC508" si="43">$AH$508/(1-$AH$508)*(1-U507)</f>
        <v>0.30895318891077106</v>
      </c>
      <c r="V508" s="2206">
        <f t="shared" si="43"/>
        <v>0.25746099075897588</v>
      </c>
      <c r="W508" s="2231">
        <f t="shared" si="43"/>
        <v>0.41193758521436141</v>
      </c>
      <c r="X508" s="2223">
        <f t="shared" si="43"/>
        <v>0.37053119591530209</v>
      </c>
      <c r="Y508" s="2206">
        <f t="shared" si="43"/>
        <v>0.28001941736991309</v>
      </c>
      <c r="Z508" s="2231">
        <f t="shared" si="43"/>
        <v>0.41193758521436141</v>
      </c>
      <c r="AA508" s="2223">
        <f t="shared" si="43"/>
        <v>0.2860677675099732</v>
      </c>
      <c r="AB508" s="2206">
        <f t="shared" si="43"/>
        <v>0.25746099075897588</v>
      </c>
      <c r="AC508" s="2231">
        <f t="shared" si="43"/>
        <v>0.31467454426097052</v>
      </c>
      <c r="AD508" s="2263"/>
      <c r="AE508" s="2263"/>
      <c r="AF508" s="1880"/>
      <c r="AG508" s="111" t="s">
        <v>2378</v>
      </c>
      <c r="AH508" s="2432">
        <v>0.33989999999999998</v>
      </c>
      <c r="AU508" s="80"/>
    </row>
    <row r="509" spans="1:47" s="2138" customFormat="1">
      <c r="A509" s="1155"/>
      <c r="T509" s="1530" t="s">
        <v>1780</v>
      </c>
      <c r="U509" s="2224">
        <f t="shared" ref="U509:AC509" si="44">U508*U494*$AI$509</f>
        <v>0.47885276553724515</v>
      </c>
      <c r="V509" s="2229">
        <f t="shared" si="44"/>
        <v>0.2052226138016765</v>
      </c>
      <c r="W509" s="2225">
        <f t="shared" si="44"/>
        <v>0.76616442485959224</v>
      </c>
      <c r="X509" s="2224">
        <f t="shared" si="44"/>
        <v>0.15201893592079752</v>
      </c>
      <c r="Y509" s="2228">
        <f t="shared" si="44"/>
        <v>0.10211946604707317</v>
      </c>
      <c r="Z509" s="2225">
        <f t="shared" si="44"/>
        <v>0.19315069534275434</v>
      </c>
      <c r="AA509" s="2224">
        <f t="shared" si="44"/>
        <v>0.5556173156323887</v>
      </c>
      <c r="AB509" s="2229">
        <f t="shared" si="44"/>
        <v>0.24354930573956593</v>
      </c>
      <c r="AC509" s="2225">
        <f t="shared" si="44"/>
        <v>0.73595457718485413</v>
      </c>
      <c r="AD509" s="1837"/>
      <c r="AE509" s="2263"/>
      <c r="AF509" s="1880"/>
      <c r="AG509" s="1209" t="s">
        <v>2379</v>
      </c>
      <c r="AI509" s="2433">
        <f>'OUTPUTS &amp; Inputs'!M126</f>
        <v>2.7898562271062275</v>
      </c>
      <c r="AU509" s="80"/>
    </row>
    <row r="510" spans="1:47" s="92" customFormat="1">
      <c r="A510" s="1957"/>
      <c r="T510" s="560" t="s">
        <v>2437</v>
      </c>
      <c r="U510" s="3013">
        <v>0.28000000000000003</v>
      </c>
      <c r="V510" s="560"/>
      <c r="W510" s="560"/>
      <c r="X510" s="560">
        <v>0.24</v>
      </c>
      <c r="Y510" s="560"/>
      <c r="Z510" s="560"/>
      <c r="AA510" s="3013"/>
      <c r="AB510" s="560"/>
      <c r="AC510" s="560"/>
      <c r="AD510" s="3014"/>
      <c r="AE510" s="109"/>
      <c r="AF510" s="2451"/>
      <c r="AG510" s="1758"/>
      <c r="AI510" s="3015"/>
      <c r="AU510" s="2425"/>
    </row>
    <row r="511" spans="1:47" s="2138" customFormat="1">
      <c r="A511" s="1155"/>
      <c r="T511" s="2263"/>
      <c r="U511" s="2263"/>
      <c r="V511" s="2263"/>
      <c r="W511" s="2263"/>
      <c r="X511" s="2263"/>
      <c r="Y511" s="2263"/>
      <c r="Z511" s="2263"/>
      <c r="AA511" s="2263"/>
      <c r="AB511" s="2263"/>
      <c r="AC511" s="2263"/>
      <c r="AD511" s="2263"/>
      <c r="AE511" s="2263"/>
      <c r="AF511" s="1880"/>
      <c r="AU511" s="80"/>
    </row>
    <row r="512" spans="1:47" s="2138" customFormat="1">
      <c r="A512" s="1155"/>
      <c r="T512" s="2263"/>
      <c r="U512" s="1530" t="s">
        <v>798</v>
      </c>
      <c r="V512" s="1105" t="s">
        <v>1771</v>
      </c>
      <c r="W512" s="1470" t="s">
        <v>797</v>
      </c>
      <c r="X512" s="1530" t="s">
        <v>799</v>
      </c>
      <c r="Y512" s="143" t="s">
        <v>1771</v>
      </c>
      <c r="Z512" s="1470" t="s">
        <v>797</v>
      </c>
      <c r="AA512" s="2263"/>
      <c r="AB512" s="2263"/>
      <c r="AC512" s="2263"/>
      <c r="AD512" s="2263"/>
      <c r="AE512" s="2263"/>
      <c r="AF512" s="1880"/>
      <c r="AG512" s="2263"/>
      <c r="AU512" s="80"/>
    </row>
    <row r="513" spans="1:47" s="2138" customFormat="1">
      <c r="A513" s="1155"/>
      <c r="T513" s="2208" t="s">
        <v>1786</v>
      </c>
      <c r="U513" s="2714">
        <f>AL493</f>
        <v>0.81672559734276229</v>
      </c>
      <c r="V513" s="1124">
        <f>AE494</f>
        <v>0.38480966156954588</v>
      </c>
      <c r="W513" s="2232">
        <f>AF494</f>
        <v>0.98544335767093716</v>
      </c>
      <c r="X513" s="2234">
        <f>X494</f>
        <v>0.14705882352941177</v>
      </c>
      <c r="Y513" s="1124">
        <f>Y494</f>
        <v>0.13071895424836602</v>
      </c>
      <c r="Z513" s="2232">
        <f>Z494</f>
        <v>0.16806722689075629</v>
      </c>
      <c r="AA513" s="2263"/>
      <c r="AB513" s="2263"/>
      <c r="AC513" s="2263"/>
      <c r="AD513" s="2263"/>
      <c r="AE513" s="2263"/>
      <c r="AF513" s="2450"/>
      <c r="AG513" s="2263"/>
      <c r="AU513" s="80"/>
    </row>
    <row r="514" spans="1:47" s="2138" customFormat="1">
      <c r="A514" s="1155"/>
      <c r="T514" s="1610" t="s">
        <v>804</v>
      </c>
      <c r="U514" s="2173">
        <f>T323</f>
        <v>0.4729330941660323</v>
      </c>
      <c r="V514" s="2230">
        <f>V323</f>
        <v>0.52293309416603229</v>
      </c>
      <c r="W514" s="2233">
        <f>U323</f>
        <v>0.42293309416603231</v>
      </c>
      <c r="X514" s="2173">
        <f>T327</f>
        <v>0.27500000000000002</v>
      </c>
      <c r="Y514" s="2235">
        <f>V327</f>
        <v>0.3</v>
      </c>
      <c r="Z514" s="2233">
        <f>U327</f>
        <v>0.25</v>
      </c>
      <c r="AA514" s="2263"/>
      <c r="AB514" s="3408" t="s">
        <v>2438</v>
      </c>
      <c r="AC514" s="3408"/>
      <c r="AD514" s="3408"/>
      <c r="AE514" s="3408"/>
      <c r="AF514" s="2450"/>
      <c r="AG514" s="2263"/>
      <c r="AU514" s="80"/>
    </row>
    <row r="515" spans="1:47" s="2138" customFormat="1">
      <c r="A515" s="1155"/>
      <c r="T515" s="1610" t="s">
        <v>1779</v>
      </c>
      <c r="U515" s="2223">
        <f t="shared" ref="U515:Z515" si="45">$AH$508/(1-$AH$508)*(1-U514)</f>
        <v>0.27139833554456233</v>
      </c>
      <c r="V515" s="2206">
        <f t="shared" si="45"/>
        <v>0.24565223646866477</v>
      </c>
      <c r="W515" s="2231">
        <f t="shared" si="45"/>
        <v>0.29714443462045992</v>
      </c>
      <c r="X515" s="2223">
        <f t="shared" si="45"/>
        <v>0.373318436600515</v>
      </c>
      <c r="Y515" s="2206">
        <f t="shared" si="45"/>
        <v>0.36044538706256624</v>
      </c>
      <c r="Z515" s="2231">
        <f t="shared" si="45"/>
        <v>0.38619148613846382</v>
      </c>
      <c r="AA515" s="2263"/>
      <c r="AB515" s="3408"/>
      <c r="AC515" s="3408"/>
      <c r="AD515" s="3408"/>
      <c r="AE515" s="3408"/>
      <c r="AF515" s="2450"/>
      <c r="AG515" s="2263"/>
      <c r="AU515" s="80"/>
    </row>
    <row r="516" spans="1:47" s="2138" customFormat="1">
      <c r="A516" s="1155"/>
      <c r="T516" s="1530" t="s">
        <v>1780</v>
      </c>
      <c r="U516" s="2236">
        <f t="shared" ref="U516:Z516" si="46">U513*U515*$AI$509</f>
        <v>0.61839386151869868</v>
      </c>
      <c r="V516" s="2229">
        <f t="shared" si="46"/>
        <v>0.26372330684350392</v>
      </c>
      <c r="W516" s="2225">
        <f t="shared" si="46"/>
        <v>0.81692293669374694</v>
      </c>
      <c r="X516" s="2236">
        <f t="shared" si="46"/>
        <v>0.15316246544757475</v>
      </c>
      <c r="Y516" s="2228">
        <f t="shared" si="46"/>
        <v>0.13144977877493005</v>
      </c>
      <c r="Z516" s="2225">
        <f t="shared" si="46"/>
        <v>0.1810787768838322</v>
      </c>
      <c r="AA516" s="2263"/>
      <c r="AB516" s="3408"/>
      <c r="AC516" s="3408"/>
      <c r="AD516" s="3408"/>
      <c r="AE516" s="3408"/>
      <c r="AF516" s="1880"/>
      <c r="AG516" s="2263"/>
      <c r="AU516" s="80"/>
    </row>
    <row r="517" spans="1:47" s="92" customFormat="1">
      <c r="A517" s="1957"/>
      <c r="T517" s="560" t="s">
        <v>2437</v>
      </c>
      <c r="U517" s="3013">
        <v>0.32</v>
      </c>
      <c r="V517" s="560"/>
      <c r="W517" s="560"/>
      <c r="X517" s="3013">
        <v>0.24</v>
      </c>
      <c r="Y517" s="560"/>
      <c r="Z517" s="560"/>
      <c r="AA517" s="109"/>
      <c r="AB517" s="3016"/>
      <c r="AC517" s="3016"/>
      <c r="AD517" s="3016"/>
      <c r="AE517" s="3016"/>
      <c r="AF517" s="2451"/>
      <c r="AG517" s="109"/>
      <c r="AU517" s="2425"/>
    </row>
    <row r="518" spans="1:47" s="2138" customFormat="1">
      <c r="A518" s="1155"/>
      <c r="T518" s="2263"/>
      <c r="U518" s="2263"/>
      <c r="V518" s="2263"/>
      <c r="W518" s="2263"/>
      <c r="X518" s="2263"/>
      <c r="Y518" s="2263"/>
      <c r="Z518" s="2263"/>
      <c r="AA518" s="2263"/>
      <c r="AB518" s="2263"/>
      <c r="AC518" s="2263"/>
      <c r="AD518" s="2263"/>
      <c r="AE518" s="2263"/>
      <c r="AF518" s="1880"/>
      <c r="AG518" s="2263"/>
      <c r="AU518" s="80"/>
    </row>
    <row r="519" spans="1:47">
      <c r="T519" s="2263"/>
      <c r="U519" s="2263"/>
      <c r="V519" s="2263"/>
      <c r="W519" s="2263"/>
      <c r="X519" s="2263"/>
      <c r="Y519" s="2263"/>
      <c r="Z519" s="2263"/>
      <c r="AA519" s="2263"/>
      <c r="AB519" s="2263"/>
      <c r="AC519" s="2263"/>
      <c r="AD519" s="2263"/>
      <c r="AE519" s="2263"/>
    </row>
    <row r="520" spans="1:47">
      <c r="A520" s="1512" t="s">
        <v>1525</v>
      </c>
      <c r="B520" s="1513"/>
      <c r="T520" s="1683"/>
      <c r="U520" s="1683"/>
      <c r="V520" s="1683"/>
      <c r="W520" s="1683"/>
      <c r="X520" s="1683"/>
      <c r="Y520" s="1683"/>
      <c r="Z520" s="1683"/>
      <c r="AA520" s="1683"/>
      <c r="AB520" s="1683"/>
      <c r="AC520" s="1683"/>
      <c r="AD520" s="1683"/>
      <c r="AE520" s="1683"/>
      <c r="AF520" s="2445"/>
    </row>
    <row r="521" spans="1:47">
      <c r="T521" s="2101"/>
      <c r="U521" s="2101"/>
      <c r="V521" s="2101"/>
      <c r="W521" s="2101"/>
      <c r="X521" s="2101"/>
      <c r="Y521" s="2101"/>
      <c r="Z521" s="2101"/>
      <c r="AA521" s="2101"/>
      <c r="AB521" s="2101"/>
      <c r="AC521" s="2101"/>
      <c r="AD521" s="2101"/>
      <c r="AE521" s="2101"/>
      <c r="AF521" s="2446"/>
    </row>
    <row r="522" spans="1:47">
      <c r="T522" s="2101"/>
      <c r="U522" s="2101"/>
      <c r="V522" s="2101"/>
      <c r="W522" s="2101"/>
      <c r="X522" s="2101"/>
      <c r="Y522" s="2101"/>
      <c r="Z522" s="2101"/>
      <c r="AA522" s="2101"/>
      <c r="AB522" s="2101"/>
      <c r="AC522" s="2101"/>
      <c r="AD522" s="2101"/>
      <c r="AE522" s="2101"/>
      <c r="AF522" s="2446"/>
    </row>
    <row r="523" spans="1:47">
      <c r="T523" s="2101"/>
      <c r="U523" s="2101"/>
      <c r="V523" s="2101"/>
      <c r="W523" s="2101"/>
      <c r="X523" s="2101"/>
      <c r="Y523" s="2101"/>
      <c r="Z523" s="2101"/>
      <c r="AA523" s="2101"/>
      <c r="AB523" s="2101"/>
      <c r="AC523" s="2101"/>
      <c r="AD523" s="2101"/>
      <c r="AE523" s="2101"/>
      <c r="AF523" s="2446"/>
    </row>
    <row r="524" spans="1:47">
      <c r="T524" s="2101"/>
      <c r="U524" s="2101"/>
      <c r="V524" s="2101"/>
      <c r="W524" s="2101"/>
      <c r="X524" s="2101"/>
      <c r="Y524" s="2101"/>
      <c r="Z524" s="2101"/>
      <c r="AA524" s="2101"/>
      <c r="AB524" s="2101"/>
      <c r="AC524" s="2101"/>
      <c r="AD524" s="2101"/>
      <c r="AE524" s="2101"/>
      <c r="AF524" s="2446"/>
    </row>
    <row r="525" spans="1:47">
      <c r="T525" s="2101"/>
      <c r="U525" s="2101"/>
      <c r="V525" s="2101"/>
      <c r="W525" s="2101"/>
      <c r="X525" s="2101"/>
      <c r="Y525" s="2101"/>
      <c r="Z525" s="2101"/>
      <c r="AA525" s="2101"/>
      <c r="AB525" s="2101"/>
      <c r="AC525" s="2101"/>
      <c r="AD525" s="2101"/>
      <c r="AE525" s="2101"/>
      <c r="AF525" s="2446"/>
    </row>
    <row r="526" spans="1:47">
      <c r="T526" s="2263"/>
      <c r="U526" s="2263"/>
      <c r="V526" s="2263"/>
      <c r="W526" s="2263"/>
      <c r="X526" s="2263"/>
      <c r="Y526" s="2263"/>
      <c r="Z526" s="2263"/>
      <c r="AA526" s="2263"/>
      <c r="AB526" s="2263"/>
      <c r="AC526" s="2263"/>
      <c r="AD526" s="2263"/>
      <c r="AE526" s="2263"/>
    </row>
    <row r="527" spans="1:47">
      <c r="T527" s="90"/>
      <c r="U527" s="90"/>
      <c r="V527" s="90"/>
      <c r="W527" s="90"/>
      <c r="X527" s="90"/>
      <c r="Y527" s="90"/>
      <c r="Z527" s="90"/>
      <c r="AA527" s="90"/>
      <c r="AB527" s="90"/>
      <c r="AC527" s="90"/>
      <c r="AD527" s="90"/>
      <c r="AE527" s="90"/>
      <c r="AF527" s="2041"/>
    </row>
    <row r="528" spans="1:47" s="107" customFormat="1">
      <c r="A528" s="1455" t="s">
        <v>1787</v>
      </c>
      <c r="B528" s="2179"/>
      <c r="AF528" s="2058"/>
      <c r="AU528" s="1593"/>
    </row>
  </sheetData>
  <sortState ref="A455:S476">
    <sortCondition descending="1" ref="Q455:Q476"/>
  </sortState>
  <mergeCells count="238">
    <mergeCell ref="Q468:R468"/>
    <mergeCell ref="Q469:R469"/>
    <mergeCell ref="Q470:R470"/>
    <mergeCell ref="Q471:R471"/>
    <mergeCell ref="AB461:AF462"/>
    <mergeCell ref="AB463:AF466"/>
    <mergeCell ref="AB470:AF471"/>
    <mergeCell ref="AB474:AF477"/>
    <mergeCell ref="AB479:AF481"/>
    <mergeCell ref="Q476:R476"/>
    <mergeCell ref="Q477:R477"/>
    <mergeCell ref="Q478:R478"/>
    <mergeCell ref="Q479:R479"/>
    <mergeCell ref="Q480:R480"/>
    <mergeCell ref="Q459:R459"/>
    <mergeCell ref="Q460:R460"/>
    <mergeCell ref="Q461:R461"/>
    <mergeCell ref="Q462:R462"/>
    <mergeCell ref="Q463:R463"/>
    <mergeCell ref="Q464:R464"/>
    <mergeCell ref="Q465:R465"/>
    <mergeCell ref="Q466:R466"/>
    <mergeCell ref="Q467:R467"/>
    <mergeCell ref="F459:G459"/>
    <mergeCell ref="F460:G460"/>
    <mergeCell ref="F461:G461"/>
    <mergeCell ref="F462:G462"/>
    <mergeCell ref="F463:G463"/>
    <mergeCell ref="F464:G464"/>
    <mergeCell ref="F465:G465"/>
    <mergeCell ref="F466:G466"/>
    <mergeCell ref="F467:G467"/>
    <mergeCell ref="AB381:AF387"/>
    <mergeCell ref="AB388:AF389"/>
    <mergeCell ref="AB390:AF392"/>
    <mergeCell ref="AB398:AF399"/>
    <mergeCell ref="AB401:AF402"/>
    <mergeCell ref="AB403:AF404"/>
    <mergeCell ref="AB405:AF409"/>
    <mergeCell ref="AB410:AF411"/>
    <mergeCell ref="T15:AF16"/>
    <mergeCell ref="T24:AF25"/>
    <mergeCell ref="AB203:AF205"/>
    <mergeCell ref="AB365:AF366"/>
    <mergeCell ref="AB372:AF373"/>
    <mergeCell ref="AB374:AF375"/>
    <mergeCell ref="T91:AF91"/>
    <mergeCell ref="T60:AF60"/>
    <mergeCell ref="T61:AF62"/>
    <mergeCell ref="T152:AH153"/>
    <mergeCell ref="T250:AF250"/>
    <mergeCell ref="AB514:AE516"/>
    <mergeCell ref="C477:D477"/>
    <mergeCell ref="C478:D478"/>
    <mergeCell ref="C479:D479"/>
    <mergeCell ref="C480:D480"/>
    <mergeCell ref="C472:D472"/>
    <mergeCell ref="C473:D473"/>
    <mergeCell ref="C474:D474"/>
    <mergeCell ref="C475:D475"/>
    <mergeCell ref="C476:D476"/>
    <mergeCell ref="F472:G472"/>
    <mergeCell ref="F473:G473"/>
    <mergeCell ref="F474:G474"/>
    <mergeCell ref="F475:G475"/>
    <mergeCell ref="F476:G476"/>
    <mergeCell ref="F477:G477"/>
    <mergeCell ref="F478:G478"/>
    <mergeCell ref="F479:G479"/>
    <mergeCell ref="F480:G480"/>
    <mergeCell ref="Q472:R472"/>
    <mergeCell ref="Q473:R473"/>
    <mergeCell ref="Q474:R474"/>
    <mergeCell ref="Q475:R475"/>
    <mergeCell ref="C395:D395"/>
    <mergeCell ref="C457:D457"/>
    <mergeCell ref="C459:D459"/>
    <mergeCell ref="C460:D460"/>
    <mergeCell ref="C461:D461"/>
    <mergeCell ref="C462:D462"/>
    <mergeCell ref="C463:D463"/>
    <mergeCell ref="C464:D464"/>
    <mergeCell ref="C465:D465"/>
    <mergeCell ref="C458:D458"/>
    <mergeCell ref="C416:D416"/>
    <mergeCell ref="C417:D417"/>
    <mergeCell ref="C418:D418"/>
    <mergeCell ref="C396:D396"/>
    <mergeCell ref="C397:D397"/>
    <mergeCell ref="C398:D398"/>
    <mergeCell ref="C399:D399"/>
    <mergeCell ref="C400:D400"/>
    <mergeCell ref="C401:D401"/>
    <mergeCell ref="C402:D402"/>
    <mergeCell ref="C403:D403"/>
    <mergeCell ref="C404:D404"/>
    <mergeCell ref="C415:D415"/>
    <mergeCell ref="C410:D410"/>
    <mergeCell ref="C466:D466"/>
    <mergeCell ref="C467:D467"/>
    <mergeCell ref="C468:D468"/>
    <mergeCell ref="C469:D469"/>
    <mergeCell ref="C470:D470"/>
    <mergeCell ref="C471:D471"/>
    <mergeCell ref="F468:G468"/>
    <mergeCell ref="F469:G469"/>
    <mergeCell ref="F470:G470"/>
    <mergeCell ref="F471:G471"/>
    <mergeCell ref="F417:G417"/>
    <mergeCell ref="F418:G418"/>
    <mergeCell ref="F395:H395"/>
    <mergeCell ref="AG424:AI425"/>
    <mergeCell ref="P414:R414"/>
    <mergeCell ref="P415:R415"/>
    <mergeCell ref="P416:R416"/>
    <mergeCell ref="J395:M395"/>
    <mergeCell ref="P397:R397"/>
    <mergeCell ref="P398:R398"/>
    <mergeCell ref="P399:R399"/>
    <mergeCell ref="P400:R400"/>
    <mergeCell ref="P396:R396"/>
    <mergeCell ref="P401:R401"/>
    <mergeCell ref="P402:R402"/>
    <mergeCell ref="P403:R403"/>
    <mergeCell ref="AB412:AF413"/>
    <mergeCell ref="P407:R407"/>
    <mergeCell ref="P408:R408"/>
    <mergeCell ref="P409:R409"/>
    <mergeCell ref="P410:R410"/>
    <mergeCell ref="P411:R411"/>
    <mergeCell ref="F410:G410"/>
    <mergeCell ref="AB430:AF431"/>
    <mergeCell ref="AB433:AF434"/>
    <mergeCell ref="T422:AF423"/>
    <mergeCell ref="AB435:AF437"/>
    <mergeCell ref="AB438:AF441"/>
    <mergeCell ref="AB459:AF460"/>
    <mergeCell ref="Q457:R457"/>
    <mergeCell ref="F397:G397"/>
    <mergeCell ref="F398:G398"/>
    <mergeCell ref="F399:G399"/>
    <mergeCell ref="F400:G400"/>
    <mergeCell ref="F401:G401"/>
    <mergeCell ref="F402:G402"/>
    <mergeCell ref="F403:G403"/>
    <mergeCell ref="F404:G404"/>
    <mergeCell ref="P417:R417"/>
    <mergeCell ref="P418:R418"/>
    <mergeCell ref="P412:R412"/>
    <mergeCell ref="P413:R413"/>
    <mergeCell ref="F457:H457"/>
    <mergeCell ref="P404:R404"/>
    <mergeCell ref="P405:R405"/>
    <mergeCell ref="P406:R406"/>
    <mergeCell ref="F416:G416"/>
    <mergeCell ref="F411:G411"/>
    <mergeCell ref="F412:G412"/>
    <mergeCell ref="F413:G413"/>
    <mergeCell ref="F414:G414"/>
    <mergeCell ref="F405:G405"/>
    <mergeCell ref="F406:G406"/>
    <mergeCell ref="F407:G407"/>
    <mergeCell ref="F408:G408"/>
    <mergeCell ref="F409:G409"/>
    <mergeCell ref="C411:D411"/>
    <mergeCell ref="C412:D412"/>
    <mergeCell ref="C413:D413"/>
    <mergeCell ref="C414:D414"/>
    <mergeCell ref="C405:D405"/>
    <mergeCell ref="C406:D406"/>
    <mergeCell ref="C407:D407"/>
    <mergeCell ref="C408:D408"/>
    <mergeCell ref="C409:D409"/>
    <mergeCell ref="F415:G415"/>
    <mergeCell ref="AJ5:AK5"/>
    <mergeCell ref="AL5:AM5"/>
    <mergeCell ref="T59:AF59"/>
    <mergeCell ref="T63:AF63"/>
    <mergeCell ref="T120:AF120"/>
    <mergeCell ref="T121:AF121"/>
    <mergeCell ref="T122:AF122"/>
    <mergeCell ref="T147:AF147"/>
    <mergeCell ref="T148:AF148"/>
    <mergeCell ref="T117:AF119"/>
    <mergeCell ref="T30:AF30"/>
    <mergeCell ref="T6:X6"/>
    <mergeCell ref="T149:AH150"/>
    <mergeCell ref="T155:AH156"/>
    <mergeCell ref="T9:AF11"/>
    <mergeCell ref="T19:AF20"/>
    <mergeCell ref="AH5:AI5"/>
    <mergeCell ref="T21:AF22"/>
    <mergeCell ref="T17:AF18"/>
    <mergeCell ref="C61:R61"/>
    <mergeCell ref="C59:R59"/>
    <mergeCell ref="T89:AF89"/>
    <mergeCell ref="T90:AF90"/>
    <mergeCell ref="T1:X1"/>
    <mergeCell ref="T2:X2"/>
    <mergeCell ref="T3:X3"/>
    <mergeCell ref="T4:X4"/>
    <mergeCell ref="T5:X5"/>
    <mergeCell ref="L1:M1"/>
    <mergeCell ref="N1:O1"/>
    <mergeCell ref="P1:R1"/>
    <mergeCell ref="C2:D2"/>
    <mergeCell ref="F2:G2"/>
    <mergeCell ref="I2:J2"/>
    <mergeCell ref="L2:M2"/>
    <mergeCell ref="C1:E1"/>
    <mergeCell ref="F1:H1"/>
    <mergeCell ref="I1:K1"/>
    <mergeCell ref="N2:O2"/>
    <mergeCell ref="P2:Q2"/>
    <mergeCell ref="AG475:AJ478"/>
    <mergeCell ref="T502:AF504"/>
    <mergeCell ref="AM323:AQ325"/>
    <mergeCell ref="AM326:AQ328"/>
    <mergeCell ref="AM330:AQ331"/>
    <mergeCell ref="Y123:Z124"/>
    <mergeCell ref="AM320:AQ322"/>
    <mergeCell ref="AJ158:AM159"/>
    <mergeCell ref="AC301:AF302"/>
    <mergeCell ref="AC303:AF305"/>
    <mergeCell ref="AM318:AQ319"/>
    <mergeCell ref="AG461:AJ462"/>
    <mergeCell ref="AH336:AK343"/>
    <mergeCell ref="T317:AF318"/>
    <mergeCell ref="T319:AF320"/>
    <mergeCell ref="T251:AF252"/>
    <mergeCell ref="AC299:AF300"/>
    <mergeCell ref="T315:AF316"/>
    <mergeCell ref="T281:AH281"/>
    <mergeCell ref="T282:AH282"/>
    <mergeCell ref="T283:AH284"/>
    <mergeCell ref="T286:AH287"/>
    <mergeCell ref="T330:AF331"/>
    <mergeCell ref="AB428:AF429"/>
  </mergeCells>
  <dataValidations disablePrompts="1" count="1">
    <dataValidation type="list" allowBlank="1" showInputMessage="1" showErrorMessage="1" sqref="AB1 AB3">
      <formula1>$AG$1:$AG$4</formula1>
    </dataValidation>
  </dataValidations>
  <hyperlinks>
    <hyperlink ref="V363" r:id="rId1" location="q5" display="Belgian general Tax Code more precisely state the following :"/>
    <hyperlink ref="AH367" r:id="rId2"/>
    <hyperlink ref="AH366" r:id="rId3"/>
    <hyperlink ref="AB380" r:id="rId4" display="Cefip"/>
    <hyperlink ref="AH389" r:id="rId5"/>
    <hyperlink ref="AH421" location="'Bloom Cleaner Data'!FY3" display="here"/>
    <hyperlink ref="AH422" location="CALCULATIONS!OP41" display="here"/>
    <hyperlink ref="X454" location="'GEARINGS, E&amp;Enot'!AL10" display="° See above "/>
    <hyperlink ref="AL280" location="CALCULATIONS!GG2" display="Cf. 'Calculations'."/>
    <hyperlink ref="A317" location="'GEARINGS, E&amp;Enot'!AM317" display="'Axis' notion to be revised in final WACC."/>
    <hyperlink ref="AJ430" location="PROFILES!I264" display="''Profiles'.)"/>
  </hyperlinks>
  <pageMargins left="0.7" right="0.7" top="0.75" bottom="0.75" header="0.3" footer="0.3"/>
  <pageSetup paperSize="9" orientation="portrait" r:id="rId6"/>
  <drawing r:id="rId7"/>
  <legacyDrawing r:id="rId8"/>
</worksheet>
</file>

<file path=xl/worksheets/sheet5.xml><?xml version="1.0" encoding="utf-8"?>
<worksheet xmlns="http://schemas.openxmlformats.org/spreadsheetml/2006/main" xmlns:r="http://schemas.openxmlformats.org/officeDocument/2006/relationships">
  <sheetPr>
    <tabColor rgb="FFFFC000"/>
  </sheetPr>
  <dimension ref="A1:BL809"/>
  <sheetViews>
    <sheetView showGridLines="0" zoomScale="90" zoomScaleNormal="90" workbookViewId="0">
      <pane xSplit="2" ySplit="1" topLeftCell="C526" activePane="bottomRight" state="frozen"/>
      <selection pane="topRight" activeCell="C1" sqref="C1"/>
      <selection pane="bottomLeft" activeCell="A2" sqref="A2"/>
      <selection pane="bottomRight" activeCell="F741" sqref="F741"/>
    </sheetView>
  </sheetViews>
  <sheetFormatPr baseColWidth="10" defaultRowHeight="13.2"/>
  <cols>
    <col min="1" max="1" width="12.21875" style="1155" customWidth="1"/>
    <col min="2" max="2" width="15.6640625" style="1604" customWidth="1"/>
    <col min="3" max="3" width="1.33203125" style="92" customWidth="1"/>
    <col min="4" max="23" width="8.109375" style="1604" customWidth="1"/>
    <col min="24" max="24" width="3.6640625" style="1809" customWidth="1"/>
    <col min="25" max="27" width="8.109375" style="1604" customWidth="1"/>
    <col min="28" max="28" width="8.5546875" style="1604" customWidth="1"/>
    <col min="29" max="29" width="4.109375" style="1604" customWidth="1"/>
    <col min="30" max="31" width="8.109375" style="1604" customWidth="1"/>
    <col min="32" max="33" width="8.109375" style="1605" customWidth="1"/>
    <col min="34" max="63" width="8.109375" style="1604" customWidth="1"/>
    <col min="64" max="64" width="8.109375" style="80" customWidth="1"/>
    <col min="65" max="70" width="8.109375" style="1604" customWidth="1"/>
    <col min="71" max="16384" width="11.5546875" style="1604"/>
  </cols>
  <sheetData>
    <row r="1" spans="1:64">
      <c r="A1" s="1192" t="s">
        <v>1354</v>
      </c>
      <c r="B1" s="1193"/>
      <c r="C1" s="1844"/>
      <c r="D1" s="93"/>
      <c r="E1" s="93"/>
      <c r="F1" s="93"/>
      <c r="G1" s="93"/>
      <c r="H1" s="93"/>
      <c r="I1" s="93"/>
      <c r="J1" s="93"/>
      <c r="K1" s="93"/>
      <c r="L1" s="93"/>
      <c r="M1" s="93"/>
      <c r="N1" s="93"/>
      <c r="O1" s="93"/>
      <c r="P1" s="93"/>
      <c r="Q1" s="93"/>
      <c r="R1" s="93"/>
      <c r="S1" s="93"/>
      <c r="T1" s="93"/>
      <c r="U1" s="93"/>
      <c r="V1" s="93"/>
      <c r="W1" s="93"/>
      <c r="X1" s="109"/>
      <c r="Y1" s="92"/>
      <c r="Z1" s="92"/>
      <c r="AA1" s="92"/>
      <c r="AB1" s="92"/>
      <c r="AD1" s="92"/>
      <c r="AE1" s="92"/>
      <c r="AF1" s="109"/>
      <c r="AG1" s="109"/>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L1" s="80" t="s">
        <v>1816</v>
      </c>
    </row>
    <row r="3" spans="1:64">
      <c r="A3" s="1189" t="s">
        <v>1673</v>
      </c>
      <c r="B3" s="94"/>
      <c r="C3" s="93"/>
      <c r="D3" s="94"/>
      <c r="E3" s="94"/>
      <c r="F3" s="94"/>
      <c r="G3" s="94"/>
      <c r="H3" s="94"/>
      <c r="I3" s="94"/>
      <c r="J3" s="94"/>
      <c r="K3" s="94"/>
      <c r="L3" s="94"/>
      <c r="M3" s="94"/>
      <c r="N3" s="94"/>
      <c r="O3" s="94"/>
      <c r="P3" s="94"/>
      <c r="Q3" s="94"/>
      <c r="R3" s="94"/>
      <c r="S3" s="94"/>
      <c r="T3" s="94"/>
      <c r="U3" s="94"/>
      <c r="V3" s="94"/>
      <c r="W3" s="94"/>
      <c r="X3" s="592"/>
      <c r="Y3" s="1235"/>
      <c r="Z3" s="1235"/>
      <c r="AA3" s="1235"/>
      <c r="AB3" s="1235"/>
    </row>
    <row r="4" spans="1:64">
      <c r="A4" s="1604"/>
    </row>
    <row r="5" spans="1:64" s="1730" customFormat="1">
      <c r="A5" s="1252" t="s">
        <v>1251</v>
      </c>
      <c r="B5" s="102"/>
      <c r="C5" s="93"/>
      <c r="D5" s="79" t="s">
        <v>2468</v>
      </c>
      <c r="X5" s="1809"/>
      <c r="AF5" s="1731"/>
      <c r="AG5" s="1731"/>
      <c r="BL5" s="80"/>
    </row>
    <row r="6" spans="1:64" ht="13.2" customHeight="1">
      <c r="A6" s="1604"/>
      <c r="D6" s="3430" t="s">
        <v>2463</v>
      </c>
      <c r="E6" s="3430"/>
      <c r="F6" s="3430"/>
      <c r="G6" s="3430"/>
      <c r="H6" s="3430"/>
      <c r="I6" s="3430"/>
      <c r="J6" s="3430"/>
      <c r="K6" s="3430"/>
      <c r="L6" s="3430"/>
      <c r="M6" s="3430"/>
      <c r="N6" s="3430"/>
      <c r="O6" s="3430"/>
      <c r="P6" s="3430"/>
      <c r="Q6" s="3430"/>
      <c r="R6" s="3430"/>
      <c r="S6" s="3430"/>
      <c r="T6" s="3430"/>
      <c r="U6" s="3430"/>
      <c r="V6" s="3430"/>
      <c r="W6" s="3430"/>
    </row>
    <row r="7" spans="1:64">
      <c r="A7" s="1604"/>
      <c r="D7" s="3430"/>
      <c r="E7" s="3430"/>
      <c r="F7" s="3430"/>
      <c r="G7" s="3430"/>
      <c r="H7" s="3430"/>
      <c r="I7" s="3430"/>
      <c r="J7" s="3430"/>
      <c r="K7" s="3430"/>
      <c r="L7" s="3430"/>
      <c r="M7" s="3430"/>
      <c r="N7" s="3430"/>
      <c r="O7" s="3430"/>
      <c r="P7" s="3430"/>
      <c r="Q7" s="3430"/>
      <c r="R7" s="3430"/>
      <c r="S7" s="3430"/>
      <c r="T7" s="3430"/>
      <c r="U7" s="3430"/>
      <c r="V7" s="3430"/>
      <c r="W7" s="3430"/>
    </row>
    <row r="8" spans="1:64" s="1730" customFormat="1">
      <c r="C8" s="92"/>
      <c r="D8" s="1729"/>
      <c r="E8" s="1729"/>
      <c r="F8" s="1729"/>
      <c r="G8" s="1729"/>
      <c r="H8" s="1729"/>
      <c r="I8" s="1729"/>
      <c r="J8" s="1729"/>
      <c r="K8" s="1729"/>
      <c r="L8" s="1729"/>
      <c r="M8" s="1729"/>
      <c r="N8" s="1729"/>
      <c r="O8" s="1729"/>
      <c r="P8" s="1729"/>
      <c r="Q8" s="1729"/>
      <c r="R8" s="1729"/>
      <c r="S8" s="1729"/>
      <c r="T8" s="1729"/>
      <c r="U8" s="1729"/>
      <c r="V8" s="1729"/>
      <c r="W8" s="1729"/>
      <c r="X8" s="1809"/>
      <c r="AF8" s="1731"/>
      <c r="AG8" s="1731"/>
      <c r="BL8" s="80"/>
    </row>
    <row r="9" spans="1:64" s="1730" customFormat="1">
      <c r="B9" s="2470"/>
      <c r="C9" s="92"/>
      <c r="D9" s="79" t="s">
        <v>2464</v>
      </c>
      <c r="E9" s="1729"/>
      <c r="F9" s="1729"/>
      <c r="G9" s="1729"/>
      <c r="H9" s="1729"/>
      <c r="I9" s="1729"/>
      <c r="J9" s="1729"/>
      <c r="K9" s="1729"/>
      <c r="L9" s="1729"/>
      <c r="M9" s="1729"/>
      <c r="N9" s="1729"/>
      <c r="O9" s="1729"/>
      <c r="P9" s="1729"/>
      <c r="Q9" s="1729"/>
      <c r="R9" s="1729"/>
      <c r="S9" s="1729"/>
      <c r="T9" s="1729"/>
      <c r="U9" s="1729"/>
      <c r="V9" s="1729"/>
      <c r="W9" s="1729"/>
      <c r="X9" s="1809"/>
      <c r="AF9" s="1731"/>
      <c r="AG9" s="1731"/>
      <c r="BL9" s="80"/>
    </row>
    <row r="10" spans="1:64" ht="13.2" customHeight="1">
      <c r="A10" s="1604"/>
      <c r="D10" s="3430" t="s">
        <v>2465</v>
      </c>
      <c r="E10" s="3430"/>
      <c r="F10" s="3430"/>
      <c r="G10" s="3430"/>
      <c r="H10" s="3430"/>
      <c r="I10" s="3430"/>
      <c r="J10" s="3430"/>
      <c r="K10" s="3430"/>
      <c r="L10" s="3430"/>
      <c r="M10" s="3430"/>
      <c r="N10" s="3430"/>
      <c r="O10" s="3430"/>
      <c r="P10" s="3430"/>
      <c r="Q10" s="3430"/>
      <c r="R10" s="3430"/>
      <c r="S10" s="3430"/>
      <c r="T10" s="3430"/>
      <c r="U10" s="3430"/>
      <c r="V10" s="3430"/>
      <c r="W10" s="3430"/>
      <c r="X10" s="1805"/>
    </row>
    <row r="11" spans="1:64" s="1736" customFormat="1" ht="13.2" customHeight="1">
      <c r="C11" s="92"/>
      <c r="D11" s="3430"/>
      <c r="E11" s="3430"/>
      <c r="F11" s="3430"/>
      <c r="G11" s="3430"/>
      <c r="H11" s="3430"/>
      <c r="I11" s="3430"/>
      <c r="J11" s="3430"/>
      <c r="K11" s="3430"/>
      <c r="L11" s="3430"/>
      <c r="M11" s="3430"/>
      <c r="N11" s="3430"/>
      <c r="O11" s="3430"/>
      <c r="P11" s="3430"/>
      <c r="Q11" s="3430"/>
      <c r="R11" s="3430"/>
      <c r="S11" s="3430"/>
      <c r="T11" s="3430"/>
      <c r="U11" s="3430"/>
      <c r="V11" s="3430"/>
      <c r="W11" s="3430"/>
      <c r="X11" s="1805"/>
      <c r="AF11" s="1737"/>
      <c r="AG11" s="1737"/>
      <c r="BL11" s="80"/>
    </row>
    <row r="12" spans="1:64" s="1808" customFormat="1" ht="13.2" customHeight="1">
      <c r="C12" s="92"/>
      <c r="D12" s="3430"/>
      <c r="E12" s="3430"/>
      <c r="F12" s="3430"/>
      <c r="G12" s="3430"/>
      <c r="H12" s="3430"/>
      <c r="I12" s="3430"/>
      <c r="J12" s="3430"/>
      <c r="K12" s="3430"/>
      <c r="L12" s="3430"/>
      <c r="M12" s="3430"/>
      <c r="N12" s="3430"/>
      <c r="O12" s="3430"/>
      <c r="P12" s="3430"/>
      <c r="Q12" s="3430"/>
      <c r="R12" s="3430"/>
      <c r="S12" s="3430"/>
      <c r="T12" s="3430"/>
      <c r="U12" s="3430"/>
      <c r="V12" s="3430"/>
      <c r="W12" s="3430"/>
      <c r="X12" s="1805"/>
      <c r="AF12" s="1809"/>
      <c r="AG12" s="1809"/>
      <c r="BL12" s="80"/>
    </row>
    <row r="13" spans="1:64">
      <c r="A13" s="1604"/>
      <c r="D13" s="1788" t="s">
        <v>1395</v>
      </c>
      <c r="E13" s="1736"/>
      <c r="F13" s="1736"/>
      <c r="G13" s="1736"/>
      <c r="H13" s="1736"/>
      <c r="I13" s="1736"/>
      <c r="J13" s="1736"/>
      <c r="K13" s="1736"/>
      <c r="L13" s="1736"/>
      <c r="M13" s="1736"/>
      <c r="N13" s="1736"/>
      <c r="O13" s="1736"/>
      <c r="P13" s="1736"/>
      <c r="Q13" s="1736"/>
      <c r="R13" s="1736"/>
      <c r="S13" s="1736"/>
      <c r="T13" s="1736"/>
      <c r="U13" s="1736"/>
      <c r="V13" s="1736"/>
      <c r="W13" s="1736"/>
      <c r="X13" s="1805"/>
    </row>
    <row r="14" spans="1:64" s="1788" customFormat="1">
      <c r="C14" s="92"/>
      <c r="D14" s="1748" t="s">
        <v>2466</v>
      </c>
      <c r="X14" s="1805"/>
      <c r="AF14" s="1789"/>
      <c r="AG14" s="1789"/>
      <c r="BL14" s="80"/>
    </row>
    <row r="15" spans="1:64" s="1788" customFormat="1" ht="13.2" customHeight="1">
      <c r="C15" s="92"/>
      <c r="D15" s="1748" t="s">
        <v>2467</v>
      </c>
      <c r="E15" s="1795"/>
      <c r="F15" s="1795"/>
      <c r="G15" s="1795"/>
      <c r="H15" s="1795"/>
      <c r="I15" s="1795"/>
      <c r="J15" s="1795"/>
      <c r="K15" s="1795"/>
      <c r="L15" s="1795"/>
      <c r="M15" s="1795"/>
      <c r="N15" s="1795"/>
      <c r="O15" s="1795"/>
      <c r="P15" s="1795"/>
      <c r="Q15" s="1795"/>
      <c r="R15" s="1795"/>
      <c r="S15" s="1795"/>
      <c r="T15" s="1795"/>
      <c r="U15" s="1795"/>
      <c r="V15" s="1795"/>
      <c r="W15" s="1795"/>
      <c r="X15" s="1805"/>
      <c r="AF15" s="1789"/>
      <c r="AG15" s="1789"/>
      <c r="BL15" s="80"/>
    </row>
    <row r="16" spans="1:64" s="1788" customFormat="1">
      <c r="C16" s="92"/>
      <c r="D16" s="1742" t="s">
        <v>1854</v>
      </c>
      <c r="E16" s="1795"/>
      <c r="G16" s="1795"/>
      <c r="L16" s="1795"/>
      <c r="M16" s="1795"/>
      <c r="N16" s="1795"/>
      <c r="O16" s="1795"/>
      <c r="Q16" s="1795"/>
      <c r="R16" s="1795"/>
      <c r="S16" s="1795"/>
      <c r="U16" s="1795"/>
      <c r="V16" s="1795"/>
      <c r="W16" s="1795"/>
      <c r="X16" s="1805"/>
      <c r="AF16" s="1789"/>
      <c r="AG16" s="1789"/>
      <c r="BL16" s="80"/>
    </row>
    <row r="17" spans="1:64" s="1801" customFormat="1">
      <c r="C17" s="92"/>
      <c r="E17" s="1795"/>
      <c r="G17" s="1795"/>
      <c r="H17" s="1795"/>
      <c r="I17" s="1795"/>
      <c r="J17" s="1795"/>
      <c r="K17" s="1795"/>
      <c r="L17" s="1795"/>
      <c r="M17" s="1795"/>
      <c r="N17" s="1795"/>
      <c r="O17" s="1795"/>
      <c r="P17" s="1795"/>
      <c r="Q17" s="1795"/>
      <c r="R17" s="1795"/>
      <c r="S17" s="1795"/>
      <c r="T17" s="1795"/>
      <c r="U17" s="1795"/>
      <c r="V17" s="1795"/>
      <c r="W17" s="1795"/>
      <c r="X17" s="1805"/>
      <c r="AF17" s="1802"/>
      <c r="AG17" s="1802"/>
      <c r="BL17" s="80"/>
    </row>
    <row r="18" spans="1:64" s="1801" customFormat="1">
      <c r="B18" s="2470"/>
      <c r="C18" s="92"/>
      <c r="D18" s="79" t="s">
        <v>2469</v>
      </c>
      <c r="E18" s="1795"/>
      <c r="G18" s="1795"/>
      <c r="H18" s="1795"/>
      <c r="I18" s="1795"/>
      <c r="J18" s="1795"/>
      <c r="K18" s="1795"/>
      <c r="L18" s="1795"/>
      <c r="M18" s="1795"/>
      <c r="N18" s="1795"/>
      <c r="O18" s="1795"/>
      <c r="P18" s="1795"/>
      <c r="Q18" s="1795"/>
      <c r="R18" s="1795"/>
      <c r="S18" s="1795"/>
      <c r="T18" s="1795"/>
      <c r="U18" s="1795"/>
      <c r="V18" s="1795"/>
      <c r="W18" s="1795"/>
      <c r="X18" s="1805"/>
      <c r="AF18" s="1802"/>
      <c r="AG18" s="1802"/>
      <c r="BL18" s="80"/>
    </row>
    <row r="19" spans="1:64" s="1801" customFormat="1">
      <c r="C19" s="92"/>
      <c r="D19" s="2896" t="s">
        <v>2470</v>
      </c>
      <c r="E19" s="1795"/>
      <c r="G19" s="1795"/>
      <c r="H19" s="1795"/>
      <c r="I19" s="1795"/>
      <c r="J19" s="1795"/>
      <c r="K19" s="1795"/>
      <c r="L19" s="1795"/>
      <c r="M19" s="1795"/>
      <c r="N19" s="1795"/>
      <c r="O19" s="1795"/>
      <c r="P19" s="1795"/>
      <c r="Q19" s="1795"/>
      <c r="R19" s="1795"/>
      <c r="S19" s="1795"/>
      <c r="T19" s="1795"/>
      <c r="U19" s="1795"/>
      <c r="V19" s="1795"/>
      <c r="W19" s="1795"/>
      <c r="X19" s="1805"/>
      <c r="AF19" s="1802"/>
      <c r="AG19" s="1802"/>
      <c r="BL19" s="80"/>
    </row>
    <row r="20" spans="1:64" s="2896" customFormat="1">
      <c r="C20" s="92"/>
      <c r="D20" s="2896" t="s">
        <v>2476</v>
      </c>
      <c r="E20" s="1795"/>
      <c r="G20" s="1795"/>
      <c r="H20" s="1795"/>
      <c r="I20" s="1795"/>
      <c r="J20" s="1795"/>
      <c r="K20" s="1795"/>
      <c r="L20" s="1795"/>
      <c r="M20" s="1795"/>
      <c r="N20" s="1795"/>
      <c r="O20" s="1795"/>
      <c r="P20" s="1795"/>
      <c r="Q20" s="1795"/>
      <c r="R20" s="1795"/>
      <c r="S20" s="1795"/>
      <c r="T20" s="1795"/>
      <c r="U20" s="1795"/>
      <c r="V20" s="1795"/>
      <c r="W20" s="1795"/>
      <c r="X20" s="2893"/>
      <c r="AF20" s="2891"/>
      <c r="AG20" s="2891"/>
      <c r="BL20" s="80"/>
    </row>
    <row r="21" spans="1:64" s="2545" customFormat="1">
      <c r="C21" s="92"/>
      <c r="D21" s="1748"/>
      <c r="E21" s="1795"/>
      <c r="G21" s="1795"/>
      <c r="H21" s="1795"/>
      <c r="I21" s="1795"/>
      <c r="J21" s="1795"/>
      <c r="K21" s="1795"/>
      <c r="L21" s="1795"/>
      <c r="M21" s="1795"/>
      <c r="N21" s="1795"/>
      <c r="O21" s="1795"/>
      <c r="P21" s="1795"/>
      <c r="Q21" s="1795"/>
      <c r="R21" s="1795"/>
      <c r="S21" s="1795"/>
      <c r="T21" s="1795"/>
      <c r="U21" s="1795"/>
      <c r="V21" s="1795"/>
      <c r="W21" s="1795"/>
      <c r="X21" s="2552"/>
      <c r="AF21" s="2547"/>
      <c r="AG21" s="2547"/>
      <c r="BL21" s="80"/>
    </row>
    <row r="22" spans="1:64" s="2269" customFormat="1">
      <c r="C22" s="92"/>
      <c r="D22" s="2545" t="s">
        <v>1885</v>
      </c>
      <c r="E22" s="1795"/>
      <c r="G22" s="1795"/>
      <c r="H22" s="1795"/>
      <c r="I22" s="1795"/>
      <c r="J22" s="1795"/>
      <c r="K22" s="1795"/>
      <c r="L22" s="1795"/>
      <c r="M22" s="1795"/>
      <c r="N22" s="1795"/>
      <c r="O22" s="1795"/>
      <c r="P22" s="1795"/>
      <c r="Q22" s="1795"/>
      <c r="R22" s="1795"/>
      <c r="S22" s="1795"/>
      <c r="T22" s="1795"/>
      <c r="U22" s="1795"/>
      <c r="V22" s="1795"/>
      <c r="W22" s="1795"/>
      <c r="X22" s="2272"/>
      <c r="AF22" s="2273"/>
      <c r="AG22" s="2273"/>
      <c r="BL22" s="80"/>
    </row>
    <row r="23" spans="1:64" s="2269" customFormat="1">
      <c r="C23" s="92"/>
      <c r="D23" s="133" t="s">
        <v>2471</v>
      </c>
      <c r="E23" s="1795"/>
      <c r="G23" s="1795"/>
      <c r="H23" s="1795"/>
      <c r="I23" s="1795"/>
      <c r="J23" s="1795"/>
      <c r="K23" s="1795"/>
      <c r="L23" s="1795"/>
      <c r="M23" s="1795"/>
      <c r="N23" s="1795"/>
      <c r="O23" s="1795"/>
      <c r="P23" s="1795"/>
      <c r="Q23" s="1795"/>
      <c r="R23" s="1795"/>
      <c r="S23" s="1795"/>
      <c r="T23" s="1795"/>
      <c r="U23" s="1795"/>
      <c r="V23" s="1795"/>
      <c r="W23" s="1795"/>
      <c r="X23" s="2272"/>
      <c r="Y23" s="2574" t="s">
        <v>1901</v>
      </c>
      <c r="AF23" s="2273"/>
      <c r="AG23" s="2273"/>
      <c r="BL23" s="80"/>
    </row>
    <row r="24" spans="1:64" s="2464" customFormat="1">
      <c r="C24" s="92"/>
      <c r="D24" s="133" t="s">
        <v>1886</v>
      </c>
      <c r="M24" s="2575" t="s">
        <v>1666</v>
      </c>
      <c r="N24" s="1644" t="s">
        <v>1879</v>
      </c>
      <c r="P24" s="1899"/>
      <c r="R24" s="1899" t="s">
        <v>1666</v>
      </c>
      <c r="S24" s="1644" t="s">
        <v>1891</v>
      </c>
      <c r="X24" s="2463"/>
      <c r="AF24" s="2465"/>
      <c r="AG24" s="2465"/>
      <c r="BL24" s="80"/>
    </row>
    <row r="25" spans="1:64" s="1730" customFormat="1" ht="13.2" customHeight="1">
      <c r="C25" s="92"/>
      <c r="D25" s="2464"/>
      <c r="L25" s="2464" t="s">
        <v>1881</v>
      </c>
      <c r="M25" s="2575" t="s">
        <v>1666</v>
      </c>
      <c r="N25" s="1644" t="s">
        <v>1882</v>
      </c>
      <c r="O25" s="2546" t="s">
        <v>1883</v>
      </c>
      <c r="P25" s="2546" t="s">
        <v>1884</v>
      </c>
      <c r="Q25" s="2545"/>
      <c r="R25" s="1899" t="s">
        <v>1666</v>
      </c>
      <c r="S25" s="1644" t="s">
        <v>1880</v>
      </c>
      <c r="T25" s="1153"/>
      <c r="U25" s="1153"/>
      <c r="V25" s="1153"/>
      <c r="X25" s="1805"/>
      <c r="AF25" s="1731"/>
      <c r="AG25" s="1731"/>
      <c r="BL25" s="80"/>
    </row>
    <row r="26" spans="1:64" s="2464" customFormat="1" ht="13.2" customHeight="1">
      <c r="C26" s="92"/>
      <c r="M26" s="2576" t="s">
        <v>1666</v>
      </c>
      <c r="N26" s="2573" t="s">
        <v>1887</v>
      </c>
      <c r="O26" s="2558" t="s">
        <v>1888</v>
      </c>
      <c r="P26" s="2558" t="s">
        <v>1889</v>
      </c>
      <c r="Q26" s="2558" t="s">
        <v>1890</v>
      </c>
      <c r="R26" s="2572" t="s">
        <v>1666</v>
      </c>
      <c r="S26" s="2573" t="s">
        <v>2472</v>
      </c>
      <c r="T26" s="1153"/>
      <c r="U26" s="2572"/>
      <c r="V26" s="1153"/>
      <c r="X26" s="2463"/>
      <c r="AF26" s="2465"/>
      <c r="AG26" s="2465"/>
      <c r="BL26" s="80"/>
    </row>
    <row r="27" spans="1:64" s="1730" customFormat="1" ht="13.2" customHeight="1">
      <c r="C27" s="92"/>
      <c r="D27" s="1729"/>
      <c r="E27" s="1729"/>
      <c r="F27" s="1729"/>
      <c r="G27" s="1729"/>
      <c r="H27" s="1729"/>
      <c r="I27" s="1729"/>
      <c r="J27" s="1729"/>
      <c r="K27" s="1729"/>
      <c r="L27" s="1729"/>
      <c r="X27" s="1805"/>
      <c r="AF27" s="1731"/>
      <c r="AG27" s="1731"/>
      <c r="BL27" s="80"/>
    </row>
    <row r="28" spans="1:64">
      <c r="A28" s="1704" t="s">
        <v>2010</v>
      </c>
      <c r="B28" s="1842"/>
      <c r="C28" s="93"/>
      <c r="D28" s="79" t="s">
        <v>2473</v>
      </c>
      <c r="E28" s="79"/>
      <c r="F28" s="79"/>
      <c r="G28" s="79"/>
      <c r="H28" s="79"/>
      <c r="I28" s="79"/>
      <c r="J28" s="79"/>
      <c r="K28" s="1730"/>
      <c r="L28" s="1730"/>
      <c r="M28" s="1730"/>
      <c r="N28" s="1730"/>
      <c r="O28" s="1730"/>
      <c r="P28" s="1730"/>
      <c r="Q28" s="1730"/>
      <c r="R28" s="1730"/>
      <c r="S28" s="1730"/>
      <c r="T28" s="1730"/>
      <c r="U28" s="1730"/>
      <c r="V28" s="1730"/>
      <c r="W28" s="1730"/>
      <c r="X28" s="1805"/>
    </row>
    <row r="29" spans="1:64" s="1730" customFormat="1">
      <c r="C29" s="92"/>
      <c r="D29" s="1730" t="s">
        <v>1464</v>
      </c>
      <c r="X29" s="1805"/>
      <c r="AF29" s="1731"/>
      <c r="AG29" s="1731"/>
      <c r="BL29" s="80"/>
    </row>
    <row r="30" spans="1:64">
      <c r="A30" s="1604"/>
      <c r="D30" s="3620" t="s">
        <v>1465</v>
      </c>
      <c r="E30" s="3620"/>
      <c r="F30" s="3620"/>
      <c r="G30" s="3620"/>
      <c r="H30" s="3620"/>
      <c r="I30" s="3620"/>
      <c r="J30" s="3620"/>
      <c r="K30" s="3620"/>
      <c r="L30" s="3620"/>
      <c r="M30" s="3620"/>
      <c r="N30" s="3620"/>
      <c r="O30" s="3620"/>
      <c r="P30" s="3620"/>
      <c r="Q30" s="3620"/>
      <c r="R30" s="3620"/>
      <c r="S30" s="3620"/>
      <c r="T30" s="3620"/>
      <c r="U30" s="3620"/>
      <c r="V30" s="3620"/>
      <c r="W30" s="3620"/>
      <c r="X30" s="1805"/>
    </row>
    <row r="31" spans="1:64">
      <c r="A31" s="1604"/>
      <c r="D31" s="3620"/>
      <c r="E31" s="3620"/>
      <c r="F31" s="3620"/>
      <c r="G31" s="3620"/>
      <c r="H31" s="3620"/>
      <c r="I31" s="3620"/>
      <c r="J31" s="3620"/>
      <c r="K31" s="3620"/>
      <c r="L31" s="3620"/>
      <c r="M31" s="3620"/>
      <c r="N31" s="3620"/>
      <c r="O31" s="3620"/>
      <c r="P31" s="3620"/>
      <c r="Q31" s="3620"/>
      <c r="R31" s="3620"/>
      <c r="S31" s="3620"/>
      <c r="T31" s="3620"/>
      <c r="U31" s="3620"/>
      <c r="V31" s="3620"/>
      <c r="W31" s="3620"/>
      <c r="X31" s="1805"/>
    </row>
    <row r="32" spans="1:64">
      <c r="A32" s="1604"/>
      <c r="D32" s="3620" t="s">
        <v>1844</v>
      </c>
      <c r="E32" s="3620"/>
      <c r="F32" s="3620"/>
      <c r="G32" s="3620"/>
      <c r="H32" s="3620"/>
      <c r="I32" s="3620"/>
      <c r="J32" s="3620"/>
      <c r="K32" s="3620"/>
      <c r="L32" s="3620"/>
      <c r="M32" s="3620"/>
      <c r="N32" s="3620"/>
      <c r="O32" s="3620"/>
      <c r="P32" s="3620"/>
      <c r="Q32" s="3620"/>
      <c r="R32" s="3620"/>
      <c r="S32" s="3620"/>
      <c r="T32" s="3620"/>
      <c r="U32" s="3620"/>
      <c r="V32" s="3620"/>
      <c r="W32" s="3620"/>
      <c r="X32" s="1805"/>
    </row>
    <row r="33" spans="1:64">
      <c r="A33" s="1604"/>
      <c r="D33" s="3620"/>
      <c r="E33" s="3620"/>
      <c r="F33" s="3620"/>
      <c r="G33" s="3620"/>
      <c r="H33" s="3620"/>
      <c r="I33" s="3620"/>
      <c r="J33" s="3620"/>
      <c r="K33" s="3620"/>
      <c r="L33" s="3620"/>
      <c r="M33" s="3620"/>
      <c r="N33" s="3620"/>
      <c r="O33" s="3620"/>
      <c r="P33" s="3620"/>
      <c r="Q33" s="3620"/>
      <c r="R33" s="3620"/>
      <c r="S33" s="3620"/>
      <c r="T33" s="3620"/>
      <c r="U33" s="3620"/>
      <c r="V33" s="3620"/>
      <c r="W33" s="3620"/>
      <c r="X33" s="1805"/>
    </row>
    <row r="34" spans="1:64" s="1730" customFormat="1">
      <c r="C34" s="92"/>
      <c r="D34" s="3620"/>
      <c r="E34" s="3620"/>
      <c r="F34" s="3620"/>
      <c r="G34" s="3620"/>
      <c r="H34" s="3620"/>
      <c r="I34" s="3620"/>
      <c r="J34" s="3620"/>
      <c r="K34" s="3620"/>
      <c r="L34" s="3620"/>
      <c r="M34" s="3620"/>
      <c r="N34" s="3620"/>
      <c r="O34" s="3620"/>
      <c r="P34" s="3620"/>
      <c r="Q34" s="3620"/>
      <c r="R34" s="3620"/>
      <c r="S34" s="3620"/>
      <c r="T34" s="3620"/>
      <c r="U34" s="3620"/>
      <c r="V34" s="3620"/>
      <c r="W34" s="3620"/>
      <c r="X34" s="1805"/>
      <c r="AF34" s="1731"/>
      <c r="AG34" s="1731"/>
      <c r="BL34" s="80"/>
    </row>
    <row r="35" spans="1:64" s="2269" customFormat="1">
      <c r="C35" s="92"/>
      <c r="D35" s="3620"/>
      <c r="E35" s="3620"/>
      <c r="F35" s="3620"/>
      <c r="G35" s="3620"/>
      <c r="H35" s="3620"/>
      <c r="I35" s="3620"/>
      <c r="J35" s="3620"/>
      <c r="K35" s="3620"/>
      <c r="L35" s="3620"/>
      <c r="M35" s="3620"/>
      <c r="N35" s="3620"/>
      <c r="O35" s="3620"/>
      <c r="P35" s="3620"/>
      <c r="Q35" s="3620"/>
      <c r="R35" s="3620"/>
      <c r="S35" s="3620"/>
      <c r="T35" s="3620"/>
      <c r="U35" s="3620"/>
      <c r="V35" s="3620"/>
      <c r="W35" s="3620"/>
      <c r="X35" s="2272"/>
      <c r="AF35" s="2273"/>
      <c r="AG35" s="2273"/>
      <c r="BL35" s="80"/>
    </row>
    <row r="36" spans="1:64" s="1730" customFormat="1">
      <c r="C36" s="92"/>
      <c r="D36" s="1740" t="s">
        <v>1845</v>
      </c>
      <c r="E36" s="1733"/>
      <c r="F36" s="1733"/>
      <c r="G36" s="1733"/>
      <c r="H36" s="1733"/>
      <c r="I36" s="1733"/>
      <c r="J36" s="1733"/>
      <c r="K36" s="1733"/>
      <c r="L36" s="1733"/>
      <c r="M36" s="1733"/>
      <c r="N36" s="1733"/>
      <c r="O36" s="1733"/>
      <c r="P36" s="1733"/>
      <c r="Q36" s="1733"/>
      <c r="R36" s="1733"/>
      <c r="S36" s="1733"/>
      <c r="T36" s="1733"/>
      <c r="U36" s="1733"/>
      <c r="V36" s="1733"/>
      <c r="W36" s="1733"/>
      <c r="X36" s="1805"/>
      <c r="AF36" s="1731"/>
      <c r="AG36" s="1731"/>
      <c r="BL36" s="80"/>
    </row>
    <row r="37" spans="1:64" s="1730" customFormat="1">
      <c r="C37" s="92"/>
      <c r="D37" s="1746" t="s">
        <v>2475</v>
      </c>
      <c r="E37" s="1739"/>
      <c r="F37" s="1733"/>
      <c r="G37" s="1733"/>
      <c r="H37" s="1733"/>
      <c r="I37" s="1733"/>
      <c r="J37" s="1733"/>
      <c r="K37" s="1733"/>
      <c r="L37" s="1733"/>
      <c r="M37" s="1733"/>
      <c r="N37" s="1733"/>
      <c r="O37" s="1733"/>
      <c r="P37" s="1733"/>
      <c r="Q37" s="1733"/>
      <c r="R37" s="1733"/>
      <c r="S37" s="1733"/>
      <c r="T37" s="1733"/>
      <c r="U37" s="1733"/>
      <c r="V37" s="1733"/>
      <c r="W37" s="1733"/>
      <c r="X37" s="1805"/>
      <c r="AF37" s="1731"/>
      <c r="AG37" s="1731"/>
      <c r="BL37" s="80"/>
    </row>
    <row r="38" spans="1:64" s="1730" customFormat="1">
      <c r="C38" s="92"/>
      <c r="D38" s="1746" t="s">
        <v>2474</v>
      </c>
      <c r="E38" s="1739"/>
      <c r="F38" s="1739"/>
      <c r="G38" s="1739"/>
      <c r="H38" s="1739"/>
      <c r="I38" s="1739"/>
      <c r="J38" s="1739"/>
      <c r="K38" s="1733"/>
      <c r="L38" s="1733"/>
      <c r="M38" s="1733"/>
      <c r="N38" s="1733"/>
      <c r="O38" s="1733"/>
      <c r="P38" s="1733"/>
      <c r="Q38" s="1733"/>
      <c r="R38" s="1733"/>
      <c r="S38" s="1733"/>
      <c r="T38" s="1733"/>
      <c r="U38" s="1733"/>
      <c r="V38" s="1733"/>
      <c r="W38" s="1733"/>
      <c r="X38" s="1805"/>
      <c r="Y38" s="3321" t="s">
        <v>2477</v>
      </c>
      <c r="Z38" s="3321"/>
      <c r="AA38" s="3321"/>
      <c r="AB38" s="3321"/>
      <c r="AF38" s="1731"/>
      <c r="AG38" s="1731"/>
      <c r="BL38" s="80"/>
    </row>
    <row r="39" spans="1:64" s="1730" customFormat="1">
      <c r="C39" s="92"/>
      <c r="D39" s="1746" t="s">
        <v>1469</v>
      </c>
      <c r="E39" s="1733"/>
      <c r="F39" s="1733"/>
      <c r="G39" s="1733"/>
      <c r="H39" s="1733"/>
      <c r="I39" s="1733"/>
      <c r="J39" s="1733"/>
      <c r="K39" s="1733"/>
      <c r="L39" s="1733"/>
      <c r="M39" s="1733"/>
      <c r="N39" s="1733"/>
      <c r="O39" s="1733"/>
      <c r="P39" s="1733"/>
      <c r="Q39" s="1733"/>
      <c r="R39" s="1733"/>
      <c r="S39" s="1733"/>
      <c r="T39" s="1733"/>
      <c r="U39" s="1733"/>
      <c r="V39" s="1733"/>
      <c r="W39" s="1733"/>
      <c r="X39" s="1805"/>
      <c r="Y39" s="3321"/>
      <c r="Z39" s="3321"/>
      <c r="AA39" s="3321"/>
      <c r="AB39" s="3321"/>
      <c r="AF39" s="1731"/>
      <c r="AG39" s="1731"/>
      <c r="BL39" s="80"/>
    </row>
    <row r="40" spans="1:64" s="1730" customFormat="1">
      <c r="C40" s="92"/>
      <c r="D40" s="1629"/>
      <c r="E40" s="1733"/>
      <c r="F40" s="1733"/>
      <c r="G40" s="1733"/>
      <c r="H40" s="1733"/>
      <c r="I40" s="1733"/>
      <c r="J40" s="1733"/>
      <c r="K40" s="1733"/>
      <c r="L40" s="1733"/>
      <c r="M40" s="1733"/>
      <c r="N40" s="1733"/>
      <c r="O40" s="1733"/>
      <c r="P40" s="1733"/>
      <c r="Q40" s="1733"/>
      <c r="R40" s="1733"/>
      <c r="S40" s="1733"/>
      <c r="T40" s="1733"/>
      <c r="U40" s="1733"/>
      <c r="V40" s="1733"/>
      <c r="W40" s="1733"/>
      <c r="X40" s="1805"/>
      <c r="AF40" s="1731"/>
      <c r="AG40" s="1731"/>
      <c r="BL40" s="80"/>
    </row>
    <row r="41" spans="1:64" s="1730" customFormat="1">
      <c r="C41" s="92"/>
      <c r="D41" s="1740" t="s">
        <v>2478</v>
      </c>
      <c r="E41" s="1733"/>
      <c r="F41" s="1733"/>
      <c r="G41" s="1733"/>
      <c r="H41" s="1733"/>
      <c r="I41" s="1733"/>
      <c r="J41" s="1733"/>
      <c r="K41" s="1733"/>
      <c r="L41" s="1733"/>
      <c r="M41" s="1733"/>
      <c r="N41" s="1733"/>
      <c r="O41" s="1733"/>
      <c r="P41" s="1733"/>
      <c r="Q41" s="1733"/>
      <c r="R41" s="1733"/>
      <c r="S41" s="1733"/>
      <c r="T41" s="1733"/>
      <c r="U41" s="1733"/>
      <c r="V41" s="1733"/>
      <c r="W41" s="1733"/>
      <c r="X41" s="1805"/>
      <c r="AF41" s="1731"/>
      <c r="AG41" s="1731"/>
      <c r="BL41" s="80"/>
    </row>
    <row r="42" spans="1:64" ht="13.2" customHeight="1">
      <c r="A42" s="1604"/>
      <c r="D42" s="3620" t="s">
        <v>2009</v>
      </c>
      <c r="E42" s="3620"/>
      <c r="F42" s="3620"/>
      <c r="G42" s="3620"/>
      <c r="H42" s="3620"/>
      <c r="I42" s="3620"/>
      <c r="J42" s="3620"/>
      <c r="K42" s="3620"/>
      <c r="L42" s="3620"/>
      <c r="M42" s="3620"/>
      <c r="N42" s="3620"/>
      <c r="O42" s="3620"/>
      <c r="P42" s="3620"/>
      <c r="Q42" s="3620"/>
      <c r="R42" s="3620"/>
      <c r="S42" s="3620"/>
      <c r="T42" s="3620"/>
      <c r="U42" s="3620"/>
      <c r="V42" s="3620"/>
      <c r="W42" s="3620"/>
      <c r="X42" s="1805"/>
    </row>
    <row r="43" spans="1:64">
      <c r="A43" s="1604"/>
      <c r="D43" s="3620"/>
      <c r="E43" s="3620"/>
      <c r="F43" s="3620"/>
      <c r="G43" s="3620"/>
      <c r="H43" s="3620"/>
      <c r="I43" s="3620"/>
      <c r="J43" s="3620"/>
      <c r="K43" s="3620"/>
      <c r="L43" s="3620"/>
      <c r="M43" s="3620"/>
      <c r="N43" s="3620"/>
      <c r="O43" s="3620"/>
      <c r="P43" s="3620"/>
      <c r="Q43" s="3620"/>
      <c r="R43" s="3620"/>
      <c r="S43" s="3620"/>
      <c r="T43" s="3620"/>
      <c r="U43" s="3620"/>
      <c r="V43" s="3620"/>
      <c r="W43" s="3620"/>
      <c r="X43" s="1805"/>
    </row>
    <row r="44" spans="1:64" s="1801" customFormat="1">
      <c r="C44" s="92"/>
      <c r="D44" s="2466" t="s">
        <v>1846</v>
      </c>
      <c r="E44" s="2278"/>
      <c r="F44" s="2278"/>
      <c r="G44" s="2278"/>
      <c r="H44" s="2278"/>
      <c r="I44" s="2278"/>
      <c r="J44" s="2278"/>
      <c r="K44" s="2278"/>
      <c r="L44" s="2278"/>
      <c r="M44" s="2278"/>
      <c r="N44" s="2278"/>
      <c r="O44" s="2278"/>
      <c r="P44" s="2278"/>
      <c r="Q44" s="2278"/>
      <c r="R44" s="2278"/>
      <c r="S44" s="2278"/>
      <c r="T44" s="2278"/>
      <c r="U44" s="2278"/>
      <c r="V44" s="2278"/>
      <c r="W44" s="2278"/>
      <c r="X44" s="1805"/>
      <c r="AF44" s="1802"/>
      <c r="AG44" s="1802"/>
      <c r="BL44" s="80"/>
    </row>
    <row r="45" spans="1:64" s="1801" customFormat="1">
      <c r="C45" s="92"/>
      <c r="D45" s="3620" t="s">
        <v>1536</v>
      </c>
      <c r="E45" s="3620"/>
      <c r="F45" s="3620"/>
      <c r="G45" s="3620"/>
      <c r="H45" s="3620"/>
      <c r="I45" s="3620"/>
      <c r="J45" s="3620"/>
      <c r="K45" s="3620"/>
      <c r="L45" s="3620"/>
      <c r="M45" s="3620"/>
      <c r="N45" s="3620"/>
      <c r="O45" s="3620"/>
      <c r="P45" s="3620"/>
      <c r="Q45" s="3620"/>
      <c r="R45" s="3620"/>
      <c r="S45" s="3620"/>
      <c r="T45" s="3620"/>
      <c r="U45" s="3620"/>
      <c r="V45" s="3620"/>
      <c r="W45" s="3620"/>
      <c r="X45" s="1805"/>
      <c r="AF45" s="1802"/>
      <c r="AG45" s="1802"/>
      <c r="BL45" s="80"/>
    </row>
    <row r="46" spans="1:64" s="1730" customFormat="1">
      <c r="C46" s="92"/>
      <c r="D46" s="3620"/>
      <c r="E46" s="3620"/>
      <c r="F46" s="3620"/>
      <c r="G46" s="3620"/>
      <c r="H46" s="3620"/>
      <c r="I46" s="3620"/>
      <c r="J46" s="3620"/>
      <c r="K46" s="3620"/>
      <c r="L46" s="3620"/>
      <c r="M46" s="3620"/>
      <c r="N46" s="3620"/>
      <c r="O46" s="3620"/>
      <c r="P46" s="3620"/>
      <c r="Q46" s="3620"/>
      <c r="R46" s="3620"/>
      <c r="S46" s="3620"/>
      <c r="T46" s="3620"/>
      <c r="U46" s="3620"/>
      <c r="V46" s="3620"/>
      <c r="W46" s="3620"/>
      <c r="X46" s="1805"/>
      <c r="AF46" s="1731"/>
      <c r="AG46" s="1731"/>
      <c r="BL46" s="80"/>
    </row>
    <row r="47" spans="1:64" s="1801" customFormat="1">
      <c r="C47" s="92"/>
      <c r="D47" s="1803"/>
      <c r="E47" s="1803"/>
      <c r="F47" s="1803"/>
      <c r="G47" s="1803"/>
      <c r="H47" s="1803"/>
      <c r="I47" s="1803"/>
      <c r="J47" s="1803"/>
      <c r="K47" s="1803"/>
      <c r="L47" s="1803"/>
      <c r="M47" s="1803"/>
      <c r="N47" s="1803"/>
      <c r="O47" s="1803"/>
      <c r="P47" s="1803"/>
      <c r="Q47" s="1803"/>
      <c r="R47" s="1803"/>
      <c r="S47" s="1803"/>
      <c r="T47" s="1803"/>
      <c r="U47" s="1803"/>
      <c r="V47" s="1803"/>
      <c r="W47" s="1803"/>
      <c r="X47" s="1805"/>
      <c r="AF47" s="1802"/>
      <c r="AG47" s="1802"/>
      <c r="BL47" s="80"/>
    </row>
    <row r="48" spans="1:64">
      <c r="A48" s="1604"/>
      <c r="B48" s="2623" t="s">
        <v>1861</v>
      </c>
      <c r="C48" s="1893"/>
      <c r="D48" s="3624" t="s">
        <v>2479</v>
      </c>
      <c r="E48" s="3624"/>
      <c r="F48" s="3624"/>
      <c r="G48" s="3624"/>
      <c r="H48" s="3624"/>
      <c r="I48" s="3624"/>
      <c r="J48" s="3624"/>
      <c r="K48" s="3624"/>
      <c r="L48" s="3624"/>
      <c r="M48" s="3624"/>
      <c r="N48" s="3624"/>
      <c r="O48" s="3624"/>
      <c r="P48" s="3624"/>
      <c r="Q48" s="3624"/>
      <c r="R48" s="3624"/>
      <c r="S48" s="3624"/>
      <c r="T48" s="3624"/>
      <c r="U48" s="3624"/>
      <c r="V48" s="3624"/>
      <c r="W48" s="3624"/>
      <c r="X48" s="2551"/>
    </row>
    <row r="49" spans="1:64" s="1801" customFormat="1">
      <c r="B49" s="2605"/>
      <c r="C49" s="1892"/>
      <c r="D49" s="3625"/>
      <c r="E49" s="3625"/>
      <c r="F49" s="3625"/>
      <c r="G49" s="3625"/>
      <c r="H49" s="3625"/>
      <c r="I49" s="3625"/>
      <c r="J49" s="3625"/>
      <c r="K49" s="3625"/>
      <c r="L49" s="3625"/>
      <c r="M49" s="3625"/>
      <c r="N49" s="3625"/>
      <c r="O49" s="3625"/>
      <c r="P49" s="3625"/>
      <c r="Q49" s="3625"/>
      <c r="R49" s="3625"/>
      <c r="S49" s="3625"/>
      <c r="T49" s="3625"/>
      <c r="U49" s="3625"/>
      <c r="V49" s="3625"/>
      <c r="W49" s="3625"/>
      <c r="X49" s="2550"/>
      <c r="AF49" s="1802"/>
      <c r="AG49" s="1802"/>
      <c r="BL49" s="80"/>
    </row>
    <row r="50" spans="1:64">
      <c r="A50" s="1604"/>
    </row>
    <row r="51" spans="1:64">
      <c r="A51" s="1604"/>
    </row>
    <row r="52" spans="1:64" s="1730" customFormat="1">
      <c r="A52" s="1252" t="s">
        <v>1613</v>
      </c>
      <c r="B52" s="102"/>
      <c r="C52" s="93"/>
      <c r="D52" s="79" t="s">
        <v>2480</v>
      </c>
      <c r="X52" s="1809"/>
      <c r="AF52" s="1731"/>
      <c r="AG52" s="1731"/>
      <c r="BL52" s="80"/>
    </row>
    <row r="53" spans="1:64" s="92" customFormat="1" ht="13.2" customHeight="1">
      <c r="A53" s="1190"/>
      <c r="B53" s="93"/>
      <c r="C53" s="93"/>
      <c r="D53" s="3419" t="s">
        <v>1683</v>
      </c>
      <c r="E53" s="3419"/>
      <c r="F53" s="3419"/>
      <c r="G53" s="3419"/>
      <c r="H53" s="3419"/>
      <c r="I53" s="3419"/>
      <c r="J53" s="3419"/>
      <c r="K53" s="3419"/>
      <c r="L53" s="3419"/>
      <c r="M53" s="3419"/>
      <c r="N53" s="3419"/>
      <c r="O53" s="3419"/>
      <c r="P53" s="3419"/>
      <c r="Q53" s="3419"/>
      <c r="S53" s="2467" t="s">
        <v>1849</v>
      </c>
      <c r="T53" s="1742" t="s">
        <v>1850</v>
      </c>
      <c r="V53" s="1732"/>
      <c r="W53" s="1732"/>
      <c r="X53" s="109"/>
      <c r="AF53" s="109"/>
      <c r="AG53" s="109"/>
      <c r="BL53" s="2425"/>
    </row>
    <row r="54" spans="1:64" s="92" customFormat="1">
      <c r="A54" s="1190"/>
      <c r="B54" s="93"/>
      <c r="C54" s="93"/>
      <c r="D54" s="3419"/>
      <c r="E54" s="3419"/>
      <c r="F54" s="3419"/>
      <c r="G54" s="3419"/>
      <c r="H54" s="3419"/>
      <c r="I54" s="3419"/>
      <c r="J54" s="3419"/>
      <c r="K54" s="3419"/>
      <c r="L54" s="3419"/>
      <c r="M54" s="3419"/>
      <c r="N54" s="3419"/>
      <c r="O54" s="3419"/>
      <c r="P54" s="3419"/>
      <c r="Q54" s="3419"/>
      <c r="R54" s="1732"/>
      <c r="S54" s="2467" t="s">
        <v>1847</v>
      </c>
      <c r="T54" s="1742" t="s">
        <v>1851</v>
      </c>
      <c r="V54" s="1732"/>
      <c r="W54" s="1732"/>
      <c r="X54" s="109"/>
      <c r="Y54" s="1730"/>
      <c r="AF54" s="109"/>
      <c r="AG54" s="109"/>
      <c r="BL54" s="2425"/>
    </row>
    <row r="55" spans="1:64" s="92" customFormat="1">
      <c r="A55" s="1190"/>
      <c r="B55" s="93"/>
      <c r="C55" s="93"/>
      <c r="D55" s="1644" t="s">
        <v>1684</v>
      </c>
      <c r="E55" s="1863"/>
      <c r="F55" s="1863"/>
      <c r="G55" s="1863"/>
      <c r="H55" s="1863"/>
      <c r="I55" s="1863"/>
      <c r="J55" s="1863"/>
      <c r="K55" s="1863"/>
      <c r="L55" s="1863"/>
      <c r="M55" s="1863"/>
      <c r="N55" s="1863"/>
      <c r="O55" s="1863"/>
      <c r="P55" s="1863"/>
      <c r="Q55" s="1644"/>
      <c r="R55" s="1644"/>
      <c r="S55" s="2467" t="s">
        <v>1848</v>
      </c>
      <c r="T55" s="1742" t="s">
        <v>1852</v>
      </c>
      <c r="V55" s="1644"/>
      <c r="W55" s="1644"/>
      <c r="X55" s="109"/>
      <c r="Y55" s="1730"/>
      <c r="AF55" s="109"/>
      <c r="AG55" s="109"/>
      <c r="BL55" s="2425"/>
    </row>
    <row r="56" spans="1:64" s="92" customFormat="1">
      <c r="A56" s="1190"/>
      <c r="B56" s="93"/>
      <c r="C56" s="93"/>
      <c r="E56" s="1732"/>
      <c r="F56" s="1732"/>
      <c r="G56" s="1732"/>
      <c r="H56" s="1732"/>
      <c r="I56" s="1732"/>
      <c r="J56" s="1732"/>
      <c r="K56" s="1732"/>
      <c r="L56" s="1732"/>
      <c r="M56" s="1732"/>
      <c r="N56" s="1732"/>
      <c r="O56" s="1732"/>
      <c r="P56" s="1732"/>
      <c r="Q56" s="1644"/>
      <c r="R56" s="1644"/>
      <c r="S56" s="1644"/>
      <c r="V56" s="1644"/>
      <c r="W56" s="1644"/>
      <c r="X56" s="109"/>
      <c r="Y56" s="1808"/>
      <c r="AF56" s="109"/>
      <c r="AG56" s="109"/>
      <c r="BL56" s="2425"/>
    </row>
    <row r="57" spans="1:64" s="92" customFormat="1">
      <c r="A57" s="1190"/>
      <c r="B57" s="93"/>
      <c r="C57" s="93"/>
      <c r="D57" s="1644" t="s">
        <v>1467</v>
      </c>
      <c r="E57" s="1732"/>
      <c r="F57" s="1732"/>
      <c r="G57" s="1732"/>
      <c r="H57" s="1732"/>
      <c r="I57" s="1732"/>
      <c r="J57" s="1732"/>
      <c r="K57" s="1732"/>
      <c r="L57" s="1732"/>
      <c r="M57" s="1732"/>
      <c r="N57" s="1732"/>
      <c r="O57" s="1732"/>
      <c r="P57" s="1732"/>
      <c r="Q57" s="1732"/>
      <c r="R57" s="1732"/>
      <c r="S57" s="1732"/>
      <c r="T57" s="1732"/>
      <c r="U57" s="1732"/>
      <c r="V57" s="1732"/>
      <c r="W57" s="1732"/>
      <c r="X57" s="109"/>
      <c r="AF57" s="109"/>
      <c r="AG57" s="109"/>
      <c r="BL57" s="2425"/>
    </row>
    <row r="58" spans="1:64" s="92" customFormat="1">
      <c r="A58" s="1190"/>
      <c r="B58" s="93"/>
      <c r="C58" s="93"/>
      <c r="D58" s="3304" t="s">
        <v>1555</v>
      </c>
      <c r="E58" s="3304"/>
      <c r="F58" s="3304"/>
      <c r="G58" s="3304"/>
      <c r="H58" s="3304"/>
      <c r="I58" s="3304"/>
      <c r="J58" s="3304"/>
      <c r="K58" s="3304"/>
      <c r="L58" s="3304"/>
      <c r="M58" s="3304"/>
      <c r="N58" s="3304"/>
      <c r="O58" s="3304"/>
      <c r="P58" s="3304"/>
      <c r="Q58" s="3304"/>
      <c r="R58" s="3304"/>
      <c r="S58" s="3304"/>
      <c r="T58" s="3304"/>
      <c r="U58" s="3304"/>
      <c r="V58" s="3304"/>
      <c r="W58" s="3304"/>
      <c r="X58" s="109"/>
      <c r="AF58" s="109"/>
      <c r="AG58" s="109"/>
      <c r="BL58" s="2425"/>
    </row>
    <row r="59" spans="1:64" s="92" customFormat="1">
      <c r="A59" s="1190"/>
      <c r="B59" s="93"/>
      <c r="C59" s="93"/>
      <c r="D59" s="3304"/>
      <c r="E59" s="3304"/>
      <c r="F59" s="3304"/>
      <c r="G59" s="3304"/>
      <c r="H59" s="3304"/>
      <c r="I59" s="3304"/>
      <c r="J59" s="3304"/>
      <c r="K59" s="3304"/>
      <c r="L59" s="3304"/>
      <c r="M59" s="3304"/>
      <c r="N59" s="3304"/>
      <c r="O59" s="3304"/>
      <c r="P59" s="3304"/>
      <c r="Q59" s="3304"/>
      <c r="R59" s="3304"/>
      <c r="S59" s="3304"/>
      <c r="T59" s="3304"/>
      <c r="U59" s="3304"/>
      <c r="V59" s="3304"/>
      <c r="W59" s="3304"/>
      <c r="X59" s="109"/>
      <c r="AF59" s="109"/>
      <c r="AG59" s="109"/>
      <c r="BL59" s="2425"/>
    </row>
    <row r="60" spans="1:64" s="92" customFormat="1">
      <c r="A60" s="1190"/>
      <c r="B60" s="93"/>
      <c r="C60" s="93"/>
      <c r="D60" s="3304" t="s">
        <v>1622</v>
      </c>
      <c r="E60" s="3304"/>
      <c r="F60" s="3304"/>
      <c r="G60" s="3304"/>
      <c r="H60" s="3304"/>
      <c r="I60" s="3304"/>
      <c r="J60" s="3304"/>
      <c r="K60" s="3304"/>
      <c r="L60" s="3304"/>
      <c r="M60" s="3304"/>
      <c r="N60" s="3304"/>
      <c r="O60" s="3304"/>
      <c r="P60" s="3304"/>
      <c r="Q60" s="3304"/>
      <c r="R60" s="3304"/>
      <c r="S60" s="3304"/>
      <c r="T60" s="3304"/>
      <c r="U60" s="3304"/>
      <c r="V60" s="3304"/>
      <c r="W60" s="3304"/>
      <c r="X60" s="109"/>
      <c r="Y60" s="1841" t="s">
        <v>1475</v>
      </c>
      <c r="AF60" s="109"/>
      <c r="AG60" s="109"/>
      <c r="BL60" s="2425"/>
    </row>
    <row r="61" spans="1:64" s="92" customFormat="1">
      <c r="A61" s="1190"/>
      <c r="B61" s="93"/>
      <c r="C61" s="93"/>
      <c r="D61" s="3304"/>
      <c r="E61" s="3304"/>
      <c r="F61" s="3304"/>
      <c r="G61" s="3304"/>
      <c r="H61" s="3304"/>
      <c r="I61" s="3304"/>
      <c r="J61" s="3304"/>
      <c r="K61" s="3304"/>
      <c r="L61" s="3304"/>
      <c r="M61" s="3304"/>
      <c r="N61" s="3304"/>
      <c r="O61" s="3304"/>
      <c r="P61" s="3304"/>
      <c r="Q61" s="3304"/>
      <c r="R61" s="3304"/>
      <c r="S61" s="3304"/>
      <c r="T61" s="3304"/>
      <c r="U61" s="3304"/>
      <c r="V61" s="3304"/>
      <c r="W61" s="3304"/>
      <c r="X61" s="109"/>
      <c r="Y61" s="1866" t="s">
        <v>1623</v>
      </c>
      <c r="AF61" s="109"/>
      <c r="AG61" s="109"/>
      <c r="BL61" s="2425"/>
    </row>
    <row r="62" spans="1:64" s="92" customFormat="1">
      <c r="A62" s="1190"/>
      <c r="B62" s="93"/>
      <c r="C62" s="93"/>
      <c r="D62" s="1644" t="s">
        <v>1556</v>
      </c>
      <c r="X62" s="109"/>
      <c r="AF62" s="109"/>
      <c r="AG62" s="109"/>
      <c r="BL62" s="2425"/>
    </row>
    <row r="63" spans="1:64" s="92" customFormat="1">
      <c r="A63" s="1190"/>
      <c r="B63" s="93"/>
      <c r="C63" s="93"/>
      <c r="D63" s="1644" t="s">
        <v>1466</v>
      </c>
      <c r="X63" s="109"/>
      <c r="AF63" s="109"/>
      <c r="AG63" s="109"/>
      <c r="BL63" s="2425"/>
    </row>
    <row r="64" spans="1:64" s="92" customFormat="1">
      <c r="A64" s="1190"/>
      <c r="B64" s="93"/>
      <c r="C64" s="93"/>
      <c r="D64" s="1644"/>
      <c r="X64" s="109"/>
      <c r="AF64" s="109"/>
      <c r="AG64" s="109"/>
      <c r="BL64" s="2425"/>
    </row>
    <row r="65" spans="1:64" s="92" customFormat="1">
      <c r="A65" s="1190"/>
      <c r="B65" s="93"/>
      <c r="C65" s="93"/>
      <c r="D65" s="1741" t="s">
        <v>2481</v>
      </c>
      <c r="Q65" s="93" t="s">
        <v>2484</v>
      </c>
      <c r="R65" s="1766"/>
      <c r="S65" s="1283"/>
      <c r="T65" s="1283"/>
      <c r="U65" s="1283"/>
      <c r="V65" s="1283"/>
      <c r="W65" s="1283"/>
      <c r="X65" s="109"/>
      <c r="AF65" s="109"/>
      <c r="AG65" s="109"/>
      <c r="BL65" s="2425"/>
    </row>
    <row r="66" spans="1:64" s="92" customFormat="1" ht="13.2" customHeight="1">
      <c r="A66" s="1190"/>
      <c r="B66" s="93"/>
      <c r="C66" s="93"/>
      <c r="D66" s="2269" t="s">
        <v>1853</v>
      </c>
      <c r="Q66" s="3430" t="s">
        <v>1515</v>
      </c>
      <c r="R66" s="3430"/>
      <c r="S66" s="3430"/>
      <c r="T66" s="3430"/>
      <c r="U66" s="3430"/>
      <c r="V66" s="3430"/>
      <c r="W66" s="3307"/>
      <c r="X66" s="109"/>
      <c r="AF66" s="109"/>
      <c r="AG66" s="109"/>
      <c r="BL66" s="2425"/>
    </row>
    <row r="67" spans="1:64" s="92" customFormat="1">
      <c r="A67" s="1190"/>
      <c r="B67" s="93"/>
      <c r="C67" s="93"/>
      <c r="D67" s="1748" t="s">
        <v>2482</v>
      </c>
      <c r="Q67" s="3430"/>
      <c r="R67" s="3430"/>
      <c r="S67" s="3430"/>
      <c r="T67" s="3430"/>
      <c r="U67" s="3430"/>
      <c r="V67" s="3430"/>
      <c r="W67" s="3307"/>
      <c r="X67" s="109"/>
      <c r="AF67" s="109"/>
      <c r="AG67" s="109"/>
      <c r="BL67" s="2425"/>
    </row>
    <row r="68" spans="1:64" s="92" customFormat="1">
      <c r="A68" s="1190"/>
      <c r="B68" s="93"/>
      <c r="C68" s="93"/>
      <c r="D68" s="1748" t="s">
        <v>2483</v>
      </c>
      <c r="Q68" s="3430"/>
      <c r="R68" s="3430"/>
      <c r="S68" s="3430"/>
      <c r="T68" s="3430"/>
      <c r="U68" s="3430"/>
      <c r="V68" s="3430"/>
      <c r="W68" s="3307"/>
      <c r="X68" s="109"/>
      <c r="Y68" s="1154"/>
      <c r="AF68" s="109"/>
      <c r="AG68" s="109"/>
      <c r="BL68" s="2425"/>
    </row>
    <row r="69" spans="1:64" s="92" customFormat="1">
      <c r="A69" s="1190"/>
      <c r="B69" s="93"/>
      <c r="C69" s="93"/>
      <c r="D69" s="1644"/>
      <c r="Q69" s="3430"/>
      <c r="R69" s="3430"/>
      <c r="S69" s="3430"/>
      <c r="T69" s="3430"/>
      <c r="U69" s="3430"/>
      <c r="V69" s="3430"/>
      <c r="W69" s="3307"/>
      <c r="X69" s="109"/>
      <c r="AF69" s="109"/>
      <c r="AG69" s="109"/>
      <c r="BL69" s="2425"/>
    </row>
    <row r="70" spans="1:64" s="92" customFormat="1">
      <c r="A70" s="1190"/>
      <c r="B70" s="93"/>
      <c r="C70" s="93"/>
      <c r="D70" s="1596" t="s">
        <v>1355</v>
      </c>
      <c r="E70" s="1596"/>
      <c r="F70" s="1596"/>
      <c r="G70" s="1596" t="s">
        <v>99</v>
      </c>
      <c r="H70" s="1596" t="s">
        <v>1356</v>
      </c>
      <c r="I70" s="1640"/>
      <c r="J70" s="1596" t="s">
        <v>1355</v>
      </c>
      <c r="K70" s="1596"/>
      <c r="L70" s="1596"/>
      <c r="M70" s="1596" t="s">
        <v>99</v>
      </c>
      <c r="N70" s="1596" t="s">
        <v>1356</v>
      </c>
      <c r="R70" s="1283"/>
      <c r="S70" s="1283"/>
      <c r="T70" s="1283"/>
      <c r="U70" s="1283"/>
      <c r="V70" s="1283"/>
      <c r="W70" s="1283"/>
      <c r="X70" s="109"/>
      <c r="AF70" s="109"/>
      <c r="AG70" s="109"/>
      <c r="BL70" s="2425"/>
    </row>
    <row r="71" spans="1:64" s="92" customFormat="1" ht="13.2" customHeight="1">
      <c r="A71" s="1190"/>
      <c r="B71" s="93"/>
      <c r="C71" s="93"/>
      <c r="D71" s="1604" t="s">
        <v>1357</v>
      </c>
      <c r="E71" s="1604"/>
      <c r="F71" s="1604"/>
      <c r="G71" s="1604" t="s">
        <v>311</v>
      </c>
      <c r="H71" s="1604" t="s">
        <v>310</v>
      </c>
      <c r="I71" s="1640"/>
      <c r="J71" s="1641" t="s">
        <v>1362</v>
      </c>
      <c r="K71" s="1105"/>
      <c r="L71" s="1105"/>
      <c r="M71" s="1641" t="s">
        <v>452</v>
      </c>
      <c r="N71" s="1105" t="s">
        <v>334</v>
      </c>
      <c r="Q71" s="1808" t="s">
        <v>1395</v>
      </c>
      <c r="R71" s="1806"/>
      <c r="S71" s="1806"/>
      <c r="T71" s="1806"/>
      <c r="U71" s="1806"/>
      <c r="V71" s="1806"/>
      <c r="W71" s="1806"/>
      <c r="X71" s="109"/>
      <c r="AF71" s="109"/>
      <c r="AG71" s="109"/>
      <c r="BL71" s="2425"/>
    </row>
    <row r="72" spans="1:64" s="92" customFormat="1">
      <c r="A72" s="1190"/>
      <c r="B72" s="93"/>
      <c r="C72" s="93"/>
      <c r="D72" s="107" t="s">
        <v>1358</v>
      </c>
      <c r="E72" s="107"/>
      <c r="F72" s="107"/>
      <c r="G72" s="107" t="s">
        <v>309</v>
      </c>
      <c r="H72" s="107" t="s">
        <v>308</v>
      </c>
      <c r="I72" s="1640"/>
      <c r="J72" s="1640" t="s">
        <v>1363</v>
      </c>
      <c r="K72" s="1604"/>
      <c r="L72" s="1604"/>
      <c r="M72" s="1640" t="s">
        <v>120</v>
      </c>
      <c r="N72" s="1604" t="s">
        <v>119</v>
      </c>
      <c r="Q72" s="3621" t="s">
        <v>1396</v>
      </c>
      <c r="R72" s="3621"/>
      <c r="S72" s="3621"/>
      <c r="T72" s="3621"/>
      <c r="U72" s="3621"/>
      <c r="V72" s="3621"/>
      <c r="W72" s="3440"/>
      <c r="X72" s="109"/>
      <c r="AF72" s="109"/>
      <c r="AG72" s="109"/>
      <c r="BL72" s="2425"/>
    </row>
    <row r="73" spans="1:64" s="92" customFormat="1">
      <c r="A73" s="1190"/>
      <c r="B73" s="93"/>
      <c r="C73" s="93"/>
      <c r="D73" s="1604"/>
      <c r="E73" s="1604"/>
      <c r="F73" s="1604"/>
      <c r="G73" s="1604" t="s">
        <v>1359</v>
      </c>
      <c r="H73" s="1604" t="s">
        <v>312</v>
      </c>
      <c r="I73" s="1640"/>
      <c r="J73" s="1640"/>
      <c r="K73" s="1604"/>
      <c r="L73" s="1604"/>
      <c r="M73" s="1640" t="s">
        <v>332</v>
      </c>
      <c r="N73" s="1604" t="s">
        <v>333</v>
      </c>
      <c r="Q73" s="3621"/>
      <c r="R73" s="3621"/>
      <c r="S73" s="3621"/>
      <c r="T73" s="3621"/>
      <c r="U73" s="3621"/>
      <c r="V73" s="3621"/>
      <c r="W73" s="3440"/>
      <c r="X73" s="109"/>
      <c r="AF73" s="109"/>
      <c r="AG73" s="109"/>
      <c r="BL73" s="2425"/>
    </row>
    <row r="74" spans="1:64" s="92" customFormat="1" ht="13.2" customHeight="1">
      <c r="A74" s="1190"/>
      <c r="B74" s="93"/>
      <c r="C74" s="93"/>
      <c r="D74" s="1526"/>
      <c r="E74" s="1526"/>
      <c r="F74" s="1526"/>
      <c r="G74" s="1526" t="s">
        <v>313</v>
      </c>
      <c r="H74" s="1526" t="s">
        <v>314</v>
      </c>
      <c r="I74" s="1640"/>
      <c r="J74" s="1640" t="s">
        <v>1364</v>
      </c>
      <c r="K74" s="1604"/>
      <c r="L74" s="1604"/>
      <c r="M74" s="1640" t="s">
        <v>125</v>
      </c>
      <c r="N74" s="1604" t="s">
        <v>111</v>
      </c>
      <c r="Q74" s="3621"/>
      <c r="R74" s="3621"/>
      <c r="S74" s="3621"/>
      <c r="T74" s="3621"/>
      <c r="U74" s="3621"/>
      <c r="V74" s="3621"/>
      <c r="W74" s="3440"/>
      <c r="X74" s="109"/>
      <c r="AF74" s="109"/>
      <c r="AG74" s="109"/>
      <c r="BL74" s="2425"/>
    </row>
    <row r="75" spans="1:64" s="92" customFormat="1" ht="13.2" customHeight="1">
      <c r="A75" s="1190"/>
      <c r="B75" s="93"/>
      <c r="C75" s="93"/>
      <c r="D75" s="1604" t="s">
        <v>1360</v>
      </c>
      <c r="E75" s="1604"/>
      <c r="F75" s="1604"/>
      <c r="G75" s="1604" t="s">
        <v>106</v>
      </c>
      <c r="H75" s="1604" t="s">
        <v>107</v>
      </c>
      <c r="I75" s="1640"/>
      <c r="J75" s="1640"/>
      <c r="K75" s="1604"/>
      <c r="L75" s="1604"/>
      <c r="M75" s="1640" t="s">
        <v>1365</v>
      </c>
      <c r="N75" s="1604" t="s">
        <v>335</v>
      </c>
      <c r="Q75" s="3622" t="s">
        <v>1624</v>
      </c>
      <c r="R75" s="3622"/>
      <c r="S75" s="3622"/>
      <c r="T75" s="3622"/>
      <c r="U75" s="3622"/>
      <c r="V75" s="3622"/>
      <c r="W75" s="3623"/>
      <c r="X75" s="109"/>
      <c r="AF75" s="109"/>
      <c r="AG75" s="109"/>
      <c r="BL75" s="2425"/>
    </row>
    <row r="76" spans="1:64" s="92" customFormat="1">
      <c r="A76" s="1190"/>
      <c r="B76" s="93"/>
      <c r="C76" s="93"/>
      <c r="D76" s="1604"/>
      <c r="E76" s="1604"/>
      <c r="F76" s="1604"/>
      <c r="G76" s="1604" t="s">
        <v>121</v>
      </c>
      <c r="H76" s="1604" t="s">
        <v>67</v>
      </c>
      <c r="I76" s="1640"/>
      <c r="J76" s="1640"/>
      <c r="K76" s="1604"/>
      <c r="L76" s="1604"/>
      <c r="M76" s="1640" t="s">
        <v>1366</v>
      </c>
      <c r="N76" s="1604" t="s">
        <v>114</v>
      </c>
      <c r="P76" s="1734"/>
      <c r="Q76" s="3622"/>
      <c r="R76" s="3622"/>
      <c r="S76" s="3622"/>
      <c r="T76" s="3622"/>
      <c r="U76" s="3622"/>
      <c r="V76" s="3622"/>
      <c r="W76" s="3623"/>
      <c r="X76" s="109"/>
      <c r="AF76" s="109"/>
      <c r="AG76" s="109"/>
      <c r="BL76" s="2425"/>
    </row>
    <row r="77" spans="1:64" s="92" customFormat="1">
      <c r="A77" s="1190"/>
      <c r="B77" s="93"/>
      <c r="C77" s="93"/>
      <c r="D77" s="1604"/>
      <c r="E77" s="1604"/>
      <c r="F77" s="1604"/>
      <c r="G77" s="1604" t="s">
        <v>118</v>
      </c>
      <c r="H77" s="1604" t="s">
        <v>68</v>
      </c>
      <c r="I77" s="1640"/>
      <c r="J77" s="1642" t="s">
        <v>1367</v>
      </c>
      <c r="K77" s="1607"/>
      <c r="L77" s="1607"/>
      <c r="M77" s="1642" t="s">
        <v>112</v>
      </c>
      <c r="N77" s="1607" t="s">
        <v>113</v>
      </c>
      <c r="P77" s="1734"/>
      <c r="Q77" s="3622"/>
      <c r="R77" s="3622"/>
      <c r="S77" s="3622"/>
      <c r="T77" s="3622"/>
      <c r="U77" s="3622"/>
      <c r="V77" s="3622"/>
      <c r="W77" s="3623"/>
      <c r="X77" s="109"/>
      <c r="AF77" s="109"/>
      <c r="AG77" s="109"/>
      <c r="BL77" s="2425"/>
    </row>
    <row r="78" spans="1:64" s="92" customFormat="1">
      <c r="A78" s="1190"/>
      <c r="B78" s="93"/>
      <c r="C78" s="93"/>
      <c r="D78" s="107" t="s">
        <v>1361</v>
      </c>
      <c r="E78" s="107"/>
      <c r="F78" s="107"/>
      <c r="G78" s="107" t="s">
        <v>109</v>
      </c>
      <c r="H78" s="107" t="s">
        <v>69</v>
      </c>
      <c r="I78" s="1640"/>
      <c r="J78" s="1642" t="s">
        <v>1368</v>
      </c>
      <c r="K78" s="1607"/>
      <c r="L78" s="1607"/>
      <c r="M78" s="1642" t="s">
        <v>337</v>
      </c>
      <c r="N78" s="1607" t="s">
        <v>336</v>
      </c>
      <c r="Q78" s="3622"/>
      <c r="R78" s="3622"/>
      <c r="S78" s="3622"/>
      <c r="T78" s="3622"/>
      <c r="U78" s="3622"/>
      <c r="V78" s="3622"/>
      <c r="W78" s="3623"/>
      <c r="X78" s="109"/>
      <c r="AF78" s="109"/>
      <c r="AG78" s="109"/>
      <c r="BL78" s="2425"/>
    </row>
    <row r="79" spans="1:64" s="92" customFormat="1">
      <c r="A79" s="1190"/>
      <c r="B79" s="93"/>
      <c r="C79" s="93"/>
      <c r="D79" s="1604"/>
      <c r="E79" s="1604"/>
      <c r="F79" s="1604"/>
      <c r="G79" s="1604" t="s">
        <v>115</v>
      </c>
      <c r="H79" s="1604" t="s">
        <v>70</v>
      </c>
      <c r="I79" s="1640"/>
      <c r="J79" s="1640"/>
      <c r="K79" s="1604"/>
      <c r="L79" s="1604"/>
      <c r="M79" s="1640" t="s">
        <v>338</v>
      </c>
      <c r="N79" s="1604" t="s">
        <v>331</v>
      </c>
      <c r="Q79" s="3622"/>
      <c r="R79" s="3622"/>
      <c r="S79" s="3622"/>
      <c r="T79" s="3622"/>
      <c r="U79" s="3622"/>
      <c r="V79" s="3622"/>
      <c r="W79" s="3623"/>
      <c r="X79" s="109"/>
      <c r="AF79" s="109"/>
      <c r="AG79" s="109"/>
      <c r="BL79" s="2425"/>
    </row>
    <row r="80" spans="1:64" s="92" customFormat="1">
      <c r="A80" s="1190"/>
      <c r="B80" s="93"/>
      <c r="C80" s="93"/>
      <c r="D80" s="90"/>
      <c r="E80" s="90"/>
      <c r="F80" s="90"/>
      <c r="G80" s="90" t="s">
        <v>124</v>
      </c>
      <c r="H80" s="90" t="s">
        <v>71</v>
      </c>
      <c r="I80" s="1640"/>
      <c r="J80" s="1643" t="s">
        <v>1369</v>
      </c>
      <c r="K80" s="1603"/>
      <c r="L80" s="1603"/>
      <c r="M80" s="1643" t="s">
        <v>339</v>
      </c>
      <c r="N80" s="1603" t="s">
        <v>1370</v>
      </c>
      <c r="Q80" s="3622"/>
      <c r="R80" s="3622"/>
      <c r="S80" s="3622"/>
      <c r="T80" s="3622"/>
      <c r="U80" s="3622"/>
      <c r="V80" s="3622"/>
      <c r="W80" s="3623"/>
      <c r="X80" s="109"/>
      <c r="AF80" s="109"/>
      <c r="AG80" s="109"/>
      <c r="BL80" s="2425"/>
    </row>
    <row r="81" spans="1:64" s="92" customFormat="1">
      <c r="A81" s="1190"/>
      <c r="B81" s="93"/>
      <c r="C81" s="93"/>
      <c r="D81" s="1644" t="s">
        <v>1408</v>
      </c>
      <c r="E81" s="1640"/>
      <c r="F81" s="1640"/>
      <c r="G81" s="1640"/>
      <c r="H81" s="1645" t="s">
        <v>1407</v>
      </c>
      <c r="I81" s="1640"/>
      <c r="J81" s="1643" t="s">
        <v>1371</v>
      </c>
      <c r="K81" s="1603"/>
      <c r="L81" s="1603"/>
      <c r="M81" s="1643" t="s">
        <v>329</v>
      </c>
      <c r="N81" s="1603" t="s">
        <v>1370</v>
      </c>
      <c r="Q81" s="3626" t="s">
        <v>1625</v>
      </c>
      <c r="R81" s="3626"/>
      <c r="S81" s="3626"/>
      <c r="T81" s="3626"/>
      <c r="U81" s="3626"/>
      <c r="V81" s="3626"/>
      <c r="W81" s="3626"/>
      <c r="X81" s="109"/>
      <c r="Y81" s="1840" t="s">
        <v>1611</v>
      </c>
      <c r="AF81" s="109"/>
      <c r="AG81" s="109"/>
      <c r="BL81" s="2425"/>
    </row>
    <row r="82" spans="1:64" s="92" customFormat="1">
      <c r="A82" s="1190"/>
      <c r="B82" s="93"/>
      <c r="C82" s="93"/>
      <c r="D82" s="1640"/>
      <c r="E82" s="1640"/>
      <c r="F82" s="1640"/>
      <c r="G82" s="1640"/>
      <c r="H82" s="1640"/>
      <c r="I82" s="1640"/>
      <c r="J82" s="1640"/>
      <c r="K82" s="1640"/>
      <c r="L82" s="1604"/>
      <c r="M82" s="1604"/>
      <c r="N82" s="1604"/>
      <c r="Q82" s="3626"/>
      <c r="R82" s="3626"/>
      <c r="S82" s="3626"/>
      <c r="T82" s="3626"/>
      <c r="U82" s="3626"/>
      <c r="V82" s="3626"/>
      <c r="W82" s="3626"/>
      <c r="X82" s="109"/>
      <c r="AF82" s="109"/>
      <c r="AG82" s="109"/>
      <c r="BL82" s="2425"/>
    </row>
    <row r="83" spans="1:64">
      <c r="E83" s="1640"/>
      <c r="F83" s="1640"/>
      <c r="G83" s="1640"/>
      <c r="H83" s="1640"/>
      <c r="I83" s="1640"/>
      <c r="J83" s="1640"/>
      <c r="K83" s="1640"/>
    </row>
    <row r="84" spans="1:64">
      <c r="A84" s="1252" t="s">
        <v>1374</v>
      </c>
      <c r="B84" s="102"/>
      <c r="C84" s="93"/>
      <c r="D84" s="2896" t="s">
        <v>2485</v>
      </c>
    </row>
    <row r="85" spans="1:64" s="92" customFormat="1">
      <c r="A85" s="1190"/>
      <c r="B85" s="93"/>
      <c r="C85" s="93"/>
      <c r="D85" s="92" t="s">
        <v>2487</v>
      </c>
      <c r="E85" s="1646" t="s">
        <v>2486</v>
      </c>
      <c r="X85" s="109"/>
      <c r="AF85" s="109"/>
      <c r="AG85" s="109"/>
      <c r="BL85" s="2425"/>
    </row>
    <row r="86" spans="1:64" s="92" customFormat="1">
      <c r="A86" s="1190"/>
      <c r="B86" s="93"/>
      <c r="C86" s="93"/>
      <c r="E86" s="3621" t="s">
        <v>2488</v>
      </c>
      <c r="F86" s="3430"/>
      <c r="G86" s="3430"/>
      <c r="H86" s="3430"/>
      <c r="I86" s="3430"/>
      <c r="J86" s="3430"/>
      <c r="K86" s="3430"/>
      <c r="L86" s="3430"/>
      <c r="M86" s="3430"/>
      <c r="N86" s="3430"/>
      <c r="O86" s="3430"/>
      <c r="X86" s="109"/>
      <c r="AF86" s="109"/>
      <c r="AG86" s="109"/>
      <c r="BL86" s="2425"/>
    </row>
    <row r="87" spans="1:64" s="92" customFormat="1">
      <c r="A87" s="1190"/>
      <c r="B87" s="93"/>
      <c r="C87" s="93"/>
      <c r="E87" s="3430"/>
      <c r="F87" s="3430"/>
      <c r="G87" s="3430"/>
      <c r="H87" s="3430"/>
      <c r="I87" s="3430"/>
      <c r="J87" s="3430"/>
      <c r="K87" s="3430"/>
      <c r="L87" s="3430"/>
      <c r="M87" s="3430"/>
      <c r="N87" s="3430"/>
      <c r="O87" s="3430"/>
      <c r="R87" s="1604"/>
      <c r="S87" s="1604"/>
      <c r="T87" s="1604"/>
      <c r="X87" s="109"/>
      <c r="AF87" s="109"/>
      <c r="AG87" s="109"/>
      <c r="BL87" s="2425"/>
    </row>
    <row r="88" spans="1:64" s="92" customFormat="1">
      <c r="A88" s="1190"/>
      <c r="B88" s="93"/>
      <c r="C88" s="93"/>
      <c r="E88" s="133" t="s">
        <v>2489</v>
      </c>
      <c r="Q88" s="2896" t="s">
        <v>2490</v>
      </c>
      <c r="X88" s="109"/>
      <c r="Y88" s="1647" t="s">
        <v>327</v>
      </c>
      <c r="AF88" s="109"/>
      <c r="AG88" s="109"/>
      <c r="BL88" s="2425"/>
    </row>
    <row r="89" spans="1:64">
      <c r="A89" s="1648"/>
      <c r="B89" s="1648"/>
      <c r="C89" s="1845"/>
      <c r="D89" s="1605"/>
      <c r="E89" s="1648"/>
      <c r="F89" s="1605"/>
      <c r="G89" s="1649"/>
      <c r="H89" s="1648"/>
      <c r="I89" s="1605"/>
      <c r="J89" s="1648"/>
      <c r="Q89" s="73"/>
    </row>
    <row r="90" spans="1:64">
      <c r="A90" s="1648"/>
      <c r="B90" s="1648"/>
      <c r="C90" s="1845"/>
      <c r="D90" s="1650" t="s">
        <v>98</v>
      </c>
      <c r="E90" s="1651" t="s">
        <v>104</v>
      </c>
      <c r="F90" s="1652" t="s">
        <v>99</v>
      </c>
      <c r="G90" s="1653" t="s">
        <v>1373</v>
      </c>
      <c r="H90" s="1651" t="s">
        <v>104</v>
      </c>
      <c r="I90" s="1652" t="s">
        <v>100</v>
      </c>
      <c r="J90" s="1651" t="s">
        <v>104</v>
      </c>
      <c r="L90" s="2038" t="s">
        <v>101</v>
      </c>
      <c r="M90" s="2039"/>
      <c r="N90" s="1654" t="s">
        <v>1393</v>
      </c>
      <c r="O90" s="2040" t="s">
        <v>104</v>
      </c>
      <c r="Q90" s="73"/>
      <c r="S90" s="143" t="s">
        <v>98</v>
      </c>
      <c r="T90" s="143" t="s">
        <v>1372</v>
      </c>
      <c r="U90" s="1470" t="s">
        <v>1373</v>
      </c>
      <c r="V90" s="1610" t="s">
        <v>100</v>
      </c>
      <c r="W90" s="1530" t="s">
        <v>295</v>
      </c>
    </row>
    <row r="91" spans="1:64">
      <c r="A91" s="1191" t="s">
        <v>502</v>
      </c>
      <c r="B91" s="82" t="s">
        <v>52</v>
      </c>
      <c r="C91" s="77"/>
      <c r="D91" s="1655" t="s">
        <v>69</v>
      </c>
      <c r="E91" s="1656" t="s">
        <v>105</v>
      </c>
      <c r="F91" s="1655" t="s">
        <v>109</v>
      </c>
      <c r="G91" s="1657" t="s">
        <v>69</v>
      </c>
      <c r="H91" s="1656" t="s">
        <v>105</v>
      </c>
      <c r="I91" s="1658" t="s">
        <v>69</v>
      </c>
      <c r="J91" s="1656" t="s">
        <v>105</v>
      </c>
      <c r="K91" s="1605"/>
      <c r="L91" s="1659" t="s">
        <v>69</v>
      </c>
      <c r="M91" s="1660"/>
      <c r="N91" s="1661" t="s">
        <v>1375</v>
      </c>
      <c r="O91" s="1662" t="s">
        <v>1443</v>
      </c>
      <c r="Q91" s="1191" t="s">
        <v>502</v>
      </c>
      <c r="R91" s="1616"/>
      <c r="S91" s="1659" t="s">
        <v>310</v>
      </c>
      <c r="T91" s="1663" t="s">
        <v>311</v>
      </c>
      <c r="U91" s="1664" t="s">
        <v>310</v>
      </c>
      <c r="V91" s="1665" t="s">
        <v>310</v>
      </c>
      <c r="W91" s="1665" t="s">
        <v>310</v>
      </c>
    </row>
    <row r="92" spans="1:64">
      <c r="A92" s="1183" t="s">
        <v>389</v>
      </c>
      <c r="B92" s="83" t="s">
        <v>278</v>
      </c>
      <c r="C92" s="77"/>
      <c r="D92" s="1655" t="s">
        <v>70</v>
      </c>
      <c r="E92" s="1656" t="s">
        <v>105</v>
      </c>
      <c r="F92" s="1655" t="s">
        <v>109</v>
      </c>
      <c r="G92" s="1666" t="s">
        <v>69</v>
      </c>
      <c r="H92" s="1656" t="s">
        <v>116</v>
      </c>
      <c r="I92" s="1655"/>
      <c r="J92" s="1656"/>
      <c r="K92" s="1605"/>
      <c r="L92" s="1667" t="s">
        <v>70</v>
      </c>
      <c r="M92" s="1668"/>
      <c r="N92" s="1669" t="s">
        <v>1390</v>
      </c>
      <c r="O92" s="1670" t="s">
        <v>1391</v>
      </c>
      <c r="Q92" s="1183" t="s">
        <v>389</v>
      </c>
      <c r="R92" s="1606"/>
      <c r="S92" s="1667" t="s">
        <v>308</v>
      </c>
      <c r="T92" s="1672" t="s">
        <v>311</v>
      </c>
      <c r="U92" s="1673" t="s">
        <v>310</v>
      </c>
      <c r="V92" s="1674" t="s">
        <v>310</v>
      </c>
      <c r="W92" s="1670" t="s">
        <v>1736</v>
      </c>
    </row>
    <row r="93" spans="1:64">
      <c r="A93" s="1185" t="s">
        <v>323</v>
      </c>
      <c r="B93" s="1476" t="s">
        <v>772</v>
      </c>
      <c r="C93" s="77"/>
      <c r="D93" s="1675" t="s">
        <v>67</v>
      </c>
      <c r="E93" s="1676" t="s">
        <v>105</v>
      </c>
      <c r="F93" s="1675" t="s">
        <v>106</v>
      </c>
      <c r="G93" s="1677" t="s">
        <v>107</v>
      </c>
      <c r="H93" s="1676" t="s">
        <v>105</v>
      </c>
      <c r="I93" s="1675"/>
      <c r="J93" s="1676"/>
      <c r="K93" s="1605"/>
      <c r="L93" s="1678" t="s">
        <v>67</v>
      </c>
      <c r="M93" s="1679"/>
      <c r="N93" s="1680" t="s">
        <v>1379</v>
      </c>
      <c r="O93" s="1681" t="s">
        <v>1383</v>
      </c>
      <c r="Q93" s="1185" t="s">
        <v>323</v>
      </c>
      <c r="R93" s="1609"/>
      <c r="S93" s="1678" t="s">
        <v>312</v>
      </c>
      <c r="T93" s="1682" t="s">
        <v>313</v>
      </c>
      <c r="U93" s="1683" t="s">
        <v>314</v>
      </c>
      <c r="V93" s="1680" t="s">
        <v>312</v>
      </c>
      <c r="W93" s="1680" t="s">
        <v>312</v>
      </c>
    </row>
    <row r="94" spans="1:64">
      <c r="A94" s="1185" t="s">
        <v>323</v>
      </c>
      <c r="B94" s="1476" t="s">
        <v>773</v>
      </c>
      <c r="C94" s="77"/>
      <c r="D94" s="1079"/>
      <c r="E94" s="1684"/>
      <c r="F94" s="1079"/>
      <c r="G94" s="1685"/>
      <c r="H94" s="1684"/>
      <c r="I94" s="1079"/>
      <c r="J94" s="1684"/>
      <c r="K94" s="1605"/>
      <c r="L94" s="1079" t="s">
        <v>1397</v>
      </c>
      <c r="M94" s="1609"/>
      <c r="N94" s="1615"/>
      <c r="O94" s="1615"/>
      <c r="Q94" s="1185"/>
      <c r="R94" s="1609"/>
      <c r="S94" s="1079"/>
      <c r="T94" s="1617"/>
      <c r="U94" s="1608"/>
      <c r="V94" s="1615"/>
      <c r="W94" s="1615"/>
    </row>
    <row r="95" spans="1:64">
      <c r="A95" s="1185" t="s">
        <v>323</v>
      </c>
      <c r="B95" s="1476" t="s">
        <v>774</v>
      </c>
      <c r="C95" s="77"/>
      <c r="D95" s="1675" t="s">
        <v>111</v>
      </c>
      <c r="E95" s="1676" t="s">
        <v>105</v>
      </c>
      <c r="F95" s="1675" t="s">
        <v>125</v>
      </c>
      <c r="G95" s="1677" t="s">
        <v>111</v>
      </c>
      <c r="H95" s="1676" t="s">
        <v>105</v>
      </c>
      <c r="I95" s="1678" t="s">
        <v>111</v>
      </c>
      <c r="J95" s="1679" t="s">
        <v>105</v>
      </c>
      <c r="K95" s="1605"/>
      <c r="L95" s="1678" t="s">
        <v>111</v>
      </c>
      <c r="M95" s="1679"/>
      <c r="N95" s="1680" t="s">
        <v>1375</v>
      </c>
      <c r="O95" s="1681" t="s">
        <v>1443</v>
      </c>
      <c r="Q95" s="1185"/>
      <c r="R95" s="1609"/>
      <c r="S95" s="1079"/>
      <c r="T95" s="1617"/>
      <c r="U95" s="1608"/>
      <c r="V95" s="1615"/>
      <c r="W95" s="1615"/>
    </row>
    <row r="96" spans="1:64">
      <c r="A96" s="1183" t="s">
        <v>545</v>
      </c>
      <c r="B96" s="83" t="s">
        <v>39</v>
      </c>
      <c r="C96" s="77"/>
      <c r="D96" s="1655" t="s">
        <v>70</v>
      </c>
      <c r="E96" s="1656" t="s">
        <v>122</v>
      </c>
      <c r="F96" s="1655" t="s">
        <v>115</v>
      </c>
      <c r="G96" s="1666" t="s">
        <v>70</v>
      </c>
      <c r="H96" s="1656" t="s">
        <v>105</v>
      </c>
      <c r="I96" s="1658" t="s">
        <v>70</v>
      </c>
      <c r="J96" s="1656" t="s">
        <v>105</v>
      </c>
      <c r="K96" s="1605"/>
      <c r="L96" s="1667" t="s">
        <v>70</v>
      </c>
      <c r="M96" s="1668"/>
      <c r="N96" s="1669" t="s">
        <v>1375</v>
      </c>
      <c r="O96" s="1686" t="s">
        <v>1385</v>
      </c>
      <c r="Q96" s="1183" t="s">
        <v>545</v>
      </c>
      <c r="R96" s="1606"/>
      <c r="S96" s="1667" t="s">
        <v>310</v>
      </c>
      <c r="T96" s="1672" t="s">
        <v>311</v>
      </c>
      <c r="U96" s="1673" t="s">
        <v>310</v>
      </c>
      <c r="V96" s="1674" t="s">
        <v>310</v>
      </c>
      <c r="W96" s="1674" t="s">
        <v>310</v>
      </c>
    </row>
    <row r="97" spans="1:23">
      <c r="A97" s="1183" t="s">
        <v>219</v>
      </c>
      <c r="B97" s="83" t="s">
        <v>53</v>
      </c>
      <c r="C97" s="77"/>
      <c r="D97" s="1655" t="s">
        <v>70</v>
      </c>
      <c r="E97" s="1656" t="s">
        <v>116</v>
      </c>
      <c r="F97" s="1655" t="s">
        <v>115</v>
      </c>
      <c r="G97" s="1666" t="s">
        <v>70</v>
      </c>
      <c r="H97" s="1656" t="s">
        <v>116</v>
      </c>
      <c r="I97" s="1658" t="s">
        <v>69</v>
      </c>
      <c r="J97" s="1656" t="s">
        <v>116</v>
      </c>
      <c r="K97" s="1605"/>
      <c r="L97" s="1667" t="s">
        <v>70</v>
      </c>
      <c r="M97" s="1668"/>
      <c r="N97" s="1669" t="s">
        <v>1378</v>
      </c>
      <c r="O97" s="1674" t="s">
        <v>1387</v>
      </c>
      <c r="Q97" s="1183" t="s">
        <v>219</v>
      </c>
      <c r="R97" s="1606"/>
      <c r="S97" s="1667" t="s">
        <v>71</v>
      </c>
      <c r="T97" s="1672" t="s">
        <v>124</v>
      </c>
      <c r="U97" s="1673" t="s">
        <v>328</v>
      </c>
      <c r="V97" s="1674" t="s">
        <v>70</v>
      </c>
      <c r="W97" s="1674" t="s">
        <v>71</v>
      </c>
    </row>
    <row r="98" spans="1:23">
      <c r="A98" s="1183" t="s">
        <v>73</v>
      </c>
      <c r="B98" s="83" t="s">
        <v>285</v>
      </c>
      <c r="C98" s="77"/>
      <c r="D98" s="1671" t="s">
        <v>70</v>
      </c>
      <c r="E98" s="1687" t="s">
        <v>105</v>
      </c>
      <c r="F98" s="1671" t="s">
        <v>115</v>
      </c>
      <c r="G98" s="1666" t="s">
        <v>70</v>
      </c>
      <c r="H98" s="1687" t="s">
        <v>105</v>
      </c>
      <c r="I98" s="1688"/>
      <c r="J98" s="1689"/>
      <c r="K98" s="1605"/>
      <c r="L98" s="1667" t="s">
        <v>70</v>
      </c>
      <c r="M98" s="1606"/>
      <c r="N98" s="1669" t="s">
        <v>1382</v>
      </c>
      <c r="O98" s="1670" t="s">
        <v>1383</v>
      </c>
      <c r="Q98" s="1183" t="s">
        <v>73</v>
      </c>
      <c r="R98" s="1606"/>
      <c r="S98" s="1667" t="s">
        <v>310</v>
      </c>
      <c r="T98" s="1672" t="s">
        <v>311</v>
      </c>
      <c r="U98" s="1673" t="s">
        <v>310</v>
      </c>
      <c r="V98" s="1674" t="s">
        <v>310</v>
      </c>
      <c r="W98" s="1674" t="s">
        <v>310</v>
      </c>
    </row>
    <row r="99" spans="1:23">
      <c r="A99" s="1183" t="s">
        <v>19</v>
      </c>
      <c r="B99" s="83" t="s">
        <v>287</v>
      </c>
      <c r="C99" s="77"/>
      <c r="D99" s="80"/>
      <c r="E99" s="1690"/>
      <c r="F99" s="80"/>
      <c r="G99" s="1691"/>
      <c r="H99" s="1690"/>
      <c r="I99" s="80"/>
      <c r="J99" s="1690"/>
      <c r="K99" s="1605"/>
      <c r="L99" s="80" t="s">
        <v>1397</v>
      </c>
      <c r="M99" s="1606"/>
      <c r="N99" s="1377"/>
      <c r="O99" s="1377"/>
      <c r="Q99" s="1183" t="s">
        <v>19</v>
      </c>
      <c r="R99" s="1606"/>
      <c r="S99" s="1667" t="s">
        <v>312</v>
      </c>
      <c r="T99" s="1672" t="s">
        <v>309</v>
      </c>
      <c r="U99" s="1673" t="s">
        <v>308</v>
      </c>
      <c r="V99" s="1674" t="s">
        <v>308</v>
      </c>
      <c r="W99" s="1674" t="s">
        <v>308</v>
      </c>
    </row>
    <row r="100" spans="1:23">
      <c r="A100" s="1183" t="s">
        <v>19</v>
      </c>
      <c r="B100" s="1424" t="s">
        <v>288</v>
      </c>
      <c r="C100" s="156"/>
      <c r="D100" s="1655" t="s">
        <v>69</v>
      </c>
      <c r="E100" s="1656" t="s">
        <v>105</v>
      </c>
      <c r="F100" s="1658" t="s">
        <v>118</v>
      </c>
      <c r="G100" s="1666" t="s">
        <v>68</v>
      </c>
      <c r="H100" s="1656" t="s">
        <v>116</v>
      </c>
      <c r="I100" s="1658" t="s">
        <v>69</v>
      </c>
      <c r="J100" s="1668" t="s">
        <v>116</v>
      </c>
      <c r="K100" s="1605"/>
      <c r="L100" s="1667" t="s">
        <v>69</v>
      </c>
      <c r="M100" s="1668"/>
      <c r="N100" s="1669" t="s">
        <v>1376</v>
      </c>
      <c r="O100" s="1670" t="s">
        <v>1389</v>
      </c>
      <c r="Q100" s="1183"/>
      <c r="R100" s="1606"/>
      <c r="S100" s="80"/>
      <c r="T100" s="1618"/>
      <c r="V100" s="1377"/>
      <c r="W100" s="1377"/>
    </row>
    <row r="101" spans="1:23">
      <c r="A101" s="1183" t="s">
        <v>378</v>
      </c>
      <c r="B101" s="83" t="s">
        <v>42</v>
      </c>
      <c r="C101" s="77"/>
      <c r="D101" s="1655" t="s">
        <v>111</v>
      </c>
      <c r="E101" s="1656" t="s">
        <v>105</v>
      </c>
      <c r="F101" s="1655" t="s">
        <v>112</v>
      </c>
      <c r="G101" s="1666" t="s">
        <v>113</v>
      </c>
      <c r="H101" s="1656" t="s">
        <v>105</v>
      </c>
      <c r="I101" s="1655"/>
      <c r="J101" s="1656"/>
      <c r="K101" s="1605"/>
      <c r="L101" s="1667" t="s">
        <v>114</v>
      </c>
      <c r="M101" s="1668"/>
      <c r="N101" s="1692" t="s">
        <v>1381</v>
      </c>
      <c r="O101" s="1670" t="s">
        <v>1383</v>
      </c>
      <c r="Q101" s="1183" t="s">
        <v>378</v>
      </c>
      <c r="R101" s="1606"/>
      <c r="S101" s="1667" t="s">
        <v>114</v>
      </c>
      <c r="T101" s="1672" t="s">
        <v>329</v>
      </c>
      <c r="U101" s="1673" t="s">
        <v>330</v>
      </c>
      <c r="V101" s="1674" t="s">
        <v>114</v>
      </c>
      <c r="W101" s="1674" t="s">
        <v>331</v>
      </c>
    </row>
    <row r="102" spans="1:23">
      <c r="A102" s="1183" t="s">
        <v>503</v>
      </c>
      <c r="B102" s="83" t="s">
        <v>286</v>
      </c>
      <c r="C102" s="77"/>
      <c r="D102" s="1655" t="s">
        <v>71</v>
      </c>
      <c r="E102" s="1656" t="s">
        <v>105</v>
      </c>
      <c r="F102" s="1655" t="s">
        <v>124</v>
      </c>
      <c r="G102" s="1666" t="s">
        <v>71</v>
      </c>
      <c r="H102" s="1656" t="s">
        <v>116</v>
      </c>
      <c r="I102" s="1658" t="s">
        <v>70</v>
      </c>
      <c r="J102" s="1656" t="s">
        <v>116</v>
      </c>
      <c r="K102" s="1605"/>
      <c r="L102" s="1667" t="s">
        <v>71</v>
      </c>
      <c r="M102" s="1668"/>
      <c r="N102" s="1669" t="s">
        <v>1378</v>
      </c>
      <c r="O102" s="1670" t="s">
        <v>1389</v>
      </c>
      <c r="Q102" s="1183" t="s">
        <v>503</v>
      </c>
      <c r="R102" s="1606"/>
      <c r="S102" s="1667" t="s">
        <v>70</v>
      </c>
      <c r="T102" s="1672" t="s">
        <v>115</v>
      </c>
      <c r="U102" s="1673" t="s">
        <v>70</v>
      </c>
      <c r="V102" s="1674" t="s">
        <v>69</v>
      </c>
      <c r="W102" s="1674" t="s">
        <v>70</v>
      </c>
    </row>
    <row r="103" spans="1:23">
      <c r="A103" s="1183" t="s">
        <v>504</v>
      </c>
      <c r="B103" s="83" t="s">
        <v>281</v>
      </c>
      <c r="C103" s="77"/>
      <c r="D103" s="1655" t="s">
        <v>68</v>
      </c>
      <c r="E103" s="1656" t="s">
        <v>105</v>
      </c>
      <c r="F103" s="1655" t="s">
        <v>118</v>
      </c>
      <c r="G103" s="1666" t="s">
        <v>68</v>
      </c>
      <c r="H103" s="1656" t="s">
        <v>105</v>
      </c>
      <c r="I103" s="1655"/>
      <c r="J103" s="1656"/>
      <c r="K103" s="1605"/>
      <c r="L103" s="1667" t="s">
        <v>68</v>
      </c>
      <c r="M103" s="1668"/>
      <c r="N103" s="1669" t="s">
        <v>1382</v>
      </c>
      <c r="O103" s="1670" t="s">
        <v>1383</v>
      </c>
      <c r="Q103" s="1183" t="s">
        <v>504</v>
      </c>
      <c r="R103" s="1606"/>
      <c r="S103" s="1667" t="s">
        <v>310</v>
      </c>
      <c r="T103" s="1672" t="s">
        <v>311</v>
      </c>
      <c r="U103" s="1673" t="s">
        <v>310</v>
      </c>
      <c r="V103" s="1674" t="s">
        <v>310</v>
      </c>
      <c r="W103" s="1674" t="s">
        <v>310</v>
      </c>
    </row>
    <row r="104" spans="1:23">
      <c r="A104" s="1183" t="s">
        <v>505</v>
      </c>
      <c r="B104" s="83" t="s">
        <v>44</v>
      </c>
      <c r="C104" s="77"/>
      <c r="D104" s="1655" t="s">
        <v>71</v>
      </c>
      <c r="E104" s="1656" t="s">
        <v>105</v>
      </c>
      <c r="F104" s="1658" t="s">
        <v>115</v>
      </c>
      <c r="G104" s="1666" t="s">
        <v>70</v>
      </c>
      <c r="H104" s="1656" t="s">
        <v>116</v>
      </c>
      <c r="I104" s="1658" t="s">
        <v>71</v>
      </c>
      <c r="J104" s="1656" t="s">
        <v>105</v>
      </c>
      <c r="K104" s="1605"/>
      <c r="L104" s="1667" t="s">
        <v>71</v>
      </c>
      <c r="M104" s="1668"/>
      <c r="N104" s="1669" t="s">
        <v>1376</v>
      </c>
      <c r="O104" s="1670" t="s">
        <v>1388</v>
      </c>
      <c r="Q104" s="1183" t="s">
        <v>505</v>
      </c>
      <c r="R104" s="1606"/>
      <c r="S104" s="1667" t="s">
        <v>310</v>
      </c>
      <c r="T104" s="1672" t="s">
        <v>311</v>
      </c>
      <c r="U104" s="1673" t="s">
        <v>310</v>
      </c>
      <c r="V104" s="1674" t="s">
        <v>310</v>
      </c>
      <c r="W104" s="1674" t="s">
        <v>310</v>
      </c>
    </row>
    <row r="105" spans="1:23">
      <c r="A105" s="1183" t="s">
        <v>506</v>
      </c>
      <c r="B105" s="83" t="s">
        <v>289</v>
      </c>
      <c r="C105" s="77"/>
      <c r="D105" s="1671" t="s">
        <v>70</v>
      </c>
      <c r="E105" s="1687" t="s">
        <v>105</v>
      </c>
      <c r="F105" s="1671" t="s">
        <v>109</v>
      </c>
      <c r="G105" s="1666" t="s">
        <v>69</v>
      </c>
      <c r="H105" s="1687" t="s">
        <v>116</v>
      </c>
      <c r="I105" s="1688"/>
      <c r="J105" s="1689"/>
      <c r="K105" s="1605"/>
      <c r="L105" s="1667" t="s">
        <v>70</v>
      </c>
      <c r="M105" s="1606"/>
      <c r="N105" s="1669" t="s">
        <v>1382</v>
      </c>
      <c r="O105" s="1686" t="s">
        <v>1463</v>
      </c>
      <c r="Q105" s="1183" t="s">
        <v>506</v>
      </c>
      <c r="R105" s="1606"/>
      <c r="S105" s="1667" t="s">
        <v>68</v>
      </c>
      <c r="T105" s="1672" t="s">
        <v>121</v>
      </c>
      <c r="U105" s="1673" t="s">
        <v>67</v>
      </c>
      <c r="V105" s="1674" t="s">
        <v>68</v>
      </c>
      <c r="W105" s="1674" t="s">
        <v>68</v>
      </c>
    </row>
    <row r="106" spans="1:23">
      <c r="A106" s="1183" t="s">
        <v>27</v>
      </c>
      <c r="B106" s="83" t="s">
        <v>54</v>
      </c>
      <c r="C106" s="77"/>
      <c r="D106" s="1655" t="s">
        <v>119</v>
      </c>
      <c r="E106" s="1656" t="s">
        <v>116</v>
      </c>
      <c r="F106" s="1658" t="s">
        <v>120</v>
      </c>
      <c r="G106" s="1666" t="s">
        <v>70</v>
      </c>
      <c r="H106" s="1656" t="s">
        <v>116</v>
      </c>
      <c r="I106" s="1658" t="s">
        <v>70</v>
      </c>
      <c r="J106" s="1656" t="s">
        <v>116</v>
      </c>
      <c r="K106" s="1605"/>
      <c r="L106" s="1667" t="s">
        <v>71</v>
      </c>
      <c r="M106" s="1606"/>
      <c r="N106" s="1614" t="s">
        <v>1377</v>
      </c>
      <c r="O106" s="1693" t="s">
        <v>1386</v>
      </c>
      <c r="Q106" s="1183" t="s">
        <v>27</v>
      </c>
      <c r="R106" s="1606"/>
      <c r="S106" s="1667" t="s">
        <v>119</v>
      </c>
      <c r="T106" s="1672" t="s">
        <v>332</v>
      </c>
      <c r="U106" s="1673" t="s">
        <v>333</v>
      </c>
      <c r="V106" s="1674" t="s">
        <v>334</v>
      </c>
      <c r="W106" s="1674" t="s">
        <v>119</v>
      </c>
    </row>
    <row r="107" spans="1:23">
      <c r="A107" s="1183" t="s">
        <v>32</v>
      </c>
      <c r="B107" s="83" t="s">
        <v>50</v>
      </c>
      <c r="C107" s="77"/>
      <c r="D107" s="1655" t="s">
        <v>70</v>
      </c>
      <c r="E107" s="1656" t="s">
        <v>105</v>
      </c>
      <c r="F107" s="1655"/>
      <c r="G107" s="1666"/>
      <c r="H107" s="1656"/>
      <c r="I107" s="1655" t="s">
        <v>70</v>
      </c>
      <c r="J107" s="1656" t="s">
        <v>105</v>
      </c>
      <c r="K107" s="1605"/>
      <c r="L107" s="1667" t="s">
        <v>70</v>
      </c>
      <c r="M107" s="1668"/>
      <c r="N107" s="1669" t="s">
        <v>1380</v>
      </c>
      <c r="O107" s="1670" t="s">
        <v>1384</v>
      </c>
      <c r="Q107" s="1183" t="s">
        <v>32</v>
      </c>
      <c r="R107" s="1606"/>
      <c r="S107" s="1667" t="s">
        <v>310</v>
      </c>
      <c r="T107" s="1672" t="s">
        <v>309</v>
      </c>
      <c r="U107" s="1673" t="s">
        <v>308</v>
      </c>
      <c r="V107" s="1674" t="s">
        <v>308</v>
      </c>
      <c r="W107" s="1674" t="s">
        <v>308</v>
      </c>
    </row>
    <row r="108" spans="1:23">
      <c r="A108" s="1183" t="s">
        <v>32</v>
      </c>
      <c r="B108" s="83" t="s">
        <v>279</v>
      </c>
      <c r="C108" s="77"/>
      <c r="D108" s="1655" t="s">
        <v>68</v>
      </c>
      <c r="E108" s="1687" t="s">
        <v>105</v>
      </c>
      <c r="F108" s="1658" t="s">
        <v>118</v>
      </c>
      <c r="G108" s="1666" t="s">
        <v>68</v>
      </c>
      <c r="H108" s="1687" t="s">
        <v>105</v>
      </c>
      <c r="I108" s="1655" t="s">
        <v>68</v>
      </c>
      <c r="J108" s="1687" t="s">
        <v>105</v>
      </c>
      <c r="K108" s="1605"/>
      <c r="L108" s="1667" t="s">
        <v>68</v>
      </c>
      <c r="M108" s="1606"/>
      <c r="N108" s="1669" t="s">
        <v>1375</v>
      </c>
      <c r="O108" s="1670" t="s">
        <v>1443</v>
      </c>
      <c r="Q108" s="1183"/>
      <c r="R108" s="1606"/>
      <c r="S108" s="80"/>
      <c r="T108" s="1618"/>
      <c r="V108" s="1377"/>
      <c r="W108" s="1377"/>
    </row>
    <row r="109" spans="1:23">
      <c r="A109" s="1183" t="s">
        <v>507</v>
      </c>
      <c r="B109" s="83" t="s">
        <v>284</v>
      </c>
      <c r="C109" s="77"/>
      <c r="D109" s="1655" t="s">
        <v>68</v>
      </c>
      <c r="E109" s="1656" t="s">
        <v>105</v>
      </c>
      <c r="F109" s="1655" t="s">
        <v>118</v>
      </c>
      <c r="G109" s="1666" t="s">
        <v>68</v>
      </c>
      <c r="H109" s="1656" t="s">
        <v>105</v>
      </c>
      <c r="I109" s="1658" t="s">
        <v>68</v>
      </c>
      <c r="J109" s="1656" t="s">
        <v>105</v>
      </c>
      <c r="K109" s="1605"/>
      <c r="L109" s="1667" t="s">
        <v>68</v>
      </c>
      <c r="M109" s="1668"/>
      <c r="N109" s="1669" t="s">
        <v>1375</v>
      </c>
      <c r="O109" s="1670" t="s">
        <v>1443</v>
      </c>
      <c r="Q109" s="1183" t="s">
        <v>507</v>
      </c>
      <c r="R109" s="1606"/>
      <c r="S109" s="1667" t="s">
        <v>310</v>
      </c>
      <c r="T109" s="1672" t="s">
        <v>311</v>
      </c>
      <c r="U109" s="1673" t="s">
        <v>310</v>
      </c>
      <c r="V109" s="1674" t="s">
        <v>310</v>
      </c>
      <c r="W109" s="1674" t="s">
        <v>310</v>
      </c>
    </row>
    <row r="110" spans="1:23">
      <c r="A110" s="1183" t="s">
        <v>507</v>
      </c>
      <c r="B110" s="83" t="s">
        <v>282</v>
      </c>
      <c r="C110" s="77"/>
      <c r="D110" s="80"/>
      <c r="E110" s="1690"/>
      <c r="F110" s="80"/>
      <c r="G110" s="1691"/>
      <c r="H110" s="1690"/>
      <c r="I110" s="80"/>
      <c r="J110" s="1690"/>
      <c r="K110" s="1605"/>
      <c r="L110" s="80" t="s">
        <v>1397</v>
      </c>
      <c r="M110" s="1606"/>
      <c r="N110" s="1377"/>
      <c r="O110" s="1377"/>
      <c r="Q110" s="1183"/>
      <c r="R110" s="1606"/>
      <c r="S110" s="80"/>
      <c r="T110" s="1618"/>
      <c r="V110" s="1377"/>
      <c r="W110" s="1377"/>
    </row>
    <row r="111" spans="1:23">
      <c r="A111" s="1183" t="s">
        <v>508</v>
      </c>
      <c r="B111" s="83" t="s">
        <v>290</v>
      </c>
      <c r="C111" s="77"/>
      <c r="D111" s="1655" t="s">
        <v>67</v>
      </c>
      <c r="E111" s="1656" t="s">
        <v>105</v>
      </c>
      <c r="F111" s="1655" t="s">
        <v>121</v>
      </c>
      <c r="G111" s="1666" t="s">
        <v>67</v>
      </c>
      <c r="H111" s="1656" t="s">
        <v>105</v>
      </c>
      <c r="I111" s="1655"/>
      <c r="J111" s="1656"/>
      <c r="K111" s="1605"/>
      <c r="L111" s="1667" t="s">
        <v>67</v>
      </c>
      <c r="M111" s="1606"/>
      <c r="N111" s="1377" t="s">
        <v>1382</v>
      </c>
      <c r="O111" s="1670" t="s">
        <v>1383</v>
      </c>
      <c r="Q111" s="1183" t="s">
        <v>508</v>
      </c>
      <c r="R111" s="1606"/>
      <c r="S111" s="1667" t="s">
        <v>310</v>
      </c>
      <c r="T111" s="1672" t="s">
        <v>311</v>
      </c>
      <c r="U111" s="1673" t="s">
        <v>310</v>
      </c>
      <c r="V111" s="1674" t="s">
        <v>310</v>
      </c>
      <c r="W111" s="1674" t="s">
        <v>310</v>
      </c>
    </row>
    <row r="112" spans="1:23">
      <c r="A112" s="1183" t="s">
        <v>27</v>
      </c>
      <c r="B112" s="83" t="s">
        <v>357</v>
      </c>
      <c r="C112" s="77"/>
      <c r="D112" s="80"/>
      <c r="E112" s="1690"/>
      <c r="F112" s="80"/>
      <c r="G112" s="1691"/>
      <c r="H112" s="1690"/>
      <c r="I112" s="80"/>
      <c r="J112" s="1690"/>
      <c r="K112" s="1605"/>
      <c r="L112" s="80" t="s">
        <v>1397</v>
      </c>
      <c r="M112" s="1606"/>
      <c r="N112" s="1377"/>
      <c r="O112" s="1377"/>
      <c r="Q112" s="1183"/>
      <c r="R112" s="1606"/>
      <c r="S112" s="80"/>
      <c r="T112" s="1618"/>
      <c r="V112" s="1377"/>
      <c r="W112" s="1377"/>
    </row>
    <row r="113" spans="1:64">
      <c r="A113" s="1183" t="s">
        <v>727</v>
      </c>
      <c r="B113" s="1619" t="s">
        <v>358</v>
      </c>
      <c r="C113" s="77"/>
      <c r="D113" s="1667"/>
      <c r="E113" s="1668"/>
      <c r="F113" s="1667" t="s">
        <v>452</v>
      </c>
      <c r="G113" s="1666" t="s">
        <v>334</v>
      </c>
      <c r="H113" s="1668" t="s">
        <v>116</v>
      </c>
      <c r="I113" s="1667"/>
      <c r="J113" s="1668"/>
      <c r="K113" s="1605"/>
      <c r="L113" s="1667" t="s">
        <v>334</v>
      </c>
      <c r="M113" s="1606"/>
      <c r="N113" s="1377" t="s">
        <v>1392</v>
      </c>
      <c r="O113" s="1670" t="s">
        <v>1388</v>
      </c>
      <c r="Q113" s="1667" t="s">
        <v>727</v>
      </c>
      <c r="R113" s="1606"/>
      <c r="S113" s="1667" t="s">
        <v>68</v>
      </c>
      <c r="T113" s="1672" t="s">
        <v>452</v>
      </c>
      <c r="U113" s="1673" t="s">
        <v>334</v>
      </c>
      <c r="V113" s="1674" t="s">
        <v>69</v>
      </c>
      <c r="W113" s="1674" t="s">
        <v>70</v>
      </c>
    </row>
    <row r="114" spans="1:64">
      <c r="A114" s="1621" t="s">
        <v>832</v>
      </c>
      <c r="B114" s="1612" t="s">
        <v>1477</v>
      </c>
      <c r="C114" s="1843"/>
      <c r="D114" s="89" t="s">
        <v>333</v>
      </c>
      <c r="E114" s="1622" t="s">
        <v>105</v>
      </c>
      <c r="F114" s="89" t="s">
        <v>332</v>
      </c>
      <c r="G114" s="1625" t="s">
        <v>333</v>
      </c>
      <c r="H114" s="90" t="s">
        <v>1394</v>
      </c>
      <c r="I114" s="89"/>
      <c r="J114" s="1694"/>
      <c r="L114" s="89" t="s">
        <v>333</v>
      </c>
      <c r="M114" s="91"/>
      <c r="N114" s="1611" t="s">
        <v>1382</v>
      </c>
      <c r="O114" s="1624" t="s">
        <v>1400</v>
      </c>
      <c r="Q114" s="327" t="s">
        <v>1398</v>
      </c>
      <c r="R114" s="90"/>
      <c r="S114" s="89" t="s">
        <v>308</v>
      </c>
      <c r="T114" s="1623" t="s">
        <v>311</v>
      </c>
      <c r="U114" s="1695" t="s">
        <v>310</v>
      </c>
      <c r="V114" s="1611" t="s">
        <v>310</v>
      </c>
      <c r="W114" s="1611" t="s">
        <v>1736</v>
      </c>
    </row>
    <row r="115" spans="1:64">
      <c r="A115" s="1648"/>
      <c r="B115" s="1648"/>
      <c r="C115" s="1845"/>
      <c r="D115" s="1605"/>
      <c r="E115" s="1648"/>
      <c r="F115" s="1605"/>
      <c r="G115" s="1649"/>
      <c r="H115" s="1648"/>
      <c r="I115" s="1605"/>
      <c r="J115" s="1648"/>
      <c r="Q115" s="1426" t="s">
        <v>1404</v>
      </c>
      <c r="R115" s="1165"/>
      <c r="S115" s="1696" t="s">
        <v>67</v>
      </c>
      <c r="T115" s="1696" t="s">
        <v>121</v>
      </c>
      <c r="U115" s="1696" t="s">
        <v>67</v>
      </c>
      <c r="V115" s="1696" t="s">
        <v>107</v>
      </c>
      <c r="W115" s="1165" t="s">
        <v>67</v>
      </c>
    </row>
    <row r="116" spans="1:64" s="1808" customFormat="1">
      <c r="A116" s="1648"/>
      <c r="B116" s="1648"/>
      <c r="C116" s="1845"/>
      <c r="D116" s="1809"/>
      <c r="E116" s="1648"/>
      <c r="F116" s="1809"/>
      <c r="G116" s="1649"/>
      <c r="H116" s="1648"/>
      <c r="I116" s="1809"/>
      <c r="J116" s="1648"/>
      <c r="Q116" s="1426"/>
      <c r="R116" s="1165"/>
      <c r="S116" s="1696"/>
      <c r="T116" s="1696"/>
      <c r="U116" s="1696"/>
      <c r="V116" s="1696"/>
      <c r="W116" s="1165"/>
      <c r="X116" s="1809"/>
      <c r="AF116" s="1809"/>
      <c r="AG116" s="1809"/>
      <c r="BL116" s="80"/>
    </row>
    <row r="117" spans="1:64" s="1854" customFormat="1">
      <c r="A117" s="1648"/>
      <c r="B117" s="1648"/>
      <c r="C117" s="1845"/>
      <c r="D117" s="1857"/>
      <c r="E117" s="1648"/>
      <c r="F117" s="1857"/>
      <c r="G117" s="1649"/>
      <c r="H117" s="1648"/>
      <c r="I117" s="1857"/>
      <c r="J117" s="1648"/>
      <c r="Q117" s="1426"/>
      <c r="R117" s="1165"/>
      <c r="S117" s="1696"/>
      <c r="T117" s="1696"/>
      <c r="U117" s="1696"/>
      <c r="V117" s="1696"/>
      <c r="W117" s="1165"/>
      <c r="X117" s="1857"/>
      <c r="AF117" s="1857"/>
      <c r="AG117" s="1857"/>
      <c r="BL117" s="80"/>
    </row>
    <row r="118" spans="1:64" s="1854" customFormat="1">
      <c r="A118" s="1189" t="s">
        <v>1892</v>
      </c>
      <c r="B118" s="94"/>
      <c r="C118" s="93"/>
      <c r="D118" s="94"/>
      <c r="E118" s="94"/>
      <c r="F118" s="94"/>
      <c r="G118" s="94"/>
      <c r="H118" s="94"/>
      <c r="I118" s="94"/>
      <c r="J118" s="94"/>
      <c r="K118" s="94"/>
      <c r="L118" s="94"/>
      <c r="M118" s="94"/>
      <c r="N118" s="94"/>
      <c r="O118" s="94"/>
      <c r="P118" s="94"/>
      <c r="Q118" s="94"/>
      <c r="R118" s="94"/>
      <c r="S118" s="94"/>
      <c r="T118" s="94"/>
      <c r="U118" s="94"/>
      <c r="V118" s="94"/>
      <c r="W118" s="94"/>
      <c r="X118" s="592"/>
      <c r="Y118" s="1235"/>
      <c r="Z118" s="1235"/>
      <c r="AA118" s="1235"/>
      <c r="AB118" s="1235"/>
      <c r="AD118" s="1235"/>
      <c r="AE118" s="1235"/>
      <c r="AF118" s="1982"/>
      <c r="AG118" s="1982"/>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L118" s="80"/>
    </row>
    <row r="119" spans="1:64" s="1808" customFormat="1">
      <c r="A119" s="1648"/>
      <c r="B119" s="1648"/>
      <c r="C119" s="1845"/>
      <c r="D119" s="1809"/>
      <c r="E119" s="1648"/>
      <c r="F119" s="1809"/>
      <c r="G119" s="1649"/>
      <c r="H119" s="1648"/>
      <c r="I119" s="1809"/>
      <c r="J119" s="1648"/>
      <c r="Q119" s="1426"/>
      <c r="R119" s="1165"/>
      <c r="S119" s="1696"/>
      <c r="T119" s="1696"/>
      <c r="U119" s="1696"/>
      <c r="V119" s="1696"/>
      <c r="W119" s="1165"/>
      <c r="X119" s="1809"/>
      <c r="AF119" s="1809"/>
      <c r="AG119" s="1809"/>
      <c r="BL119" s="80"/>
    </row>
    <row r="120" spans="1:64" s="1921" customFormat="1">
      <c r="A120" s="1190"/>
      <c r="B120" s="93"/>
      <c r="C120" s="93"/>
      <c r="D120" s="2545" t="s">
        <v>1694</v>
      </c>
      <c r="E120" s="1648"/>
      <c r="F120" s="1922"/>
      <c r="G120" s="1649"/>
      <c r="H120" s="1648"/>
      <c r="I120" s="1922"/>
      <c r="J120" s="1648"/>
      <c r="Q120" s="1426"/>
      <c r="R120" s="1165"/>
      <c r="S120" s="1696"/>
      <c r="T120" s="1696"/>
      <c r="U120" s="1696"/>
      <c r="V120" s="1696"/>
      <c r="W120" s="1165"/>
      <c r="X120" s="1922"/>
      <c r="Y120" s="1923"/>
      <c r="Z120" s="1923"/>
      <c r="AA120" s="1923"/>
      <c r="AB120" s="1923"/>
      <c r="AF120" s="1922"/>
      <c r="AG120" s="1922"/>
      <c r="BL120" s="80"/>
    </row>
    <row r="121" spans="1:64" s="2545" customFormat="1">
      <c r="A121" s="1190"/>
      <c r="B121" s="93"/>
      <c r="C121" s="93"/>
      <c r="D121" s="1748" t="s">
        <v>2491</v>
      </c>
      <c r="E121" s="1648"/>
      <c r="F121" s="2547"/>
      <c r="G121" s="1649"/>
      <c r="H121" s="1648"/>
      <c r="I121" s="2547"/>
      <c r="J121" s="1648"/>
      <c r="Q121" s="1426"/>
      <c r="R121" s="1165"/>
      <c r="S121" s="1696"/>
      <c r="T121" s="1696"/>
      <c r="U121" s="1696"/>
      <c r="V121" s="1696"/>
      <c r="W121" s="1165"/>
      <c r="X121" s="2547"/>
      <c r="Y121" s="2557"/>
      <c r="Z121" s="2557"/>
      <c r="AA121" s="2557"/>
      <c r="AB121" s="2557"/>
      <c r="AF121" s="2547"/>
      <c r="AG121" s="2547"/>
      <c r="BL121" s="80"/>
    </row>
    <row r="122" spans="1:64" s="2545" customFormat="1">
      <c r="A122" s="1190"/>
      <c r="B122" s="93"/>
      <c r="C122" s="93"/>
      <c r="D122" s="1748" t="s">
        <v>1897</v>
      </c>
      <c r="E122" s="1648"/>
      <c r="F122" s="2547"/>
      <c r="G122" s="1649"/>
      <c r="H122" s="1648"/>
      <c r="I122" s="2547"/>
      <c r="J122" s="1648"/>
      <c r="Q122" s="1426"/>
      <c r="R122" s="1165"/>
      <c r="S122" s="1696"/>
      <c r="T122" s="1696"/>
      <c r="U122" s="1696"/>
      <c r="V122" s="1696"/>
      <c r="W122" s="1165"/>
      <c r="X122" s="2547"/>
      <c r="Y122" s="2557"/>
      <c r="Z122" s="2557"/>
      <c r="AA122" s="2557"/>
      <c r="AB122" s="2557"/>
      <c r="AF122" s="2547"/>
      <c r="AG122" s="2547"/>
      <c r="BL122" s="80"/>
    </row>
    <row r="123" spans="1:64" s="2545" customFormat="1">
      <c r="A123" s="1190"/>
      <c r="B123" s="93"/>
      <c r="C123" s="93"/>
      <c r="D123" s="3419" t="s">
        <v>2492</v>
      </c>
      <c r="E123" s="3419"/>
      <c r="F123" s="3419"/>
      <c r="G123" s="3419"/>
      <c r="H123" s="3419"/>
      <c r="I123" s="3419"/>
      <c r="J123" s="3419"/>
      <c r="K123" s="3419"/>
      <c r="L123" s="3419"/>
      <c r="M123" s="3419"/>
      <c r="N123" s="3419"/>
      <c r="O123" s="3419"/>
      <c r="P123" s="3419"/>
      <c r="Q123" s="3419"/>
      <c r="R123" s="3419"/>
      <c r="S123" s="3419"/>
      <c r="T123" s="3419"/>
      <c r="U123" s="3419"/>
      <c r="V123" s="3419"/>
      <c r="W123" s="3419"/>
      <c r="X123" s="2547"/>
      <c r="Y123" s="2557"/>
      <c r="Z123" s="2557"/>
      <c r="AA123" s="2557"/>
      <c r="AB123" s="2557"/>
      <c r="AF123" s="2547"/>
      <c r="AG123" s="2547"/>
      <c r="BL123" s="80"/>
    </row>
    <row r="124" spans="1:64" s="2545" customFormat="1">
      <c r="A124" s="1190"/>
      <c r="B124" s="93"/>
      <c r="C124" s="93"/>
      <c r="D124" s="3419"/>
      <c r="E124" s="3419"/>
      <c r="F124" s="3419"/>
      <c r="G124" s="3419"/>
      <c r="H124" s="3419"/>
      <c r="I124" s="3419"/>
      <c r="J124" s="3419"/>
      <c r="K124" s="3419"/>
      <c r="L124" s="3419"/>
      <c r="M124" s="3419"/>
      <c r="N124" s="3419"/>
      <c r="O124" s="3419"/>
      <c r="P124" s="3419"/>
      <c r="Q124" s="3419"/>
      <c r="R124" s="3419"/>
      <c r="S124" s="3419"/>
      <c r="T124" s="3419"/>
      <c r="U124" s="3419"/>
      <c r="V124" s="3419"/>
      <c r="W124" s="3419"/>
      <c r="X124" s="2547"/>
      <c r="Y124" s="2557"/>
      <c r="Z124" s="2557"/>
      <c r="AA124" s="2557"/>
      <c r="AB124" s="2557"/>
      <c r="AF124" s="2547"/>
      <c r="AG124" s="2547"/>
      <c r="BL124" s="80"/>
    </row>
    <row r="125" spans="1:64" s="2545" customFormat="1">
      <c r="A125" s="1190"/>
      <c r="B125" s="93"/>
      <c r="C125" s="93"/>
      <c r="D125" s="2546"/>
      <c r="E125" s="2546"/>
      <c r="F125" s="2546"/>
      <c r="G125" s="2546"/>
      <c r="H125" s="2546"/>
      <c r="I125" s="2546"/>
      <c r="J125" s="2546"/>
      <c r="K125" s="2546"/>
      <c r="L125" s="2546"/>
      <c r="M125" s="2546"/>
      <c r="N125" s="2546"/>
      <c r="O125" s="2546"/>
      <c r="P125" s="2546"/>
      <c r="Q125" s="2546"/>
      <c r="R125" s="2546"/>
      <c r="S125" s="2546"/>
      <c r="T125" s="2546"/>
      <c r="U125" s="2546"/>
      <c r="V125" s="2546"/>
      <c r="W125" s="2546"/>
      <c r="X125" s="2547"/>
      <c r="Y125" s="2557"/>
      <c r="Z125" s="2557"/>
      <c r="AA125" s="2557"/>
      <c r="AB125" s="2557"/>
      <c r="AF125" s="2547"/>
      <c r="AG125" s="2547"/>
      <c r="BL125" s="80"/>
    </row>
    <row r="126" spans="1:64" s="2545" customFormat="1">
      <c r="A126" s="1190"/>
      <c r="B126" s="93"/>
      <c r="C126" s="93"/>
      <c r="E126" s="1648"/>
      <c r="F126" s="2547"/>
      <c r="G126" s="1649"/>
      <c r="H126" s="1648"/>
      <c r="I126" s="2547"/>
      <c r="J126" s="1648"/>
      <c r="Q126" s="1426"/>
      <c r="R126" s="1165"/>
      <c r="S126" s="1696"/>
      <c r="T126" s="1696"/>
      <c r="U126" s="1696"/>
      <c r="V126" s="1696"/>
      <c r="W126" s="1165"/>
      <c r="X126" s="2547"/>
      <c r="Y126" s="2557"/>
      <c r="Z126" s="2557"/>
      <c r="AA126" s="2557"/>
      <c r="AB126" s="2557"/>
      <c r="AF126" s="2547"/>
      <c r="AG126" s="2547"/>
      <c r="BL126" s="80"/>
    </row>
    <row r="127" spans="1:64" s="1808" customFormat="1">
      <c r="A127" s="1595" t="s">
        <v>1896</v>
      </c>
      <c r="B127" s="1123"/>
      <c r="C127" s="93"/>
      <c r="D127" s="3430" t="s">
        <v>2493</v>
      </c>
      <c r="E127" s="3430"/>
      <c r="F127" s="3430"/>
      <c r="G127" s="3430"/>
      <c r="H127" s="3430"/>
      <c r="I127" s="3430"/>
      <c r="J127" s="3430"/>
      <c r="K127" s="3430"/>
      <c r="L127" s="3430"/>
      <c r="M127" s="3430"/>
      <c r="N127" s="3430"/>
      <c r="O127" s="3430"/>
      <c r="P127" s="3430"/>
      <c r="Q127" s="3430"/>
      <c r="R127" s="3430"/>
      <c r="S127" s="3430"/>
      <c r="T127" s="3430"/>
      <c r="U127" s="3430"/>
      <c r="V127" s="3430"/>
      <c r="W127" s="3430"/>
      <c r="X127" s="1809"/>
      <c r="Y127" s="2545" t="s">
        <v>1630</v>
      </c>
      <c r="Z127" s="1862"/>
      <c r="AA127" s="1862"/>
      <c r="AF127" s="1809"/>
      <c r="AG127" s="1809"/>
      <c r="BL127" s="80"/>
    </row>
    <row r="128" spans="1:64" s="1854" customFormat="1">
      <c r="A128" s="1190"/>
      <c r="B128" s="93"/>
      <c r="C128" s="93"/>
      <c r="D128" s="2896" t="s">
        <v>2494</v>
      </c>
      <c r="E128" s="2545"/>
      <c r="F128" s="2545"/>
      <c r="G128" s="2545"/>
      <c r="H128" s="2556"/>
      <c r="I128" s="2556"/>
      <c r="J128" s="2556"/>
      <c r="K128" s="2556"/>
      <c r="L128" s="2545"/>
      <c r="M128" s="1914"/>
      <c r="N128" s="1914"/>
      <c r="O128" s="1914"/>
      <c r="P128" s="1914"/>
      <c r="Q128" s="1914"/>
      <c r="R128" s="1914"/>
      <c r="S128" s="2556"/>
      <c r="T128" s="2556"/>
      <c r="U128" s="2556"/>
      <c r="V128" s="2556"/>
      <c r="W128" s="2556"/>
      <c r="X128" s="1857"/>
      <c r="Y128" s="2581" t="s">
        <v>1895</v>
      </c>
      <c r="AF128" s="1857"/>
      <c r="AG128" s="1857"/>
      <c r="BL128" s="80"/>
    </row>
    <row r="129" spans="1:64" s="2545" customFormat="1">
      <c r="A129" s="1190"/>
      <c r="B129" s="93"/>
      <c r="C129" s="93"/>
      <c r="D129" s="1742"/>
      <c r="H129" s="2556"/>
      <c r="I129" s="2556"/>
      <c r="J129" s="2556"/>
      <c r="K129" s="2556"/>
      <c r="M129" s="1914"/>
      <c r="N129" s="1914"/>
      <c r="O129" s="1914"/>
      <c r="P129" s="1914"/>
      <c r="Q129" s="1914"/>
      <c r="R129" s="1914"/>
      <c r="S129" s="2556"/>
      <c r="T129" s="2556"/>
      <c r="U129" s="2556"/>
      <c r="V129" s="2556"/>
      <c r="W129" s="2556"/>
      <c r="X129" s="2547"/>
      <c r="Y129" s="2581"/>
      <c r="AF129" s="2547"/>
      <c r="AG129" s="2547"/>
      <c r="BL129" s="80"/>
    </row>
    <row r="130" spans="1:64" s="1854" customFormat="1">
      <c r="A130" s="1648"/>
      <c r="B130" s="1648"/>
      <c r="C130" s="1845"/>
      <c r="D130" s="3307" t="s">
        <v>2495</v>
      </c>
      <c r="E130" s="3307"/>
      <c r="F130" s="3307"/>
      <c r="G130" s="3307"/>
      <c r="H130" s="3307"/>
      <c r="I130" s="3307"/>
      <c r="J130" s="3307"/>
      <c r="K130" s="3307"/>
      <c r="L130" s="3307"/>
      <c r="M130" s="3307"/>
      <c r="N130" s="3307"/>
      <c r="O130" s="3307"/>
      <c r="P130" s="3307"/>
      <c r="Q130" s="3307"/>
      <c r="R130" s="3307"/>
      <c r="S130" s="3307"/>
      <c r="T130" s="3307"/>
      <c r="U130" s="3307"/>
      <c r="V130" s="3307"/>
      <c r="W130" s="3307"/>
      <c r="X130" s="1857"/>
      <c r="AF130" s="1857"/>
      <c r="AG130" s="1857"/>
      <c r="BL130" s="80"/>
    </row>
    <row r="131" spans="1:64" s="1854" customFormat="1">
      <c r="C131" s="1845"/>
      <c r="D131" s="3307"/>
      <c r="E131" s="3307"/>
      <c r="F131" s="3307"/>
      <c r="G131" s="3307"/>
      <c r="H131" s="3307"/>
      <c r="I131" s="3307"/>
      <c r="J131" s="3307"/>
      <c r="K131" s="3307"/>
      <c r="L131" s="3307"/>
      <c r="M131" s="3307"/>
      <c r="N131" s="3307"/>
      <c r="O131" s="3307"/>
      <c r="P131" s="3307"/>
      <c r="Q131" s="3307"/>
      <c r="R131" s="3307"/>
      <c r="S131" s="3307"/>
      <c r="T131" s="3307"/>
      <c r="U131" s="3307"/>
      <c r="V131" s="3307"/>
      <c r="W131" s="3307"/>
      <c r="X131" s="1857"/>
      <c r="AF131" s="1857"/>
      <c r="AG131" s="1857"/>
      <c r="BL131" s="80"/>
    </row>
    <row r="132" spans="1:64" s="2545" customFormat="1">
      <c r="C132" s="1845"/>
      <c r="D132" s="3307"/>
      <c r="E132" s="3307"/>
      <c r="F132" s="3307"/>
      <c r="G132" s="3307"/>
      <c r="H132" s="3307"/>
      <c r="I132" s="3307"/>
      <c r="J132" s="3307"/>
      <c r="K132" s="3307"/>
      <c r="L132" s="3307"/>
      <c r="M132" s="3307"/>
      <c r="N132" s="3307"/>
      <c r="O132" s="3307"/>
      <c r="P132" s="3307"/>
      <c r="Q132" s="3307"/>
      <c r="R132" s="3307"/>
      <c r="S132" s="3307"/>
      <c r="T132" s="3307"/>
      <c r="U132" s="3307"/>
      <c r="V132" s="3307"/>
      <c r="W132" s="3307"/>
      <c r="X132" s="2547"/>
      <c r="AF132" s="2547"/>
      <c r="AG132" s="2547"/>
      <c r="BL132" s="80"/>
    </row>
    <row r="133" spans="1:64" s="2545" customFormat="1">
      <c r="C133" s="1845"/>
      <c r="D133" s="2552"/>
      <c r="E133" s="2552"/>
      <c r="F133" s="2552"/>
      <c r="G133" s="2552"/>
      <c r="H133" s="2552"/>
      <c r="I133" s="2552"/>
      <c r="J133" s="2552"/>
      <c r="K133" s="2552"/>
      <c r="L133" s="2552"/>
      <c r="M133" s="2552"/>
      <c r="N133" s="2552"/>
      <c r="O133" s="2552"/>
      <c r="P133" s="2552"/>
      <c r="Q133" s="2552"/>
      <c r="R133" s="2552"/>
      <c r="S133" s="2552"/>
      <c r="T133" s="2552"/>
      <c r="U133" s="2552"/>
      <c r="V133" s="2552"/>
      <c r="W133" s="2552"/>
      <c r="X133" s="2547"/>
      <c r="AF133" s="2547"/>
      <c r="AG133" s="2547"/>
      <c r="BL133" s="80"/>
    </row>
    <row r="134" spans="1:64" s="2545" customFormat="1">
      <c r="C134" s="1845"/>
      <c r="D134" s="3423" t="s">
        <v>2496</v>
      </c>
      <c r="E134" s="3423"/>
      <c r="F134" s="3423"/>
      <c r="G134" s="3423"/>
      <c r="H134" s="3423"/>
      <c r="I134" s="3423"/>
      <c r="J134" s="3423"/>
      <c r="K134" s="3423"/>
      <c r="L134" s="3423"/>
      <c r="M134" s="3423"/>
      <c r="N134" s="3423"/>
      <c r="O134" s="3423"/>
      <c r="P134" s="3423"/>
      <c r="Q134" s="3423"/>
      <c r="R134" s="3423"/>
      <c r="S134" s="3423"/>
      <c r="T134" s="3423"/>
      <c r="U134" s="3423"/>
      <c r="V134" s="3423"/>
      <c r="W134" s="3423"/>
      <c r="X134" s="2547"/>
      <c r="AF134" s="2547"/>
      <c r="AG134" s="2547"/>
      <c r="BL134" s="80"/>
    </row>
    <row r="135" spans="1:64" s="2545" customFormat="1">
      <c r="C135" s="1845"/>
      <c r="D135" s="3423"/>
      <c r="E135" s="3423"/>
      <c r="F135" s="3423"/>
      <c r="G135" s="3423"/>
      <c r="H135" s="3423"/>
      <c r="I135" s="3423"/>
      <c r="J135" s="3423"/>
      <c r="K135" s="3423"/>
      <c r="L135" s="3423"/>
      <c r="M135" s="3423"/>
      <c r="N135" s="3423"/>
      <c r="O135" s="3423"/>
      <c r="P135" s="3423"/>
      <c r="Q135" s="3423"/>
      <c r="R135" s="3423"/>
      <c r="S135" s="3423"/>
      <c r="T135" s="3423"/>
      <c r="U135" s="3423"/>
      <c r="V135" s="3423"/>
      <c r="W135" s="3423"/>
      <c r="X135" s="2547"/>
      <c r="AF135" s="2547"/>
      <c r="AG135" s="2547"/>
      <c r="BL135" s="80"/>
    </row>
    <row r="136" spans="1:64" s="2545" customFormat="1">
      <c r="C136" s="1845"/>
      <c r="D136" s="3543" t="s">
        <v>2497</v>
      </c>
      <c r="E136" s="3564"/>
      <c r="F136" s="3564"/>
      <c r="G136" s="3564"/>
      <c r="H136" s="3564"/>
      <c r="I136" s="3564"/>
      <c r="J136" s="3564"/>
      <c r="K136" s="3564"/>
      <c r="L136" s="3564"/>
      <c r="M136" s="3564"/>
      <c r="N136" s="3564"/>
      <c r="O136" s="3564"/>
      <c r="P136" s="3564"/>
      <c r="Q136" s="3564"/>
      <c r="R136" s="3564"/>
      <c r="S136" s="3564"/>
      <c r="T136" s="3564"/>
      <c r="U136" s="3564"/>
      <c r="V136" s="3564"/>
      <c r="W136" s="3564"/>
      <c r="X136" s="2547"/>
      <c r="AF136" s="2547"/>
      <c r="AG136" s="2547"/>
      <c r="BL136" s="80"/>
    </row>
    <row r="137" spans="1:64" s="1854" customFormat="1">
      <c r="A137" s="1648"/>
      <c r="B137" s="1648"/>
      <c r="C137" s="1845"/>
      <c r="D137" s="3564"/>
      <c r="E137" s="3564"/>
      <c r="F137" s="3564"/>
      <c r="G137" s="3564"/>
      <c r="H137" s="3564"/>
      <c r="I137" s="3564"/>
      <c r="J137" s="3564"/>
      <c r="K137" s="3564"/>
      <c r="L137" s="3564"/>
      <c r="M137" s="3564"/>
      <c r="N137" s="3564"/>
      <c r="O137" s="3564"/>
      <c r="P137" s="3564"/>
      <c r="Q137" s="3564"/>
      <c r="R137" s="3564"/>
      <c r="S137" s="3564"/>
      <c r="T137" s="3564"/>
      <c r="U137" s="3564"/>
      <c r="V137" s="3564"/>
      <c r="W137" s="3564"/>
      <c r="X137" s="1857"/>
      <c r="Y137" s="1850" t="s">
        <v>1932</v>
      </c>
      <c r="AF137" s="1857"/>
      <c r="AG137" s="1857"/>
      <c r="BL137" s="80"/>
    </row>
    <row r="138" spans="1:64" s="2896" customFormat="1">
      <c r="A138" s="1648"/>
      <c r="B138" s="1648"/>
      <c r="C138" s="1845"/>
      <c r="D138" s="1990" t="s">
        <v>2498</v>
      </c>
      <c r="E138" s="2895"/>
      <c r="F138" s="2895"/>
      <c r="G138" s="2895"/>
      <c r="H138" s="2895"/>
      <c r="I138" s="2895"/>
      <c r="J138" s="2895"/>
      <c r="K138" s="2895"/>
      <c r="L138" s="2895"/>
      <c r="M138" s="2895"/>
      <c r="N138" s="2895"/>
      <c r="O138" s="2895"/>
      <c r="P138" s="2895"/>
      <c r="Q138" s="2895"/>
      <c r="R138" s="2895"/>
      <c r="S138" s="2895"/>
      <c r="T138" s="2895"/>
      <c r="U138" s="2895"/>
      <c r="V138" s="2895"/>
      <c r="W138" s="2895"/>
      <c r="X138" s="2891"/>
      <c r="Y138" s="1850"/>
      <c r="AF138" s="2891"/>
      <c r="AG138" s="2891"/>
      <c r="BL138" s="80"/>
    </row>
    <row r="139" spans="1:64" s="2545" customFormat="1">
      <c r="A139" s="1648"/>
      <c r="B139" s="1648"/>
      <c r="C139" s="1845"/>
      <c r="D139" s="1989"/>
      <c r="E139" s="2558"/>
      <c r="F139" s="2558"/>
      <c r="G139" s="2558"/>
      <c r="H139" s="2558"/>
      <c r="I139" s="2558"/>
      <c r="J139" s="2558"/>
      <c r="K139" s="2558"/>
      <c r="L139" s="2558"/>
      <c r="M139" s="2558"/>
      <c r="N139" s="2558"/>
      <c r="O139" s="2558"/>
      <c r="P139" s="2558"/>
      <c r="Q139" s="2558"/>
      <c r="R139" s="2558"/>
      <c r="S139" s="2558"/>
      <c r="T139" s="2558"/>
      <c r="U139" s="2558"/>
      <c r="V139" s="2546"/>
      <c r="W139" s="2546"/>
      <c r="X139" s="2547"/>
      <c r="AF139" s="2547"/>
      <c r="AG139" s="2547"/>
      <c r="BL139" s="80"/>
    </row>
    <row r="140" spans="1:64" s="2545" customFormat="1">
      <c r="A140" s="1648"/>
      <c r="B140" s="1648"/>
      <c r="C140" s="1845"/>
      <c r="D140" s="1989"/>
      <c r="E140" s="2558"/>
      <c r="F140" s="2558"/>
      <c r="G140" s="2558"/>
      <c r="H140" s="2558"/>
      <c r="I140" s="2558"/>
      <c r="J140" s="2558"/>
      <c r="K140" s="2558"/>
      <c r="L140" s="2558"/>
      <c r="M140" s="2558"/>
      <c r="N140" s="2558"/>
      <c r="O140" s="2558"/>
      <c r="P140" s="2558"/>
      <c r="Q140" s="2558"/>
      <c r="R140" s="2558"/>
      <c r="S140" s="2558"/>
      <c r="T140" s="2558"/>
      <c r="U140" s="2558"/>
      <c r="V140" s="2546"/>
      <c r="W140" s="2546"/>
      <c r="X140" s="2547"/>
      <c r="AF140" s="2547"/>
      <c r="AG140" s="2547"/>
      <c r="BL140" s="80"/>
    </row>
    <row r="141" spans="1:64" s="1808" customFormat="1" ht="13.2" customHeight="1">
      <c r="A141" s="1252" t="s">
        <v>1355</v>
      </c>
      <c r="B141" s="102"/>
      <c r="C141" s="1845"/>
      <c r="D141" s="2939" t="s">
        <v>2622</v>
      </c>
      <c r="E141" s="1602"/>
      <c r="F141" s="1602"/>
      <c r="G141" s="1602"/>
      <c r="H141" s="1602"/>
      <c r="I141" s="1602"/>
      <c r="J141" s="1602"/>
      <c r="K141" s="1602"/>
      <c r="L141" s="1602"/>
      <c r="M141" s="1602"/>
      <c r="N141" s="1602"/>
      <c r="O141" s="1602"/>
      <c r="P141" s="1602"/>
      <c r="Q141" s="1602"/>
      <c r="S141" s="1602"/>
      <c r="T141" s="1602"/>
      <c r="U141" s="1602"/>
      <c r="V141" s="1602"/>
      <c r="W141" s="1604"/>
      <c r="X141" s="1809"/>
      <c r="Y141" s="111" t="s">
        <v>1894</v>
      </c>
      <c r="Z141" s="1859"/>
      <c r="AA141" s="1859"/>
      <c r="AB141" s="1859"/>
      <c r="AF141" s="1809"/>
      <c r="AG141" s="1809"/>
      <c r="BL141" s="80"/>
    </row>
    <row r="142" spans="1:64" s="1808" customFormat="1">
      <c r="A142" s="1648"/>
      <c r="B142" s="1648"/>
      <c r="C142" s="1845"/>
      <c r="D142" s="1748" t="s">
        <v>2500</v>
      </c>
      <c r="E142" s="1864"/>
      <c r="F142" s="1864"/>
      <c r="G142" s="1864"/>
      <c r="H142" s="1864"/>
      <c r="I142" s="1864"/>
      <c r="J142" s="1864"/>
      <c r="K142" s="1864"/>
      <c r="L142" s="1864"/>
      <c r="M142" s="1864"/>
      <c r="N142" s="1864"/>
      <c r="O142" s="1864"/>
      <c r="P142" s="1864"/>
      <c r="Q142" s="1864"/>
      <c r="R142" s="1864"/>
      <c r="S142" s="1864"/>
      <c r="T142" s="1864"/>
      <c r="U142" s="1864"/>
      <c r="V142" s="1864"/>
      <c r="W142" s="1864"/>
      <c r="X142" s="1809"/>
      <c r="Y142" s="3575" t="s">
        <v>2499</v>
      </c>
      <c r="Z142" s="3575"/>
      <c r="AA142" s="3575"/>
      <c r="AB142" s="3575"/>
      <c r="AF142" s="1809"/>
      <c r="AG142" s="1809"/>
      <c r="BL142" s="80"/>
    </row>
    <row r="143" spans="1:64" s="1808" customFormat="1" ht="13.2" customHeight="1">
      <c r="A143" s="1648"/>
      <c r="B143" s="1648"/>
      <c r="C143" s="1845"/>
      <c r="D143" s="3591" t="s">
        <v>2513</v>
      </c>
      <c r="E143" s="3591"/>
      <c r="F143" s="3591"/>
      <c r="G143" s="3591"/>
      <c r="H143" s="3591"/>
      <c r="I143" s="3591"/>
      <c r="J143" s="3591"/>
      <c r="K143" s="3591"/>
      <c r="L143" s="3591"/>
      <c r="M143" s="3591"/>
      <c r="N143" s="3591"/>
      <c r="O143" s="3591"/>
      <c r="P143" s="3591"/>
      <c r="Q143" s="3591"/>
      <c r="R143" s="3591"/>
      <c r="S143" s="3591"/>
      <c r="T143" s="3591"/>
      <c r="U143" s="3591"/>
      <c r="V143" s="3591"/>
      <c r="W143" s="3591"/>
      <c r="X143" s="1809"/>
      <c r="Y143" s="3575"/>
      <c r="Z143" s="3575"/>
      <c r="AA143" s="3575"/>
      <c r="AB143" s="3575"/>
      <c r="AF143" s="1809"/>
      <c r="AG143" s="1809"/>
      <c r="BL143" s="80"/>
    </row>
    <row r="144" spans="1:64" s="1854" customFormat="1">
      <c r="A144" s="1648"/>
      <c r="B144" s="1648"/>
      <c r="C144" s="1845"/>
      <c r="D144" s="3581" t="s">
        <v>2514</v>
      </c>
      <c r="E144" s="3581"/>
      <c r="F144" s="3581"/>
      <c r="G144" s="3581"/>
      <c r="H144" s="3581"/>
      <c r="I144" s="3581"/>
      <c r="J144" s="3581"/>
      <c r="K144" s="3581"/>
      <c r="L144" s="3581"/>
      <c r="M144" s="3581"/>
      <c r="N144" s="3581"/>
      <c r="O144" s="3581"/>
      <c r="P144" s="3581"/>
      <c r="Q144" s="3581"/>
      <c r="R144" s="3581"/>
      <c r="S144" s="3581"/>
      <c r="T144" s="3581"/>
      <c r="U144" s="3581"/>
      <c r="V144" s="3581"/>
      <c r="W144" s="1865"/>
      <c r="X144" s="1857"/>
      <c r="Y144" s="1986"/>
      <c r="Z144" s="1986"/>
      <c r="AA144" s="1986"/>
      <c r="AB144" s="1986"/>
      <c r="AF144" s="1857"/>
      <c r="AG144" s="1857"/>
      <c r="BL144" s="80"/>
    </row>
    <row r="145" spans="1:64" s="1854" customFormat="1">
      <c r="A145" s="1648"/>
      <c r="B145" s="1648"/>
      <c r="C145" s="1845"/>
      <c r="D145" s="3581"/>
      <c r="E145" s="3581"/>
      <c r="F145" s="3581"/>
      <c r="G145" s="3581"/>
      <c r="H145" s="3581"/>
      <c r="I145" s="3581"/>
      <c r="J145" s="3581"/>
      <c r="K145" s="3581"/>
      <c r="L145" s="3581"/>
      <c r="M145" s="3581"/>
      <c r="N145" s="3581"/>
      <c r="O145" s="3581"/>
      <c r="P145" s="3581"/>
      <c r="Q145" s="3581"/>
      <c r="R145" s="3581"/>
      <c r="S145" s="3581"/>
      <c r="T145" s="3581"/>
      <c r="U145" s="3581"/>
      <c r="V145" s="3581"/>
      <c r="W145" s="1865"/>
      <c r="X145" s="1857"/>
      <c r="Y145" s="1153" t="s">
        <v>2501</v>
      </c>
      <c r="AF145" s="1857"/>
      <c r="AG145" s="1857"/>
      <c r="BL145" s="80"/>
    </row>
    <row r="146" spans="1:64" s="1854" customFormat="1">
      <c r="A146" s="1648"/>
      <c r="B146" s="1648"/>
      <c r="C146" s="1845"/>
      <c r="D146" s="1993"/>
      <c r="E146" s="1867"/>
      <c r="F146" s="1867"/>
      <c r="G146" s="1867"/>
      <c r="H146" s="1867"/>
      <c r="I146" s="1867"/>
      <c r="J146" s="1867"/>
      <c r="K146" s="1867"/>
      <c r="L146" s="1867"/>
      <c r="M146" s="1867"/>
      <c r="N146" s="1867"/>
      <c r="O146" s="1867"/>
      <c r="P146" s="1867"/>
      <c r="Q146" s="1867"/>
      <c r="R146" s="1867"/>
      <c r="S146" s="1867"/>
      <c r="T146" s="1867"/>
      <c r="U146" s="1867"/>
      <c r="V146" s="1867"/>
      <c r="W146" s="1865"/>
      <c r="X146" s="1857"/>
      <c r="AF146" s="1857"/>
      <c r="AG146" s="1857"/>
      <c r="BL146" s="80"/>
    </row>
    <row r="147" spans="1:64" s="1854" customFormat="1" ht="13.2" customHeight="1">
      <c r="A147" s="1648"/>
      <c r="B147" s="1648"/>
      <c r="C147" s="1845"/>
      <c r="D147" s="1155" t="s">
        <v>2502</v>
      </c>
      <c r="E147" s="2468"/>
      <c r="F147" s="2468"/>
      <c r="G147" s="2468"/>
      <c r="H147" s="2468"/>
      <c r="I147" s="2468"/>
      <c r="J147" s="2468"/>
      <c r="K147" s="2468"/>
      <c r="L147" s="2468"/>
      <c r="M147" s="2468"/>
      <c r="N147" s="2468"/>
      <c r="O147" s="2468"/>
      <c r="P147" s="2468"/>
      <c r="Q147" s="2468"/>
      <c r="R147" s="2468"/>
      <c r="S147" s="2468"/>
      <c r="T147" s="2468"/>
      <c r="U147" s="2468"/>
      <c r="V147" s="2468"/>
      <c r="W147" s="1865"/>
      <c r="X147" s="1857"/>
      <c r="Y147" s="1153" t="s">
        <v>1692</v>
      </c>
      <c r="AF147" s="1857"/>
      <c r="AG147" s="1857"/>
      <c r="BL147" s="80"/>
    </row>
    <row r="148" spans="1:64" s="1854" customFormat="1">
      <c r="A148" s="1648"/>
      <c r="B148" s="1648"/>
      <c r="C148" s="1845"/>
      <c r="D148" s="2495" t="s">
        <v>1893</v>
      </c>
      <c r="E148" s="2468"/>
      <c r="F148" s="2468"/>
      <c r="G148" s="2468"/>
      <c r="H148" s="2468"/>
      <c r="I148" s="2468"/>
      <c r="J148" s="2468"/>
      <c r="K148" s="2468"/>
      <c r="L148" s="2468"/>
      <c r="M148" s="2468"/>
      <c r="N148" s="2468"/>
      <c r="O148" s="2468"/>
      <c r="P148" s="2468"/>
      <c r="Q148" s="2468"/>
      <c r="R148" s="2468"/>
      <c r="S148" s="1849"/>
      <c r="U148" s="2468"/>
      <c r="V148" s="2468"/>
      <c r="W148" s="1865"/>
      <c r="X148" s="1857"/>
      <c r="Y148" s="2890" t="s">
        <v>1693</v>
      </c>
      <c r="AF148" s="1857"/>
      <c r="AG148" s="1857"/>
      <c r="BL148" s="80"/>
    </row>
    <row r="149" spans="1:64" s="1808" customFormat="1">
      <c r="A149" s="1648"/>
      <c r="B149" s="1648"/>
      <c r="C149" s="1845"/>
      <c r="D149" s="1868"/>
      <c r="E149" s="1849"/>
      <c r="F149" s="1849"/>
      <c r="G149" s="1849"/>
      <c r="H149" s="1849"/>
      <c r="I149" s="1849"/>
      <c r="J149" s="1849"/>
      <c r="K149" s="1849"/>
      <c r="L149" s="1849"/>
      <c r="M149" s="1849"/>
      <c r="N149" s="1849"/>
      <c r="O149" s="1849"/>
      <c r="P149" s="1849"/>
      <c r="Q149" s="1849"/>
      <c r="R149" s="1849"/>
      <c r="S149" s="1849"/>
      <c r="T149" s="1849"/>
      <c r="U149" s="1849"/>
      <c r="W149" s="1849"/>
      <c r="X149" s="1809"/>
      <c r="AF149" s="1809"/>
      <c r="AG149" s="1809"/>
      <c r="BL149" s="80"/>
    </row>
    <row r="150" spans="1:64" s="1808" customFormat="1">
      <c r="A150" s="1648"/>
      <c r="B150" s="1648"/>
      <c r="C150" s="1845"/>
      <c r="D150" s="2891" t="s">
        <v>2503</v>
      </c>
      <c r="E150" s="1648"/>
      <c r="F150" s="1809"/>
      <c r="G150" s="1649"/>
      <c r="H150" s="1648"/>
      <c r="I150" s="1809"/>
      <c r="J150" s="1648"/>
      <c r="P150" s="3430" t="s">
        <v>1621</v>
      </c>
      <c r="Q150" s="3430"/>
      <c r="R150" s="3430"/>
      <c r="S150" s="3430"/>
      <c r="T150" s="3430"/>
      <c r="U150" s="3430"/>
      <c r="V150" s="1696"/>
      <c r="W150" s="1165"/>
      <c r="X150" s="1809"/>
      <c r="AF150" s="1809"/>
      <c r="AG150" s="1809"/>
      <c r="BL150" s="80"/>
    </row>
    <row r="151" spans="1:64" s="1808" customFormat="1">
      <c r="A151" s="1648"/>
      <c r="B151" s="1648"/>
      <c r="C151" s="1845"/>
      <c r="D151" s="3304" t="s">
        <v>1903</v>
      </c>
      <c r="E151" s="3304"/>
      <c r="F151" s="3304"/>
      <c r="G151" s="3304"/>
      <c r="H151" s="3304"/>
      <c r="I151" s="3304"/>
      <c r="J151" s="3304"/>
      <c r="K151" s="3304"/>
      <c r="L151" s="3304"/>
      <c r="M151" s="3304"/>
      <c r="N151" s="3304"/>
      <c r="P151" s="3430"/>
      <c r="Q151" s="3430"/>
      <c r="R151" s="3430"/>
      <c r="S151" s="3430"/>
      <c r="T151" s="3430"/>
      <c r="U151" s="3430"/>
      <c r="V151" s="1696"/>
      <c r="W151" s="1165"/>
      <c r="X151" s="1809"/>
      <c r="Y151" s="1861"/>
      <c r="AF151" s="1809"/>
      <c r="AG151" s="1809"/>
      <c r="BL151" s="80"/>
    </row>
    <row r="152" spans="1:64" s="1854" customFormat="1">
      <c r="A152" s="1648"/>
      <c r="B152" s="1648"/>
      <c r="C152" s="1845"/>
      <c r="D152" s="3304"/>
      <c r="E152" s="3304"/>
      <c r="F152" s="3304"/>
      <c r="G152" s="3304"/>
      <c r="H152" s="3304"/>
      <c r="I152" s="3304"/>
      <c r="J152" s="3304"/>
      <c r="K152" s="3304"/>
      <c r="L152" s="3304"/>
      <c r="M152" s="3304"/>
      <c r="N152" s="3304"/>
      <c r="P152" s="2580" t="s">
        <v>1618</v>
      </c>
      <c r="Q152" s="1426"/>
      <c r="R152" s="1165"/>
      <c r="S152" s="1696"/>
      <c r="T152" s="1696"/>
      <c r="U152" s="1696"/>
      <c r="V152" s="1696"/>
      <c r="W152" s="1165"/>
      <c r="X152" s="1857"/>
      <c r="Y152" s="111" t="s">
        <v>1864</v>
      </c>
      <c r="AF152" s="1857"/>
      <c r="AG152" s="1857"/>
      <c r="BL152" s="80"/>
    </row>
    <row r="153" spans="1:64" s="1808" customFormat="1">
      <c r="A153" s="1648"/>
      <c r="B153" s="1648"/>
      <c r="C153" s="1845"/>
      <c r="D153" s="1744" t="s">
        <v>1626</v>
      </c>
      <c r="E153" s="1648"/>
      <c r="F153" s="1809"/>
      <c r="G153" s="1649"/>
      <c r="H153" s="1648"/>
      <c r="I153" s="1809"/>
      <c r="J153" s="1648"/>
      <c r="P153" s="2580" t="s">
        <v>1619</v>
      </c>
      <c r="Q153" s="1426"/>
      <c r="R153" s="1165"/>
      <c r="S153" s="1696"/>
      <c r="T153" s="1696"/>
      <c r="U153" s="1696"/>
      <c r="V153" s="1696"/>
      <c r="W153" s="1165"/>
      <c r="X153" s="1809"/>
      <c r="AF153" s="1809"/>
      <c r="AG153" s="1809"/>
      <c r="BL153" s="80"/>
    </row>
    <row r="154" spans="1:64" s="1854" customFormat="1">
      <c r="A154" s="1648"/>
      <c r="B154" s="1648"/>
      <c r="C154" s="1845"/>
      <c r="D154" s="1744" t="s">
        <v>1617</v>
      </c>
      <c r="E154" s="1648"/>
      <c r="F154" s="1857"/>
      <c r="G154" s="1649"/>
      <c r="H154" s="1648"/>
      <c r="I154" s="1857"/>
      <c r="J154" s="1648"/>
      <c r="P154" s="2580" t="s">
        <v>1620</v>
      </c>
      <c r="Q154" s="1426"/>
      <c r="R154" s="1165"/>
      <c r="S154" s="1696"/>
      <c r="T154" s="1696"/>
      <c r="V154" s="1696"/>
      <c r="W154" s="1165"/>
      <c r="X154" s="1857"/>
      <c r="AF154" s="1857"/>
      <c r="AG154" s="1857"/>
      <c r="BL154" s="80"/>
    </row>
    <row r="155" spans="1:64" s="1854" customFormat="1">
      <c r="A155" s="1648"/>
      <c r="B155" s="1648"/>
      <c r="C155" s="1845"/>
      <c r="D155" s="1836" t="s">
        <v>1628</v>
      </c>
      <c r="E155" s="1673"/>
      <c r="F155" s="1857"/>
      <c r="G155" s="1649"/>
      <c r="H155" s="1648"/>
      <c r="I155" s="1857"/>
      <c r="J155" s="1648"/>
      <c r="P155" s="1742" t="s">
        <v>1629</v>
      </c>
      <c r="Q155" s="1426"/>
      <c r="R155" s="1165"/>
      <c r="S155" s="1696"/>
      <c r="T155" s="1696"/>
      <c r="U155" s="1696"/>
      <c r="V155" s="1696"/>
      <c r="W155" s="1165"/>
      <c r="X155" s="1857"/>
      <c r="Y155" s="1747" t="s">
        <v>1616</v>
      </c>
      <c r="AF155" s="1857"/>
      <c r="AG155" s="1857"/>
      <c r="BL155" s="80"/>
    </row>
    <row r="156" spans="1:64" s="1854" customFormat="1">
      <c r="A156" s="1648"/>
      <c r="B156" s="1648"/>
      <c r="C156" s="1845"/>
      <c r="D156" s="1744" t="s">
        <v>1899</v>
      </c>
      <c r="E156" s="1673"/>
      <c r="F156" s="1857"/>
      <c r="G156" s="1649"/>
      <c r="H156" s="1648"/>
      <c r="I156" s="1857"/>
      <c r="J156" s="1648"/>
      <c r="P156" s="2580" t="s">
        <v>1627</v>
      </c>
      <c r="Q156" s="1426"/>
      <c r="R156" s="1165"/>
      <c r="S156" s="1696"/>
      <c r="T156" s="1696"/>
      <c r="U156" s="1696"/>
      <c r="V156" s="1696"/>
      <c r="W156" s="1165"/>
      <c r="X156" s="1857"/>
      <c r="Y156" s="1850"/>
      <c r="AF156" s="1857"/>
      <c r="AG156" s="1857"/>
      <c r="BL156" s="80"/>
    </row>
    <row r="157" spans="1:64" s="1854" customFormat="1">
      <c r="A157" s="1648"/>
      <c r="B157" s="1648"/>
      <c r="C157" s="1845"/>
      <c r="S157" s="1696"/>
      <c r="T157" s="1696"/>
      <c r="U157" s="1696"/>
      <c r="V157" s="1696"/>
      <c r="W157" s="1165"/>
      <c r="X157" s="1857"/>
      <c r="Y157" s="1850"/>
      <c r="AF157" s="1857"/>
      <c r="AG157" s="1857"/>
      <c r="BL157" s="80"/>
    </row>
    <row r="158" spans="1:64" s="1854" customFormat="1">
      <c r="A158" s="1648"/>
      <c r="B158" s="1648"/>
      <c r="C158" s="1845"/>
      <c r="D158" s="2891" t="s">
        <v>2504</v>
      </c>
      <c r="E158" s="1673"/>
      <c r="F158" s="1857"/>
      <c r="G158" s="1649"/>
      <c r="H158" s="1648"/>
      <c r="I158" s="1857"/>
      <c r="J158" s="1648"/>
      <c r="P158" s="1153"/>
      <c r="Q158" s="1426"/>
      <c r="R158" s="1165"/>
      <c r="S158" s="1696"/>
      <c r="T158" s="1696"/>
      <c r="U158" s="1696"/>
      <c r="V158" s="1696"/>
      <c r="X158" s="1857"/>
      <c r="Y158" s="3573"/>
      <c r="Z158" s="3573"/>
      <c r="AA158" s="3573"/>
      <c r="AB158" s="3573"/>
      <c r="AF158" s="1857"/>
      <c r="AG158" s="1857"/>
      <c r="BL158" s="80"/>
    </row>
    <row r="159" spans="1:64" s="2545" customFormat="1">
      <c r="A159" s="1648"/>
      <c r="B159" s="1648"/>
      <c r="C159" s="1845"/>
      <c r="D159" s="1744" t="s">
        <v>2506</v>
      </c>
      <c r="E159" s="1673"/>
      <c r="F159" s="2547"/>
      <c r="G159" s="1649"/>
      <c r="H159" s="1648"/>
      <c r="I159" s="2547"/>
      <c r="J159" s="1648"/>
      <c r="P159" s="1153"/>
      <c r="Q159" s="1426"/>
      <c r="R159" s="1165"/>
      <c r="S159" s="1696"/>
      <c r="T159" s="1696"/>
      <c r="U159" s="1696"/>
      <c r="V159" s="1696"/>
      <c r="X159" s="2547"/>
      <c r="Y159" s="1870" t="s">
        <v>1863</v>
      </c>
      <c r="Z159" s="2561"/>
      <c r="AA159" s="2561"/>
      <c r="AB159" s="2561"/>
      <c r="AF159" s="2547"/>
      <c r="AG159" s="2547"/>
      <c r="BL159" s="80"/>
    </row>
    <row r="160" spans="1:64" s="1854" customFormat="1">
      <c r="A160" s="1648"/>
      <c r="B160" s="1648"/>
      <c r="C160" s="1845"/>
      <c r="D160" s="1744" t="s">
        <v>2505</v>
      </c>
      <c r="E160" s="1673"/>
      <c r="F160" s="1857"/>
      <c r="G160" s="1649"/>
      <c r="H160" s="1648"/>
      <c r="I160" s="1857"/>
      <c r="J160" s="1648"/>
      <c r="P160" s="1153"/>
      <c r="Q160" s="1426"/>
      <c r="R160" s="1165"/>
      <c r="S160" s="1696"/>
      <c r="T160" s="1696"/>
      <c r="U160" s="1696"/>
      <c r="V160" s="1696"/>
      <c r="W160" s="1165"/>
      <c r="X160" s="1857"/>
      <c r="Y160" s="3563" t="s">
        <v>1862</v>
      </c>
      <c r="Z160" s="3563"/>
      <c r="AA160" s="3563"/>
      <c r="AB160" s="3563"/>
      <c r="AF160" s="1857"/>
      <c r="AG160" s="1857"/>
      <c r="BL160" s="80"/>
    </row>
    <row r="161" spans="1:64" s="2269" customFormat="1" ht="13.2" customHeight="1">
      <c r="A161" s="1648"/>
      <c r="B161" s="1648"/>
      <c r="C161" s="1845"/>
      <c r="D161" s="1748" t="s">
        <v>1632</v>
      </c>
      <c r="E161" s="1673"/>
      <c r="F161" s="2273"/>
      <c r="G161" s="1649"/>
      <c r="H161" s="1648"/>
      <c r="I161" s="2273"/>
      <c r="J161" s="1648"/>
      <c r="P161" s="1153"/>
      <c r="Q161" s="1426"/>
      <c r="R161" s="1165"/>
      <c r="S161" s="1696"/>
      <c r="T161" s="1696"/>
      <c r="U161" s="1696"/>
      <c r="V161" s="1696"/>
      <c r="W161" s="1165"/>
      <c r="X161" s="2273"/>
      <c r="Y161" s="3563"/>
      <c r="Z161" s="3563"/>
      <c r="AA161" s="3563"/>
      <c r="AB161" s="3563"/>
      <c r="AF161" s="2273"/>
      <c r="AG161" s="2273"/>
      <c r="BL161" s="80"/>
    </row>
    <row r="162" spans="1:64" s="1854" customFormat="1" ht="13.2" customHeight="1">
      <c r="A162" s="1648"/>
      <c r="B162" s="1648"/>
      <c r="C162" s="1845"/>
      <c r="F162" s="1857"/>
      <c r="G162" s="1649"/>
      <c r="H162" s="1648"/>
      <c r="I162" s="1857"/>
      <c r="J162" s="1648"/>
      <c r="O162" s="1644"/>
      <c r="P162" s="1644"/>
      <c r="Q162" s="1644"/>
      <c r="R162" s="1644"/>
      <c r="S162" s="1644"/>
      <c r="T162" s="1644"/>
      <c r="U162" s="1644"/>
      <c r="V162" s="1644"/>
      <c r="W162" s="1165"/>
      <c r="X162" s="1857"/>
      <c r="Z162" s="2477"/>
      <c r="AA162" s="2477"/>
      <c r="AB162" s="2477"/>
      <c r="AF162" s="1857"/>
      <c r="AG162" s="1857"/>
      <c r="BL162" s="80"/>
    </row>
    <row r="163" spans="1:64" s="2269" customFormat="1" ht="13.2" customHeight="1">
      <c r="A163" s="1648"/>
      <c r="B163" s="1648"/>
      <c r="C163" s="1845"/>
      <c r="E163" s="1673"/>
      <c r="F163" s="2273"/>
      <c r="G163" s="1649"/>
      <c r="H163" s="1648"/>
      <c r="I163" s="2273"/>
      <c r="J163" s="1648"/>
      <c r="O163" s="1644"/>
      <c r="P163" s="1644"/>
      <c r="Q163" s="1644"/>
      <c r="R163" s="1644"/>
      <c r="S163" s="1644"/>
      <c r="T163" s="1644"/>
      <c r="U163" s="1644"/>
      <c r="V163" s="1644"/>
      <c r="W163" s="1165"/>
      <c r="X163" s="2273"/>
      <c r="Z163" s="2477"/>
      <c r="AA163" s="2477"/>
      <c r="AB163" s="2477"/>
      <c r="AF163" s="2273"/>
      <c r="AG163" s="2273"/>
      <c r="BL163" s="80"/>
    </row>
    <row r="164" spans="1:64" s="2269" customFormat="1" ht="13.2" customHeight="1">
      <c r="A164" s="1252" t="s">
        <v>2011</v>
      </c>
      <c r="B164" s="102"/>
      <c r="C164" s="1845"/>
      <c r="D164" s="2891" t="s">
        <v>2507</v>
      </c>
      <c r="E164" s="1673"/>
      <c r="F164" s="1857"/>
      <c r="G164" s="1649"/>
      <c r="H164" s="1648"/>
      <c r="I164" s="1857"/>
      <c r="J164" s="1648"/>
      <c r="K164" s="1854"/>
      <c r="L164" s="1854"/>
      <c r="M164" s="1854"/>
      <c r="N164" s="1854"/>
      <c r="O164" s="1854"/>
      <c r="P164" s="1153"/>
      <c r="Q164" s="1426"/>
      <c r="R164" s="1165"/>
      <c r="S164" s="1644"/>
      <c r="T164" s="1644"/>
      <c r="U164" s="1644"/>
      <c r="V164" s="1644"/>
      <c r="W164" s="1165"/>
      <c r="X164" s="2273"/>
      <c r="Z164" s="2477"/>
      <c r="AA164" s="2477"/>
      <c r="AB164" s="2477"/>
      <c r="AF164" s="2273"/>
      <c r="AG164" s="2273"/>
      <c r="BL164" s="80"/>
    </row>
    <row r="165" spans="1:64" s="2269" customFormat="1" ht="13.2" customHeight="1">
      <c r="C165" s="1845"/>
      <c r="D165" s="1748" t="s">
        <v>2508</v>
      </c>
      <c r="E165" s="1673"/>
      <c r="F165" s="2273"/>
      <c r="G165" s="1649"/>
      <c r="H165" s="1648"/>
      <c r="I165" s="2273"/>
      <c r="J165" s="1648"/>
      <c r="O165" s="1644"/>
      <c r="P165" s="1644"/>
      <c r="Q165" s="1644"/>
      <c r="R165" s="1644"/>
      <c r="S165" s="1644"/>
      <c r="T165" s="1644"/>
      <c r="U165" s="1644"/>
      <c r="V165" s="1644"/>
      <c r="W165" s="1165"/>
      <c r="X165" s="2273"/>
      <c r="Z165" s="2477"/>
      <c r="AA165" s="2477"/>
      <c r="AB165" s="2477"/>
      <c r="AF165" s="2273"/>
      <c r="AG165" s="2273"/>
      <c r="BL165" s="80"/>
    </row>
    <row r="166" spans="1:64" s="2545" customFormat="1" ht="13.2" customHeight="1">
      <c r="C166" s="1845"/>
      <c r="D166" s="1748" t="s">
        <v>2509</v>
      </c>
      <c r="E166" s="1673"/>
      <c r="F166" s="2547"/>
      <c r="G166" s="1649"/>
      <c r="H166" s="1648"/>
      <c r="I166" s="2547"/>
      <c r="J166" s="1648"/>
      <c r="O166" s="1644"/>
      <c r="P166" s="1644"/>
      <c r="Q166" s="1644"/>
      <c r="R166" s="1644"/>
      <c r="S166" s="1644"/>
      <c r="T166" s="1644"/>
      <c r="U166" s="1644"/>
      <c r="V166" s="1644"/>
      <c r="W166" s="1165"/>
      <c r="X166" s="2547"/>
      <c r="Z166" s="2560"/>
      <c r="AA166" s="2560"/>
      <c r="AB166" s="2560"/>
      <c r="AF166" s="2547"/>
      <c r="AG166" s="2547"/>
      <c r="BL166" s="80"/>
    </row>
    <row r="167" spans="1:64" s="2545" customFormat="1" ht="13.2" customHeight="1">
      <c r="D167" s="1745" t="s">
        <v>2515</v>
      </c>
      <c r="E167" s="1673"/>
      <c r="F167" s="2547"/>
      <c r="G167" s="1649"/>
      <c r="H167" s="1648"/>
      <c r="I167" s="2547"/>
      <c r="J167" s="1648"/>
      <c r="O167" s="1644"/>
      <c r="P167" s="1644"/>
      <c r="Q167" s="1644"/>
      <c r="R167" s="1644"/>
      <c r="S167" s="1644"/>
      <c r="T167" s="1644"/>
      <c r="U167" s="1644"/>
      <c r="V167" s="1644"/>
      <c r="W167" s="1165"/>
      <c r="X167" s="2547"/>
      <c r="Z167" s="2560"/>
      <c r="AA167" s="2560"/>
      <c r="AB167" s="2560"/>
      <c r="AF167" s="2547"/>
      <c r="AG167" s="2547"/>
      <c r="BL167" s="80"/>
    </row>
    <row r="168" spans="1:64" s="2545" customFormat="1" ht="13.2" customHeight="1">
      <c r="D168" s="1748" t="s">
        <v>2510</v>
      </c>
      <c r="E168" s="1673"/>
      <c r="F168" s="2547"/>
      <c r="G168" s="1649"/>
      <c r="H168" s="1648"/>
      <c r="I168" s="2547"/>
      <c r="J168" s="1648"/>
      <c r="O168" s="1644"/>
      <c r="P168" s="1644"/>
      <c r="Q168" s="1644"/>
      <c r="R168" s="1644"/>
      <c r="S168" s="1644"/>
      <c r="T168" s="1644"/>
      <c r="U168" s="1644"/>
      <c r="V168" s="1644"/>
      <c r="W168" s="1165"/>
      <c r="X168" s="2547"/>
      <c r="Z168" s="2560"/>
      <c r="AA168" s="2560"/>
      <c r="AB168" s="2560"/>
      <c r="AF168" s="2547"/>
      <c r="AG168" s="2547"/>
      <c r="BL168" s="80"/>
    </row>
    <row r="169" spans="1:64" s="2545" customFormat="1" ht="13.2" customHeight="1">
      <c r="D169" s="1742" t="s">
        <v>2511</v>
      </c>
      <c r="E169" s="1673"/>
      <c r="F169" s="2547"/>
      <c r="G169" s="1649"/>
      <c r="H169" s="1648"/>
      <c r="I169" s="2547"/>
      <c r="J169" s="1648"/>
      <c r="O169" s="1644"/>
      <c r="P169" s="1644"/>
      <c r="Q169" s="1644"/>
      <c r="R169" s="1644"/>
      <c r="S169" s="1644"/>
      <c r="T169" s="1644"/>
      <c r="U169" s="1644"/>
      <c r="V169" s="1644"/>
      <c r="W169" s="1165"/>
      <c r="X169" s="2547"/>
      <c r="Z169" s="2560"/>
      <c r="AA169" s="2560"/>
      <c r="AB169" s="2560"/>
      <c r="AF169" s="2547"/>
      <c r="AG169" s="2547"/>
      <c r="BL169" s="80"/>
    </row>
    <row r="170" spans="1:64" s="2545" customFormat="1" ht="13.2" customHeight="1">
      <c r="D170" s="1745"/>
      <c r="E170" s="1673"/>
      <c r="F170" s="2547"/>
      <c r="G170" s="1649"/>
      <c r="H170" s="1648"/>
      <c r="I170" s="2547"/>
      <c r="J170" s="1648"/>
      <c r="O170" s="1644"/>
      <c r="P170" s="1644"/>
      <c r="Q170" s="1644"/>
      <c r="R170" s="1644"/>
      <c r="S170" s="1644"/>
      <c r="T170" s="1644"/>
      <c r="U170" s="1644"/>
      <c r="V170" s="1644"/>
      <c r="W170" s="1165"/>
      <c r="X170" s="2547"/>
      <c r="Z170" s="2560"/>
      <c r="AA170" s="2560"/>
      <c r="AB170" s="2560"/>
      <c r="AF170" s="2547"/>
      <c r="AG170" s="2547"/>
      <c r="BL170" s="80"/>
    </row>
    <row r="171" spans="1:64" s="1854" customFormat="1">
      <c r="A171" s="1648"/>
      <c r="B171" s="1648"/>
      <c r="D171" s="2896" t="s">
        <v>2512</v>
      </c>
      <c r="O171" s="1644"/>
      <c r="P171" s="1644"/>
      <c r="Q171" s="1644"/>
      <c r="R171" s="1644"/>
      <c r="S171" s="1644"/>
      <c r="T171" s="1644"/>
      <c r="U171" s="1644"/>
      <c r="V171" s="1644"/>
      <c r="W171" s="1165"/>
      <c r="X171" s="1857"/>
      <c r="Y171" s="2477"/>
      <c r="Z171" s="2477"/>
      <c r="AA171" s="2477"/>
      <c r="AB171" s="2477"/>
      <c r="AF171" s="1857"/>
      <c r="AG171" s="1857"/>
      <c r="BL171" s="80"/>
    </row>
    <row r="172" spans="1:64" s="1808" customFormat="1" ht="13.2" customHeight="1">
      <c r="A172" s="1648"/>
      <c r="B172" s="1648"/>
      <c r="D172" s="1748" t="s">
        <v>1900</v>
      </c>
      <c r="E172" s="1745"/>
      <c r="F172" s="1745"/>
      <c r="G172" s="1745"/>
      <c r="H172" s="1745"/>
      <c r="I172" s="1745"/>
      <c r="J172" s="1745"/>
      <c r="K172" s="1745"/>
      <c r="L172" s="1745"/>
      <c r="M172" s="1745"/>
      <c r="N172" s="1745"/>
      <c r="O172" s="1745"/>
      <c r="P172" s="1745"/>
      <c r="Q172" s="1745"/>
      <c r="R172" s="1745"/>
      <c r="S172" s="1745"/>
      <c r="T172" s="1745"/>
      <c r="U172" s="1745"/>
      <c r="V172" s="1745"/>
      <c r="W172" s="1745"/>
      <c r="X172" s="1809"/>
      <c r="AF172" s="1809"/>
      <c r="AG172" s="1809"/>
      <c r="BL172" s="80"/>
    </row>
    <row r="173" spans="1:64" s="1808" customFormat="1">
      <c r="A173" s="1648"/>
      <c r="B173" s="1648"/>
      <c r="C173" s="1845"/>
      <c r="D173" s="3565" t="s">
        <v>2516</v>
      </c>
      <c r="E173" s="3565"/>
      <c r="F173" s="3565"/>
      <c r="G173" s="3565"/>
      <c r="H173" s="3565"/>
      <c r="I173" s="3565"/>
      <c r="J173" s="3565"/>
      <c r="K173" s="3565"/>
      <c r="L173" s="3565"/>
      <c r="M173" s="3565"/>
      <c r="N173" s="3565"/>
      <c r="O173" s="3565"/>
      <c r="P173" s="3565"/>
      <c r="Q173" s="3565"/>
      <c r="R173" s="3565"/>
      <c r="S173" s="3565"/>
      <c r="T173" s="3565"/>
      <c r="U173" s="3565"/>
      <c r="V173" s="3565"/>
      <c r="W173" s="3565"/>
      <c r="X173" s="1809"/>
      <c r="AF173" s="1809"/>
      <c r="AG173" s="1809"/>
      <c r="BL173" s="80"/>
    </row>
    <row r="174" spans="1:64" s="2545" customFormat="1">
      <c r="A174" s="1648"/>
      <c r="B174" s="1648"/>
      <c r="C174" s="1845"/>
      <c r="D174" s="3565"/>
      <c r="E174" s="3565"/>
      <c r="F174" s="3565"/>
      <c r="G174" s="3565"/>
      <c r="H174" s="3565"/>
      <c r="I174" s="3565"/>
      <c r="J174" s="3565"/>
      <c r="K174" s="3565"/>
      <c r="L174" s="3565"/>
      <c r="M174" s="3565"/>
      <c r="N174" s="3565"/>
      <c r="O174" s="3565"/>
      <c r="P174" s="3565"/>
      <c r="Q174" s="3565"/>
      <c r="R174" s="3565"/>
      <c r="S174" s="3565"/>
      <c r="T174" s="3565"/>
      <c r="U174" s="3565"/>
      <c r="V174" s="3565"/>
      <c r="W174" s="3565"/>
      <c r="X174" s="2547"/>
      <c r="AF174" s="2547"/>
      <c r="AG174" s="2547"/>
      <c r="BL174" s="80"/>
    </row>
    <row r="175" spans="1:64" s="1808" customFormat="1">
      <c r="A175" s="1648"/>
      <c r="B175" s="1648"/>
      <c r="C175" s="1845"/>
      <c r="D175" s="3565"/>
      <c r="E175" s="3565"/>
      <c r="F175" s="3565"/>
      <c r="G175" s="3565"/>
      <c r="H175" s="3565"/>
      <c r="I175" s="3565"/>
      <c r="J175" s="3565"/>
      <c r="K175" s="3565"/>
      <c r="L175" s="3565"/>
      <c r="M175" s="3565"/>
      <c r="N175" s="3565"/>
      <c r="O175" s="3565"/>
      <c r="P175" s="3565"/>
      <c r="Q175" s="3565"/>
      <c r="R175" s="3565"/>
      <c r="S175" s="3565"/>
      <c r="T175" s="3565"/>
      <c r="U175" s="3565"/>
      <c r="V175" s="3565"/>
      <c r="W175" s="3565"/>
      <c r="X175" s="1809"/>
      <c r="Y175" s="1921"/>
      <c r="AF175" s="1809"/>
      <c r="AG175" s="1809"/>
      <c r="BL175" s="80"/>
    </row>
    <row r="176" spans="1:64" s="2545" customFormat="1">
      <c r="A176" s="1648"/>
      <c r="B176" s="1648"/>
      <c r="C176" s="1845"/>
      <c r="D176" s="1746" t="s">
        <v>1968</v>
      </c>
      <c r="E176" s="2582"/>
      <c r="F176" s="2582"/>
      <c r="G176" s="2582"/>
      <c r="H176" s="2582"/>
      <c r="I176" s="2582"/>
      <c r="J176" s="2582"/>
      <c r="K176" s="2582"/>
      <c r="L176" s="2582"/>
      <c r="M176" s="2582"/>
      <c r="N176" s="2582"/>
      <c r="O176" s="2582"/>
      <c r="P176" s="2582"/>
      <c r="Q176" s="2582"/>
      <c r="R176" s="2582"/>
      <c r="S176" s="2582"/>
      <c r="T176" s="2582"/>
      <c r="U176" s="2582"/>
      <c r="V176" s="2582"/>
      <c r="W176" s="2582"/>
      <c r="X176" s="2547"/>
      <c r="AF176" s="2547"/>
      <c r="AG176" s="2547"/>
      <c r="BL176" s="80"/>
    </row>
    <row r="177" spans="1:64" s="2545" customFormat="1">
      <c r="A177" s="1648"/>
      <c r="B177" s="1648"/>
      <c r="C177" s="1845"/>
      <c r="D177" s="3565" t="s">
        <v>2517</v>
      </c>
      <c r="E177" s="3565"/>
      <c r="F177" s="3565"/>
      <c r="G177" s="3565"/>
      <c r="H177" s="3565"/>
      <c r="I177" s="3565"/>
      <c r="J177" s="3565"/>
      <c r="K177" s="3565"/>
      <c r="L177" s="3565"/>
      <c r="M177" s="3565"/>
      <c r="N177" s="3565"/>
      <c r="O177" s="3565"/>
      <c r="P177" s="3565"/>
      <c r="Q177" s="3565"/>
      <c r="R177" s="3565"/>
      <c r="S177" s="3565"/>
      <c r="T177" s="3565"/>
      <c r="U177" s="3565"/>
      <c r="V177" s="3565"/>
      <c r="W177" s="3565"/>
      <c r="X177" s="2547"/>
      <c r="Y177" s="111" t="s">
        <v>1949</v>
      </c>
      <c r="AF177" s="2547"/>
      <c r="AG177" s="2547"/>
      <c r="BL177" s="80"/>
    </row>
    <row r="178" spans="1:64" s="2545" customFormat="1" ht="13.2" customHeight="1">
      <c r="A178" s="1648"/>
      <c r="B178" s="1648"/>
      <c r="C178" s="1845"/>
      <c r="D178" s="3565"/>
      <c r="E178" s="3565"/>
      <c r="F178" s="3565"/>
      <c r="G178" s="3565"/>
      <c r="H178" s="3565"/>
      <c r="I178" s="3565"/>
      <c r="J178" s="3565"/>
      <c r="K178" s="3565"/>
      <c r="L178" s="3565"/>
      <c r="M178" s="3565"/>
      <c r="N178" s="3565"/>
      <c r="O178" s="3565"/>
      <c r="P178" s="3565"/>
      <c r="Q178" s="3565"/>
      <c r="R178" s="3565"/>
      <c r="S178" s="3565"/>
      <c r="T178" s="3565"/>
      <c r="U178" s="3565"/>
      <c r="V178" s="3565"/>
      <c r="W178" s="3565"/>
      <c r="X178" s="2547"/>
      <c r="AF178" s="2547"/>
      <c r="AG178" s="2547"/>
      <c r="BL178" s="80"/>
    </row>
    <row r="179" spans="1:64" s="2545" customFormat="1">
      <c r="A179" s="1648"/>
      <c r="B179" s="1648"/>
      <c r="C179" s="1845"/>
      <c r="D179" s="3565"/>
      <c r="E179" s="3565"/>
      <c r="F179" s="3565"/>
      <c r="G179" s="3565"/>
      <c r="H179" s="3565"/>
      <c r="I179" s="3565"/>
      <c r="J179" s="3565"/>
      <c r="K179" s="3565"/>
      <c r="L179" s="3565"/>
      <c r="M179" s="3565"/>
      <c r="N179" s="3565"/>
      <c r="O179" s="3565"/>
      <c r="P179" s="3565"/>
      <c r="Q179" s="3565"/>
      <c r="R179" s="3565"/>
      <c r="S179" s="3565"/>
      <c r="T179" s="3565"/>
      <c r="U179" s="3565"/>
      <c r="V179" s="3565"/>
      <c r="W179" s="3565"/>
      <c r="X179" s="2547"/>
      <c r="AF179" s="2547"/>
      <c r="AG179" s="2547"/>
      <c r="BL179" s="80"/>
    </row>
    <row r="180" spans="1:64" s="2896" customFormat="1">
      <c r="A180" s="1648"/>
      <c r="B180" s="1648"/>
      <c r="C180" s="1845"/>
      <c r="D180" s="2898"/>
      <c r="E180" s="2898"/>
      <c r="F180" s="2898"/>
      <c r="G180" s="2898"/>
      <c r="H180" s="2898"/>
      <c r="I180" s="2898"/>
      <c r="J180" s="2898"/>
      <c r="K180" s="2898"/>
      <c r="L180" s="2898"/>
      <c r="M180" s="2898"/>
      <c r="N180" s="2898"/>
      <c r="O180" s="2898"/>
      <c r="P180" s="2898"/>
      <c r="Q180" s="2898"/>
      <c r="R180" s="2898"/>
      <c r="S180" s="2898"/>
      <c r="T180" s="2898"/>
      <c r="U180" s="2898"/>
      <c r="V180" s="2898"/>
      <c r="W180" s="2898"/>
      <c r="X180" s="2891"/>
      <c r="AF180" s="2891"/>
      <c r="AG180" s="2891"/>
      <c r="BL180" s="80"/>
    </row>
    <row r="181" spans="1:64" s="2545" customFormat="1">
      <c r="A181" s="1648"/>
      <c r="B181" s="1648"/>
      <c r="C181" s="1845"/>
      <c r="D181" s="3453" t="s">
        <v>2518</v>
      </c>
      <c r="E181" s="3453"/>
      <c r="F181" s="3453"/>
      <c r="G181" s="3453"/>
      <c r="H181" s="3453"/>
      <c r="I181" s="3453"/>
      <c r="J181" s="3453"/>
      <c r="K181" s="3453"/>
      <c r="L181" s="3453"/>
      <c r="M181" s="3453"/>
      <c r="N181" s="3453"/>
      <c r="O181" s="3453"/>
      <c r="P181" s="3453"/>
      <c r="Q181" s="3453"/>
      <c r="R181" s="3453"/>
      <c r="S181" s="3453"/>
      <c r="T181" s="3453"/>
      <c r="U181" s="3453"/>
      <c r="V181" s="3453"/>
      <c r="W181" s="3453"/>
      <c r="X181" s="2547"/>
      <c r="AF181" s="2547"/>
      <c r="AG181" s="2547"/>
      <c r="BL181" s="80"/>
    </row>
    <row r="182" spans="1:64" s="2545" customFormat="1">
      <c r="A182" s="1648"/>
      <c r="B182" s="1648"/>
      <c r="C182" s="1845"/>
      <c r="D182" s="3453"/>
      <c r="E182" s="3453"/>
      <c r="F182" s="3453"/>
      <c r="G182" s="3453"/>
      <c r="H182" s="3453"/>
      <c r="I182" s="3453"/>
      <c r="J182" s="3453"/>
      <c r="K182" s="3453"/>
      <c r="L182" s="3453"/>
      <c r="M182" s="3453"/>
      <c r="N182" s="3453"/>
      <c r="O182" s="3453"/>
      <c r="P182" s="3453"/>
      <c r="Q182" s="3453"/>
      <c r="R182" s="3453"/>
      <c r="S182" s="3453"/>
      <c r="T182" s="3453"/>
      <c r="U182" s="3453"/>
      <c r="V182" s="3453"/>
      <c r="W182" s="3453"/>
      <c r="X182" s="2547"/>
      <c r="AF182" s="2547"/>
      <c r="AG182" s="2547"/>
      <c r="BL182" s="80"/>
    </row>
    <row r="183" spans="1:64" s="2545" customFormat="1">
      <c r="A183" s="1648"/>
      <c r="B183" s="1648"/>
      <c r="C183" s="1845"/>
      <c r="D183" s="2583" t="s">
        <v>2519</v>
      </c>
      <c r="E183" s="2583"/>
      <c r="F183" s="2583"/>
      <c r="G183" s="2583"/>
      <c r="H183" s="2583"/>
      <c r="I183" s="2583"/>
      <c r="J183" s="2583"/>
      <c r="K183" s="2583"/>
      <c r="L183" s="2583"/>
      <c r="M183" s="2583"/>
      <c r="N183" s="2583"/>
      <c r="O183" s="2583"/>
      <c r="P183" s="2583"/>
      <c r="Q183" s="2583"/>
      <c r="R183" s="2583"/>
      <c r="S183" s="2583"/>
      <c r="T183" s="2583"/>
      <c r="U183" s="2583"/>
      <c r="V183" s="2583"/>
      <c r="W183" s="2583"/>
      <c r="X183" s="2547"/>
      <c r="AF183" s="2547"/>
      <c r="AG183" s="2547"/>
      <c r="BL183" s="80"/>
    </row>
    <row r="184" spans="1:64" s="2545" customFormat="1">
      <c r="A184" s="1648"/>
      <c r="B184" s="1648"/>
      <c r="C184" s="1845"/>
      <c r="D184" s="2621" t="s">
        <v>1946</v>
      </c>
      <c r="E184" s="2620"/>
      <c r="F184" s="2620"/>
      <c r="G184" s="2620"/>
      <c r="H184" s="2620"/>
      <c r="I184" s="2620"/>
      <c r="J184" s="2620"/>
      <c r="K184" s="2620"/>
      <c r="L184" s="2620"/>
      <c r="M184" s="2620"/>
      <c r="N184" s="2620"/>
      <c r="O184" s="2620"/>
      <c r="P184" s="2620"/>
      <c r="Q184" s="2620"/>
      <c r="R184" s="2620"/>
      <c r="S184" s="2620"/>
      <c r="T184" s="2620"/>
      <c r="U184" s="2620"/>
      <c r="V184" s="2620"/>
      <c r="W184" s="2620"/>
      <c r="X184" s="2547"/>
      <c r="AF184" s="2547"/>
      <c r="AG184" s="2547"/>
      <c r="BL184" s="80"/>
    </row>
    <row r="185" spans="1:64" s="2545" customFormat="1">
      <c r="A185" s="1648"/>
      <c r="B185" s="1648"/>
      <c r="C185" s="1845"/>
      <c r="D185" s="3450" t="s">
        <v>1990</v>
      </c>
      <c r="E185" s="3450"/>
      <c r="F185" s="3450"/>
      <c r="G185" s="3450"/>
      <c r="H185" s="3450"/>
      <c r="I185" s="3450"/>
      <c r="J185" s="3450"/>
      <c r="K185" s="3450"/>
      <c r="L185" s="3450"/>
      <c r="M185" s="3450"/>
      <c r="N185" s="3450"/>
      <c r="O185" s="3450"/>
      <c r="P185" s="3450"/>
      <c r="Q185" s="3450"/>
      <c r="R185" s="3450"/>
      <c r="S185" s="3450"/>
      <c r="T185" s="3450"/>
      <c r="U185" s="3450"/>
      <c r="V185" s="3450"/>
      <c r="W185" s="3450"/>
      <c r="X185" s="2547"/>
      <c r="AF185" s="2547"/>
      <c r="AG185" s="2547"/>
      <c r="BL185" s="80"/>
    </row>
    <row r="186" spans="1:64" s="2545" customFormat="1">
      <c r="A186" s="1648"/>
      <c r="B186" s="1648"/>
      <c r="C186" s="1845"/>
      <c r="D186" s="3450"/>
      <c r="E186" s="3450"/>
      <c r="F186" s="3450"/>
      <c r="G186" s="3450"/>
      <c r="H186" s="3450"/>
      <c r="I186" s="3450"/>
      <c r="J186" s="3450"/>
      <c r="K186" s="3450"/>
      <c r="L186" s="3450"/>
      <c r="M186" s="3450"/>
      <c r="N186" s="3450"/>
      <c r="O186" s="3450"/>
      <c r="P186" s="3450"/>
      <c r="Q186" s="3450"/>
      <c r="R186" s="3450"/>
      <c r="S186" s="3450"/>
      <c r="T186" s="3450"/>
      <c r="U186" s="3450"/>
      <c r="V186" s="3450"/>
      <c r="W186" s="3450"/>
      <c r="X186" s="2547"/>
      <c r="AF186" s="2547"/>
      <c r="AG186" s="2547"/>
      <c r="BL186" s="80"/>
    </row>
    <row r="187" spans="1:64" s="2269" customFormat="1">
      <c r="A187" s="1648"/>
      <c r="B187" s="1648"/>
      <c r="C187" s="1845"/>
      <c r="D187" s="2274"/>
      <c r="E187" s="2274"/>
      <c r="F187" s="2274"/>
      <c r="G187" s="2274"/>
      <c r="H187" s="2274"/>
      <c r="I187" s="2274"/>
      <c r="J187" s="2274"/>
      <c r="K187" s="2274"/>
      <c r="L187" s="2274"/>
      <c r="M187" s="2274"/>
      <c r="N187" s="2274"/>
      <c r="O187" s="2274"/>
      <c r="P187" s="2274"/>
      <c r="Q187" s="2274"/>
      <c r="R187" s="2274"/>
      <c r="S187" s="2274"/>
      <c r="T187" s="2274"/>
      <c r="U187" s="2274"/>
      <c r="V187" s="2274"/>
      <c r="W187" s="2274"/>
      <c r="X187" s="2273"/>
      <c r="AF187" s="2273"/>
      <c r="AG187" s="2273"/>
      <c r="BL187" s="80"/>
    </row>
    <row r="188" spans="1:64" s="2269" customFormat="1" ht="13.2" customHeight="1">
      <c r="A188" s="1648"/>
      <c r="B188" s="2625" t="s">
        <v>1958</v>
      </c>
      <c r="C188" s="2484"/>
      <c r="D188" s="3566" t="s">
        <v>1969</v>
      </c>
      <c r="E188" s="3566"/>
      <c r="F188" s="3566"/>
      <c r="G188" s="3566"/>
      <c r="H188" s="3566"/>
      <c r="I188" s="3566"/>
      <c r="J188" s="3566"/>
      <c r="K188" s="3566"/>
      <c r="L188" s="3566"/>
      <c r="M188" s="3566"/>
      <c r="N188" s="3566"/>
      <c r="O188" s="3566"/>
      <c r="P188" s="3566"/>
      <c r="Q188" s="3566"/>
      <c r="R188" s="3566"/>
      <c r="S188" s="3566"/>
      <c r="T188" s="3566"/>
      <c r="U188" s="3566"/>
      <c r="V188" s="3566"/>
      <c r="W188" s="3566"/>
      <c r="X188" s="1616"/>
      <c r="Y188" s="3568" t="s">
        <v>2552</v>
      </c>
      <c r="Z188" s="3569"/>
      <c r="AA188" s="3569"/>
      <c r="AB188" s="3569"/>
      <c r="AF188" s="2273"/>
      <c r="AG188" s="2273"/>
      <c r="BL188" s="80"/>
    </row>
    <row r="189" spans="1:64" s="2269" customFormat="1">
      <c r="A189" s="1648"/>
      <c r="B189" s="2628"/>
      <c r="C189" s="1845"/>
      <c r="D189" s="3567"/>
      <c r="E189" s="3567"/>
      <c r="F189" s="3567"/>
      <c r="G189" s="3567"/>
      <c r="H189" s="3567"/>
      <c r="I189" s="3567"/>
      <c r="J189" s="3567"/>
      <c r="K189" s="3567"/>
      <c r="L189" s="3567"/>
      <c r="M189" s="3567"/>
      <c r="N189" s="3567"/>
      <c r="O189" s="3567"/>
      <c r="P189" s="3567"/>
      <c r="Q189" s="3567"/>
      <c r="R189" s="3567"/>
      <c r="S189" s="3567"/>
      <c r="T189" s="3567"/>
      <c r="U189" s="3567"/>
      <c r="V189" s="3567"/>
      <c r="W189" s="3567"/>
      <c r="X189" s="2143"/>
      <c r="Y189" s="3568"/>
      <c r="Z189" s="3569"/>
      <c r="AA189" s="3569"/>
      <c r="AB189" s="3569"/>
      <c r="AF189" s="2273"/>
      <c r="AG189" s="2273"/>
      <c r="BL189" s="80"/>
    </row>
    <row r="190" spans="1:64" s="2545" customFormat="1">
      <c r="A190" s="1648"/>
      <c r="B190" s="2628"/>
      <c r="C190" s="1845"/>
      <c r="D190" s="2555"/>
      <c r="E190" s="2555"/>
      <c r="F190" s="2555"/>
      <c r="G190" s="2555"/>
      <c r="H190" s="2555"/>
      <c r="I190" s="2555"/>
      <c r="J190" s="2555"/>
      <c r="K190" s="2555"/>
      <c r="L190" s="2555"/>
      <c r="M190" s="2555"/>
      <c r="N190" s="2555"/>
      <c r="O190" s="2555"/>
      <c r="P190" s="2555"/>
      <c r="Q190" s="2555"/>
      <c r="R190" s="2555"/>
      <c r="S190" s="2555"/>
      <c r="T190" s="2555"/>
      <c r="U190" s="2555"/>
      <c r="V190" s="2555"/>
      <c r="W190" s="2555"/>
      <c r="X190" s="2143"/>
      <c r="Y190" s="3451" t="s">
        <v>2520</v>
      </c>
      <c r="Z190" s="3452"/>
      <c r="AA190" s="3452"/>
      <c r="AB190" s="3452"/>
      <c r="AF190" s="2547"/>
      <c r="AG190" s="2547"/>
      <c r="BL190" s="80"/>
    </row>
    <row r="191" spans="1:64" s="2545" customFormat="1">
      <c r="A191" s="1648"/>
      <c r="B191" s="2628"/>
      <c r="C191" s="2547"/>
      <c r="D191" s="1186" t="s">
        <v>2521</v>
      </c>
      <c r="E191" s="2584"/>
      <c r="F191" s="2584"/>
      <c r="G191" s="2584"/>
      <c r="H191" s="2584"/>
      <c r="I191" s="2584"/>
      <c r="J191" s="2584"/>
      <c r="K191" s="2584"/>
      <c r="L191" s="2584"/>
      <c r="M191" s="2584"/>
      <c r="N191" s="2584"/>
      <c r="O191" s="2584"/>
      <c r="P191" s="2584"/>
      <c r="Q191" s="2584"/>
      <c r="R191" s="2584"/>
      <c r="S191" s="2555"/>
      <c r="T191" s="2555"/>
      <c r="U191" s="2555"/>
      <c r="V191" s="2555"/>
      <c r="W191" s="2555"/>
      <c r="X191" s="2143"/>
      <c r="Y191" s="3451"/>
      <c r="Z191" s="3452"/>
      <c r="AA191" s="3452"/>
      <c r="AB191" s="3452"/>
      <c r="AF191" s="2547"/>
      <c r="AG191" s="2547"/>
      <c r="BL191" s="80"/>
    </row>
    <row r="192" spans="1:64" s="2269" customFormat="1">
      <c r="A192" s="1648"/>
      <c r="B192" s="2628"/>
      <c r="C192" s="1845"/>
      <c r="D192" s="3567" t="s">
        <v>2012</v>
      </c>
      <c r="E192" s="3567"/>
      <c r="F192" s="3567"/>
      <c r="G192" s="3567"/>
      <c r="H192" s="3567"/>
      <c r="I192" s="3567"/>
      <c r="J192" s="3567"/>
      <c r="K192" s="3567"/>
      <c r="L192" s="3567"/>
      <c r="M192" s="3567"/>
      <c r="N192" s="3567"/>
      <c r="O192" s="3567"/>
      <c r="P192" s="3567"/>
      <c r="Q192" s="3567"/>
      <c r="R192" s="3567"/>
      <c r="S192" s="3567"/>
      <c r="T192" s="3567"/>
      <c r="U192" s="3567"/>
      <c r="V192" s="3567"/>
      <c r="W192" s="3567"/>
      <c r="X192" s="2143"/>
      <c r="Y192" s="1673"/>
      <c r="Z192" s="1673"/>
      <c r="AA192" s="1673"/>
      <c r="AB192" s="1673"/>
      <c r="AF192" s="2273"/>
      <c r="AG192" s="2273"/>
      <c r="BL192" s="80"/>
    </row>
    <row r="193" spans="1:64" s="2269" customFormat="1">
      <c r="A193" s="1648"/>
      <c r="B193" s="2628"/>
      <c r="C193" s="1845"/>
      <c r="D193" s="3567"/>
      <c r="E193" s="3567"/>
      <c r="F193" s="3567"/>
      <c r="G193" s="3567"/>
      <c r="H193" s="3567"/>
      <c r="I193" s="3567"/>
      <c r="J193" s="3567"/>
      <c r="K193" s="3567"/>
      <c r="L193" s="3567"/>
      <c r="M193" s="3567"/>
      <c r="N193" s="3567"/>
      <c r="O193" s="3567"/>
      <c r="P193" s="3567"/>
      <c r="Q193" s="3567"/>
      <c r="R193" s="3567"/>
      <c r="S193" s="3567"/>
      <c r="T193" s="3567"/>
      <c r="U193" s="3567"/>
      <c r="V193" s="3567"/>
      <c r="W193" s="3567"/>
      <c r="X193" s="2143"/>
      <c r="Y193" s="1673"/>
      <c r="Z193" s="1673"/>
      <c r="AA193" s="1673"/>
      <c r="AB193" s="1673"/>
      <c r="AF193" s="2273"/>
      <c r="AG193" s="2273"/>
      <c r="BL193" s="80"/>
    </row>
    <row r="194" spans="1:64" s="2269" customFormat="1">
      <c r="A194" s="1648"/>
      <c r="B194" s="2628"/>
      <c r="C194" s="1845"/>
      <c r="D194" s="3543" t="s">
        <v>2522</v>
      </c>
      <c r="E194" s="3543"/>
      <c r="F194" s="3543"/>
      <c r="G194" s="3543"/>
      <c r="H194" s="3543"/>
      <c r="I194" s="3543"/>
      <c r="J194" s="3543"/>
      <c r="K194" s="3543"/>
      <c r="L194" s="3543"/>
      <c r="M194" s="3543"/>
      <c r="N194" s="3543"/>
      <c r="O194" s="3543"/>
      <c r="P194" s="3543"/>
      <c r="Q194" s="3543"/>
      <c r="R194" s="3543"/>
      <c r="S194" s="3543"/>
      <c r="T194" s="3543"/>
      <c r="U194" s="3543"/>
      <c r="V194" s="3543"/>
      <c r="W194" s="3543"/>
      <c r="X194" s="2143"/>
      <c r="Y194" s="1673"/>
      <c r="Z194" s="1673"/>
      <c r="AA194" s="1673"/>
      <c r="AB194" s="1673"/>
      <c r="AF194" s="2273"/>
      <c r="AG194" s="2273"/>
      <c r="BL194" s="80"/>
    </row>
    <row r="195" spans="1:64" s="2269" customFormat="1">
      <c r="A195" s="1648"/>
      <c r="B195" s="2628"/>
      <c r="C195" s="1845"/>
      <c r="D195" s="3543"/>
      <c r="E195" s="3543"/>
      <c r="F195" s="3543"/>
      <c r="G195" s="3543"/>
      <c r="H195" s="3543"/>
      <c r="I195" s="3543"/>
      <c r="J195" s="3543"/>
      <c r="K195" s="3543"/>
      <c r="L195" s="3543"/>
      <c r="M195" s="3543"/>
      <c r="N195" s="3543"/>
      <c r="O195" s="3543"/>
      <c r="P195" s="3543"/>
      <c r="Q195" s="3543"/>
      <c r="R195" s="3543"/>
      <c r="S195" s="3543"/>
      <c r="T195" s="3543"/>
      <c r="U195" s="3543"/>
      <c r="V195" s="3543"/>
      <c r="W195" s="3543"/>
      <c r="X195" s="2143"/>
      <c r="Y195" s="1673"/>
      <c r="Z195" s="1673"/>
      <c r="AA195" s="1673"/>
      <c r="AB195" s="1673"/>
      <c r="AF195" s="2273"/>
      <c r="AG195" s="2273"/>
      <c r="BL195" s="80"/>
    </row>
    <row r="196" spans="1:64" s="2269" customFormat="1">
      <c r="A196" s="1648"/>
      <c r="B196" s="2628"/>
      <c r="C196" s="1845"/>
      <c r="D196" s="3543" t="s">
        <v>2523</v>
      </c>
      <c r="E196" s="3543"/>
      <c r="F196" s="3543"/>
      <c r="G196" s="3543"/>
      <c r="H196" s="3543"/>
      <c r="I196" s="3543"/>
      <c r="J196" s="3543"/>
      <c r="K196" s="3543"/>
      <c r="L196" s="3543"/>
      <c r="M196" s="3543"/>
      <c r="N196" s="3543"/>
      <c r="O196" s="3543"/>
      <c r="P196" s="3543"/>
      <c r="Q196" s="3543"/>
      <c r="R196" s="3543"/>
      <c r="S196" s="3543"/>
      <c r="T196" s="3543"/>
      <c r="U196" s="3543"/>
      <c r="V196" s="3543"/>
      <c r="W196" s="3543"/>
      <c r="X196" s="2143"/>
      <c r="Y196" s="2891"/>
      <c r="Z196" s="2552"/>
      <c r="AA196" s="2552"/>
      <c r="AB196" s="2552"/>
      <c r="AF196" s="2273"/>
      <c r="AG196" s="2273"/>
      <c r="BL196" s="80"/>
    </row>
    <row r="197" spans="1:64" s="2545" customFormat="1">
      <c r="A197" s="1648"/>
      <c r="B197" s="2628"/>
      <c r="C197" s="1845"/>
      <c r="D197" s="3543"/>
      <c r="E197" s="3543"/>
      <c r="F197" s="3543"/>
      <c r="G197" s="3543"/>
      <c r="H197" s="3543"/>
      <c r="I197" s="3543"/>
      <c r="J197" s="3543"/>
      <c r="K197" s="3543"/>
      <c r="L197" s="3543"/>
      <c r="M197" s="3543"/>
      <c r="N197" s="3543"/>
      <c r="O197" s="3543"/>
      <c r="P197" s="3543"/>
      <c r="Q197" s="3543"/>
      <c r="R197" s="3543"/>
      <c r="S197" s="3543"/>
      <c r="T197" s="3543"/>
      <c r="U197" s="3543"/>
      <c r="V197" s="3543"/>
      <c r="W197" s="3543"/>
      <c r="X197" s="2143"/>
      <c r="Y197" s="2552"/>
      <c r="Z197" s="2552"/>
      <c r="AA197" s="2552"/>
      <c r="AB197" s="2552"/>
      <c r="AF197" s="2547"/>
      <c r="AG197" s="2547"/>
      <c r="BL197" s="80"/>
    </row>
    <row r="198" spans="1:64" s="2269" customFormat="1" ht="13.2" customHeight="1">
      <c r="A198" s="1648"/>
      <c r="B198" s="2626"/>
      <c r="C198" s="1845"/>
      <c r="D198" s="1744" t="s">
        <v>1904</v>
      </c>
      <c r="E198" s="1673"/>
      <c r="F198" s="1673"/>
      <c r="G198" s="1673"/>
      <c r="H198" s="1673"/>
      <c r="I198" s="1673"/>
      <c r="J198" s="1673"/>
      <c r="K198" s="1673"/>
      <c r="L198" s="1673"/>
      <c r="M198" s="1673"/>
      <c r="N198" s="1673"/>
      <c r="O198" s="2547"/>
      <c r="P198" s="2555"/>
      <c r="Q198" s="2555"/>
      <c r="R198" s="2555"/>
      <c r="S198" s="2555"/>
      <c r="T198" s="2555"/>
      <c r="U198" s="2555"/>
      <c r="V198" s="2555"/>
      <c r="W198" s="2555"/>
      <c r="X198" s="2143"/>
      <c r="Y198" s="3066"/>
      <c r="Z198" s="3067"/>
      <c r="AA198" s="3067"/>
      <c r="AB198" s="3067"/>
      <c r="AF198" s="2273"/>
      <c r="AG198" s="2273"/>
      <c r="BL198" s="80"/>
    </row>
    <row r="199" spans="1:64" s="2545" customFormat="1">
      <c r="A199" s="1648"/>
      <c r="B199" s="2626"/>
      <c r="C199" s="1845"/>
      <c r="D199" s="1744"/>
      <c r="E199" s="1673"/>
      <c r="F199" s="1673"/>
      <c r="G199" s="1673"/>
      <c r="H199" s="1673"/>
      <c r="I199" s="1673"/>
      <c r="J199" s="1673"/>
      <c r="K199" s="1673"/>
      <c r="L199" s="1673"/>
      <c r="M199" s="1673"/>
      <c r="N199" s="1673"/>
      <c r="O199" s="2547"/>
      <c r="P199" s="2555"/>
      <c r="Q199" s="2555"/>
      <c r="R199" s="2555"/>
      <c r="S199" s="2555"/>
      <c r="T199" s="2555"/>
      <c r="U199" s="2555"/>
      <c r="V199" s="2555"/>
      <c r="W199" s="2555"/>
      <c r="X199" s="2143"/>
      <c r="Y199" s="3066"/>
      <c r="Z199" s="3067"/>
      <c r="AA199" s="3067"/>
      <c r="AB199" s="3067"/>
      <c r="AF199" s="2547"/>
      <c r="AG199" s="2547"/>
      <c r="BL199" s="80"/>
    </row>
    <row r="200" spans="1:64" s="2545" customFormat="1">
      <c r="A200" s="1648"/>
      <c r="B200" s="2626"/>
      <c r="C200" s="1845"/>
      <c r="D200" s="2891" t="s">
        <v>2524</v>
      </c>
      <c r="E200" s="1673"/>
      <c r="F200" s="1673"/>
      <c r="G200" s="1673"/>
      <c r="H200" s="1673"/>
      <c r="I200" s="1673"/>
      <c r="J200" s="1673"/>
      <c r="K200" s="1673"/>
      <c r="L200" s="1673"/>
      <c r="M200" s="1673"/>
      <c r="N200" s="1673"/>
      <c r="O200" s="2547"/>
      <c r="P200" s="2555"/>
      <c r="Q200" s="2555"/>
      <c r="R200" s="2555"/>
      <c r="S200" s="2555"/>
      <c r="T200" s="2555"/>
      <c r="U200" s="2555"/>
      <c r="V200" s="2555"/>
      <c r="W200" s="2555"/>
      <c r="X200" s="2143"/>
      <c r="Y200" s="2547"/>
      <c r="Z200" s="2547"/>
      <c r="AA200" s="2547"/>
      <c r="AB200" s="2547"/>
      <c r="AF200" s="2547"/>
      <c r="AG200" s="2547"/>
      <c r="BL200" s="80"/>
    </row>
    <row r="201" spans="1:64" s="2545" customFormat="1">
      <c r="A201" s="1648"/>
      <c r="B201" s="2627"/>
      <c r="C201" s="2485"/>
      <c r="D201" s="90"/>
      <c r="E201" s="2482"/>
      <c r="F201" s="2482"/>
      <c r="G201" s="2482"/>
      <c r="H201" s="2482"/>
      <c r="I201" s="2482"/>
      <c r="J201" s="2482"/>
      <c r="K201" s="2482"/>
      <c r="L201" s="2482"/>
      <c r="M201" s="2482"/>
      <c r="N201" s="2482"/>
      <c r="O201" s="90"/>
      <c r="P201" s="2483"/>
      <c r="Q201" s="2483"/>
      <c r="R201" s="2483"/>
      <c r="S201" s="2483"/>
      <c r="T201" s="2483"/>
      <c r="U201" s="2483"/>
      <c r="V201" s="2483"/>
      <c r="W201" s="2483"/>
      <c r="X201" s="91"/>
      <c r="Y201" s="2547"/>
      <c r="Z201" s="2547"/>
      <c r="AA201" s="2547"/>
      <c r="AB201" s="2547"/>
      <c r="AF201" s="2547"/>
      <c r="AG201" s="2547"/>
      <c r="BL201" s="80"/>
    </row>
    <row r="202" spans="1:64" s="2269" customFormat="1">
      <c r="A202" s="1648"/>
      <c r="B202" s="1648"/>
      <c r="C202" s="1845"/>
      <c r="D202" s="2547"/>
      <c r="E202" s="1673"/>
      <c r="F202" s="1673"/>
      <c r="G202" s="1673"/>
      <c r="H202" s="1673"/>
      <c r="I202" s="1673"/>
      <c r="J202" s="1673"/>
      <c r="K202" s="1673"/>
      <c r="L202" s="1673"/>
      <c r="M202" s="1673"/>
      <c r="N202" s="1673"/>
      <c r="O202" s="2547"/>
      <c r="P202" s="2555"/>
      <c r="Q202" s="2555"/>
      <c r="R202" s="2555"/>
      <c r="S202" s="2555"/>
      <c r="T202" s="2555"/>
      <c r="U202" s="2555"/>
      <c r="V202" s="2555"/>
      <c r="W202" s="2555"/>
      <c r="X202" s="2547"/>
      <c r="Y202" s="2547"/>
      <c r="Z202" s="2547"/>
      <c r="AA202" s="2547"/>
      <c r="AB202" s="2547"/>
      <c r="AF202" s="2273"/>
      <c r="AG202" s="2273"/>
      <c r="BL202" s="80"/>
    </row>
    <row r="203" spans="1:64" s="2545" customFormat="1">
      <c r="A203" s="1648"/>
      <c r="B203" s="1648"/>
      <c r="C203" s="1845"/>
      <c r="E203" s="1644"/>
      <c r="F203" s="1644"/>
      <c r="G203" s="1644"/>
      <c r="H203" s="1644"/>
      <c r="I203" s="1644"/>
      <c r="J203" s="1644"/>
      <c r="K203" s="1644"/>
      <c r="L203" s="1644"/>
      <c r="M203" s="1644"/>
      <c r="N203" s="1644"/>
      <c r="P203" s="2555"/>
      <c r="Q203" s="2555"/>
      <c r="R203" s="2555"/>
      <c r="S203" s="2555"/>
      <c r="T203" s="2555"/>
      <c r="U203" s="2555"/>
      <c r="V203" s="2555"/>
      <c r="W203" s="2555"/>
      <c r="X203" s="2547"/>
      <c r="AF203" s="2547"/>
      <c r="AG203" s="2547"/>
      <c r="BL203" s="80"/>
    </row>
    <row r="204" spans="1:64" s="2545" customFormat="1">
      <c r="A204" s="1595" t="s">
        <v>1034</v>
      </c>
      <c r="B204" s="1123"/>
      <c r="C204" s="1845"/>
      <c r="D204" s="2637" t="s">
        <v>1948</v>
      </c>
      <c r="E204" s="1644"/>
      <c r="F204" s="1644"/>
      <c r="G204" s="1644"/>
      <c r="H204" s="1644"/>
      <c r="I204" s="1644"/>
      <c r="J204" s="1644"/>
      <c r="K204" s="1644"/>
      <c r="L204" s="1644"/>
      <c r="M204" s="1644"/>
      <c r="N204" s="1644"/>
      <c r="P204" s="2555"/>
      <c r="Q204" s="2555"/>
      <c r="R204" s="2555"/>
      <c r="S204" s="2555"/>
      <c r="T204" s="2555"/>
      <c r="U204" s="2555"/>
      <c r="V204" s="2555"/>
      <c r="W204" s="2555"/>
      <c r="X204" s="2547"/>
      <c r="AF204" s="2547"/>
      <c r="AG204" s="2547"/>
      <c r="BL204" s="80"/>
    </row>
    <row r="205" spans="1:64" s="2545" customFormat="1">
      <c r="A205" s="1648"/>
      <c r="B205" s="1648"/>
      <c r="C205" s="1845"/>
      <c r="E205" s="1644"/>
      <c r="F205" s="1644"/>
      <c r="G205" s="1644"/>
      <c r="H205" s="1644"/>
      <c r="I205" s="1644"/>
      <c r="J205" s="1644"/>
      <c r="K205" s="1644"/>
      <c r="L205" s="1644"/>
      <c r="M205" s="1644"/>
      <c r="N205" s="1644"/>
      <c r="P205" s="2555"/>
      <c r="Q205" s="2555"/>
      <c r="R205" s="2555"/>
      <c r="S205" s="2555"/>
      <c r="T205" s="2555"/>
      <c r="U205" s="2555"/>
      <c r="V205" s="2555"/>
      <c r="W205" s="2555"/>
      <c r="X205" s="2547"/>
      <c r="AF205" s="2547"/>
      <c r="AG205" s="2547"/>
      <c r="BL205" s="80"/>
    </row>
    <row r="206" spans="1:64" s="92" customFormat="1">
      <c r="A206" s="1190"/>
      <c r="B206" s="93"/>
      <c r="D206" s="3229" t="s">
        <v>1876</v>
      </c>
      <c r="E206" s="3500"/>
      <c r="F206" s="3500"/>
      <c r="G206" s="3500"/>
      <c r="H206" s="3230"/>
      <c r="I206" s="3229" t="s">
        <v>1689</v>
      </c>
      <c r="J206" s="3500"/>
      <c r="K206" s="3500"/>
      <c r="L206" s="3500"/>
      <c r="M206" s="3230"/>
      <c r="N206" s="2536" t="s">
        <v>1344</v>
      </c>
      <c r="O206" s="3570" t="s">
        <v>1431</v>
      </c>
      <c r="P206" s="3571"/>
      <c r="Q206" s="3571"/>
      <c r="R206" s="3571"/>
      <c r="S206" s="3572"/>
      <c r="T206" s="2536" t="s">
        <v>1729</v>
      </c>
      <c r="U206" s="2577" t="s">
        <v>1728</v>
      </c>
      <c r="V206" s="2578"/>
      <c r="W206" s="2579"/>
      <c r="Y206" s="193"/>
      <c r="Z206" s="2083"/>
      <c r="AA206" s="2083"/>
      <c r="AB206" s="2083"/>
      <c r="AC206" s="2083"/>
      <c r="AD206" s="2083"/>
      <c r="AE206" s="2083"/>
      <c r="AF206" s="2083"/>
      <c r="AG206" s="2083"/>
      <c r="AH206" s="2083"/>
      <c r="AI206" s="2083"/>
      <c r="AJ206" s="2083"/>
      <c r="AK206" s="2083"/>
      <c r="AL206" s="2255"/>
      <c r="AM206" s="2255"/>
      <c r="AN206" s="2255"/>
      <c r="AO206" s="2255"/>
      <c r="BL206" s="2425"/>
    </row>
    <row r="207" spans="1:64">
      <c r="A207" s="2545"/>
      <c r="B207" s="2545"/>
      <c r="D207" s="3501" t="s">
        <v>1726</v>
      </c>
      <c r="E207" s="3502"/>
      <c r="F207" s="3503" t="s">
        <v>1727</v>
      </c>
      <c r="G207" s="3504"/>
      <c r="H207" s="2534" t="s">
        <v>1278</v>
      </c>
      <c r="I207" s="3501" t="s">
        <v>1726</v>
      </c>
      <c r="J207" s="3502"/>
      <c r="K207" s="3503" t="s">
        <v>1727</v>
      </c>
      <c r="L207" s="3504"/>
      <c r="M207" s="2585" t="s">
        <v>1278</v>
      </c>
      <c r="N207" s="2590" t="s">
        <v>1278</v>
      </c>
      <c r="O207" s="3501" t="s">
        <v>1726</v>
      </c>
      <c r="P207" s="3502"/>
      <c r="Q207" s="3503" t="s">
        <v>1727</v>
      </c>
      <c r="R207" s="3504"/>
      <c r="S207" s="2585" t="s">
        <v>1278</v>
      </c>
      <c r="T207" s="2535" t="s">
        <v>1278</v>
      </c>
      <c r="U207" s="3503" t="s">
        <v>101</v>
      </c>
      <c r="V207" s="3504"/>
      <c r="W207" s="2585" t="s">
        <v>104</v>
      </c>
      <c r="X207" s="2547"/>
      <c r="Y207" s="2083"/>
      <c r="Z207" s="2083"/>
      <c r="AA207" s="2083"/>
      <c r="AB207" s="2083"/>
      <c r="AC207" s="2083"/>
      <c r="AD207" s="2083"/>
      <c r="AE207" s="2083"/>
      <c r="AF207" s="2083"/>
      <c r="AG207" s="2083"/>
      <c r="AH207" s="2083"/>
      <c r="AI207" s="2083"/>
      <c r="AJ207" s="2083"/>
      <c r="AK207" s="2083"/>
      <c r="AL207" s="2255"/>
      <c r="AM207" s="2083"/>
      <c r="AN207" s="2083"/>
      <c r="AO207" s="2083"/>
    </row>
    <row r="208" spans="1:64">
      <c r="A208" s="2028" t="s">
        <v>323</v>
      </c>
      <c r="B208" s="2029" t="s">
        <v>772</v>
      </c>
      <c r="C208" s="1272"/>
      <c r="D208" s="3525">
        <f>VLOOKUP(B208,Ranking!$B$7:$C$28,2,FALSE)/Ranking!$C$9</f>
        <v>1</v>
      </c>
      <c r="E208" s="3526"/>
      <c r="F208" s="3546">
        <f>VLOOKUP(B208,CALCULATIONS!$B$5:$O$27,14,FALSE)/CALCULATIONS!$O$7</f>
        <v>1</v>
      </c>
      <c r="G208" s="3547"/>
      <c r="H208" s="2031">
        <f>VLOOKUP(B208,Ranking!$B$7:$G$28,6,FALSE)/Ranking!$G$9</f>
        <v>1</v>
      </c>
      <c r="I208" s="3505">
        <f>VLOOKUP($B208,CALCULATIONS!$NT$5:$OM$27,19,FALSE)</f>
        <v>0.38249017399192664</v>
      </c>
      <c r="J208" s="3506"/>
      <c r="K208" s="3465">
        <f>VLOOKUP($B208,CALCULATIONS!$NT$5:$OM$27,18,FALSE)</f>
        <v>0.38177126123375654</v>
      </c>
      <c r="L208" s="3466"/>
      <c r="M208" s="2044">
        <f>VLOOKUP($B208,CALCULATIONS!$NT$5:$OM$27,16,FALSE)</f>
        <v>0.4376750700280112</v>
      </c>
      <c r="N208" s="2537">
        <f>VLOOKUP(B208,Ranking!$B$7:$V$28,21,FALSE)</f>
        <v>0.28756363720088318</v>
      </c>
      <c r="O208" s="3525">
        <f>VLOOKUP($B208,CALCULATIONS!$MF$5:$NB$27,21,FALSE)</f>
        <v>1.1550000368518134</v>
      </c>
      <c r="P208" s="3526"/>
      <c r="Q208" s="3546">
        <f>VLOOKUP($B208,CALCULATIONS!$MF$5:$NB$27,20,FALSE)</f>
        <v>1.2613112569345961</v>
      </c>
      <c r="R208" s="3547"/>
      <c r="S208" s="2031">
        <f>VLOOKUP($B208,CALCULATIONS!$MF$5:$NB$27,16,FALSE)</f>
        <v>1.4330538995779536</v>
      </c>
      <c r="T208" s="2511">
        <f>VLOOKUP($B208,'GEARINGS, E&amp;Enot'!$B$7:$R$28,17,FALSE)</f>
        <v>1.3109622071604587</v>
      </c>
      <c r="U208" s="2518" t="str">
        <f t="shared" ref="U208:U229" si="0">VLOOKUP($B208,$B$91:$O$114,11,FALSE)</f>
        <v>A</v>
      </c>
      <c r="V208" s="2519"/>
      <c r="W208" s="2034" t="str">
        <f t="shared" ref="W208:W225" si="1">VLOOKUP($B208,$B$91:$O$114,14,FALSE)</f>
        <v>=  =  -</v>
      </c>
      <c r="X208" s="2091">
        <v>1</v>
      </c>
      <c r="Y208" s="2257"/>
      <c r="Z208" s="2255"/>
      <c r="AA208" s="2255"/>
      <c r="AB208" s="2255"/>
      <c r="AC208" s="2255"/>
      <c r="AD208" s="2255"/>
      <c r="AE208" s="2255"/>
      <c r="AF208" s="2255"/>
      <c r="AG208" s="2255"/>
      <c r="AH208" s="2255"/>
      <c r="AI208" s="2255"/>
      <c r="AJ208" s="2255"/>
      <c r="AK208" s="2255"/>
      <c r="AL208" s="2255"/>
      <c r="AM208" s="2255"/>
      <c r="AN208" s="2255"/>
      <c r="AO208" s="2255"/>
    </row>
    <row r="209" spans="1:64">
      <c r="A209" s="1183" t="s">
        <v>508</v>
      </c>
      <c r="B209" s="73" t="s">
        <v>290</v>
      </c>
      <c r="C209" s="2047"/>
      <c r="D209" s="3527">
        <f>VLOOKUP(B209,Ranking!$B$7:$C$28,2,FALSE)/Ranking!$C$9</f>
        <v>2.1335218503180777</v>
      </c>
      <c r="E209" s="3528"/>
      <c r="F209" s="3548">
        <f>VLOOKUP(B209,CALCULATIONS!$B$5:$O$27,14,FALSE)/CALCULATIONS!$O$7</f>
        <v>2.4787486502448766</v>
      </c>
      <c r="G209" s="3549"/>
      <c r="H209" s="2032">
        <f>VLOOKUP(B209,Ranking!$B$7:$G$28,6,FALSE)/Ranking!$G$9</f>
        <v>2.9915379307461767</v>
      </c>
      <c r="I209" s="3496">
        <f>VLOOKUP($B209,CALCULATIONS!$NT$5:$OM$27,19,FALSE)</f>
        <v>0.65269279895595744</v>
      </c>
      <c r="J209" s="3497"/>
      <c r="K209" s="3467">
        <f>VLOOKUP($B209,CALCULATIONS!$NT$5:$OM$27,18,FALSE)</f>
        <v>0.66497585026970141</v>
      </c>
      <c r="L209" s="3468"/>
      <c r="M209" s="2045">
        <f>VLOOKUP($B209,CALCULATIONS!$NT$5:$OM$27,16,FALSE)</f>
        <v>0.66154734834592532</v>
      </c>
      <c r="N209" s="2538">
        <f>VLOOKUP(B209,Ranking!$B$7:$V$28,21,FALSE)</f>
        <v>0.30362227391248225</v>
      </c>
      <c r="O209" s="3527">
        <f>VLOOKUP($B209,CALCULATIONS!$MF$5:$NB$27,21,FALSE)</f>
        <v>2.2456082264671653</v>
      </c>
      <c r="P209" s="3528"/>
      <c r="Q209" s="3548">
        <f>VLOOKUP($B209,CALCULATIONS!$MF$5:$NB$27,20,FALSE)</f>
        <v>2.2729979457754066</v>
      </c>
      <c r="R209" s="3549"/>
      <c r="S209" s="2032">
        <f>VLOOKUP($B209,CALCULATIONS!$MF$5:$NB$27,16,FALSE)</f>
        <v>2.3435449790233798</v>
      </c>
      <c r="T209" s="2512">
        <f>VLOOKUP($B209,'GEARINGS, E&amp;Enot'!$B$7:$R$28,17,FALSE)</f>
        <v>2.3009327536910358</v>
      </c>
      <c r="U209" s="2520" t="str">
        <f t="shared" si="0"/>
        <v>A</v>
      </c>
      <c r="V209" s="2521"/>
      <c r="W209" s="2035" t="str">
        <f t="shared" si="1"/>
        <v>=  =  -</v>
      </c>
      <c r="X209" s="2091">
        <v>1</v>
      </c>
      <c r="Y209" s="2086"/>
      <c r="Z209" s="2255"/>
      <c r="AA209" s="2255"/>
      <c r="AB209" s="2255"/>
      <c r="AC209" s="2255"/>
      <c r="AD209" s="2255"/>
      <c r="AE209" s="2255"/>
      <c r="AF209" s="2255"/>
      <c r="AG209" s="2255"/>
      <c r="AH209" s="2255"/>
      <c r="AI209" s="2255"/>
      <c r="AJ209" s="2255"/>
      <c r="AK209" s="2255"/>
      <c r="AL209" s="2255"/>
      <c r="AM209" s="2255"/>
      <c r="AN209" s="2255"/>
      <c r="AO209" s="2255"/>
    </row>
    <row r="210" spans="1:64" s="1921" customFormat="1">
      <c r="A210" s="2048" t="s">
        <v>504</v>
      </c>
      <c r="B210" s="2049" t="s">
        <v>281</v>
      </c>
      <c r="C210" s="2050"/>
      <c r="D210" s="3529">
        <f>VLOOKUP(B210,Ranking!$B$7:$C$28,2,FALSE)/Ranking!$C$9</f>
        <v>2.7067801148460058</v>
      </c>
      <c r="E210" s="3530"/>
      <c r="F210" s="3509">
        <f>VLOOKUP(B210,CALCULATIONS!$B$5:$O$27,14,FALSE)/CALCULATIONS!$O$7</f>
        <v>3.3410905800320307</v>
      </c>
      <c r="G210" s="3510"/>
      <c r="H210" s="2051">
        <f>VLOOKUP(B210,Ranking!$B$7:$G$28,6,FALSE)/Ranking!$G$9</f>
        <v>4.0795025527416593</v>
      </c>
      <c r="I210" s="3498">
        <f>VLOOKUP($B210,CALCULATIONS!$NT$5:$OM$27,19,FALSE)</f>
        <v>0.31861937803577484</v>
      </c>
      <c r="J210" s="3499"/>
      <c r="K210" s="3469">
        <f>VLOOKUP($B210,CALCULATIONS!$NT$5:$OM$27,18,FALSE)</f>
        <v>0.38421326413854551</v>
      </c>
      <c r="L210" s="3470"/>
      <c r="M210" s="2054">
        <f>VLOOKUP($B210,CALCULATIONS!$NT$5:$OM$27,16,FALSE)</f>
        <v>0.42535613700034924</v>
      </c>
      <c r="N210" s="2539">
        <f>VLOOKUP(B210,Ranking!$B$7:$V$28,21,FALSE)</f>
        <v>0.198117589718218</v>
      </c>
      <c r="O210" s="3529">
        <f>VLOOKUP($B210,CALCULATIONS!$MF$5:$NB$27,21,FALSE)</f>
        <v>1.4035414008930922</v>
      </c>
      <c r="P210" s="3530"/>
      <c r="Q210" s="3509">
        <f>VLOOKUP($B210,CALCULATIONS!$MF$5:$NB$27,20,FALSE)</f>
        <v>1.4355534634192222</v>
      </c>
      <c r="R210" s="3510"/>
      <c r="S210" s="2051">
        <f>VLOOKUP($B210,CALCULATIONS!$MF$5:$NB$27,16,FALSE)</f>
        <v>1.6501516887993055</v>
      </c>
      <c r="T210" s="2513">
        <f>VLOOKUP($B210,'GEARINGS, E&amp;Enot'!$B$7:$R$28,17,FALSE)</f>
        <v>1.2087727199953455</v>
      </c>
      <c r="U210" s="2522" t="str">
        <f t="shared" si="0"/>
        <v>A-</v>
      </c>
      <c r="V210" s="2523"/>
      <c r="W210" s="2053" t="str">
        <f t="shared" si="1"/>
        <v>=  =  -</v>
      </c>
      <c r="X210" s="2091">
        <v>2</v>
      </c>
      <c r="Y210" s="2086"/>
      <c r="Z210" s="2083"/>
      <c r="AA210" s="2083"/>
      <c r="AB210" s="2083"/>
      <c r="AC210" s="2083"/>
      <c r="AD210" s="2083"/>
      <c r="AE210" s="2083"/>
      <c r="AF210" s="2083"/>
      <c r="AG210" s="2083"/>
      <c r="AH210" s="2083"/>
      <c r="AI210" s="2083"/>
      <c r="AJ210" s="2083"/>
      <c r="AK210" s="2083"/>
      <c r="AL210" s="2083"/>
      <c r="AM210" s="2083"/>
      <c r="AN210" s="2083"/>
      <c r="AO210" s="2083"/>
      <c r="BL210" s="80"/>
    </row>
    <row r="211" spans="1:64" s="1921" customFormat="1">
      <c r="A211" s="1183" t="s">
        <v>507</v>
      </c>
      <c r="B211" s="73" t="s">
        <v>284</v>
      </c>
      <c r="C211" s="2026"/>
      <c r="D211" s="3531">
        <f>VLOOKUP(B211,Ranking!$B$7:$C$28,2,FALSE)/Ranking!$C$9</f>
        <v>3.012965920797551</v>
      </c>
      <c r="E211" s="3532"/>
      <c r="F211" s="3511">
        <f>VLOOKUP(B211,CALCULATIONS!$B$5:$O$27,14,FALSE)/CALCULATIONS!$O$7</f>
        <v>3.21074760012077</v>
      </c>
      <c r="G211" s="3512"/>
      <c r="H211" s="2032">
        <f>VLOOKUP(B211,Ranking!$B$7:$G$28,6,FALSE)/Ranking!$G$9</f>
        <v>3.7301904359299858</v>
      </c>
      <c r="I211" s="3461">
        <f>VLOOKUP($B211,CALCULATIONS!$NT$5:$OM$27,19,FALSE)</f>
        <v>0.38609303088329266</v>
      </c>
      <c r="J211" s="3462"/>
      <c r="K211" s="3471">
        <f>VLOOKUP($B211,CALCULATIONS!$NT$5:$OM$27,18,FALSE)</f>
        <v>0.41788808645473879</v>
      </c>
      <c r="L211" s="3472"/>
      <c r="M211" s="2045">
        <f>VLOOKUP($B211,CALCULATIONS!$NT$5:$OM$27,16,FALSE)</f>
        <v>0.44388785948168641</v>
      </c>
      <c r="N211" s="2538">
        <f>VLOOKUP(B211,Ranking!$B$7:$V$28,21,FALSE)</f>
        <v>0.28287599661626001</v>
      </c>
      <c r="O211" s="3531">
        <f>VLOOKUP($B211,CALCULATIONS!$MF$5:$NB$27,21,FALSE)</f>
        <v>2.2124513607384153</v>
      </c>
      <c r="P211" s="3532"/>
      <c r="Q211" s="3511">
        <f>VLOOKUP($B211,CALCULATIONS!$MF$5:$NB$27,20,FALSE)</f>
        <v>2.4050116941532229</v>
      </c>
      <c r="R211" s="3512"/>
      <c r="S211" s="2032">
        <f>VLOOKUP($B211,CALCULATIONS!$MF$5:$NB$27,16,FALSE)</f>
        <v>2.6624165226553771</v>
      </c>
      <c r="T211" s="2512">
        <f>VLOOKUP($B211,'GEARINGS, E&amp;Enot'!$B$7:$R$28,17,FALSE)</f>
        <v>2.1424428051274771</v>
      </c>
      <c r="U211" s="2520" t="str">
        <f t="shared" si="0"/>
        <v>A-</v>
      </c>
      <c r="V211" s="2521"/>
      <c r="W211" s="2035" t="str">
        <f t="shared" si="1"/>
        <v>=  =  =</v>
      </c>
      <c r="X211" s="2091">
        <v>2</v>
      </c>
      <c r="Y211" s="2086"/>
      <c r="Z211" s="2083"/>
      <c r="AA211" s="2083"/>
      <c r="AB211" s="2083"/>
      <c r="AO211" s="2083"/>
      <c r="BL211" s="80"/>
    </row>
    <row r="212" spans="1:64" s="1921" customFormat="1">
      <c r="A212" s="1183" t="s">
        <v>32</v>
      </c>
      <c r="B212" s="73" t="s">
        <v>279</v>
      </c>
      <c r="C212" s="2055"/>
      <c r="D212" s="3533">
        <f>VLOOKUP(B212,Ranking!$B$7:$C$28,2,FALSE)/Ranking!$C$9</f>
        <v>13.530627697807351</v>
      </c>
      <c r="E212" s="3534"/>
      <c r="F212" s="3521">
        <f>VLOOKUP(B212,CALCULATIONS!$B$5:$O$27,14,FALSE)/CALCULATIONS!$O$7</f>
        <v>15.757401158931856</v>
      </c>
      <c r="G212" s="3522"/>
      <c r="H212" s="2032">
        <f>VLOOKUP(B212,Ranking!$B$7:$G$28,6,FALSE)/Ranking!$G$9</f>
        <v>18.318462704779492</v>
      </c>
      <c r="I212" s="3463">
        <f>VLOOKUP($B212,CALCULATIONS!$NT$5:$OM$27,19,FALSE)</f>
        <v>0.30675316387399787</v>
      </c>
      <c r="J212" s="3464"/>
      <c r="K212" s="3476">
        <f>VLOOKUP($B212,CALCULATIONS!$NT$5:$OM$27,18,FALSE)</f>
        <v>0.31262610830997539</v>
      </c>
      <c r="L212" s="3477"/>
      <c r="M212" s="2045">
        <f>VLOOKUP($B212,CALCULATIONS!$NT$5:$OM$27,16,FALSE)</f>
        <v>0.33743321358886924</v>
      </c>
      <c r="N212" s="2538">
        <f>VLOOKUP(B212,Ranking!$B$7:$V$28,21,FALSE)</f>
        <v>0.2718321660431175</v>
      </c>
      <c r="O212" s="3533">
        <f>VLOOKUP($B212,CALCULATIONS!$MF$5:$NB$27,21,FALSE)</f>
        <v>2.5124012467263603</v>
      </c>
      <c r="P212" s="3534"/>
      <c r="Q212" s="3521">
        <f>VLOOKUP($B212,CALCULATIONS!$MF$5:$NB$27,20,FALSE)</f>
        <v>2.5687264385726105</v>
      </c>
      <c r="R212" s="3522"/>
      <c r="S212" s="2032">
        <f>VLOOKUP($B212,CALCULATIONS!$MF$5:$NB$27,16,FALSE)</f>
        <v>2.8571247137382461</v>
      </c>
      <c r="T212" s="2512">
        <f>VLOOKUP($B212,'GEARINGS, E&amp;Enot'!$B$7:$R$28,17,FALSE)</f>
        <v>2.3348198024327131</v>
      </c>
      <c r="U212" s="2520" t="str">
        <f t="shared" si="0"/>
        <v>A-</v>
      </c>
      <c r="V212" s="2521"/>
      <c r="W212" s="2035" t="str">
        <f t="shared" si="1"/>
        <v>=  =  =</v>
      </c>
      <c r="X212" s="2091">
        <v>2</v>
      </c>
      <c r="Y212" s="193"/>
      <c r="Z212" s="2083"/>
      <c r="AA212" s="2083"/>
      <c r="AB212" s="2083"/>
      <c r="AO212" s="2083"/>
      <c r="BL212" s="80"/>
    </row>
    <row r="213" spans="1:64" s="1921" customFormat="1">
      <c r="A213" s="1191" t="s">
        <v>502</v>
      </c>
      <c r="B213" s="76" t="s">
        <v>52</v>
      </c>
      <c r="C213" s="1272"/>
      <c r="D213" s="3535">
        <f>VLOOKUP(B213,Ranking!$B$7:$C$28,2,FALSE)/Ranking!$C$9</f>
        <v>5.31251358385515</v>
      </c>
      <c r="E213" s="3536"/>
      <c r="F213" s="3550">
        <f>VLOOKUP(B213,CALCULATIONS!$B$5:$O$27,14,FALSE)/CALCULATIONS!$O$7</f>
        <v>5.5761049905796813</v>
      </c>
      <c r="G213" s="3551"/>
      <c r="H213" s="2057">
        <f>VLOOKUP(B213,Ranking!$B$7:$G$28,6,FALSE)/Ranking!$G$9</f>
        <v>6.8302221720551222</v>
      </c>
      <c r="I213" s="3507">
        <f>VLOOKUP($B213,CALCULATIONS!$NT$5:$OM$27,19,FALSE)</f>
        <v>0.54503757860538471</v>
      </c>
      <c r="J213" s="3508"/>
      <c r="K213" s="3478">
        <f>VLOOKUP($B213,CALCULATIONS!$NT$5:$OM$27,18,FALSE)</f>
        <v>0.57903185308242289</v>
      </c>
      <c r="L213" s="3479"/>
      <c r="M213" s="2060">
        <f>VLOOKUP($B213,CALCULATIONS!$NT$5:$OM$27,16,FALSE)</f>
        <v>0.58285854616895871</v>
      </c>
      <c r="N213" s="2540">
        <f>VLOOKUP(B213,Ranking!$B$7:$V$28,21,FALSE)</f>
        <v>0.59074959904524027</v>
      </c>
      <c r="O213" s="3535">
        <f>VLOOKUP($B213,CALCULATIONS!$MF$5:$NB$27,21,FALSE)</f>
        <v>2.9386902767901208</v>
      </c>
      <c r="P213" s="3536"/>
      <c r="Q213" s="3550">
        <f>VLOOKUP($B213,CALCULATIONS!$MF$5:$NB$27,20,FALSE)</f>
        <v>2.8885013855817951</v>
      </c>
      <c r="R213" s="3551"/>
      <c r="S213" s="2057">
        <f>VLOOKUP($B213,CALCULATIONS!$MF$5:$NB$27,16,FALSE)</f>
        <v>3.1841649798132132</v>
      </c>
      <c r="T213" s="2514">
        <f>VLOOKUP($B213,'GEARINGS, E&amp;Enot'!$B$7:$R$28,17,FALSE)</f>
        <v>2.9178287645268703</v>
      </c>
      <c r="U213" s="2524" t="str">
        <f t="shared" si="0"/>
        <v>BBB+</v>
      </c>
      <c r="V213" s="2525"/>
      <c r="W213" s="2059" t="str">
        <f t="shared" si="1"/>
        <v>=  =  =</v>
      </c>
      <c r="X213" s="2091">
        <v>3</v>
      </c>
      <c r="Y213" s="2257"/>
      <c r="Z213" s="2257"/>
      <c r="AA213" s="2257"/>
      <c r="AB213" s="2257"/>
      <c r="AC213" s="109"/>
      <c r="AD213" s="109"/>
      <c r="AE213" s="109"/>
      <c r="AF213" s="109"/>
      <c r="AG213" s="109"/>
      <c r="AH213" s="109"/>
      <c r="AI213" s="109"/>
      <c r="AJ213" s="109"/>
      <c r="AK213" s="109"/>
      <c r="AL213" s="109"/>
      <c r="AO213" s="2083"/>
      <c r="BL213" s="80"/>
    </row>
    <row r="214" spans="1:64" s="1921" customFormat="1">
      <c r="A214" s="1183" t="s">
        <v>19</v>
      </c>
      <c r="B214" s="152" t="s">
        <v>288</v>
      </c>
      <c r="C214" s="2030"/>
      <c r="D214" s="3527">
        <f>VLOOKUP(B214,Ranking!$B$7:$C$28,2,FALSE)/Ranking!$C$9</f>
        <v>4.092853292601391</v>
      </c>
      <c r="E214" s="3528"/>
      <c r="F214" s="3548">
        <f>VLOOKUP(B214,CALCULATIONS!$B$5:$O$27,14,FALSE)/CALCULATIONS!$O$7</f>
        <v>3.3354790333643751</v>
      </c>
      <c r="G214" s="3549"/>
      <c r="H214" s="2032">
        <f>VLOOKUP(B214,Ranking!$B$7:$G$28,6,FALSE)/Ranking!$G$9</f>
        <v>3.2827054881755546</v>
      </c>
      <c r="I214" s="3496">
        <f>VLOOKUP($B214,CALCULATIONS!$NT$5:$OM$27,19,FALSE)</f>
        <v>0.54523673362303837</v>
      </c>
      <c r="J214" s="3497"/>
      <c r="K214" s="3467">
        <f>VLOOKUP($B214,CALCULATIONS!$NT$5:$OM$27,18,FALSE)</f>
        <v>0.58367484373861944</v>
      </c>
      <c r="L214" s="3468"/>
      <c r="M214" s="2045">
        <f>VLOOKUP($B214,CALCULATIONS!$NT$5:$OM$27,16,FALSE)</f>
        <v>0.57614408434205389</v>
      </c>
      <c r="N214" s="2538">
        <f>VLOOKUP(B214,Ranking!$B$7:$V$28,21,FALSE)</f>
        <v>0.65530118542007598</v>
      </c>
      <c r="O214" s="3527">
        <f>VLOOKUP($B214,CALCULATIONS!$MF$5:$NB$27,21,FALSE)</f>
        <v>2.8467687768692178</v>
      </c>
      <c r="P214" s="3528"/>
      <c r="Q214" s="3548">
        <f>VLOOKUP($B214,CALCULATIONS!$MF$5:$NB$27,20,FALSE)</f>
        <v>3.2915727037840417</v>
      </c>
      <c r="R214" s="3549"/>
      <c r="S214" s="2032">
        <f>VLOOKUP($B214,CALCULATIONS!$MF$5:$NB$27,16,FALSE)</f>
        <v>3.2623961251190861</v>
      </c>
      <c r="T214" s="2512">
        <f>VLOOKUP($B214,'GEARINGS, E&amp;Enot'!$B$7:$R$28,17,FALSE)</f>
        <v>2.8138910595815916</v>
      </c>
      <c r="U214" s="2520" t="str">
        <f t="shared" si="0"/>
        <v>BBB+</v>
      </c>
      <c r="V214" s="2521"/>
      <c r="W214" s="2035" t="str">
        <f t="shared" si="1"/>
        <v>=  ¯ ¯</v>
      </c>
      <c r="X214" s="2091">
        <v>3</v>
      </c>
      <c r="Y214" s="193"/>
      <c r="Z214" s="2257"/>
      <c r="AA214" s="2257"/>
      <c r="AB214" s="2257"/>
      <c r="AC214" s="109"/>
      <c r="AD214" s="109"/>
      <c r="AE214" s="109"/>
      <c r="AF214" s="109"/>
      <c r="AG214" s="109"/>
      <c r="AH214" s="109"/>
      <c r="AI214" s="109"/>
      <c r="AJ214" s="109"/>
      <c r="AK214" s="109"/>
      <c r="AL214" s="109"/>
      <c r="AO214" s="2083"/>
      <c r="BL214" s="80"/>
    </row>
    <row r="215" spans="1:64" s="1921" customFormat="1">
      <c r="A215" s="2048" t="s">
        <v>506</v>
      </c>
      <c r="B215" s="2075" t="s">
        <v>289</v>
      </c>
      <c r="C215" s="2061"/>
      <c r="D215" s="3529">
        <f>VLOOKUP(B215,Ranking!$B$7:$C$28,2,FALSE)/Ranking!$C$9</f>
        <v>0.60140450707179594</v>
      </c>
      <c r="E215" s="3530"/>
      <c r="F215" s="3509">
        <f>VLOOKUP(B215,CALCULATIONS!$B$5:$O$27,14,FALSE)/CALCULATIONS!$O$7</f>
        <v>0.54839031049889286</v>
      </c>
      <c r="G215" s="3510"/>
      <c r="H215" s="2074">
        <f>VLOOKUP(B215,Ranking!$B$7:$G$28,6,FALSE)/Ranking!$G$9</f>
        <v>0.39863629324690431</v>
      </c>
      <c r="I215" s="3498">
        <f>VLOOKUP($B215,CALCULATIONS!$NT$5:$OM$27,19,FALSE)</f>
        <v>0.28304859649227876</v>
      </c>
      <c r="J215" s="3499"/>
      <c r="K215" s="3469">
        <f>VLOOKUP($B215,CALCULATIONS!$NT$5:$OM$27,18,FALSE)</f>
        <v>0.29258903968572825</v>
      </c>
      <c r="L215" s="3470"/>
      <c r="M215" s="2054">
        <f>VLOOKUP($B215,CALCULATIONS!$NT$5:$OM$27,16,FALSE)</f>
        <v>0.28468241560998203</v>
      </c>
      <c r="N215" s="2539">
        <f>VLOOKUP(B215,Ranking!$B$7:$V$28,21,FALSE)</f>
        <v>0.34197601038246805</v>
      </c>
      <c r="O215" s="3529">
        <f>VLOOKUP($B215,CALCULATIONS!$MF$5:$NB$27,21,FALSE)</f>
        <v>1.1031563888185012</v>
      </c>
      <c r="P215" s="3530"/>
      <c r="Q215" s="3509">
        <f>VLOOKUP($B215,CALCULATIONS!$MF$5:$NB$27,20,FALSE)</f>
        <v>1.1976201658037882</v>
      </c>
      <c r="R215" s="3510"/>
      <c r="S215" s="2074">
        <f>VLOOKUP($B215,CALCULATIONS!$MF$5:$NB$27,16,FALSE)</f>
        <v>1.2457059049561294</v>
      </c>
      <c r="T215" s="2513">
        <f>VLOOKUP($B215,'GEARINGS, E&amp;Enot'!$B$7:$R$28,17,FALSE)</f>
        <v>1.1762690733772538</v>
      </c>
      <c r="U215" s="2522" t="str">
        <f t="shared" si="0"/>
        <v>BBB</v>
      </c>
      <c r="V215" s="2523"/>
      <c r="W215" s="2053" t="str">
        <f t="shared" si="1"/>
        <v>=  ¯ -</v>
      </c>
      <c r="X215" s="2091">
        <v>4</v>
      </c>
      <c r="Y215" s="193"/>
      <c r="Z215" s="2257"/>
      <c r="AA215" s="2257"/>
      <c r="AB215" s="2257"/>
      <c r="AC215" s="109"/>
      <c r="AD215" s="109"/>
      <c r="AE215" s="109"/>
      <c r="AF215" s="109"/>
      <c r="AG215" s="109"/>
      <c r="AH215" s="109"/>
      <c r="AI215" s="109"/>
      <c r="AJ215" s="109"/>
      <c r="AK215" s="109"/>
      <c r="AL215" s="109"/>
      <c r="AO215" s="2083"/>
      <c r="BL215" s="80"/>
    </row>
    <row r="216" spans="1:64" s="1921" customFormat="1">
      <c r="A216" s="1183" t="s">
        <v>73</v>
      </c>
      <c r="B216" s="73" t="s">
        <v>285</v>
      </c>
      <c r="C216" s="2026"/>
      <c r="D216" s="3531">
        <f>VLOOKUP(B216,Ranking!$B$7:$C$28,2,FALSE)/Ranking!$C$9</f>
        <v>0.32316516618420144</v>
      </c>
      <c r="E216" s="3532"/>
      <c r="F216" s="3511">
        <f>VLOOKUP(B216,CALCULATIONS!$B$5:$O$27,14,FALSE)/CALCULATIONS!$O$7</f>
        <v>0.36498415767020359</v>
      </c>
      <c r="G216" s="3512"/>
      <c r="H216" s="2032">
        <f>VLOOKUP(B216,Ranking!$B$7:$G$28,6,FALSE)/Ranking!$G$9</f>
        <v>0.40583908664384705</v>
      </c>
      <c r="I216" s="3461">
        <f>VLOOKUP($B216,CALCULATIONS!$NT$5:$OM$27,19,FALSE)</f>
        <v>0.51742764513329986</v>
      </c>
      <c r="J216" s="3462"/>
      <c r="K216" s="3471">
        <f>VLOOKUP($B216,CALCULATIONS!$NT$5:$OM$27,18,FALSE)</f>
        <v>0.55184388988303035</v>
      </c>
      <c r="L216" s="3472"/>
      <c r="M216" s="2045">
        <f>VLOOKUP($B216,CALCULATIONS!$NT$5:$OM$27,16,FALSE)</f>
        <v>0.58597697175982555</v>
      </c>
      <c r="N216" s="2538">
        <f>VLOOKUP(B216,Ranking!$B$7:$V$28,21,FALSE)</f>
        <v>0.32061814749302248</v>
      </c>
      <c r="O216" s="3531">
        <f>VLOOKUP($B216,CALCULATIONS!$MF$5:$NB$27,21,FALSE)</f>
        <v>1.8318583172776566</v>
      </c>
      <c r="P216" s="3532"/>
      <c r="Q216" s="3511">
        <f>VLOOKUP($B216,CALCULATIONS!$MF$5:$NB$27,20,FALSE)</f>
        <v>2.0003164984492168</v>
      </c>
      <c r="R216" s="3512"/>
      <c r="S216" s="2032">
        <f>VLOOKUP($B216,CALCULATIONS!$MF$5:$NB$27,16,FALSE)</f>
        <v>2.3272917899381458</v>
      </c>
      <c r="T216" s="2512">
        <f>VLOOKUP($B216,'GEARINGS, E&amp;Enot'!$B$7:$R$28,17,FALSE)</f>
        <v>2.2311132077757287</v>
      </c>
      <c r="U216" s="2520" t="str">
        <f t="shared" si="0"/>
        <v>BBB</v>
      </c>
      <c r="V216" s="2521"/>
      <c r="W216" s="2035" t="str">
        <f t="shared" si="1"/>
        <v>=  =  -</v>
      </c>
      <c r="X216" s="2091">
        <v>4</v>
      </c>
      <c r="Y216" s="193"/>
      <c r="Z216" s="2257"/>
      <c r="AA216" s="2257"/>
      <c r="AB216" s="2257"/>
      <c r="AC216" s="109"/>
      <c r="AD216" s="109"/>
      <c r="AE216" s="109"/>
      <c r="AF216" s="109"/>
      <c r="AG216" s="109"/>
      <c r="AH216" s="109"/>
      <c r="AI216" s="109"/>
      <c r="AJ216" s="109"/>
      <c r="AK216" s="109"/>
      <c r="AL216" s="109"/>
      <c r="AO216" s="2083"/>
      <c r="BL216" s="80"/>
    </row>
    <row r="217" spans="1:64" s="1921" customFormat="1">
      <c r="A217" s="1183" t="s">
        <v>32</v>
      </c>
      <c r="B217" s="73" t="s">
        <v>50</v>
      </c>
      <c r="C217" s="2027"/>
      <c r="D217" s="3531">
        <f>VLOOKUP(B217,Ranking!$B$7:$C$28,2,FALSE)/Ranking!$C$9</f>
        <v>2.5621102306182384</v>
      </c>
      <c r="E217" s="3532"/>
      <c r="F217" s="3511">
        <f>VLOOKUP(B217,CALCULATIONS!$B$5:$O$27,14,FALSE)/CALCULATIONS!$O$7</f>
        <v>3.4819890563900104</v>
      </c>
      <c r="G217" s="3512"/>
      <c r="H217" s="2032">
        <f>VLOOKUP(B217,Ranking!$B$7:$G$28,6,FALSE)/Ranking!$G$9</f>
        <v>4.8905330125708488</v>
      </c>
      <c r="I217" s="3461">
        <f>VLOOKUP($B217,CALCULATIONS!$NT$5:$OM$27,19,FALSE)</f>
        <v>1.0453362578695029</v>
      </c>
      <c r="J217" s="3462"/>
      <c r="K217" s="3471">
        <f>VLOOKUP($B217,CALCULATIONS!$NT$5:$OM$27,18,FALSE)</f>
        <v>1.0781347444679739</v>
      </c>
      <c r="L217" s="3472"/>
      <c r="M217" s="2045">
        <f>VLOOKUP($B217,CALCULATIONS!$NT$5:$OM$27,16,FALSE)</f>
        <v>1.0291164658634537</v>
      </c>
      <c r="N217" s="2538">
        <f>VLOOKUP(B217,Ranking!$B$7:$V$28,21,FALSE)</f>
        <v>0.37414035756341019</v>
      </c>
      <c r="O217" s="3531">
        <f>VLOOKUP($B217,CALCULATIONS!$MF$5:$NB$27,21,FALSE)</f>
        <v>2.3213825447133263</v>
      </c>
      <c r="P217" s="3532"/>
      <c r="Q217" s="3511">
        <f>VLOOKUP($B217,CALCULATIONS!$MF$5:$NB$27,20,FALSE)</f>
        <v>2.2938268732747087</v>
      </c>
      <c r="R217" s="3512"/>
      <c r="S217" s="2032">
        <f>VLOOKUP($B217,CALCULATIONS!$MF$5:$NB$27,16,FALSE)</f>
        <v>2.1879628997875771</v>
      </c>
      <c r="T217" s="2512">
        <f>VLOOKUP($B217,'GEARINGS, E&amp;Enot'!$B$7:$R$28,17,FALSE)</f>
        <v>2.136201464388483</v>
      </c>
      <c r="U217" s="2520" t="str">
        <f t="shared" si="0"/>
        <v>BBB</v>
      </c>
      <c r="V217" s="2521"/>
      <c r="W217" s="2035" t="str">
        <f t="shared" si="1"/>
        <v xml:space="preserve">=  -  = </v>
      </c>
      <c r="X217" s="2091">
        <v>4</v>
      </c>
      <c r="Y217" s="193"/>
      <c r="Z217" s="2257"/>
      <c r="AA217" s="2257"/>
      <c r="AB217" s="2257"/>
      <c r="AC217" s="109"/>
      <c r="AD217" s="109"/>
      <c r="AE217" s="109"/>
      <c r="AF217" s="109"/>
      <c r="AG217" s="109"/>
      <c r="AH217" s="109"/>
      <c r="AI217" s="109"/>
      <c r="AJ217" s="109"/>
      <c r="AK217" s="109"/>
      <c r="AL217" s="109"/>
      <c r="AO217" s="2083"/>
      <c r="BL217" s="80"/>
    </row>
    <row r="218" spans="1:64" s="1921" customFormat="1">
      <c r="A218" s="1183" t="s">
        <v>545</v>
      </c>
      <c r="B218" s="73" t="s">
        <v>39</v>
      </c>
      <c r="C218" s="2026"/>
      <c r="D218" s="3531">
        <f>VLOOKUP(B218,Ranking!$B$7:$C$28,2,FALSE)/Ranking!$C$9</f>
        <v>0.66424802675581984</v>
      </c>
      <c r="E218" s="3532"/>
      <c r="F218" s="3511">
        <f>VLOOKUP(B218,CALCULATIONS!$B$5:$O$27,14,FALSE)/CALCULATIONS!$O$7</f>
        <v>0.68397944869684923</v>
      </c>
      <c r="G218" s="3512"/>
      <c r="H218" s="2032">
        <f>VLOOKUP(B218,Ranking!$B$7:$G$28,6,FALSE)/Ranking!$G$9</f>
        <v>0.8681653104372461</v>
      </c>
      <c r="I218" s="3461">
        <f>VLOOKUP($B218,CALCULATIONS!$NT$5:$OM$27,19,FALSE)</f>
        <v>0.55027140614871961</v>
      </c>
      <c r="J218" s="3462"/>
      <c r="K218" s="3471">
        <f>VLOOKUP($B218,CALCULATIONS!$NT$5:$OM$27,18,FALSE)</f>
        <v>0.55186943572014047</v>
      </c>
      <c r="L218" s="3472"/>
      <c r="M218" s="2045">
        <f>VLOOKUP($B218,CALCULATIONS!$NT$5:$OM$27,16,FALSE)</f>
        <v>0.54669010939941953</v>
      </c>
      <c r="N218" s="2538">
        <f>VLOOKUP(B218,Ranking!$B$7:$V$28,21,FALSE)</f>
        <v>0.43916945384982109</v>
      </c>
      <c r="O218" s="3531">
        <f>VLOOKUP($B218,CALCULATIONS!$MF$5:$NB$27,21,FALSE)</f>
        <v>2.7420116082528021</v>
      </c>
      <c r="P218" s="3532"/>
      <c r="Q218" s="3511">
        <f>VLOOKUP($B218,CALCULATIONS!$MF$5:$NB$27,20,FALSE)</f>
        <v>2.6315156310879719</v>
      </c>
      <c r="R218" s="3512"/>
      <c r="S218" s="2032">
        <f>VLOOKUP($B218,CALCULATIONS!$MF$5:$NB$27,16,FALSE)</f>
        <v>2.6312459451226378</v>
      </c>
      <c r="T218" s="2512">
        <f>VLOOKUP($B218,'GEARINGS, E&amp;Enot'!$B$7:$R$28,17,FALSE)</f>
        <v>2.5933932385229874</v>
      </c>
      <c r="U218" s="2520" t="str">
        <f t="shared" si="0"/>
        <v>BBB</v>
      </c>
      <c r="V218" s="2521"/>
      <c r="W218" s="2035" t="str">
        <f t="shared" si="1"/>
        <v>­  = =</v>
      </c>
      <c r="X218" s="2091">
        <v>4</v>
      </c>
      <c r="Y218" s="193"/>
      <c r="Z218" s="2257"/>
      <c r="AA218" s="2257"/>
      <c r="AB218" s="2257"/>
      <c r="AC218" s="109"/>
      <c r="AD218" s="109"/>
      <c r="AE218" s="109"/>
      <c r="AF218" s="109"/>
      <c r="AG218" s="109"/>
      <c r="AH218" s="109"/>
      <c r="AI218" s="109"/>
      <c r="AJ218" s="109"/>
      <c r="AK218" s="109"/>
      <c r="AL218" s="109"/>
      <c r="AO218" s="2083"/>
      <c r="BL218" s="80"/>
    </row>
    <row r="219" spans="1:64" s="1921" customFormat="1">
      <c r="A219" s="1183" t="s">
        <v>389</v>
      </c>
      <c r="B219" s="73" t="s">
        <v>278</v>
      </c>
      <c r="C219" s="1272"/>
      <c r="D219" s="3531">
        <f>VLOOKUP(B219,Ranking!$B$7:$C$28,2,FALSE)/Ranking!$C$9</f>
        <v>0.46528757111493924</v>
      </c>
      <c r="E219" s="3532"/>
      <c r="F219" s="3511">
        <f>VLOOKUP(B219,CALCULATIONS!$B$5:$O$27,14,FALSE)/CALCULATIONS!$O$7</f>
        <v>0.39672836457985794</v>
      </c>
      <c r="G219" s="3512"/>
      <c r="H219" s="2032">
        <f>VLOOKUP(B219,Ranking!$B$7:$G$28,6,FALSE)/Ranking!$G$9</f>
        <v>0.36949564830152554</v>
      </c>
      <c r="I219" s="3461">
        <f>VLOOKUP($B219,CALCULATIONS!$NT$5:$OM$27,19,FALSE)</f>
        <v>0.78459161443895709</v>
      </c>
      <c r="J219" s="3462"/>
      <c r="K219" s="3471">
        <f>VLOOKUP($B219,CALCULATIONS!$NT$5:$OM$27,18,FALSE)</f>
        <v>0.81344245061522213</v>
      </c>
      <c r="L219" s="3472"/>
      <c r="M219" s="2045">
        <f>VLOOKUP($B219,CALCULATIONS!$NT$5:$OM$27,16,FALSE)</f>
        <v>0.81280312607455663</v>
      </c>
      <c r="N219" s="2538">
        <f>VLOOKUP(B219,Ranking!$B$7:$V$28,21,FALSE)</f>
        <v>0.62319136029119382</v>
      </c>
      <c r="O219" s="3531">
        <f>VLOOKUP($B219,CALCULATIONS!$MF$5:$NB$27,21,FALSE)</f>
        <v>2.4611126365539344</v>
      </c>
      <c r="P219" s="3532"/>
      <c r="Q219" s="3511">
        <f>VLOOKUP($B219,CALCULATIONS!$MF$5:$NB$27,20,FALSE)</f>
        <v>2.7207826156746648</v>
      </c>
      <c r="R219" s="3512"/>
      <c r="S219" s="2032">
        <f>VLOOKUP($B219,CALCULATIONS!$MF$5:$NB$27,16,FALSE)</f>
        <v>2.9018039513877327</v>
      </c>
      <c r="T219" s="2512">
        <f>VLOOKUP($B219,'GEARINGS, E&amp;Enot'!$B$7:$R$28,17,FALSE)</f>
        <v>2.5252968522290931</v>
      </c>
      <c r="U219" s="2520" t="str">
        <f t="shared" si="0"/>
        <v>BBB</v>
      </c>
      <c r="V219" s="2521"/>
      <c r="W219" s="2035" t="str">
        <f t="shared" si="1"/>
        <v>=  ¯ -</v>
      </c>
      <c r="X219" s="2091">
        <v>4</v>
      </c>
      <c r="Y219" s="193"/>
      <c r="Z219" s="2257"/>
      <c r="AA219" s="2257"/>
      <c r="AB219" s="2257"/>
      <c r="AC219" s="109"/>
      <c r="AD219" s="109"/>
      <c r="AE219" s="109"/>
      <c r="AF219" s="109"/>
      <c r="AG219" s="109"/>
      <c r="AH219" s="109"/>
      <c r="AI219" s="109"/>
      <c r="AJ219" s="109"/>
      <c r="AK219" s="109"/>
      <c r="AL219" s="109"/>
      <c r="AO219" s="2083"/>
      <c r="BL219" s="80"/>
    </row>
    <row r="220" spans="1:64" s="1921" customFormat="1">
      <c r="A220" s="1183" t="s">
        <v>219</v>
      </c>
      <c r="B220" s="73" t="s">
        <v>53</v>
      </c>
      <c r="C220" s="2062"/>
      <c r="D220" s="3527">
        <f>VLOOKUP(B220,Ranking!$B$7:$C$28,2,FALSE)/Ranking!$C$9</f>
        <v>7.8820513286509115</v>
      </c>
      <c r="E220" s="3528"/>
      <c r="F220" s="3548">
        <f>VLOOKUP(B220,CALCULATIONS!$B$5:$O$27,14,FALSE)/CALCULATIONS!$O$7</f>
        <v>6.6992799431837176</v>
      </c>
      <c r="G220" s="3549"/>
      <c r="H220" s="2032">
        <f>VLOOKUP(B220,Ranking!$B$7:$G$28,6,FALSE)/Ranking!$G$9</f>
        <v>7.6264209224823549</v>
      </c>
      <c r="I220" s="3496">
        <f>VLOOKUP($B220,CALCULATIONS!$NT$5:$OM$27,19,FALSE)</f>
        <v>0.66212495439714558</v>
      </c>
      <c r="J220" s="3497"/>
      <c r="K220" s="3467">
        <f>VLOOKUP($B220,CALCULATIONS!$NT$5:$OM$27,18,FALSE)</f>
        <v>0.6677972809782533</v>
      </c>
      <c r="L220" s="3468"/>
      <c r="M220" s="2045">
        <f>VLOOKUP($B220,CALCULATIONS!$NT$5:$OM$27,16,FALSE)</f>
        <v>0.67183061945751388</v>
      </c>
      <c r="N220" s="2538">
        <f>VLOOKUP(B220,Ranking!$B$7:$V$28,21,FALSE)</f>
        <v>0.57929804018594233</v>
      </c>
      <c r="O220" s="3527">
        <f>VLOOKUP($B220,CALCULATIONS!$MF$5:$NB$27,21,FALSE)</f>
        <v>3.0368447576309494</v>
      </c>
      <c r="P220" s="3528"/>
      <c r="Q220" s="3548">
        <f>VLOOKUP($B220,CALCULATIONS!$MF$5:$NB$27,20,FALSE)</f>
        <v>3.2461693401813436</v>
      </c>
      <c r="R220" s="3549"/>
      <c r="S220" s="2032">
        <f>VLOOKUP($B220,CALCULATIONS!$MF$5:$NB$27,16,FALSE)</f>
        <v>3.1940393135057517</v>
      </c>
      <c r="T220" s="2512">
        <f>VLOOKUP($B220,'GEARINGS, E&amp;Enot'!$B$7:$R$28,17,FALSE)</f>
        <v>2.8353348809740444</v>
      </c>
      <c r="U220" s="2520" t="str">
        <f t="shared" si="0"/>
        <v>BBB</v>
      </c>
      <c r="V220" s="2521"/>
      <c r="W220" s="2035" t="str">
        <f t="shared" si="1"/>
        <v>¯  ¯ ¯</v>
      </c>
      <c r="X220" s="2091">
        <v>4</v>
      </c>
      <c r="Y220" s="193"/>
      <c r="Z220" s="2257"/>
      <c r="AA220" s="2257"/>
      <c r="AB220" s="2257"/>
      <c r="AC220" s="109"/>
      <c r="AD220" s="109"/>
      <c r="AE220" s="109"/>
      <c r="AF220" s="109"/>
      <c r="AG220" s="109"/>
      <c r="AH220" s="109"/>
      <c r="AI220" s="109"/>
      <c r="AJ220" s="109"/>
      <c r="AK220" s="109"/>
      <c r="AL220" s="109"/>
      <c r="AO220" s="2083"/>
      <c r="BL220" s="80"/>
    </row>
    <row r="221" spans="1:64" s="1921" customFormat="1">
      <c r="A221" s="2048" t="s">
        <v>503</v>
      </c>
      <c r="B221" s="2049" t="s">
        <v>286</v>
      </c>
      <c r="C221" s="2056"/>
      <c r="D221" s="3529">
        <f>VLOOKUP(B221,Ranking!$B$7:$C$28,2,FALSE)/Ranking!$C$9</f>
        <v>2.0476179959843281</v>
      </c>
      <c r="E221" s="3530"/>
      <c r="F221" s="3509">
        <f>VLOOKUP(B221,CALCULATIONS!$B$5:$O$27,14,FALSE)/CALCULATIONS!$O$7</f>
        <v>1.8801137942487018</v>
      </c>
      <c r="G221" s="3510"/>
      <c r="H221" s="2051">
        <f>VLOOKUP(B221,Ranking!$B$7:$G$28,6,FALSE)/Ranking!$G$9</f>
        <v>1.7672775255004274</v>
      </c>
      <c r="I221" s="3498">
        <f>VLOOKUP($B221,CALCULATIONS!$NT$5:$OM$27,19,FALSE)</f>
        <v>0.56170175953034684</v>
      </c>
      <c r="J221" s="3499"/>
      <c r="K221" s="3469">
        <f>VLOOKUP($B221,CALCULATIONS!$NT$5:$OM$27,18,FALSE)</f>
        <v>0.58632963497275115</v>
      </c>
      <c r="L221" s="3470"/>
      <c r="M221" s="2054">
        <f>VLOOKUP($B221,CALCULATIONS!$NT$5:$OM$27,16,FALSE)</f>
        <v>0.6027363370255796</v>
      </c>
      <c r="N221" s="2539">
        <f>VLOOKUP(B221,Ranking!$B$7:$V$28,21,FALSE)</f>
        <v>0.75672107111582532</v>
      </c>
      <c r="O221" s="3529">
        <f>VLOOKUP($B221,CALCULATIONS!$MF$5:$NB$27,21,FALSE)</f>
        <v>3.3702181259419697</v>
      </c>
      <c r="P221" s="3530"/>
      <c r="Q221" s="3509">
        <f>VLOOKUP($B221,CALCULATIONS!$MF$5:$NB$27,20,FALSE)</f>
        <v>3.3306037778524682</v>
      </c>
      <c r="R221" s="3510"/>
      <c r="S221" s="2051">
        <f>VLOOKUP($B221,CALCULATIONS!$MF$5:$NB$27,16,FALSE)</f>
        <v>3.2616701007153726</v>
      </c>
      <c r="T221" s="2513">
        <f>VLOOKUP($B221,'GEARINGS, E&amp;Enot'!$B$7:$R$28,17,FALSE)</f>
        <v>2.8370691340232916</v>
      </c>
      <c r="U221" s="2522" t="str">
        <f t="shared" si="0"/>
        <v>BBB-</v>
      </c>
      <c r="V221" s="2523"/>
      <c r="W221" s="2053" t="str">
        <f t="shared" si="1"/>
        <v>=  ¯ ¯</v>
      </c>
      <c r="X221" s="2091">
        <v>5</v>
      </c>
      <c r="Y221" s="193"/>
      <c r="Z221" s="2257"/>
      <c r="AA221" s="2257"/>
      <c r="AB221" s="2257"/>
      <c r="AC221" s="109"/>
      <c r="AD221" s="109"/>
      <c r="AE221" s="109"/>
      <c r="AF221" s="109"/>
      <c r="AG221" s="109"/>
      <c r="AH221" s="109"/>
      <c r="AI221" s="109"/>
      <c r="AJ221" s="109"/>
      <c r="AK221" s="109"/>
      <c r="AL221" s="109"/>
      <c r="AO221" s="2083"/>
      <c r="BL221" s="80"/>
    </row>
    <row r="222" spans="1:64" s="1921" customFormat="1">
      <c r="A222" s="1183" t="s">
        <v>505</v>
      </c>
      <c r="B222" s="73" t="s">
        <v>44</v>
      </c>
      <c r="C222" s="1272"/>
      <c r="D222" s="3531">
        <f>VLOOKUP(B222,Ranking!$B$7:$C$28,2,FALSE)/Ranking!$C$9</f>
        <v>1.6062286079161434</v>
      </c>
      <c r="E222" s="3532"/>
      <c r="F222" s="3511">
        <f>VLOOKUP(B222,CALCULATIONS!$B$5:$O$27,14,FALSE)/CALCULATIONS!$O$7</f>
        <v>1.1206356925523315</v>
      </c>
      <c r="G222" s="3512"/>
      <c r="H222" s="2032">
        <f>VLOOKUP(B222,Ranking!$B$7:$G$28,6,FALSE)/Ranking!$G$9</f>
        <v>1.1705727487730917</v>
      </c>
      <c r="I222" s="3461">
        <f>VLOOKUP($B222,CALCULATIONS!$NT$5:$OM$27,19,FALSE)</f>
        <v>0.82650533997698372</v>
      </c>
      <c r="J222" s="3462"/>
      <c r="K222" s="3471">
        <f>VLOOKUP($B222,CALCULATIONS!$NT$5:$OM$27,18,FALSE)</f>
        <v>0.83163935851267257</v>
      </c>
      <c r="L222" s="3472"/>
      <c r="M222" s="2045">
        <f>VLOOKUP($B222,CALCULATIONS!$NT$5:$OM$27,16,FALSE)</f>
        <v>0.73026415475529072</v>
      </c>
      <c r="N222" s="2538">
        <f>VLOOKUP(B222,Ranking!$B$7:$V$28,21,FALSE)</f>
        <v>0.63323863537070213</v>
      </c>
      <c r="O222" s="3531">
        <f>VLOOKUP($B222,CALCULATIONS!$MF$5:$NB$27,21,FALSE)</f>
        <v>2.9127968401540869</v>
      </c>
      <c r="P222" s="3532"/>
      <c r="Q222" s="3511">
        <f>VLOOKUP($B222,CALCULATIONS!$MF$5:$NB$27,20,FALSE)</f>
        <v>3.3361431745874608</v>
      </c>
      <c r="R222" s="3512"/>
      <c r="S222" s="2032">
        <f>VLOOKUP($B222,CALCULATIONS!$MF$5:$NB$27,16,FALSE)</f>
        <v>3.4864609329129088</v>
      </c>
      <c r="T222" s="2512">
        <f>VLOOKUP($B222,'GEARINGS, E&amp;Enot'!$B$7:$R$28,17,FALSE)</f>
        <v>2.5466878830879209</v>
      </c>
      <c r="U222" s="2520" t="str">
        <f t="shared" si="0"/>
        <v>BBB-</v>
      </c>
      <c r="V222" s="2521"/>
      <c r="W222" s="2035" t="str">
        <f t="shared" si="1"/>
        <v>=  ¯ =</v>
      </c>
      <c r="X222" s="2091">
        <v>5</v>
      </c>
      <c r="Y222" s="193"/>
      <c r="Z222" s="2257"/>
      <c r="AA222" s="2257"/>
      <c r="AB222" s="2257"/>
      <c r="AC222" s="109"/>
      <c r="AD222" s="109"/>
      <c r="AE222" s="109"/>
      <c r="AF222" s="109"/>
      <c r="AG222" s="109"/>
      <c r="AH222" s="109"/>
      <c r="AI222" s="109"/>
      <c r="AJ222" s="109"/>
      <c r="AK222" s="109"/>
      <c r="AL222" s="109"/>
      <c r="AO222" s="2083"/>
      <c r="BL222" s="80"/>
    </row>
    <row r="223" spans="1:64" s="1921" customFormat="1" ht="13.8" thickBot="1">
      <c r="A223" s="1183" t="s">
        <v>27</v>
      </c>
      <c r="B223" s="73" t="s">
        <v>54</v>
      </c>
      <c r="C223" s="2062"/>
      <c r="D223" s="3537">
        <f>VLOOKUP(B223,Ranking!$B$7:$C$28,2,FALSE)/Ranking!$C$9</f>
        <v>0.6229752643979487</v>
      </c>
      <c r="E223" s="3538"/>
      <c r="F223" s="3513">
        <f>VLOOKUP(B223,CALCULATIONS!$B$5:$O$27,14,FALSE)/CALCULATIONS!$O$7</f>
        <v>0.42973587479602082</v>
      </c>
      <c r="G223" s="3514"/>
      <c r="H223" s="2032">
        <f>VLOOKUP(B223,Ranking!$B$7:$G$28,6,FALSE)/Ranking!$G$9</f>
        <v>0.46011591895944282</v>
      </c>
      <c r="I223" s="3480">
        <f>VLOOKUP($B223,CALCULATIONS!$NT$5:$OM$27,19,FALSE)</f>
        <v>0.70639344530785952</v>
      </c>
      <c r="J223" s="3481"/>
      <c r="K223" s="3488">
        <f>VLOOKUP($B223,CALCULATIONS!$NT$5:$OM$27,18,FALSE)</f>
        <v>0.76120820307083403</v>
      </c>
      <c r="L223" s="3489"/>
      <c r="M223" s="2045">
        <f>VLOOKUP($B223,CALCULATIONS!$NT$5:$OM$27,16,FALSE)</f>
        <v>0.77980800188212485</v>
      </c>
      <c r="N223" s="2538">
        <f>VLOOKUP(B223,Ranking!$B$7:$V$28,21,FALSE)</f>
        <v>0.7506672643344422</v>
      </c>
      <c r="O223" s="3537">
        <f>VLOOKUP($B223,CALCULATIONS!$MF$5:$NB$27,21,FALSE)</f>
        <v>5.3475150827095632</v>
      </c>
      <c r="P223" s="3538"/>
      <c r="Q223" s="3513">
        <f>VLOOKUP($B223,CALCULATIONS!$MF$5:$NB$27,20,FALSE)</f>
        <v>5.0282270908831617</v>
      </c>
      <c r="R223" s="3514"/>
      <c r="S223" s="2032">
        <f>VLOOKUP($B223,CALCULATIONS!$MF$5:$NB$27,16,FALSE)</f>
        <v>5.2345843405403958</v>
      </c>
      <c r="T223" s="2512">
        <f>VLOOKUP($B223,'GEARINGS, E&amp;Enot'!$B$7:$R$28,17,FALSE)</f>
        <v>3.8230610288109381</v>
      </c>
      <c r="U223" s="2520" t="str">
        <f t="shared" si="0"/>
        <v>BBB-</v>
      </c>
      <c r="V223" s="2521"/>
      <c r="W223" s="2035" t="str">
        <f t="shared" si="1"/>
        <v>¯  ¯ ¯</v>
      </c>
      <c r="X223" s="2091">
        <v>5</v>
      </c>
      <c r="Y223" s="193"/>
      <c r="Z223" s="2257"/>
      <c r="AA223" s="2257"/>
      <c r="AB223" s="2257"/>
      <c r="AC223" s="2257"/>
      <c r="AD223" s="2257"/>
      <c r="AE223" s="2257"/>
      <c r="AF223" s="2257"/>
      <c r="AG223" s="2257"/>
      <c r="AH223" s="2257"/>
      <c r="AI223" s="2257"/>
      <c r="AJ223" s="2257"/>
      <c r="AK223" s="2257"/>
      <c r="AL223" s="2257"/>
      <c r="AM223" s="2083"/>
      <c r="AN223" s="2083"/>
      <c r="AO223" s="2083"/>
      <c r="BL223" s="80"/>
    </row>
    <row r="224" spans="1:64" s="1921" customFormat="1" ht="13.8" thickTop="1">
      <c r="A224" s="2063" t="s">
        <v>323</v>
      </c>
      <c r="B224" s="2064" t="s">
        <v>774</v>
      </c>
      <c r="C224" s="2065"/>
      <c r="D224" s="3539">
        <f>VLOOKUP(B224,Ranking!$B$7:$C$28,2,FALSE)/Ranking!$C$9</f>
        <v>0.46496875967683954</v>
      </c>
      <c r="E224" s="3540"/>
      <c r="F224" s="3515">
        <f>VLOOKUP(B224,CALCULATIONS!$B$5:$O$27,14,FALSE)/CALCULATIONS!$O$7</f>
        <v>0.58634366792198345</v>
      </c>
      <c r="G224" s="3516"/>
      <c r="H224" s="2066">
        <f>VLOOKUP(B224,Ranking!$B$7:$G$28,6,FALSE)/Ranking!$G$9</f>
        <v>0.69500255344135098</v>
      </c>
      <c r="I224" s="3482">
        <f>VLOOKUP($B224,CALCULATIONS!$NT$5:$OM$27,19,FALSE)</f>
        <v>1.1358936248870761</v>
      </c>
      <c r="J224" s="3483"/>
      <c r="K224" s="3490">
        <f>VLOOKUP($B224,CALCULATIONS!$NT$5:$OM$27,18,FALSE)</f>
        <v>1.3233952515247318</v>
      </c>
      <c r="L224" s="3491"/>
      <c r="M224" s="2068">
        <f>VLOOKUP($B224,CALCULATIONS!$NT$5:$OM$27,16,FALSE)</f>
        <v>1.6242544181079608</v>
      </c>
      <c r="N224" s="2541">
        <f>VLOOKUP(B224,Ranking!$B$7:$V$28,21,FALSE)</f>
        <v>0.4832654138496531</v>
      </c>
      <c r="O224" s="3539">
        <f>VLOOKUP($B224,CALCULATIONS!$MF$5:$NB$27,21,FALSE)</f>
        <v>4.2244691551359432</v>
      </c>
      <c r="P224" s="3540"/>
      <c r="Q224" s="3515">
        <f>VLOOKUP($B224,CALCULATIONS!$MF$5:$NB$27,20,FALSE)</f>
        <v>4.8798132676885455</v>
      </c>
      <c r="R224" s="3516"/>
      <c r="S224" s="2066">
        <f>VLOOKUP($B224,CALCULATIONS!$MF$5:$NB$27,16,FALSE)</f>
        <v>4.5021054628416168</v>
      </c>
      <c r="T224" s="2515">
        <f>VLOOKUP($B224,'GEARINGS, E&amp;Enot'!$B$7:$R$28,17,FALSE)</f>
        <v>4.3704719780651446</v>
      </c>
      <c r="U224" s="2526" t="str">
        <f t="shared" si="0"/>
        <v>B+</v>
      </c>
      <c r="V224" s="2527"/>
      <c r="W224" s="2067" t="str">
        <f t="shared" si="1"/>
        <v>=  =  =</v>
      </c>
      <c r="X224" s="2091">
        <v>9</v>
      </c>
      <c r="Y224" s="2083"/>
      <c r="Z224" s="2257"/>
      <c r="AA224" s="2257"/>
      <c r="AB224" s="193"/>
      <c r="AC224" s="2257"/>
      <c r="AD224" s="2257"/>
      <c r="AE224" s="2257"/>
      <c r="AF224" s="2257"/>
      <c r="AG224" s="2257"/>
      <c r="AH224" s="2257"/>
      <c r="AI224" s="2257"/>
      <c r="AJ224" s="2257"/>
      <c r="AK224" s="2257"/>
      <c r="AL224" s="109"/>
      <c r="AM224" s="2083"/>
      <c r="AO224" s="2083"/>
      <c r="BL224" s="80"/>
    </row>
    <row r="225" spans="1:64" s="1921" customFormat="1" ht="13.8" thickBot="1">
      <c r="A225" s="1183" t="s">
        <v>378</v>
      </c>
      <c r="B225" s="73" t="s">
        <v>42</v>
      </c>
      <c r="C225" s="1272"/>
      <c r="D225" s="3537">
        <f>VLOOKUP(B225,Ranking!$B$7:$C$28,2,FALSE)/Ranking!$C$9</f>
        <v>0.31936142698187941</v>
      </c>
      <c r="E225" s="3538"/>
      <c r="F225" s="3513">
        <f>VLOOKUP(B225,CALCULATIONS!$B$5:$O$27,14,FALSE)/CALCULATIONS!$O$7</f>
        <v>0.3134542881005023</v>
      </c>
      <c r="G225" s="3514"/>
      <c r="H225" s="2032">
        <f>VLOOKUP(B225,Ranking!$B$7:$G$28,6,FALSE)/Ranking!$G$9</f>
        <v>0.50480112543665634</v>
      </c>
      <c r="I225" s="3480">
        <f>VLOOKUP($B225,CALCULATIONS!$NT$5:$OM$27,19,FALSE)</f>
        <v>0.66638293080107391</v>
      </c>
      <c r="J225" s="3481"/>
      <c r="K225" s="3488">
        <f>VLOOKUP($B225,CALCULATIONS!$NT$5:$OM$27,18,FALSE)</f>
        <v>0.620597747839015</v>
      </c>
      <c r="L225" s="3489"/>
      <c r="M225" s="2045">
        <f>VLOOKUP($B225,CALCULATIONS!$NT$5:$OM$27,16,FALSE)</f>
        <v>0.55444994421520533</v>
      </c>
      <c r="N225" s="2538">
        <f>VLOOKUP(B225,Ranking!$B$7:$V$28,21,FALSE)</f>
        <v>0.44527495080222473</v>
      </c>
      <c r="O225" s="3537">
        <f>VLOOKUP($B225,CALCULATIONS!$MF$5:$NB$27,21,FALSE)</f>
        <v>2.7348158736246613</v>
      </c>
      <c r="P225" s="3538"/>
      <c r="Q225" s="3513">
        <f>VLOOKUP($B225,CALCULATIONS!$MF$5:$NB$27,20,FALSE)</f>
        <v>2.7200754995769119</v>
      </c>
      <c r="R225" s="3514"/>
      <c r="S225" s="2032">
        <f>VLOOKUP($B225,CALCULATIONS!$MF$5:$NB$27,16,FALSE)</f>
        <v>2.363530842925047</v>
      </c>
      <c r="T225" s="2512">
        <f>VLOOKUP($B225,'GEARINGS, E&amp;Enot'!$B$7:$R$28,17,FALSE)</f>
        <v>1.5517268924243866</v>
      </c>
      <c r="U225" s="2520" t="str">
        <f t="shared" si="0"/>
        <v>B-</v>
      </c>
      <c r="V225" s="2521"/>
      <c r="W225" s="2035" t="str">
        <f t="shared" si="1"/>
        <v>=  =  -</v>
      </c>
      <c r="X225" s="2091">
        <v>11</v>
      </c>
      <c r="Y225" s="2083"/>
      <c r="Z225" s="2257"/>
      <c r="AA225" s="2257"/>
      <c r="AB225" s="2257"/>
      <c r="AC225" s="2257"/>
      <c r="AD225" s="2257"/>
      <c r="AE225" s="2257"/>
      <c r="AF225" s="2257"/>
      <c r="AG225" s="2257"/>
      <c r="AH225" s="2257"/>
      <c r="AI225" s="2257"/>
      <c r="AJ225" s="2257"/>
      <c r="AK225" s="2257"/>
      <c r="AL225" s="109"/>
      <c r="AM225" s="2083"/>
      <c r="AN225" s="2083"/>
      <c r="BL225" s="80"/>
    </row>
    <row r="226" spans="1:64" s="1921" customFormat="1" ht="13.8" thickTop="1">
      <c r="A226" s="2069" t="s">
        <v>19</v>
      </c>
      <c r="B226" s="2070" t="s">
        <v>287</v>
      </c>
      <c r="C226" s="2507"/>
      <c r="D226" s="3541">
        <f>VLOOKUP(B226,Ranking!$B$7:$C$28,2,FALSE)/Ranking!$C$9</f>
        <v>0.78808425807434113</v>
      </c>
      <c r="E226" s="3542"/>
      <c r="F226" s="3517">
        <f>VLOOKUP(B226,CALCULATIONS!$B$5:$O$27,14,FALSE)/CALCULATIONS!$O$7</f>
        <v>1.1514573454261239</v>
      </c>
      <c r="G226" s="3518"/>
      <c r="H226" s="2071">
        <f>VLOOKUP(B226,Ranking!$B$7:$G$28,6,FALSE)/Ranking!$G$9</f>
        <v>1.6429367918457434</v>
      </c>
      <c r="I226" s="3484">
        <f>VLOOKUP($B226,CALCULATIONS!$NT$5:$OM$27,19,FALSE)</f>
        <v>0.43631014985815014</v>
      </c>
      <c r="J226" s="3485"/>
      <c r="K226" s="3492">
        <f>VLOOKUP($B226,CALCULATIONS!$NT$5:$OM$27,18,FALSE)</f>
        <v>0.43724449435232932</v>
      </c>
      <c r="L226" s="3493"/>
      <c r="M226" s="2073">
        <f>VLOOKUP($B226,CALCULATIONS!$NT$5:$OM$27,16,FALSE)</f>
        <v>0.38694050259756113</v>
      </c>
      <c r="N226" s="2542">
        <f>VLOOKUP(B226,Ranking!$B$7:$V$28,21,FALSE)</f>
        <v>0.12849893093161849</v>
      </c>
      <c r="O226" s="3541">
        <f>VLOOKUP($B226,CALCULATIONS!$MF$5:$NB$27,21,FALSE)</f>
        <v>1.4219273256210281</v>
      </c>
      <c r="P226" s="3542"/>
      <c r="Q226" s="3517">
        <f>VLOOKUP($B226,CALCULATIONS!$MF$5:$NB$27,20,FALSE)</f>
        <v>1.623157404562986</v>
      </c>
      <c r="R226" s="3518"/>
      <c r="S226" s="2071">
        <f>VLOOKUP($B226,CALCULATIONS!$MF$5:$NB$27,16,FALSE)</f>
        <v>1.2892026320099024</v>
      </c>
      <c r="T226" s="2516">
        <f>VLOOKUP($B226,'GEARINGS, E&amp;Enot'!$B$7:$R$28,17,FALSE)</f>
        <v>1.242834927692577</v>
      </c>
      <c r="U226" s="2528" t="str">
        <f t="shared" si="0"/>
        <v>Not rated</v>
      </c>
      <c r="V226" s="2529"/>
      <c r="W226" s="2072"/>
      <c r="X226" s="1133"/>
      <c r="Y226" s="2083"/>
      <c r="Z226" s="2083"/>
      <c r="AA226" s="2083"/>
      <c r="AB226" s="2083"/>
      <c r="AC226" s="2083"/>
      <c r="AD226" s="2083"/>
      <c r="AE226" s="2083"/>
      <c r="AF226" s="2083"/>
      <c r="AG226" s="2083"/>
      <c r="AH226" s="2083"/>
      <c r="AI226" s="2083"/>
      <c r="AJ226" s="2083"/>
      <c r="AK226" s="2083"/>
      <c r="AL226" s="2083"/>
      <c r="AM226" s="2083"/>
      <c r="AN226" s="2083"/>
      <c r="AO226" s="2083"/>
      <c r="BL226" s="80"/>
    </row>
    <row r="227" spans="1:64" s="1921" customFormat="1">
      <c r="A227" s="1185" t="s">
        <v>323</v>
      </c>
      <c r="B227" s="726" t="s">
        <v>773</v>
      </c>
      <c r="C227" s="1462"/>
      <c r="D227" s="3544">
        <f>VLOOKUP(B227,Ranking!$B$7:$C$28,2,FALSE)/Ranking!$C$9</f>
        <v>0.27851966650768767</v>
      </c>
      <c r="E227" s="3545"/>
      <c r="F227" s="3519">
        <f>VLOOKUP(B227,CALCULATIONS!$B$5:$O$27,14,FALSE)/CALCULATIONS!$O$7</f>
        <v>0.18290369392636213</v>
      </c>
      <c r="G227" s="3520"/>
      <c r="H227" s="2508">
        <f>VLOOKUP(B227,Ranking!$B$7:$G$28,6,FALSE)/Ranking!$G$9</f>
        <v>0.16482203014996988</v>
      </c>
      <c r="I227" s="3486">
        <f>VLOOKUP($B227,CALCULATIONS!$NT$5:$OM$27,19,FALSE)</f>
        <v>0.60013573097554807</v>
      </c>
      <c r="J227" s="3487"/>
      <c r="K227" s="3494">
        <f>VLOOKUP($B227,CALCULATIONS!$NT$5:$OM$27,18,FALSE)</f>
        <v>0.64361680360590956</v>
      </c>
      <c r="L227" s="3495"/>
      <c r="M227" s="2510">
        <f>VLOOKUP($B227,CALCULATIONS!$NT$5:$OM$27,16,FALSE)</f>
        <v>0.68165966519267218</v>
      </c>
      <c r="N227" s="2543">
        <f>VLOOKUP(B227,Ranking!$B$7:$V$28,21,FALSE)</f>
        <v>0.4561905930983241</v>
      </c>
      <c r="O227" s="3544">
        <f>VLOOKUP($B227,CALCULATIONS!$MF$5:$NB$27,21,FALSE)</f>
        <v>1.2604211834367289</v>
      </c>
      <c r="P227" s="3545"/>
      <c r="Q227" s="3519">
        <f>VLOOKUP($B227,CALCULATIONS!$MF$5:$NB$27,20,FALSE)</f>
        <v>1.4763864199681669</v>
      </c>
      <c r="R227" s="3520"/>
      <c r="S227" s="2508">
        <f>VLOOKUP($B227,CALCULATIONS!$MF$5:$NB$27,16,FALSE)</f>
        <v>1.7015264130947394</v>
      </c>
      <c r="T227" s="2511">
        <f>VLOOKUP($B227,'GEARINGS, E&amp;Enot'!$B$7:$R$28,17,FALSE)</f>
        <v>1.6771658832683087</v>
      </c>
      <c r="U227" s="2530" t="str">
        <f t="shared" si="0"/>
        <v>Not rated</v>
      </c>
      <c r="V227" s="2531"/>
      <c r="W227" s="2509"/>
      <c r="X227" s="1133"/>
      <c r="Y227" s="2083"/>
      <c r="Z227" s="2083"/>
      <c r="AA227" s="2257"/>
      <c r="AB227" s="2255"/>
      <c r="AC227" s="2255"/>
      <c r="AD227" s="2255"/>
      <c r="AE227" s="2255"/>
      <c r="AF227" s="2255"/>
      <c r="AG227" s="2255"/>
      <c r="AH227" s="2255"/>
      <c r="AI227" s="2255"/>
      <c r="AJ227" s="2255"/>
      <c r="AK227" s="2255"/>
      <c r="AL227" s="2255"/>
      <c r="AM227" s="2255"/>
      <c r="AN227" s="2083"/>
      <c r="AO227" s="2083"/>
      <c r="BL227" s="80"/>
    </row>
    <row r="228" spans="1:64" s="1921" customFormat="1">
      <c r="A228" s="1183" t="s">
        <v>27</v>
      </c>
      <c r="B228" s="73" t="s">
        <v>357</v>
      </c>
      <c r="C228" s="1462"/>
      <c r="D228" s="3531">
        <f>VLOOKUP(B228,Ranking!$B$7:$C$28,2,FALSE)/Ranking!$C$9</f>
        <v>6.6242274317919875E-2</v>
      </c>
      <c r="E228" s="3532"/>
      <c r="F228" s="3511">
        <f>VLOOKUP(B228,CALCULATIONS!$B$5:$O$27,14,FALSE)/CALCULATIONS!$O$7</f>
        <v>7.6561583470844297E-2</v>
      </c>
      <c r="G228" s="3512"/>
      <c r="H228" s="2032">
        <f>VLOOKUP(B228,Ranking!$B$7:$G$28,6,FALSE)/Ranking!$G$9</f>
        <v>9.6576950176241697E-2</v>
      </c>
      <c r="I228" s="3461">
        <f>VLOOKUP($B228,CALCULATIONS!$NT$5:$OM$27,19,FALSE)</f>
        <v>0.29961800078522416</v>
      </c>
      <c r="J228" s="3462"/>
      <c r="K228" s="3471">
        <f>VLOOKUP($B228,CALCULATIONS!$NT$5:$OM$27,18,FALSE)</f>
        <v>0.28116623241788108</v>
      </c>
      <c r="L228" s="3472"/>
      <c r="M228" s="2045">
        <f>VLOOKUP($B228,CALCULATIONS!$NT$5:$OM$27,16,FALSE)</f>
        <v>0.27756271762135593</v>
      </c>
      <c r="N228" s="2538">
        <f>VLOOKUP(B228,Ranking!$B$7:$V$28,21,FALSE)</f>
        <v>0.46507375880431212</v>
      </c>
      <c r="O228" s="3531">
        <f>VLOOKUP($B228,CALCULATIONS!$MF$5:$NB$27,21,FALSE)</f>
        <v>2.2130616579497291</v>
      </c>
      <c r="P228" s="3532"/>
      <c r="Q228" s="3511">
        <f>VLOOKUP($B228,CALCULATIONS!$MF$5:$NB$27,20,FALSE)</f>
        <v>1.9024463421569013</v>
      </c>
      <c r="R228" s="3512"/>
      <c r="S228" s="2032">
        <f>VLOOKUP($B228,CALCULATIONS!$MF$5:$NB$27,16,FALSE)</f>
        <v>1.8854531506487362</v>
      </c>
      <c r="T228" s="2512">
        <f>VLOOKUP($B228,'GEARINGS, E&amp;Enot'!$B$7:$R$28,17,FALSE)</f>
        <v>1.8160302149559577</v>
      </c>
      <c r="U228" s="2520" t="str">
        <f t="shared" si="0"/>
        <v>Not rated</v>
      </c>
      <c r="V228" s="2521"/>
      <c r="W228" s="2036"/>
      <c r="X228" s="1133"/>
      <c r="Y228" s="2083"/>
      <c r="Z228" s="2083"/>
      <c r="AA228" s="2255"/>
      <c r="AB228" s="2255"/>
      <c r="AC228" s="2255"/>
      <c r="AD228" s="2255"/>
      <c r="AE228" s="2255"/>
      <c r="AF228" s="2255"/>
      <c r="AG228" s="2255"/>
      <c r="AH228" s="2255"/>
      <c r="AI228" s="2255"/>
      <c r="AJ228" s="2255"/>
      <c r="AK228" s="2255"/>
      <c r="AL228" s="2255"/>
      <c r="AM228" s="2255"/>
      <c r="AN228" s="2083"/>
      <c r="AO228" s="2083"/>
      <c r="BL228" s="80"/>
    </row>
    <row r="229" spans="1:64" s="2269" customFormat="1">
      <c r="A229" s="1184" t="s">
        <v>507</v>
      </c>
      <c r="B229" s="106" t="s">
        <v>282</v>
      </c>
      <c r="C229" s="2026"/>
      <c r="D229" s="3533">
        <f>VLOOKUP(B229,Ranking!$B$7:$C$28,2,FALSE)/Ranking!$C$9</f>
        <v>0.75750649357039856</v>
      </c>
      <c r="E229" s="3534"/>
      <c r="F229" s="3521">
        <f>VLOOKUP(B229,CALCULATIONS!$B$5:$O$27,14,FALSE)/CALCULATIONS!$O$7</f>
        <v>0.75740164968743906</v>
      </c>
      <c r="G229" s="3522"/>
      <c r="H229" s="2033">
        <f>VLOOKUP(B229,Ranking!$B$7:$G$28,6,FALSE)/Ranking!$G$9</f>
        <v>0.69111614142702515</v>
      </c>
      <c r="I229" s="3463">
        <f>VLOOKUP($B229,CALCULATIONS!$NT$5:$OM$27,19,FALSE)</f>
        <v>0.34335132873880209</v>
      </c>
      <c r="J229" s="3464"/>
      <c r="K229" s="3476">
        <f>VLOOKUP($B229,CALCULATIONS!$NT$5:$OM$27,18,FALSE)</f>
        <v>0.42505929235437956</v>
      </c>
      <c r="L229" s="3477"/>
      <c r="M229" s="2046">
        <f>VLOOKUP($B229,CALCULATIONS!$NT$5:$OM$27,16,FALSE)</f>
        <v>0.33563437661665807</v>
      </c>
      <c r="N229" s="2544">
        <f>VLOOKUP(B229,Ranking!$B$7:$V$28,21,FALSE)</f>
        <v>0.28147528322389997</v>
      </c>
      <c r="O229" s="3533">
        <f>VLOOKUP($B229,CALCULATIONS!$MF$5:$NB$27,21,FALSE)</f>
        <v>1.5556827034270104</v>
      </c>
      <c r="P229" s="3534"/>
      <c r="Q229" s="3521">
        <f>VLOOKUP($B229,CALCULATIONS!$MF$5:$NB$27,20,FALSE)</f>
        <v>2.0712936564864872</v>
      </c>
      <c r="R229" s="3522"/>
      <c r="S229" s="2033">
        <f>VLOOKUP($B229,CALCULATIONS!$MF$5:$NB$27,16,FALSE)</f>
        <v>1.635715357616891</v>
      </c>
      <c r="T229" s="2517">
        <f>VLOOKUP($B229,'GEARINGS, E&amp;Enot'!$B$7:$R$28,17,FALSE)</f>
        <v>1.5521418473212367</v>
      </c>
      <c r="U229" s="2532" t="str">
        <f t="shared" si="0"/>
        <v>Not rated</v>
      </c>
      <c r="V229" s="2533"/>
      <c r="W229" s="2037"/>
      <c r="X229" s="1133"/>
      <c r="Y229" s="2083"/>
      <c r="Z229" s="2083"/>
      <c r="AA229" s="2255"/>
      <c r="AB229" s="2255"/>
      <c r="AC229" s="2255"/>
      <c r="AD229" s="2255"/>
      <c r="AE229" s="2255"/>
      <c r="AF229" s="2255"/>
      <c r="AG229" s="2255"/>
      <c r="AH229" s="2255"/>
      <c r="AI229" s="2255"/>
      <c r="AJ229" s="2255"/>
      <c r="AK229" s="2255"/>
      <c r="AL229" s="92"/>
      <c r="AM229" s="2255"/>
      <c r="AN229" s="2083"/>
      <c r="AO229" s="2083"/>
      <c r="BL229" s="80"/>
    </row>
    <row r="230" spans="1:64" s="1921" customFormat="1">
      <c r="Y230" s="2083"/>
      <c r="Z230" s="2083"/>
      <c r="AA230" s="2083"/>
      <c r="AB230" s="2083"/>
      <c r="AC230" s="2083"/>
      <c r="AD230" s="2083"/>
      <c r="AE230" s="2083"/>
      <c r="AF230" s="2083"/>
      <c r="AG230" s="2083"/>
      <c r="AH230" s="2083"/>
      <c r="AI230" s="2083"/>
      <c r="AJ230" s="2083"/>
      <c r="AK230" s="2083"/>
      <c r="AL230" s="2083"/>
      <c r="AM230" s="2083"/>
      <c r="AN230" s="2083"/>
      <c r="AO230" s="2083"/>
      <c r="BL230" s="80"/>
    </row>
    <row r="231" spans="1:64" s="1921" customFormat="1">
      <c r="D231" s="2890" t="s">
        <v>2013</v>
      </c>
      <c r="Y231" s="2083"/>
      <c r="AL231" s="2083"/>
      <c r="AM231" s="2083"/>
      <c r="AN231" s="2083"/>
      <c r="AO231" s="2083"/>
      <c r="BL231" s="80"/>
    </row>
    <row r="232" spans="1:64" s="2545" customFormat="1" ht="13.2" hidden="1" customHeight="1">
      <c r="D232" s="1884" t="s">
        <v>1905</v>
      </c>
      <c r="Y232" s="2083"/>
      <c r="AL232" s="2083"/>
      <c r="AM232" s="2083"/>
      <c r="AN232" s="2083"/>
      <c r="AO232" s="2083"/>
      <c r="BL232" s="80"/>
    </row>
    <row r="233" spans="1:64" s="2545" customFormat="1" ht="13.2" hidden="1" customHeight="1">
      <c r="A233" s="1648"/>
      <c r="B233" s="1648"/>
      <c r="C233" s="1845"/>
      <c r="D233" s="3523" t="s">
        <v>2014</v>
      </c>
      <c r="E233" s="3524"/>
      <c r="F233" s="3524"/>
      <c r="G233" s="3524"/>
      <c r="H233" s="3524"/>
      <c r="I233" s="3524"/>
      <c r="J233" s="3524"/>
      <c r="K233" s="3524"/>
      <c r="L233" s="3524"/>
      <c r="M233" s="3524"/>
      <c r="N233" s="3524"/>
      <c r="O233" s="3524"/>
      <c r="P233" s="3524"/>
      <c r="Q233" s="3524"/>
      <c r="R233" s="3524"/>
      <c r="S233" s="3524"/>
      <c r="T233" s="3524"/>
      <c r="U233" s="3524"/>
      <c r="V233" s="3524"/>
      <c r="W233" s="3524"/>
      <c r="X233" s="2547"/>
      <c r="AF233" s="2547"/>
      <c r="AG233" s="2547"/>
      <c r="BL233" s="80"/>
    </row>
    <row r="234" spans="1:64" s="2545" customFormat="1" ht="13.2" hidden="1" customHeight="1">
      <c r="A234" s="1648"/>
      <c r="B234" s="1648"/>
      <c r="C234" s="1845"/>
      <c r="D234" s="3524"/>
      <c r="E234" s="3524"/>
      <c r="F234" s="3524"/>
      <c r="G234" s="3524"/>
      <c r="H234" s="3524"/>
      <c r="I234" s="3524"/>
      <c r="J234" s="3524"/>
      <c r="K234" s="3524"/>
      <c r="L234" s="3524"/>
      <c r="M234" s="3524"/>
      <c r="N234" s="3524"/>
      <c r="O234" s="3524"/>
      <c r="P234" s="3524"/>
      <c r="Q234" s="3524"/>
      <c r="R234" s="3524"/>
      <c r="S234" s="3524"/>
      <c r="T234" s="3524"/>
      <c r="U234" s="3524"/>
      <c r="V234" s="3524"/>
      <c r="W234" s="3524"/>
      <c r="X234" s="2547"/>
      <c r="AF234" s="2547"/>
      <c r="AG234" s="2547"/>
      <c r="BL234" s="80"/>
    </row>
    <row r="235" spans="1:64" s="2545" customFormat="1" ht="13.2" hidden="1" customHeight="1">
      <c r="A235" s="1648"/>
      <c r="B235" s="1648"/>
      <c r="C235" s="1845"/>
      <c r="D235" s="2589" t="s">
        <v>2015</v>
      </c>
      <c r="E235" s="2588"/>
      <c r="F235" s="2588"/>
      <c r="G235" s="2588"/>
      <c r="H235" s="2588"/>
      <c r="I235" s="2588"/>
      <c r="J235" s="2588"/>
      <c r="K235" s="2588"/>
      <c r="L235" s="2588"/>
      <c r="M235" s="2588"/>
      <c r="N235" s="2588"/>
      <c r="O235" s="2588"/>
      <c r="P235" s="2588"/>
      <c r="Q235" s="2588"/>
      <c r="R235" s="2588"/>
      <c r="S235" s="2588"/>
      <c r="T235" s="2588"/>
      <c r="U235" s="2588"/>
      <c r="V235" s="2588"/>
      <c r="W235" s="2588"/>
      <c r="X235" s="2547"/>
      <c r="AF235" s="2547"/>
      <c r="AG235" s="2547"/>
      <c r="BL235" s="80"/>
    </row>
    <row r="236" spans="1:64" s="2545" customFormat="1" ht="13.2" hidden="1" customHeight="1">
      <c r="A236" s="1648"/>
      <c r="B236" s="1648"/>
      <c r="C236" s="1845"/>
      <c r="D236" s="2589"/>
      <c r="E236" s="2588"/>
      <c r="F236" s="2588"/>
      <c r="G236" s="2588"/>
      <c r="H236" s="2588"/>
      <c r="I236" s="2588"/>
      <c r="J236" s="2588"/>
      <c r="K236" s="2588"/>
      <c r="L236" s="2588"/>
      <c r="M236" s="2588"/>
      <c r="N236" s="2588"/>
      <c r="O236" s="2588"/>
      <c r="P236" s="2588"/>
      <c r="Q236" s="2588"/>
      <c r="R236" s="2588"/>
      <c r="S236" s="2588"/>
      <c r="T236" s="2588"/>
      <c r="U236" s="2588"/>
      <c r="V236" s="2588"/>
      <c r="W236" s="2588"/>
      <c r="X236" s="2547"/>
      <c r="AF236" s="2547"/>
      <c r="AG236" s="2547"/>
      <c r="BL236" s="80"/>
    </row>
    <row r="237" spans="1:64" s="1480" customFormat="1" ht="13.2" hidden="1" customHeight="1">
      <c r="A237" s="2986" t="s">
        <v>1931</v>
      </c>
      <c r="C237" s="3059"/>
      <c r="G237" s="1480" t="s">
        <v>2525</v>
      </c>
      <c r="R237" s="1480" t="s">
        <v>2526</v>
      </c>
      <c r="AA237" s="1480" t="s">
        <v>2527</v>
      </c>
      <c r="AK237" s="1480" t="s">
        <v>1878</v>
      </c>
      <c r="AV237" s="1480" t="s">
        <v>804</v>
      </c>
      <c r="BL237" s="3060"/>
    </row>
    <row r="238" spans="1:64" s="2545" customFormat="1" ht="13.2" hidden="1" customHeight="1">
      <c r="A238" s="1648"/>
      <c r="B238" s="1648"/>
      <c r="C238" s="1845"/>
      <c r="D238" s="2269"/>
      <c r="E238" s="2269"/>
      <c r="F238" s="2269"/>
      <c r="G238" s="2269"/>
      <c r="H238" s="2269"/>
      <c r="I238" s="2269"/>
      <c r="J238" s="2269"/>
      <c r="K238" s="2269"/>
      <c r="L238" s="2269"/>
      <c r="M238" s="2269"/>
      <c r="N238" s="2269"/>
      <c r="O238" s="2269"/>
      <c r="P238" s="2269"/>
      <c r="Q238" s="2269"/>
      <c r="R238" s="2269"/>
      <c r="S238" s="2269"/>
      <c r="T238" s="2269"/>
      <c r="U238" s="2083"/>
      <c r="V238" s="2083"/>
      <c r="W238" s="2083"/>
      <c r="X238" s="2083"/>
      <c r="Y238" s="2083"/>
      <c r="AK238" s="2083"/>
      <c r="AL238" s="2083"/>
      <c r="AM238" s="2083"/>
      <c r="AN238" s="2083"/>
      <c r="AO238" s="2083"/>
      <c r="AP238" s="2083"/>
      <c r="AQ238" s="2083"/>
      <c r="AR238" s="2083"/>
      <c r="AS238" s="2083"/>
      <c r="AT238" s="2083"/>
      <c r="AU238" s="2083"/>
      <c r="AV238" s="2083"/>
      <c r="AW238" s="2269"/>
      <c r="AX238" s="2269"/>
      <c r="AY238" s="2269"/>
      <c r="AZ238" s="2269"/>
      <c r="BA238" s="2269"/>
      <c r="BB238" s="2269"/>
      <c r="BC238" s="2269"/>
      <c r="BD238" s="2269"/>
      <c r="BE238" s="2269"/>
      <c r="BL238" s="80"/>
    </row>
    <row r="239" spans="1:64" s="2545" customFormat="1" ht="13.2" hidden="1" customHeight="1">
      <c r="C239" s="1845"/>
      <c r="D239" s="2269"/>
      <c r="E239" s="2269"/>
      <c r="F239" s="2269"/>
      <c r="G239" s="2269"/>
      <c r="H239" s="2269"/>
      <c r="I239" s="2269"/>
      <c r="J239" s="2269"/>
      <c r="K239" s="2269"/>
      <c r="L239" s="2269"/>
      <c r="M239" s="2269"/>
      <c r="N239" s="2269"/>
      <c r="O239" s="2269"/>
      <c r="P239" s="2269"/>
      <c r="Q239" s="2269"/>
      <c r="R239" s="2269"/>
      <c r="S239" s="2269"/>
      <c r="T239" s="2269"/>
      <c r="U239" s="2083"/>
      <c r="V239" s="2083"/>
      <c r="W239" s="2083"/>
      <c r="X239" s="2083"/>
      <c r="Y239" s="2083"/>
      <c r="AK239" s="2083"/>
      <c r="AL239" s="2083"/>
      <c r="AM239" s="2083"/>
      <c r="AN239" s="2083"/>
      <c r="AO239" s="2083"/>
      <c r="AP239" s="2083"/>
      <c r="AQ239" s="2083"/>
      <c r="AR239" s="2083"/>
      <c r="AS239" s="2083"/>
      <c r="AT239" s="2083"/>
      <c r="AU239" s="2083"/>
      <c r="AV239" s="2083"/>
      <c r="AW239" s="2269"/>
      <c r="AX239" s="2269"/>
      <c r="AY239" s="2269"/>
      <c r="AZ239" s="2269"/>
      <c r="BA239" s="2269"/>
      <c r="BB239" s="2269"/>
      <c r="BC239" s="2269"/>
      <c r="BD239" s="2269"/>
      <c r="BE239" s="2269"/>
      <c r="BL239" s="80"/>
    </row>
    <row r="240" spans="1:64" s="2545" customFormat="1" ht="13.2" hidden="1" customHeight="1">
      <c r="A240" s="1648"/>
      <c r="B240" s="1648"/>
      <c r="C240" s="1845"/>
      <c r="D240" s="2269"/>
      <c r="E240" s="2269"/>
      <c r="F240" s="2269"/>
      <c r="G240" s="2269"/>
      <c r="H240" s="2269"/>
      <c r="I240" s="2269"/>
      <c r="J240" s="2269"/>
      <c r="K240" s="2269"/>
      <c r="L240" s="2269"/>
      <c r="M240" s="2269"/>
      <c r="N240" s="2269"/>
      <c r="O240" s="2269"/>
      <c r="P240" s="2269"/>
      <c r="Q240" s="2269"/>
      <c r="R240" s="2269"/>
      <c r="S240" s="2269"/>
      <c r="T240" s="2269"/>
      <c r="U240" s="2083"/>
      <c r="V240" s="2083"/>
      <c r="W240" s="2083"/>
      <c r="X240" s="2083"/>
      <c r="Y240" s="2083"/>
      <c r="AK240" s="2083"/>
      <c r="AL240" s="2083"/>
      <c r="AM240" s="2083"/>
      <c r="AN240" s="2083"/>
      <c r="AO240" s="2083"/>
      <c r="AP240" s="2083"/>
      <c r="AQ240" s="2083"/>
      <c r="AR240" s="2083"/>
      <c r="AS240" s="2083"/>
      <c r="AT240" s="2083"/>
      <c r="AU240" s="2083"/>
      <c r="AV240" s="2083"/>
      <c r="AW240" s="2269"/>
      <c r="AX240" s="2269"/>
      <c r="AY240" s="2269"/>
      <c r="AZ240" s="2269"/>
      <c r="BA240" s="2269"/>
      <c r="BB240" s="2269"/>
      <c r="BC240" s="2269"/>
      <c r="BD240" s="2269"/>
      <c r="BE240" s="2269"/>
      <c r="BL240" s="80"/>
    </row>
    <row r="241" spans="1:64" s="2545" customFormat="1" ht="13.2" hidden="1" customHeight="1">
      <c r="A241" s="1648"/>
      <c r="B241" s="1648"/>
      <c r="C241" s="1845"/>
      <c r="D241" s="2269"/>
      <c r="E241" s="2269"/>
      <c r="F241" s="2269"/>
      <c r="G241" s="2269"/>
      <c r="H241" s="2269"/>
      <c r="I241" s="2269"/>
      <c r="J241" s="2269"/>
      <c r="K241" s="2269"/>
      <c r="L241" s="2269"/>
      <c r="M241" s="2269"/>
      <c r="N241" s="2269"/>
      <c r="O241" s="2269"/>
      <c r="P241" s="2269"/>
      <c r="Q241" s="2269"/>
      <c r="R241" s="2269"/>
      <c r="S241" s="2269"/>
      <c r="T241" s="2269"/>
      <c r="U241" s="2083"/>
      <c r="V241" s="2083"/>
      <c r="W241" s="2083"/>
      <c r="X241" s="2083"/>
      <c r="Y241" s="2083"/>
      <c r="AK241" s="2083"/>
      <c r="AL241" s="2083"/>
      <c r="AM241" s="2083"/>
      <c r="AN241" s="2083"/>
      <c r="AO241" s="2083"/>
      <c r="AP241" s="2083"/>
      <c r="AQ241" s="2083"/>
      <c r="AR241" s="2083"/>
      <c r="AS241" s="2083"/>
      <c r="AT241" s="2083"/>
      <c r="AU241" s="2083"/>
      <c r="AV241" s="2083"/>
      <c r="AW241" s="2269"/>
      <c r="AX241" s="2269"/>
      <c r="AY241" s="2269"/>
      <c r="AZ241" s="2269"/>
      <c r="BA241" s="2269"/>
      <c r="BB241" s="2269"/>
      <c r="BC241" s="2269"/>
      <c r="BD241" s="2269"/>
      <c r="BE241" s="2269"/>
      <c r="BL241" s="80"/>
    </row>
    <row r="242" spans="1:64" s="2545" customFormat="1" ht="13.2" hidden="1" customHeight="1">
      <c r="A242" s="1648"/>
      <c r="B242" s="1648"/>
      <c r="C242" s="1845"/>
      <c r="D242" s="2269"/>
      <c r="E242" s="2269"/>
      <c r="F242" s="2269"/>
      <c r="G242" s="2269"/>
      <c r="H242" s="2269"/>
      <c r="I242" s="2269"/>
      <c r="J242" s="2269"/>
      <c r="K242" s="2269"/>
      <c r="L242" s="2269"/>
      <c r="M242" s="2269"/>
      <c r="N242" s="2269"/>
      <c r="O242" s="2269"/>
      <c r="P242" s="2269"/>
      <c r="Q242" s="2269"/>
      <c r="R242" s="2269"/>
      <c r="S242" s="2269"/>
      <c r="T242" s="2269"/>
      <c r="U242" s="2083"/>
      <c r="V242" s="2083"/>
      <c r="W242" s="2083"/>
      <c r="X242" s="2083"/>
      <c r="Y242" s="2083"/>
      <c r="AK242" s="2083"/>
      <c r="AL242" s="2083"/>
      <c r="AM242" s="2083"/>
      <c r="AN242" s="2083"/>
      <c r="AO242" s="2083"/>
      <c r="AP242" s="2083"/>
      <c r="AQ242" s="2083"/>
      <c r="AR242" s="2083"/>
      <c r="AS242" s="2083"/>
      <c r="AT242" s="2083"/>
      <c r="AU242" s="2083"/>
      <c r="AV242" s="2083"/>
      <c r="AW242" s="2269"/>
      <c r="AX242" s="2269"/>
      <c r="AY242" s="2269"/>
      <c r="AZ242" s="2269"/>
      <c r="BA242" s="2269"/>
      <c r="BB242" s="2269"/>
      <c r="BC242" s="2269"/>
      <c r="BD242" s="2269"/>
      <c r="BE242" s="2269"/>
      <c r="BL242" s="80"/>
    </row>
    <row r="243" spans="1:64" s="2545" customFormat="1" ht="13.2" hidden="1" customHeight="1">
      <c r="A243" s="1648"/>
      <c r="B243" s="1648"/>
      <c r="C243" s="1845"/>
      <c r="D243" s="2269"/>
      <c r="E243" s="2269"/>
      <c r="F243" s="2269"/>
      <c r="G243" s="2269"/>
      <c r="H243" s="2269"/>
      <c r="I243" s="2269"/>
      <c r="J243" s="2269"/>
      <c r="K243" s="2269"/>
      <c r="L243" s="2269"/>
      <c r="M243" s="2269"/>
      <c r="N243" s="2269"/>
      <c r="O243" s="2269"/>
      <c r="P243" s="2269"/>
      <c r="Q243" s="2269"/>
      <c r="R243" s="2269"/>
      <c r="S243" s="2269"/>
      <c r="T243" s="2269"/>
      <c r="U243" s="2083"/>
      <c r="V243" s="2083"/>
      <c r="W243" s="2083"/>
      <c r="X243" s="2083"/>
      <c r="Y243" s="2083"/>
      <c r="AK243" s="2083"/>
      <c r="AL243" s="2083"/>
      <c r="AM243" s="2083"/>
      <c r="AN243" s="2083"/>
      <c r="AO243" s="2083"/>
      <c r="AP243" s="2083"/>
      <c r="AQ243" s="2083"/>
      <c r="AR243" s="2083"/>
      <c r="AS243" s="2083"/>
      <c r="AT243" s="2083"/>
      <c r="AU243" s="2083"/>
      <c r="AV243" s="2083"/>
      <c r="AW243" s="2269"/>
      <c r="AX243" s="2269"/>
      <c r="AY243" s="2269"/>
      <c r="AZ243" s="2269"/>
      <c r="BA243" s="2269"/>
      <c r="BB243" s="2269"/>
      <c r="BC243" s="2269"/>
      <c r="BD243" s="2269"/>
      <c r="BE243" s="2269"/>
      <c r="BL243" s="80"/>
    </row>
    <row r="244" spans="1:64" s="2545" customFormat="1" ht="13.2" hidden="1" customHeight="1">
      <c r="A244" s="1648"/>
      <c r="B244" s="1648"/>
      <c r="C244" s="1845"/>
      <c r="D244" s="2269"/>
      <c r="E244" s="2269"/>
      <c r="F244" s="2269"/>
      <c r="G244" s="2269"/>
      <c r="H244" s="2269"/>
      <c r="I244" s="2269"/>
      <c r="J244" s="2269"/>
      <c r="K244" s="2269"/>
      <c r="L244" s="2269"/>
      <c r="M244" s="2269"/>
      <c r="N244" s="2269"/>
      <c r="O244" s="2269"/>
      <c r="P244" s="2269"/>
      <c r="Q244" s="2269"/>
      <c r="R244" s="2269"/>
      <c r="S244" s="2269"/>
      <c r="T244" s="2269"/>
      <c r="U244" s="2083"/>
      <c r="V244" s="2083"/>
      <c r="W244" s="2083"/>
      <c r="X244" s="2083"/>
      <c r="Y244" s="2083"/>
      <c r="AK244" s="2083"/>
      <c r="AL244" s="2083"/>
      <c r="AM244" s="2083"/>
      <c r="AN244" s="2083"/>
      <c r="AO244" s="2083"/>
      <c r="AP244" s="2083"/>
      <c r="AQ244" s="2083"/>
      <c r="AR244" s="2083"/>
      <c r="AS244" s="2083"/>
      <c r="AT244" s="2083"/>
      <c r="AU244" s="2083"/>
      <c r="AV244" s="2083"/>
      <c r="AW244" s="2269"/>
      <c r="AX244" s="2269"/>
      <c r="AY244" s="2269"/>
      <c r="AZ244" s="2269"/>
      <c r="BA244" s="2269"/>
      <c r="BB244" s="2269"/>
      <c r="BC244" s="2269"/>
      <c r="BD244" s="2269"/>
      <c r="BE244" s="2269"/>
      <c r="BL244" s="80"/>
    </row>
    <row r="245" spans="1:64" s="2545" customFormat="1" ht="13.2" hidden="1" customHeight="1">
      <c r="A245" s="1648"/>
      <c r="B245" s="1648"/>
      <c r="C245" s="1845"/>
      <c r="D245" s="2269"/>
      <c r="E245" s="2269"/>
      <c r="F245" s="2269"/>
      <c r="G245" s="2269"/>
      <c r="H245" s="2269"/>
      <c r="I245" s="2269"/>
      <c r="J245" s="2269"/>
      <c r="K245" s="2269"/>
      <c r="L245" s="2269"/>
      <c r="M245" s="2269"/>
      <c r="N245" s="2269"/>
      <c r="O245" s="2269"/>
      <c r="P245" s="2269"/>
      <c r="Q245" s="2269"/>
      <c r="R245" s="2269"/>
      <c r="S245" s="2269"/>
      <c r="T245" s="2269"/>
      <c r="U245" s="2083"/>
      <c r="V245" s="2083"/>
      <c r="W245" s="2083"/>
      <c r="X245" s="2083"/>
      <c r="Y245" s="2083"/>
      <c r="AK245" s="2083"/>
      <c r="AL245" s="2083"/>
      <c r="AM245" s="2083"/>
      <c r="AN245" s="2083"/>
      <c r="AO245" s="2083"/>
      <c r="AP245" s="2083"/>
      <c r="AQ245" s="2083"/>
      <c r="AR245" s="2083"/>
      <c r="AS245" s="2083"/>
      <c r="AT245" s="2083"/>
      <c r="AU245" s="2083"/>
      <c r="AV245" s="2083"/>
      <c r="AW245" s="2269"/>
      <c r="AX245" s="2269"/>
      <c r="AY245" s="2269"/>
      <c r="AZ245" s="2269"/>
      <c r="BA245" s="2269"/>
      <c r="BB245" s="2269"/>
      <c r="BC245" s="2269"/>
      <c r="BD245" s="2269"/>
      <c r="BE245" s="2269"/>
      <c r="BL245" s="80"/>
    </row>
    <row r="246" spans="1:64" s="2545" customFormat="1" ht="13.2" hidden="1" customHeight="1">
      <c r="A246" s="1648"/>
      <c r="B246" s="1648"/>
      <c r="C246" s="1845"/>
      <c r="D246" s="2269"/>
      <c r="E246" s="2269"/>
      <c r="F246" s="2269"/>
      <c r="G246" s="2269"/>
      <c r="H246" s="2269"/>
      <c r="I246" s="2269"/>
      <c r="J246" s="2269"/>
      <c r="K246" s="2269"/>
      <c r="L246" s="2269"/>
      <c r="M246" s="2269"/>
      <c r="N246" s="2269"/>
      <c r="O246" s="2269"/>
      <c r="P246" s="2269"/>
      <c r="Q246" s="2269"/>
      <c r="R246" s="2269"/>
      <c r="S246" s="2269"/>
      <c r="T246" s="2269"/>
      <c r="U246" s="2083"/>
      <c r="V246" s="2083"/>
      <c r="W246" s="2083"/>
      <c r="X246" s="2083"/>
      <c r="Y246" s="2083"/>
      <c r="AK246" s="2083"/>
      <c r="AL246" s="2083"/>
      <c r="AM246" s="2083"/>
      <c r="AN246" s="2083"/>
      <c r="AO246" s="2083"/>
      <c r="AP246" s="2083"/>
      <c r="AQ246" s="2083"/>
      <c r="AR246" s="2083"/>
      <c r="AS246" s="2083"/>
      <c r="AT246" s="2083"/>
      <c r="AU246" s="2083"/>
      <c r="AV246" s="2083"/>
      <c r="AW246" s="2269"/>
      <c r="AX246" s="2269"/>
      <c r="AY246" s="2269"/>
      <c r="AZ246" s="2269"/>
      <c r="BA246" s="2269"/>
      <c r="BB246" s="2269"/>
      <c r="BC246" s="2269"/>
      <c r="BD246" s="2269"/>
      <c r="BE246" s="2269"/>
      <c r="BL246" s="80"/>
    </row>
    <row r="247" spans="1:64" s="2545" customFormat="1" ht="13.2" hidden="1" customHeight="1">
      <c r="A247" s="1648"/>
      <c r="B247" s="1648"/>
      <c r="C247" s="1845"/>
      <c r="D247" s="1921"/>
      <c r="E247" s="1921"/>
      <c r="F247" s="1921"/>
      <c r="G247" s="1921"/>
      <c r="H247" s="1921"/>
      <c r="I247" s="1921"/>
      <c r="J247" s="1921"/>
      <c r="K247" s="1921"/>
      <c r="L247" s="1921"/>
      <c r="M247" s="1921"/>
      <c r="N247" s="1921"/>
      <c r="O247" s="1921"/>
      <c r="P247" s="1921"/>
      <c r="Q247" s="1921"/>
      <c r="R247" s="1921"/>
      <c r="S247" s="1921"/>
      <c r="T247" s="1922"/>
      <c r="U247" s="1921"/>
      <c r="V247" s="1921"/>
      <c r="W247" s="1921"/>
      <c r="X247" s="1921"/>
      <c r="Y247" s="1921"/>
      <c r="AK247" s="1921"/>
      <c r="AL247" s="1921"/>
      <c r="AM247" s="1922"/>
      <c r="AN247" s="1922"/>
      <c r="AO247" s="1921"/>
      <c r="AP247" s="1921"/>
      <c r="AQ247" s="1921"/>
      <c r="AR247" s="1921"/>
      <c r="AS247" s="1921"/>
      <c r="AT247" s="1921"/>
      <c r="AU247" s="1921"/>
      <c r="AV247" s="1921"/>
      <c r="AW247" s="1921"/>
      <c r="AX247" s="1921"/>
      <c r="AY247" s="1921"/>
      <c r="AZ247" s="1921"/>
      <c r="BA247" s="1921"/>
      <c r="BB247" s="1921"/>
      <c r="BC247" s="1921"/>
      <c r="BD247" s="1921"/>
      <c r="BE247" s="1921"/>
      <c r="BL247" s="80"/>
    </row>
    <row r="248" spans="1:64" s="2545" customFormat="1" ht="13.2" hidden="1" customHeight="1">
      <c r="A248" s="1648"/>
      <c r="B248" s="1648"/>
      <c r="C248" s="1845"/>
      <c r="D248" s="1921"/>
      <c r="E248" s="1921"/>
      <c r="F248" s="1921"/>
      <c r="G248" s="1921"/>
      <c r="H248" s="1921"/>
      <c r="I248" s="1921"/>
      <c r="J248" s="1921"/>
      <c r="K248" s="1921"/>
      <c r="L248" s="1921"/>
      <c r="M248" s="1921"/>
      <c r="N248" s="1921"/>
      <c r="O248" s="1921"/>
      <c r="P248" s="1921"/>
      <c r="Q248" s="1921"/>
      <c r="R248" s="1921"/>
      <c r="S248" s="1921"/>
      <c r="T248" s="1922"/>
      <c r="U248" s="1921"/>
      <c r="V248" s="1921"/>
      <c r="W248" s="1921"/>
      <c r="X248" s="1921"/>
      <c r="Y248" s="1921"/>
      <c r="AK248" s="1921"/>
      <c r="AL248" s="1921"/>
      <c r="AM248" s="1922"/>
      <c r="AN248" s="1922"/>
      <c r="AO248" s="1921"/>
      <c r="AP248" s="1921"/>
      <c r="AQ248" s="1921"/>
      <c r="AR248" s="1921"/>
      <c r="AS248" s="1921"/>
      <c r="AT248" s="1921"/>
      <c r="AU248" s="1921"/>
      <c r="AV248" s="1921"/>
      <c r="AW248" s="1921"/>
      <c r="AX248" s="1921"/>
      <c r="AY248" s="1921"/>
      <c r="AZ248" s="1921"/>
      <c r="BA248" s="1921"/>
      <c r="BB248" s="1921"/>
      <c r="BC248" s="1921"/>
      <c r="BD248" s="1921"/>
      <c r="BE248" s="1921"/>
      <c r="BL248" s="80"/>
    </row>
    <row r="249" spans="1:64" s="2545" customFormat="1" ht="13.2" hidden="1" customHeight="1">
      <c r="A249" s="1648"/>
      <c r="B249" s="1648"/>
      <c r="C249" s="1845"/>
      <c r="D249" s="1604"/>
      <c r="E249" s="1604"/>
      <c r="F249" s="1604"/>
      <c r="G249" s="1604"/>
      <c r="H249" s="1604"/>
      <c r="I249" s="1604"/>
      <c r="J249" s="1604"/>
      <c r="K249" s="1604"/>
      <c r="L249" s="1604"/>
      <c r="M249" s="1604"/>
      <c r="N249" s="1604"/>
      <c r="O249" s="1604"/>
      <c r="P249" s="1604"/>
      <c r="Q249" s="1604"/>
      <c r="R249" s="1604"/>
      <c r="S249" s="1604"/>
      <c r="T249" s="1809"/>
      <c r="U249" s="1604"/>
      <c r="V249" s="1604"/>
      <c r="W249" s="1604"/>
      <c r="X249" s="1604"/>
      <c r="Y249" s="1604"/>
      <c r="AK249" s="1604"/>
      <c r="AL249" s="1604"/>
      <c r="AM249" s="1605"/>
      <c r="AN249" s="1605"/>
      <c r="AO249" s="1604"/>
      <c r="AP249" s="1604"/>
      <c r="AQ249" s="1604"/>
      <c r="AR249" s="1604"/>
      <c r="AS249" s="1604"/>
      <c r="AT249" s="1604"/>
      <c r="AU249" s="1604"/>
      <c r="AV249" s="1604"/>
      <c r="AW249" s="1604"/>
      <c r="AX249" s="1604"/>
      <c r="AY249" s="1604"/>
      <c r="AZ249" s="1604"/>
      <c r="BA249" s="1604"/>
      <c r="BB249" s="1604"/>
      <c r="BC249" s="1604"/>
      <c r="BD249" s="1604"/>
      <c r="BE249" s="1604"/>
      <c r="BL249" s="80"/>
    </row>
    <row r="250" spans="1:64" s="2545" customFormat="1" ht="13.2" hidden="1" customHeight="1">
      <c r="A250" s="1648"/>
      <c r="B250" s="1648"/>
      <c r="C250" s="1845"/>
      <c r="D250" s="1604"/>
      <c r="E250" s="1604"/>
      <c r="F250" s="1604"/>
      <c r="G250" s="1604"/>
      <c r="H250" s="1604"/>
      <c r="I250" s="1604"/>
      <c r="J250" s="1604"/>
      <c r="K250" s="1604"/>
      <c r="L250" s="1604"/>
      <c r="M250" s="1604"/>
      <c r="N250" s="1604"/>
      <c r="O250" s="1604"/>
      <c r="P250" s="1604"/>
      <c r="Q250" s="1604"/>
      <c r="R250" s="1604"/>
      <c r="S250" s="1604"/>
      <c r="T250" s="1809"/>
      <c r="U250" s="1604"/>
      <c r="V250" s="1604"/>
      <c r="W250" s="1604"/>
      <c r="X250" s="1604"/>
      <c r="Y250" s="1604"/>
      <c r="AK250" s="1604"/>
      <c r="AL250" s="1604"/>
      <c r="AM250" s="1605"/>
      <c r="AN250" s="1605"/>
      <c r="AO250" s="1604"/>
      <c r="AP250" s="1604"/>
      <c r="AQ250" s="1604"/>
      <c r="AR250" s="1604"/>
      <c r="AS250" s="1604"/>
      <c r="AT250" s="1604"/>
      <c r="AU250" s="1604"/>
      <c r="AV250" s="1604"/>
      <c r="AW250" s="1604"/>
      <c r="AX250" s="1604"/>
      <c r="AY250" s="1604"/>
      <c r="AZ250" s="1604"/>
      <c r="BA250" s="1604"/>
      <c r="BB250" s="1604"/>
      <c r="BC250" s="1604"/>
      <c r="BD250" s="1604"/>
      <c r="BE250" s="1604"/>
      <c r="BL250" s="80"/>
    </row>
    <row r="251" spans="1:64" s="2545" customFormat="1" ht="13.2" hidden="1" customHeight="1">
      <c r="A251" s="1648"/>
      <c r="B251" s="1648"/>
      <c r="C251" s="1845"/>
      <c r="D251" s="1604"/>
      <c r="E251" s="1604"/>
      <c r="F251" s="1604"/>
      <c r="G251" s="1604"/>
      <c r="H251" s="1604"/>
      <c r="I251" s="1604"/>
      <c r="J251" s="1604"/>
      <c r="K251" s="1604"/>
      <c r="L251" s="1604"/>
      <c r="M251" s="1604"/>
      <c r="N251" s="1604"/>
      <c r="O251" s="1604"/>
      <c r="P251" s="1604"/>
      <c r="Q251" s="1604"/>
      <c r="R251" s="1604"/>
      <c r="S251" s="1604"/>
      <c r="T251" s="1809"/>
      <c r="U251" s="1604"/>
      <c r="V251" s="1604"/>
      <c r="W251" s="1604"/>
      <c r="X251" s="1604"/>
      <c r="Y251" s="1604"/>
      <c r="AK251" s="1604"/>
      <c r="AL251" s="1604"/>
      <c r="AM251" s="1605"/>
      <c r="AN251" s="1605"/>
      <c r="AO251" s="1604"/>
      <c r="AP251" s="1604"/>
      <c r="AQ251" s="1604"/>
      <c r="AR251" s="1604"/>
      <c r="AS251" s="1604"/>
      <c r="AT251" s="1604"/>
      <c r="AU251" s="1604"/>
      <c r="AV251" s="1604"/>
      <c r="AW251" s="1604"/>
      <c r="AX251" s="1604"/>
      <c r="AY251" s="1604"/>
      <c r="AZ251" s="1604"/>
      <c r="BA251" s="1604"/>
      <c r="BB251" s="1604"/>
      <c r="BC251" s="1604"/>
      <c r="BD251" s="1604"/>
      <c r="BE251" s="1604"/>
      <c r="BL251" s="80"/>
    </row>
    <row r="252" spans="1:64" s="2545" customFormat="1" ht="13.2" hidden="1" customHeight="1">
      <c r="A252" s="1648"/>
      <c r="B252" s="1648"/>
      <c r="C252" s="1845"/>
      <c r="D252" s="1604"/>
      <c r="E252" s="1604"/>
      <c r="F252" s="1604"/>
      <c r="G252" s="1604"/>
      <c r="H252" s="1604"/>
      <c r="I252" s="1604"/>
      <c r="J252" s="1604"/>
      <c r="K252" s="1604"/>
      <c r="L252" s="1604"/>
      <c r="M252" s="1604"/>
      <c r="N252" s="1604"/>
      <c r="O252" s="1604"/>
      <c r="P252" s="1604"/>
      <c r="Q252" s="1604"/>
      <c r="R252" s="1604"/>
      <c r="S252" s="1604"/>
      <c r="T252" s="1809"/>
      <c r="U252" s="1604"/>
      <c r="V252" s="1604"/>
      <c r="W252" s="1604"/>
      <c r="X252" s="1604"/>
      <c r="Y252" s="1604"/>
      <c r="AK252" s="1604"/>
      <c r="AL252" s="1604"/>
      <c r="AM252" s="1605"/>
      <c r="AN252" s="1605"/>
      <c r="AO252" s="1604"/>
      <c r="AP252" s="1604"/>
      <c r="AQ252" s="1604"/>
      <c r="AR252" s="1604"/>
      <c r="AS252" s="1604"/>
      <c r="AT252" s="1604"/>
      <c r="AU252" s="1604"/>
      <c r="AV252" s="1604"/>
      <c r="AW252" s="1604"/>
      <c r="AX252" s="1604"/>
      <c r="AY252" s="1604"/>
      <c r="AZ252" s="1604"/>
      <c r="BA252" s="1604"/>
      <c r="BB252" s="1604"/>
      <c r="BC252" s="1604"/>
      <c r="BD252" s="1604"/>
      <c r="BE252" s="1604"/>
      <c r="BL252" s="80"/>
    </row>
    <row r="253" spans="1:64" s="2545" customFormat="1" ht="13.2" hidden="1" customHeight="1">
      <c r="A253" s="1648"/>
      <c r="B253" s="1648"/>
      <c r="C253" s="1845"/>
      <c r="D253" s="1604"/>
      <c r="E253" s="1604"/>
      <c r="F253" s="1604"/>
      <c r="G253" s="1604"/>
      <c r="H253" s="1604"/>
      <c r="I253" s="1604"/>
      <c r="J253" s="1604"/>
      <c r="K253" s="1604"/>
      <c r="L253" s="1604"/>
      <c r="M253" s="1604"/>
      <c r="N253" s="1604"/>
      <c r="O253" s="1604"/>
      <c r="P253" s="1604"/>
      <c r="Q253" s="1604"/>
      <c r="R253" s="1604"/>
      <c r="S253" s="1604"/>
      <c r="T253" s="1809"/>
      <c r="U253" s="1604"/>
      <c r="V253" s="1604"/>
      <c r="W253" s="1604"/>
      <c r="X253" s="1604"/>
      <c r="Y253" s="1604"/>
      <c r="AK253" s="1604"/>
      <c r="AL253" s="1604"/>
      <c r="AM253" s="1605"/>
      <c r="AN253" s="1605"/>
      <c r="AO253" s="1604"/>
      <c r="AP253" s="1604"/>
      <c r="AQ253" s="1604"/>
      <c r="AR253" s="1604"/>
      <c r="AS253" s="1604"/>
      <c r="AT253" s="1604"/>
      <c r="AU253" s="1604"/>
      <c r="AV253" s="1604"/>
      <c r="AW253" s="1604"/>
      <c r="AX253" s="1604"/>
      <c r="AY253" s="1604"/>
      <c r="AZ253" s="1604"/>
      <c r="BA253" s="1604"/>
      <c r="BB253" s="1604"/>
      <c r="BC253" s="1604"/>
      <c r="BD253" s="1604"/>
      <c r="BE253" s="1604"/>
      <c r="BL253" s="80"/>
    </row>
    <row r="254" spans="1:64" s="2545" customFormat="1" ht="13.2" hidden="1" customHeight="1">
      <c r="A254" s="1648"/>
      <c r="B254" s="1648"/>
      <c r="C254" s="1845"/>
      <c r="D254" s="1604"/>
      <c r="E254" s="1604"/>
      <c r="F254" s="1604"/>
      <c r="G254" s="1604"/>
      <c r="H254" s="1604"/>
      <c r="I254" s="1604"/>
      <c r="J254" s="1604"/>
      <c r="K254" s="1604"/>
      <c r="L254" s="1604"/>
      <c r="M254" s="1604"/>
      <c r="N254" s="1604"/>
      <c r="O254" s="1604"/>
      <c r="P254" s="1604"/>
      <c r="Q254" s="1604"/>
      <c r="R254" s="1604"/>
      <c r="S254" s="1604"/>
      <c r="T254" s="1809"/>
      <c r="U254" s="1604"/>
      <c r="V254" s="1604"/>
      <c r="W254" s="1604"/>
      <c r="X254" s="1604"/>
      <c r="Y254" s="1604"/>
      <c r="AK254" s="1604"/>
      <c r="AL254" s="1604"/>
      <c r="AM254" s="1605"/>
      <c r="AN254" s="1605"/>
      <c r="AO254" s="1604"/>
      <c r="AP254" s="1604"/>
      <c r="AQ254" s="1604"/>
      <c r="AR254" s="1604"/>
      <c r="AS254" s="1604"/>
      <c r="AT254" s="1604"/>
      <c r="AU254" s="1604"/>
      <c r="AV254" s="1604"/>
      <c r="AW254" s="1604"/>
      <c r="AX254" s="1604"/>
      <c r="AY254" s="1604"/>
      <c r="AZ254" s="1604"/>
      <c r="BA254" s="1604"/>
      <c r="BB254" s="1604"/>
      <c r="BC254" s="1604"/>
      <c r="BD254" s="1604"/>
      <c r="BE254" s="1604"/>
      <c r="BL254" s="80"/>
    </row>
    <row r="255" spans="1:64" s="2545" customFormat="1" ht="13.2" hidden="1" customHeight="1">
      <c r="A255" s="1648"/>
      <c r="B255" s="1648"/>
      <c r="C255" s="1845"/>
      <c r="D255" s="1604"/>
      <c r="E255" s="1604"/>
      <c r="F255" s="1604"/>
      <c r="G255" s="1604"/>
      <c r="H255" s="1604"/>
      <c r="I255" s="1604"/>
      <c r="J255" s="1604"/>
      <c r="K255" s="1604"/>
      <c r="L255" s="1604"/>
      <c r="M255" s="1604"/>
      <c r="N255" s="1604"/>
      <c r="O255" s="1604"/>
      <c r="P255" s="1604"/>
      <c r="Q255" s="1604"/>
      <c r="R255" s="1604"/>
      <c r="S255" s="1604"/>
      <c r="T255" s="1809"/>
      <c r="U255" s="1604"/>
      <c r="V255" s="1604"/>
      <c r="W255" s="1604"/>
      <c r="X255" s="1604"/>
      <c r="Y255" s="1604"/>
      <c r="AK255" s="1604"/>
      <c r="AL255" s="1604"/>
      <c r="AM255" s="1605"/>
      <c r="AN255" s="1605"/>
      <c r="AO255" s="1604"/>
      <c r="AP255" s="1604"/>
      <c r="AQ255" s="1604"/>
      <c r="AR255" s="1604"/>
      <c r="AS255" s="1604"/>
      <c r="AT255" s="1604"/>
      <c r="AU255" s="1604"/>
      <c r="AV255" s="1604"/>
      <c r="AW255" s="1604"/>
      <c r="AX255" s="1604"/>
      <c r="AY255" s="1604"/>
      <c r="AZ255" s="1604"/>
      <c r="BA255" s="1604"/>
      <c r="BB255" s="1604"/>
      <c r="BC255" s="1604"/>
      <c r="BD255" s="1604"/>
      <c r="BE255" s="1604"/>
      <c r="BL255" s="80"/>
    </row>
    <row r="256" spans="1:64" s="2545" customFormat="1">
      <c r="A256" s="1648"/>
      <c r="B256" s="1648"/>
      <c r="C256" s="1845"/>
      <c r="T256" s="2547"/>
      <c r="AM256" s="2547"/>
      <c r="AN256" s="2547"/>
      <c r="BL256" s="80"/>
    </row>
    <row r="257" spans="1:64" s="2896" customFormat="1">
      <c r="A257" s="1648"/>
      <c r="B257" s="1648"/>
      <c r="C257" s="1845"/>
      <c r="T257" s="2891"/>
      <c r="AM257" s="2891"/>
      <c r="AN257" s="2891"/>
      <c r="BL257" s="80"/>
    </row>
    <row r="258" spans="1:64" s="1725" customFormat="1">
      <c r="A258" s="1512" t="s">
        <v>1525</v>
      </c>
      <c r="B258" s="1513"/>
      <c r="C258" s="1847"/>
      <c r="D258" s="1979"/>
      <c r="E258" s="1980"/>
      <c r="F258" s="1980"/>
      <c r="G258" s="1980"/>
      <c r="H258" s="1980"/>
      <c r="I258" s="1980"/>
      <c r="J258" s="1980"/>
      <c r="K258" s="1980"/>
      <c r="L258" s="1980"/>
      <c r="M258" s="1980"/>
      <c r="N258" s="1980"/>
      <c r="O258" s="1980"/>
      <c r="P258" s="1980"/>
      <c r="Q258" s="1980"/>
      <c r="R258" s="1980"/>
      <c r="S258" s="1980"/>
      <c r="T258" s="1980"/>
      <c r="U258" s="1980"/>
      <c r="V258" s="1980"/>
      <c r="W258" s="1980"/>
      <c r="X258" s="1727"/>
      <c r="AF258" s="1727"/>
      <c r="AG258" s="1727"/>
      <c r="BL258" s="2462"/>
    </row>
    <row r="259" spans="1:64" s="1725" customFormat="1">
      <c r="A259" s="1913"/>
      <c r="B259" s="1847"/>
      <c r="C259" s="1847"/>
      <c r="D259" s="1979"/>
      <c r="E259" s="1912"/>
      <c r="F259" s="1912"/>
      <c r="G259" s="1912"/>
      <c r="H259" s="1912"/>
      <c r="I259" s="1912"/>
      <c r="J259" s="1912"/>
      <c r="K259" s="1912"/>
      <c r="L259" s="1912"/>
      <c r="M259" s="1912"/>
      <c r="N259" s="1912"/>
      <c r="O259" s="1912"/>
      <c r="P259" s="1912"/>
      <c r="Q259" s="1912"/>
      <c r="R259" s="1912"/>
      <c r="S259" s="1912"/>
      <c r="T259" s="1912"/>
      <c r="U259" s="1912"/>
      <c r="V259" s="1912"/>
      <c r="W259" s="1912"/>
      <c r="X259" s="1727"/>
      <c r="AF259" s="1727"/>
      <c r="AG259" s="1727"/>
      <c r="BL259" s="2462"/>
    </row>
    <row r="260" spans="1:64" s="1725" customFormat="1">
      <c r="A260" s="1913"/>
      <c r="B260" s="1847"/>
      <c r="C260" s="1847"/>
      <c r="D260" s="1979"/>
      <c r="E260" s="1912"/>
      <c r="F260" s="1912"/>
      <c r="G260" s="1912"/>
      <c r="H260" s="1912"/>
      <c r="I260" s="1912"/>
      <c r="J260" s="1912"/>
      <c r="K260" s="1912"/>
      <c r="L260" s="1912"/>
      <c r="M260" s="1912"/>
      <c r="N260" s="1912"/>
      <c r="O260" s="1912"/>
      <c r="P260" s="1912"/>
      <c r="Q260" s="1912"/>
      <c r="R260" s="1912"/>
      <c r="S260" s="1912"/>
      <c r="T260" s="1912"/>
      <c r="U260" s="1912"/>
      <c r="V260" s="1912"/>
      <c r="W260" s="1912"/>
      <c r="X260" s="1727"/>
      <c r="AF260" s="1727"/>
      <c r="AG260" s="1727"/>
      <c r="BL260" s="2462"/>
    </row>
    <row r="261" spans="1:64" s="1725" customFormat="1">
      <c r="A261" s="1913"/>
      <c r="B261" s="1847"/>
      <c r="C261" s="1847"/>
      <c r="D261" s="1979"/>
      <c r="E261" s="1912"/>
      <c r="F261" s="1912"/>
      <c r="G261" s="1912"/>
      <c r="H261" s="1912"/>
      <c r="I261" s="1912"/>
      <c r="J261" s="1912"/>
      <c r="K261" s="1912"/>
      <c r="L261" s="1912"/>
      <c r="M261" s="1912"/>
      <c r="N261" s="1912"/>
      <c r="O261" s="1912"/>
      <c r="P261" s="1912"/>
      <c r="Q261" s="1912"/>
      <c r="R261" s="1912"/>
      <c r="S261" s="1912"/>
      <c r="T261" s="1912"/>
      <c r="U261" s="1912"/>
      <c r="V261" s="1912"/>
      <c r="W261" s="1912"/>
      <c r="X261" s="1727"/>
      <c r="AF261" s="1727"/>
      <c r="AG261" s="1727"/>
      <c r="BL261" s="2462"/>
    </row>
    <row r="262" spans="1:64" s="2545" customFormat="1">
      <c r="A262" s="1648"/>
      <c r="B262" s="1648"/>
      <c r="C262" s="1845"/>
      <c r="D262" s="1604"/>
      <c r="G262" s="1604"/>
      <c r="H262" s="1604"/>
      <c r="I262" s="1604"/>
      <c r="J262" s="1604"/>
      <c r="K262" s="1604"/>
      <c r="L262" s="1604"/>
      <c r="M262" s="1604"/>
      <c r="N262" s="1604"/>
      <c r="O262" s="1604"/>
      <c r="P262" s="1604"/>
      <c r="Q262" s="1604"/>
      <c r="R262" s="1604"/>
      <c r="S262" s="1604"/>
      <c r="T262" s="1809"/>
      <c r="U262" s="1604"/>
      <c r="V262" s="1604"/>
      <c r="W262" s="1604"/>
      <c r="X262" s="1604"/>
      <c r="Y262" s="1604"/>
      <c r="AK262" s="1604"/>
      <c r="AL262" s="1604"/>
      <c r="AM262" s="1605"/>
      <c r="AN262" s="1605"/>
      <c r="AO262" s="1604"/>
      <c r="AP262" s="1604"/>
      <c r="AQ262" s="1604"/>
      <c r="AR262" s="1604"/>
      <c r="AS262" s="1604"/>
      <c r="AT262" s="1604"/>
      <c r="AU262" s="1604"/>
      <c r="AV262" s="1604"/>
      <c r="AW262" s="1604"/>
      <c r="AX262" s="1604"/>
      <c r="AY262" s="1604"/>
      <c r="AZ262" s="1604"/>
      <c r="BA262" s="1604"/>
      <c r="BB262" s="1604"/>
      <c r="BC262" s="1604"/>
      <c r="BD262" s="1604"/>
      <c r="BE262" s="1604"/>
      <c r="BL262" s="80"/>
    </row>
    <row r="263" spans="1:64" s="2545" customFormat="1">
      <c r="A263" s="1648"/>
      <c r="B263" s="1648"/>
      <c r="C263" s="1845"/>
      <c r="E263" s="1644"/>
      <c r="F263" s="1644"/>
      <c r="G263" s="1644"/>
      <c r="H263" s="1644"/>
      <c r="I263" s="1644"/>
      <c r="J263" s="1644"/>
      <c r="K263" s="1644"/>
      <c r="L263" s="1644"/>
      <c r="M263" s="1644"/>
      <c r="N263" s="1644"/>
      <c r="P263" s="2555"/>
      <c r="Q263" s="2555"/>
      <c r="R263" s="2555"/>
      <c r="S263" s="2555"/>
      <c r="T263" s="2555"/>
      <c r="U263" s="2555"/>
      <c r="V263" s="2555"/>
      <c r="W263" s="2555"/>
      <c r="X263" s="2547"/>
      <c r="AF263" s="2547"/>
      <c r="AG263" s="2547"/>
      <c r="BL263" s="80"/>
    </row>
    <row r="264" spans="1:64" s="2545" customFormat="1">
      <c r="A264" s="1189" t="s">
        <v>1902</v>
      </c>
      <c r="B264" s="94"/>
      <c r="C264" s="1845"/>
      <c r="D264" s="1235"/>
      <c r="E264" s="2586"/>
      <c r="F264" s="2586"/>
      <c r="G264" s="2586"/>
      <c r="H264" s="2586"/>
      <c r="I264" s="2586"/>
      <c r="J264" s="2586"/>
      <c r="K264" s="2586"/>
      <c r="L264" s="2586"/>
      <c r="M264" s="2586"/>
      <c r="N264" s="2586"/>
      <c r="O264" s="1235"/>
      <c r="P264" s="2587"/>
      <c r="Q264" s="2587"/>
      <c r="R264" s="2587"/>
      <c r="S264" s="2587"/>
      <c r="T264" s="2587"/>
      <c r="U264" s="2587"/>
      <c r="V264" s="2587"/>
      <c r="W264" s="2587"/>
      <c r="X264" s="2547"/>
      <c r="Y264" s="1235"/>
      <c r="Z264" s="1235"/>
      <c r="AA264" s="1235"/>
      <c r="AB264" s="1235"/>
      <c r="AD264" s="1235"/>
      <c r="AE264" s="1235"/>
      <c r="AF264" s="1982"/>
      <c r="AG264" s="1982"/>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L264" s="80"/>
    </row>
    <row r="265" spans="1:64" s="2545" customFormat="1">
      <c r="A265" s="1648"/>
      <c r="B265" s="1648"/>
      <c r="C265" s="1845"/>
      <c r="E265" s="1644"/>
      <c r="F265" s="1644"/>
      <c r="G265" s="1644"/>
      <c r="H265" s="1644"/>
      <c r="I265" s="1644"/>
      <c r="J265" s="1644"/>
      <c r="K265" s="1644"/>
      <c r="L265" s="1644"/>
      <c r="M265" s="1644"/>
      <c r="N265" s="1644"/>
      <c r="P265" s="2555"/>
      <c r="Q265" s="2555"/>
      <c r="R265" s="2555"/>
      <c r="S265" s="2555"/>
      <c r="T265" s="2555"/>
      <c r="U265" s="2555"/>
      <c r="V265" s="2555"/>
      <c r="W265" s="2555"/>
      <c r="X265" s="2547"/>
      <c r="AF265" s="2547"/>
      <c r="AG265" s="2547"/>
      <c r="BL265" s="80"/>
    </row>
    <row r="266" spans="1:64" s="2545" customFormat="1">
      <c r="A266" s="1648"/>
      <c r="B266" s="1648"/>
      <c r="C266" s="1845"/>
      <c r="D266" s="2545" t="s">
        <v>1906</v>
      </c>
      <c r="E266" s="1648"/>
      <c r="F266" s="2547"/>
      <c r="G266" s="1649"/>
      <c r="H266" s="1648"/>
      <c r="I266" s="2547"/>
      <c r="J266" s="1648"/>
      <c r="M266" s="1644"/>
      <c r="N266" s="1644"/>
      <c r="P266" s="2555"/>
      <c r="Q266" s="2555"/>
      <c r="R266" s="2555"/>
      <c r="S266" s="2555"/>
      <c r="T266" s="2555"/>
      <c r="U266" s="2555"/>
      <c r="V266" s="2555"/>
      <c r="W266" s="2555"/>
      <c r="X266" s="2547"/>
      <c r="AF266" s="2547"/>
      <c r="AG266" s="2547"/>
      <c r="BL266" s="80"/>
    </row>
    <row r="267" spans="1:64" s="2545" customFormat="1">
      <c r="A267" s="1648"/>
      <c r="B267" s="1648"/>
      <c r="C267" s="1845"/>
      <c r="D267" s="1748" t="s">
        <v>2016</v>
      </c>
      <c r="E267" s="2478"/>
      <c r="F267" s="2547"/>
      <c r="G267" s="1649"/>
      <c r="H267" s="1648"/>
      <c r="I267" s="2547"/>
      <c r="J267" s="1648"/>
      <c r="M267" s="1644"/>
      <c r="N267" s="1644"/>
      <c r="P267" s="2555"/>
      <c r="Q267" s="2555"/>
      <c r="R267" s="2555"/>
      <c r="S267" s="2555"/>
      <c r="T267" s="2555"/>
      <c r="V267" s="2555"/>
      <c r="W267" s="2555"/>
      <c r="X267" s="2547"/>
      <c r="Y267" s="3429" t="s">
        <v>2528</v>
      </c>
      <c r="Z267" s="3429"/>
      <c r="AA267" s="3429"/>
      <c r="AB267" s="3429"/>
      <c r="AF267" s="2547"/>
      <c r="AG267" s="2547"/>
      <c r="BL267" s="80"/>
    </row>
    <row r="268" spans="1:64" s="2545" customFormat="1">
      <c r="A268" s="1648"/>
      <c r="B268" s="1648"/>
      <c r="C268" s="1845"/>
      <c r="D268" s="2479" t="s">
        <v>1730</v>
      </c>
      <c r="E268" s="2478"/>
      <c r="F268" s="2547"/>
      <c r="G268" s="1649"/>
      <c r="H268" s="1648"/>
      <c r="I268" s="2547"/>
      <c r="J268" s="1648"/>
      <c r="M268" s="1644"/>
      <c r="N268" s="1644"/>
      <c r="P268" s="2555"/>
      <c r="Q268" s="2555"/>
      <c r="R268" s="2555"/>
      <c r="S268" s="2555"/>
      <c r="T268" s="2555"/>
      <c r="U268" s="2555"/>
      <c r="V268" s="2555"/>
      <c r="W268" s="2555"/>
      <c r="X268" s="2547"/>
      <c r="Y268" s="3429"/>
      <c r="Z268" s="3429"/>
      <c r="AA268" s="3429"/>
      <c r="AB268" s="3429"/>
      <c r="AF268" s="2547"/>
      <c r="AG268" s="2547"/>
      <c r="BL268" s="80"/>
    </row>
    <row r="269" spans="1:64" s="2545" customFormat="1">
      <c r="A269" s="1648"/>
      <c r="B269" s="1648"/>
      <c r="C269" s="1845"/>
      <c r="D269" s="2479" t="s">
        <v>1855</v>
      </c>
      <c r="E269" s="2478"/>
      <c r="F269" s="2547"/>
      <c r="G269" s="1649"/>
      <c r="H269" s="1648"/>
      <c r="I269" s="2547"/>
      <c r="J269" s="1648"/>
      <c r="M269" s="1644"/>
      <c r="N269" s="1644"/>
      <c r="P269" s="2555"/>
      <c r="Q269" s="2555"/>
      <c r="R269" s="2555"/>
      <c r="S269" s="2555"/>
      <c r="T269" s="2555"/>
      <c r="U269" s="2555"/>
      <c r="V269" s="2555"/>
      <c r="W269" s="2555"/>
      <c r="X269" s="2547"/>
      <c r="Y269" s="3429"/>
      <c r="Z269" s="3429"/>
      <c r="AA269" s="3429"/>
      <c r="AB269" s="3429"/>
      <c r="AF269" s="2547"/>
      <c r="AG269" s="2547"/>
      <c r="BL269" s="80"/>
    </row>
    <row r="270" spans="1:64" s="1808" customFormat="1">
      <c r="A270" s="1648"/>
      <c r="B270" s="1648"/>
      <c r="C270" s="1845"/>
      <c r="D270" s="1748" t="s">
        <v>1912</v>
      </c>
      <c r="E270" s="2478"/>
      <c r="F270" s="2547"/>
      <c r="G270" s="1649"/>
      <c r="H270" s="1648"/>
      <c r="I270" s="2547"/>
      <c r="J270" s="1648"/>
      <c r="K270" s="2545"/>
      <c r="L270" s="2545"/>
      <c r="M270" s="1810"/>
      <c r="N270" s="1810"/>
      <c r="O270" s="1810"/>
      <c r="P270" s="1810"/>
      <c r="Q270" s="1810"/>
      <c r="R270" s="1810"/>
      <c r="S270" s="1810"/>
      <c r="T270" s="1810"/>
      <c r="U270" s="1810"/>
      <c r="V270" s="1810"/>
      <c r="W270" s="1810"/>
      <c r="X270" s="1809"/>
      <c r="AF270" s="1809"/>
      <c r="AG270" s="1809"/>
      <c r="BL270" s="80"/>
    </row>
    <row r="271" spans="1:64" s="2545" customFormat="1">
      <c r="A271" s="1648"/>
      <c r="B271" s="1648"/>
      <c r="C271" s="1845"/>
      <c r="D271" s="1748"/>
      <c r="E271" s="2478"/>
      <c r="F271" s="2547"/>
      <c r="G271" s="1649"/>
      <c r="H271" s="1648"/>
      <c r="I271" s="2547"/>
      <c r="J271" s="1648"/>
      <c r="M271" s="2555"/>
      <c r="N271" s="2555"/>
      <c r="O271" s="2555"/>
      <c r="P271" s="2555"/>
      <c r="Q271" s="2555"/>
      <c r="R271" s="2555"/>
      <c r="S271" s="2555"/>
      <c r="T271" s="2555"/>
      <c r="U271" s="2555"/>
      <c r="V271" s="2555"/>
      <c r="W271" s="2555"/>
      <c r="X271" s="2547"/>
      <c r="AF271" s="2547"/>
      <c r="AG271" s="2547"/>
      <c r="BL271" s="80"/>
    </row>
    <row r="272" spans="1:64" s="1808" customFormat="1">
      <c r="A272" s="1648"/>
      <c r="B272" s="1648"/>
      <c r="C272" s="1845"/>
      <c r="D272" s="1810"/>
      <c r="E272" s="1810"/>
      <c r="F272" s="1810"/>
      <c r="G272" s="1810"/>
      <c r="H272" s="1810"/>
      <c r="I272" s="1810"/>
      <c r="J272" s="1810"/>
      <c r="K272" s="1810"/>
      <c r="L272" s="1810"/>
      <c r="M272" s="1810"/>
      <c r="N272" s="1810"/>
      <c r="O272" s="1810"/>
      <c r="P272" s="1810"/>
      <c r="Q272" s="1810"/>
      <c r="R272" s="1810"/>
      <c r="S272" s="1810"/>
      <c r="T272" s="1810"/>
      <c r="U272" s="1810"/>
      <c r="V272" s="1810"/>
      <c r="W272" s="1810"/>
      <c r="X272" s="1809"/>
      <c r="AF272" s="1809"/>
      <c r="AG272" s="1809"/>
      <c r="BL272" s="80"/>
    </row>
    <row r="273" spans="1:64" s="1808" customFormat="1">
      <c r="A273" s="1595" t="s">
        <v>1866</v>
      </c>
      <c r="B273" s="1123"/>
      <c r="C273" s="93"/>
      <c r="D273" s="2896" t="s">
        <v>2529</v>
      </c>
      <c r="E273" s="1757"/>
      <c r="F273" s="1757"/>
      <c r="G273" s="1757"/>
      <c r="H273" s="1757"/>
      <c r="I273" s="1757"/>
      <c r="J273" s="1757"/>
      <c r="K273" s="1757"/>
      <c r="L273" s="1757"/>
      <c r="M273" s="1757"/>
      <c r="N273" s="1757"/>
      <c r="Q273" s="1426"/>
      <c r="R273" s="1165"/>
      <c r="S273" s="1696"/>
      <c r="T273" s="1810"/>
      <c r="U273" s="1810"/>
      <c r="V273" s="1810"/>
      <c r="W273" s="1810"/>
      <c r="X273" s="1809"/>
      <c r="AF273" s="1809"/>
      <c r="AG273" s="1809"/>
      <c r="BL273" s="80"/>
    </row>
    <row r="274" spans="1:64" s="1808" customFormat="1">
      <c r="A274" s="1648"/>
      <c r="B274" s="1648"/>
      <c r="C274" s="1845"/>
      <c r="D274" s="1748" t="s">
        <v>2530</v>
      </c>
      <c r="E274" s="1804"/>
      <c r="F274" s="1804"/>
      <c r="G274" s="1804"/>
      <c r="H274" s="1804"/>
      <c r="I274" s="1804"/>
      <c r="J274" s="1804"/>
      <c r="K274" s="1804"/>
      <c r="L274" s="1804"/>
      <c r="M274" s="1804"/>
      <c r="N274" s="1804"/>
      <c r="Q274" s="1426"/>
      <c r="R274" s="1165"/>
      <c r="S274" s="1696"/>
      <c r="T274" s="1810"/>
      <c r="U274" s="1810"/>
      <c r="V274" s="1810"/>
      <c r="W274" s="1810"/>
      <c r="X274" s="1809"/>
      <c r="AF274" s="1809"/>
      <c r="AG274" s="1809"/>
      <c r="BL274" s="80"/>
    </row>
    <row r="275" spans="1:64" s="1808" customFormat="1">
      <c r="A275" s="1648"/>
      <c r="B275" s="1648"/>
      <c r="C275" s="1845"/>
      <c r="E275" s="1811"/>
      <c r="F275" s="1811"/>
      <c r="G275" s="1811"/>
      <c r="H275" s="1811"/>
      <c r="I275" s="1811"/>
      <c r="J275" s="1811"/>
      <c r="K275" s="1811"/>
      <c r="L275" s="1811"/>
      <c r="M275" s="1811"/>
      <c r="N275" s="1811"/>
      <c r="Q275" s="1426"/>
      <c r="R275" s="1165"/>
      <c r="S275" s="1696"/>
      <c r="T275" s="1810"/>
      <c r="U275" s="1810"/>
      <c r="V275" s="1810"/>
      <c r="W275" s="1810"/>
      <c r="X275" s="1809"/>
      <c r="AF275" s="1809"/>
      <c r="AG275" s="1809"/>
      <c r="BL275" s="80"/>
    </row>
    <row r="276" spans="1:64" s="1808" customFormat="1">
      <c r="A276" s="1648"/>
      <c r="B276" s="1648"/>
      <c r="C276" s="1845"/>
      <c r="D276" s="2896" t="s">
        <v>2533</v>
      </c>
      <c r="E276" s="1757"/>
      <c r="F276" s="1757"/>
      <c r="G276" s="1757"/>
      <c r="H276" s="1757"/>
      <c r="I276" s="1757"/>
      <c r="J276" s="1757"/>
      <c r="K276" s="1757"/>
      <c r="L276" s="1757"/>
      <c r="M276" s="1757"/>
      <c r="N276" s="1757"/>
      <c r="Q276" s="1426"/>
      <c r="R276" s="1165"/>
      <c r="S276" s="1696"/>
      <c r="T276" s="1810"/>
      <c r="U276" s="1810"/>
      <c r="V276" s="1810"/>
      <c r="W276" s="1810"/>
      <c r="X276" s="1809"/>
      <c r="AF276" s="1809"/>
      <c r="AG276" s="1809"/>
      <c r="BL276" s="80"/>
    </row>
    <row r="277" spans="1:64" s="1808" customFormat="1">
      <c r="A277" s="1648"/>
      <c r="B277" s="1648"/>
      <c r="C277" s="1845"/>
      <c r="D277" s="1748" t="s">
        <v>2531</v>
      </c>
      <c r="E277" s="1757"/>
      <c r="F277" s="1757"/>
      <c r="G277" s="1757"/>
      <c r="H277" s="1757"/>
      <c r="I277" s="1757"/>
      <c r="J277" s="1757"/>
      <c r="K277" s="1757"/>
      <c r="L277" s="1757"/>
      <c r="M277" s="1757"/>
      <c r="N277" s="1757"/>
      <c r="Q277" s="1426"/>
      <c r="R277" s="1165"/>
      <c r="S277" s="1696"/>
      <c r="T277" s="1810"/>
      <c r="U277" s="1810"/>
      <c r="V277" s="1810"/>
      <c r="W277" s="1810"/>
      <c r="X277" s="1809"/>
      <c r="AF277" s="1809"/>
      <c r="AG277" s="1809"/>
      <c r="BL277" s="80"/>
    </row>
    <row r="278" spans="1:64" s="2269" customFormat="1">
      <c r="C278" s="1845"/>
      <c r="E278" s="1811"/>
      <c r="F278" s="1811"/>
      <c r="G278" s="1811"/>
      <c r="H278" s="1811"/>
      <c r="I278" s="1811"/>
      <c r="J278" s="1811"/>
      <c r="K278" s="1811"/>
      <c r="L278" s="1811"/>
      <c r="M278" s="1811"/>
      <c r="N278" s="1811"/>
      <c r="Q278" s="1426"/>
      <c r="R278" s="1165"/>
      <c r="S278" s="1696"/>
      <c r="T278" s="2274"/>
      <c r="U278" s="2274"/>
      <c r="V278" s="2274"/>
      <c r="W278" s="2274"/>
      <c r="X278" s="2273"/>
      <c r="AF278" s="2273"/>
      <c r="AG278" s="2273"/>
      <c r="BL278" s="80"/>
    </row>
    <row r="279" spans="1:64" s="1808" customFormat="1">
      <c r="A279" s="1648"/>
      <c r="B279" s="1648"/>
      <c r="C279" s="1845"/>
      <c r="D279" s="1809"/>
      <c r="E279" s="1648"/>
      <c r="F279" s="1809"/>
      <c r="G279" s="1649"/>
      <c r="H279" s="1648"/>
      <c r="I279" s="1809"/>
      <c r="J279" s="1648"/>
      <c r="Q279" s="1426"/>
      <c r="R279" s="1165"/>
      <c r="S279" s="1696"/>
      <c r="T279" s="1696"/>
      <c r="U279" s="1696"/>
      <c r="V279" s="1696"/>
      <c r="W279" s="1165"/>
      <c r="X279" s="1809"/>
      <c r="Y279" s="3430" t="s">
        <v>2532</v>
      </c>
      <c r="Z279" s="3430"/>
      <c r="AA279" s="3430"/>
      <c r="AB279" s="3430"/>
      <c r="AF279" s="1809"/>
      <c r="AG279" s="1809"/>
      <c r="BL279" s="80"/>
    </row>
    <row r="280" spans="1:64" s="1808" customFormat="1">
      <c r="A280" s="1252" t="s">
        <v>98</v>
      </c>
      <c r="B280" s="102"/>
      <c r="C280" s="93"/>
      <c r="D280" s="1418" t="s">
        <v>2093</v>
      </c>
      <c r="E280" s="1801"/>
      <c r="F280" s="1801"/>
      <c r="G280" s="1801"/>
      <c r="H280" s="1801"/>
      <c r="I280" s="1801"/>
      <c r="J280" s="1801"/>
      <c r="K280" s="79" t="s">
        <v>2536</v>
      </c>
      <c r="L280" s="1801"/>
      <c r="M280" s="1801"/>
      <c r="N280" s="1801"/>
      <c r="O280" s="1801"/>
      <c r="P280" s="1801"/>
      <c r="Q280" s="1801"/>
      <c r="R280" s="1801"/>
      <c r="S280" s="1801"/>
      <c r="T280" s="1799"/>
      <c r="U280" s="1801"/>
      <c r="V280" s="1799"/>
      <c r="W280" s="1799"/>
      <c r="X280" s="1805"/>
      <c r="Y280" s="3430"/>
      <c r="Z280" s="3430"/>
      <c r="AA280" s="3430"/>
      <c r="AB280" s="3430"/>
      <c r="AC280" s="1801"/>
      <c r="AD280" s="1801"/>
      <c r="AE280" s="1801"/>
      <c r="AF280" s="1802"/>
      <c r="AG280" s="1809"/>
      <c r="BL280" s="80"/>
    </row>
    <row r="281" spans="1:64" s="1808" customFormat="1">
      <c r="A281" s="1648"/>
      <c r="B281" s="1648"/>
      <c r="C281" s="1845"/>
      <c r="D281" s="1809"/>
      <c r="E281" s="1801"/>
      <c r="F281" s="1801"/>
      <c r="G281" s="1801"/>
      <c r="H281" s="1801"/>
      <c r="I281" s="1801"/>
      <c r="K281" s="1801"/>
      <c r="N281" s="1801"/>
      <c r="O281" s="1801"/>
      <c r="P281" s="1801"/>
      <c r="Q281" s="1801"/>
      <c r="R281" s="1801"/>
      <c r="S281" s="1801"/>
      <c r="T281" s="1801"/>
      <c r="U281" s="1801"/>
      <c r="V281" s="1801"/>
      <c r="W281" s="1801"/>
      <c r="X281" s="1805"/>
      <c r="Y281" s="1801"/>
      <c r="Z281" s="1801"/>
      <c r="AA281" s="1801"/>
      <c r="AB281" s="1801"/>
      <c r="AC281" s="1801"/>
      <c r="AD281" s="1801"/>
      <c r="AE281" s="1801"/>
      <c r="AF281" s="1802"/>
      <c r="AG281" s="1809"/>
      <c r="BL281" s="80"/>
    </row>
    <row r="282" spans="1:64" s="1808" customFormat="1">
      <c r="A282" s="1648"/>
      <c r="B282" s="1648"/>
      <c r="C282" s="1845"/>
      <c r="D282" s="1809"/>
      <c r="E282" s="1801"/>
      <c r="F282" s="1801"/>
      <c r="G282" s="1801"/>
      <c r="H282" s="1801"/>
      <c r="I282" s="1801"/>
      <c r="J282" s="1801"/>
      <c r="K282" s="1801"/>
      <c r="L282" s="1801"/>
      <c r="M282" s="1801"/>
      <c r="N282" s="1815" t="s">
        <v>1541</v>
      </c>
      <c r="P282" s="1801"/>
      <c r="Q282" s="1814"/>
      <c r="R282" s="1813" t="s">
        <v>1601</v>
      </c>
      <c r="S282" s="1814"/>
      <c r="T282" s="1814"/>
      <c r="U282" s="1628"/>
      <c r="V282" s="1801"/>
      <c r="X282" s="1809"/>
      <c r="Y282" s="3593" t="s">
        <v>1615</v>
      </c>
      <c r="Z282" s="3593"/>
      <c r="AA282" s="3593"/>
      <c r="AB282" s="3593"/>
      <c r="AC282" s="1854"/>
      <c r="AD282" s="1801"/>
      <c r="AE282" s="1801"/>
      <c r="AF282" s="1802"/>
      <c r="AG282" s="1809"/>
      <c r="BL282" s="80"/>
    </row>
    <row r="283" spans="1:64" s="1808" customFormat="1">
      <c r="A283" s="1648"/>
      <c r="B283" s="1648"/>
      <c r="C283" s="1845"/>
      <c r="D283" s="1809"/>
      <c r="E283" s="1801"/>
      <c r="F283" s="1801"/>
      <c r="G283" s="1801"/>
      <c r="H283" s="1801"/>
      <c r="I283" s="1801"/>
      <c r="J283" s="1801"/>
      <c r="K283" s="1801"/>
      <c r="L283" s="1801"/>
      <c r="M283" s="1801"/>
      <c r="N283" s="1801"/>
      <c r="P283" s="1814"/>
      <c r="Q283" s="1814"/>
      <c r="R283" s="1814"/>
      <c r="S283" s="1801"/>
      <c r="T283" s="1814" t="s">
        <v>1542</v>
      </c>
      <c r="U283" s="1815" t="s">
        <v>1543</v>
      </c>
      <c r="V283" s="1814" t="s">
        <v>1614</v>
      </c>
      <c r="X283" s="1809"/>
      <c r="Y283" s="3593"/>
      <c r="Z283" s="3593"/>
      <c r="AA283" s="3593"/>
      <c r="AB283" s="3593"/>
      <c r="AC283" s="1854"/>
      <c r="AD283" s="1801"/>
      <c r="AE283" s="1801"/>
      <c r="AF283" s="1802"/>
      <c r="AG283" s="1809"/>
      <c r="BL283" s="80"/>
    </row>
    <row r="284" spans="1:64" s="1808" customFormat="1">
      <c r="A284" s="1648"/>
      <c r="B284" s="1648"/>
      <c r="C284" s="1845"/>
      <c r="D284" s="1809"/>
      <c r="E284" s="1801"/>
      <c r="F284" s="1801"/>
      <c r="G284" s="1801"/>
      <c r="H284" s="1801"/>
      <c r="I284" s="1801"/>
      <c r="J284" s="1801"/>
      <c r="K284" s="1801"/>
      <c r="L284" s="1801"/>
      <c r="M284" s="1801"/>
      <c r="N284" s="1817" t="s">
        <v>1539</v>
      </c>
      <c r="O284" s="1807"/>
      <c r="P284" s="1800"/>
      <c r="Q284" s="1814"/>
      <c r="R284" s="1816" t="s">
        <v>1413</v>
      </c>
      <c r="S284" s="1816"/>
      <c r="T284" s="2078" t="s">
        <v>1544</v>
      </c>
      <c r="U284" s="1819" t="s">
        <v>1420</v>
      </c>
      <c r="V284" s="2076" t="s">
        <v>1550</v>
      </c>
      <c r="X284" s="1809"/>
      <c r="Y284" s="3593"/>
      <c r="Z284" s="3593"/>
      <c r="AA284" s="3593"/>
      <c r="AB284" s="3593"/>
      <c r="AC284" s="1854"/>
      <c r="AD284" s="1801"/>
      <c r="AE284" s="1801"/>
      <c r="AF284" s="1802"/>
      <c r="AG284" s="1809"/>
      <c r="BL284" s="80"/>
    </row>
    <row r="285" spans="1:64" s="1808" customFormat="1">
      <c r="A285" s="1648"/>
      <c r="B285" s="1648"/>
      <c r="C285" s="1845"/>
      <c r="D285" s="1809"/>
      <c r="E285" s="1801"/>
      <c r="F285" s="1801"/>
      <c r="G285" s="1801"/>
      <c r="H285" s="1801"/>
      <c r="I285" s="1801"/>
      <c r="J285" s="1801"/>
      <c r="K285" s="1801"/>
      <c r="L285" s="1801"/>
      <c r="M285" s="1801"/>
      <c r="N285" s="1817" t="s">
        <v>1540</v>
      </c>
      <c r="O285" s="1807"/>
      <c r="P285" s="1800"/>
      <c r="Q285" s="1814"/>
      <c r="R285" s="1816" t="s">
        <v>1414</v>
      </c>
      <c r="S285" s="1816"/>
      <c r="T285" s="2079" t="s">
        <v>1545</v>
      </c>
      <c r="U285" s="1819" t="s">
        <v>1415</v>
      </c>
      <c r="V285" s="2076" t="s">
        <v>1551</v>
      </c>
      <c r="X285" s="1809"/>
      <c r="Y285" s="1825" t="s">
        <v>1597</v>
      </c>
      <c r="Z285" s="1696"/>
      <c r="AA285" s="1696"/>
      <c r="AB285" s="1776"/>
      <c r="AC285" s="1801"/>
      <c r="AD285" s="1801"/>
      <c r="AE285" s="1801"/>
      <c r="AF285" s="1802"/>
      <c r="AG285" s="1809"/>
      <c r="BL285" s="80"/>
    </row>
    <row r="286" spans="1:64" s="1808" customFormat="1" ht="13.2" customHeight="1">
      <c r="A286" s="1648"/>
      <c r="B286" s="1648"/>
      <c r="C286" s="1845"/>
      <c r="D286" s="1809"/>
      <c r="E286" s="1801"/>
      <c r="F286" s="1801"/>
      <c r="G286" s="1801"/>
      <c r="H286" s="1801"/>
      <c r="I286" s="1801"/>
      <c r="J286" s="1801"/>
      <c r="K286" s="1801"/>
      <c r="L286" s="1801"/>
      <c r="M286" s="1801"/>
      <c r="N286" s="1833" t="s">
        <v>1934</v>
      </c>
      <c r="O286" s="1807"/>
      <c r="P286" s="1800"/>
      <c r="Q286" s="1815"/>
      <c r="R286" s="1816" t="s">
        <v>1416</v>
      </c>
      <c r="S286" s="1816"/>
      <c r="T286" s="2079" t="s">
        <v>1546</v>
      </c>
      <c r="U286" s="1820" t="s">
        <v>1421</v>
      </c>
      <c r="V286" s="2076" t="s">
        <v>1552</v>
      </c>
      <c r="X286" s="1809"/>
      <c r="Y286" s="1824" t="s">
        <v>1557</v>
      </c>
      <c r="Z286" s="1696"/>
      <c r="AA286" s="1696"/>
      <c r="AB286" s="1776"/>
      <c r="AC286" s="1822"/>
      <c r="AD286" s="1822"/>
      <c r="AE286" s="1822"/>
      <c r="AF286" s="1822"/>
      <c r="AG286" s="1809"/>
      <c r="BL286" s="80"/>
    </row>
    <row r="287" spans="1:64" s="1808" customFormat="1">
      <c r="A287" s="1648"/>
      <c r="B287" s="1648"/>
      <c r="C287" s="1845"/>
      <c r="D287" s="1809"/>
      <c r="E287" s="1801"/>
      <c r="F287" s="1801"/>
      <c r="G287" s="1801"/>
      <c r="H287" s="1801"/>
      <c r="I287" s="1801"/>
      <c r="J287" s="1801"/>
      <c r="K287" s="1801"/>
      <c r="L287" s="1801"/>
      <c r="M287" s="1801"/>
      <c r="N287" s="1833" t="s">
        <v>1596</v>
      </c>
      <c r="O287" s="1807"/>
      <c r="P287" s="1800"/>
      <c r="Q287" s="1815"/>
      <c r="R287" s="1816" t="s">
        <v>1417</v>
      </c>
      <c r="S287" s="1816"/>
      <c r="T287" s="2079" t="s">
        <v>1547</v>
      </c>
      <c r="U287" s="1820" t="s">
        <v>1422</v>
      </c>
      <c r="V287" s="2076" t="s">
        <v>1553</v>
      </c>
      <c r="X287" s="1809"/>
      <c r="Y287" s="1825" t="s">
        <v>1558</v>
      </c>
      <c r="Z287" s="1696"/>
      <c r="AA287" s="1696"/>
      <c r="AC287" s="3592" t="s">
        <v>1561</v>
      </c>
      <c r="AD287" s="3442"/>
      <c r="AE287" s="3442"/>
      <c r="AF287" s="3442"/>
      <c r="AG287" s="3442"/>
      <c r="AH287" s="3442"/>
      <c r="AI287" s="3442"/>
      <c r="BL287" s="80"/>
    </row>
    <row r="288" spans="1:64" s="1808" customFormat="1">
      <c r="A288" s="1648"/>
      <c r="B288" s="1648"/>
      <c r="C288" s="1845"/>
      <c r="D288" s="1809"/>
      <c r="E288" s="1801"/>
      <c r="F288" s="1801"/>
      <c r="G288" s="1801"/>
      <c r="H288" s="1801"/>
      <c r="I288" s="1801"/>
      <c r="J288" s="1801"/>
      <c r="K288" s="1801"/>
      <c r="L288" s="1801"/>
      <c r="M288" s="1801"/>
      <c r="N288" s="1833" t="s">
        <v>1935</v>
      </c>
      <c r="O288" s="1807"/>
      <c r="P288" s="1800"/>
      <c r="Q288" s="1815"/>
      <c r="R288" s="1818" t="s">
        <v>1418</v>
      </c>
      <c r="S288" s="1818"/>
      <c r="T288" s="2080" t="s">
        <v>1548</v>
      </c>
      <c r="U288" s="1821" t="s">
        <v>1423</v>
      </c>
      <c r="V288" s="2077" t="s">
        <v>1554</v>
      </c>
      <c r="X288" s="1809"/>
      <c r="Y288" s="1825" t="s">
        <v>1559</v>
      </c>
      <c r="Z288" s="1696"/>
      <c r="AA288" s="1696"/>
      <c r="AB288" s="1767"/>
      <c r="AC288" s="3592"/>
      <c r="AD288" s="3442"/>
      <c r="AE288" s="3442"/>
      <c r="AF288" s="3442"/>
      <c r="AG288" s="3442"/>
      <c r="AH288" s="3442"/>
      <c r="AI288" s="3442"/>
      <c r="BL288" s="80"/>
    </row>
    <row r="289" spans="1:64" s="1808" customFormat="1">
      <c r="A289" s="1648"/>
      <c r="B289" s="1648"/>
      <c r="C289" s="1845"/>
      <c r="D289" s="1809"/>
      <c r="E289" s="1801"/>
      <c r="F289" s="1801"/>
      <c r="G289" s="1801"/>
      <c r="H289" s="1801"/>
      <c r="I289" s="1801"/>
      <c r="J289" s="1801"/>
      <c r="K289" s="1801"/>
      <c r="L289" s="1801"/>
      <c r="M289" s="1801"/>
      <c r="N289" s="1801"/>
      <c r="O289" s="1801"/>
      <c r="P289" s="1801"/>
      <c r="Q289" s="1801"/>
      <c r="R289" s="1818" t="s">
        <v>1419</v>
      </c>
      <c r="S289" s="1818"/>
      <c r="T289" s="2081" t="s">
        <v>1549</v>
      </c>
      <c r="U289" s="1816" t="s">
        <v>1424</v>
      </c>
      <c r="V289" s="2077" t="s">
        <v>1544</v>
      </c>
      <c r="X289" s="1848"/>
      <c r="Y289" s="1825" t="s">
        <v>1560</v>
      </c>
      <c r="Z289" s="1696"/>
      <c r="AA289" s="1696"/>
      <c r="AB289" s="1776"/>
      <c r="AC289" s="1801"/>
      <c r="AD289" s="1801"/>
      <c r="AE289" s="1801"/>
      <c r="AF289" s="1802"/>
      <c r="AG289" s="1809"/>
      <c r="BL289" s="80"/>
    </row>
    <row r="290" spans="1:64" s="1808" customFormat="1">
      <c r="A290" s="1648"/>
      <c r="B290" s="1648"/>
      <c r="C290" s="1845"/>
      <c r="D290" s="1809"/>
      <c r="E290" s="1801"/>
      <c r="F290" s="1801"/>
      <c r="G290" s="1801"/>
      <c r="H290" s="1801"/>
      <c r="I290" s="1801"/>
      <c r="J290" s="1801"/>
      <c r="K290" s="1801"/>
      <c r="L290" s="1801"/>
      <c r="M290" s="1705"/>
      <c r="N290" s="1801"/>
      <c r="O290" s="1801"/>
      <c r="P290" s="1801"/>
      <c r="Q290" s="1801"/>
      <c r="R290" s="1801"/>
      <c r="S290" s="1801"/>
      <c r="T290" s="1801"/>
      <c r="U290" s="1801"/>
      <c r="V290" s="1799"/>
      <c r="W290" s="1799"/>
      <c r="X290" s="1805"/>
      <c r="Y290" s="1801"/>
      <c r="Z290" s="1801"/>
      <c r="AA290" s="1801"/>
      <c r="AB290" s="1801"/>
      <c r="AC290" s="1801"/>
      <c r="AD290" s="1801"/>
      <c r="AE290" s="1801"/>
      <c r="AF290" s="1802"/>
      <c r="AG290" s="1809"/>
      <c r="BL290" s="80"/>
    </row>
    <row r="291" spans="1:64" s="1808" customFormat="1" ht="13.2" customHeight="1">
      <c r="A291" s="1648"/>
      <c r="B291" s="1648"/>
      <c r="C291" s="1845"/>
      <c r="D291" s="3423" t="s">
        <v>1859</v>
      </c>
      <c r="E291" s="3423"/>
      <c r="F291" s="3423"/>
      <c r="G291" s="3423"/>
      <c r="H291" s="3423"/>
      <c r="I291" s="3423"/>
      <c r="J291" s="3423"/>
      <c r="K291" s="3423"/>
      <c r="L291" s="3423"/>
      <c r="M291" s="3423"/>
      <c r="N291" s="3423"/>
      <c r="O291" s="3423"/>
      <c r="P291" s="3423"/>
      <c r="Q291" s="1989"/>
      <c r="R291" s="2469" t="s">
        <v>1907</v>
      </c>
      <c r="S291" s="1989"/>
      <c r="T291" s="1989"/>
      <c r="U291" s="1989"/>
      <c r="V291" s="1989"/>
      <c r="W291" s="1989"/>
      <c r="X291" s="1805"/>
      <c r="Y291" s="2573" t="s">
        <v>1908</v>
      </c>
      <c r="AF291" s="1809"/>
      <c r="AG291" s="1809"/>
      <c r="BL291" s="80"/>
    </row>
    <row r="292" spans="1:64" s="1808" customFormat="1" ht="13.2" customHeight="1">
      <c r="A292" s="1648"/>
      <c r="B292" s="1648"/>
      <c r="C292" s="1845"/>
      <c r="D292" s="3423"/>
      <c r="E292" s="3423"/>
      <c r="F292" s="3423"/>
      <c r="G292" s="3423"/>
      <c r="H292" s="3423"/>
      <c r="I292" s="3423"/>
      <c r="J292" s="3423"/>
      <c r="K292" s="3423"/>
      <c r="L292" s="3423"/>
      <c r="M292" s="3423"/>
      <c r="N292" s="3423"/>
      <c r="O292" s="3423"/>
      <c r="P292" s="3423"/>
      <c r="Q292" s="1989"/>
      <c r="R292" s="3460" t="s">
        <v>1909</v>
      </c>
      <c r="S292" s="3460"/>
      <c r="T292" s="3460"/>
      <c r="U292" s="3460"/>
      <c r="V292" s="3460"/>
      <c r="W292" s="3460"/>
      <c r="X292" s="1809"/>
      <c r="Y292" s="1747" t="s">
        <v>1538</v>
      </c>
      <c r="AA292" s="1153"/>
      <c r="AF292" s="1809"/>
      <c r="AG292" s="1809"/>
      <c r="BL292" s="80"/>
    </row>
    <row r="293" spans="1:64" s="2545" customFormat="1" ht="13.2" customHeight="1">
      <c r="A293" s="1648"/>
      <c r="B293" s="1648"/>
      <c r="C293" s="1845"/>
      <c r="D293" s="3459" t="s">
        <v>2030</v>
      </c>
      <c r="E293" s="3459"/>
      <c r="F293" s="3459"/>
      <c r="G293" s="3459"/>
      <c r="H293" s="3459"/>
      <c r="I293" s="3459"/>
      <c r="J293" s="3459"/>
      <c r="K293" s="3459"/>
      <c r="L293" s="3459"/>
      <c r="M293" s="3459"/>
      <c r="N293" s="3459"/>
      <c r="O293" s="3459"/>
      <c r="P293" s="3459"/>
      <c r="Q293" s="1989"/>
      <c r="R293" s="3460"/>
      <c r="S293" s="3460"/>
      <c r="T293" s="3460"/>
      <c r="U293" s="3460"/>
      <c r="V293" s="3460"/>
      <c r="W293" s="3460"/>
      <c r="X293" s="2547"/>
      <c r="AF293" s="2547"/>
      <c r="AG293" s="2547"/>
      <c r="BL293" s="80"/>
    </row>
    <row r="294" spans="1:64" s="1808" customFormat="1">
      <c r="A294" s="1648"/>
      <c r="B294" s="1648"/>
      <c r="C294" s="1845"/>
      <c r="D294" s="3459"/>
      <c r="E294" s="3459"/>
      <c r="F294" s="3459"/>
      <c r="G294" s="3459"/>
      <c r="H294" s="3459"/>
      <c r="I294" s="3459"/>
      <c r="J294" s="3459"/>
      <c r="K294" s="3459"/>
      <c r="L294" s="3459"/>
      <c r="M294" s="3459"/>
      <c r="N294" s="3459"/>
      <c r="O294" s="3459"/>
      <c r="P294" s="3459"/>
      <c r="Q294" s="1426"/>
      <c r="R294" s="3460"/>
      <c r="S294" s="3460"/>
      <c r="T294" s="3460"/>
      <c r="U294" s="3460"/>
      <c r="V294" s="3460"/>
      <c r="W294" s="3460"/>
      <c r="X294" s="1809"/>
      <c r="AF294" s="1809"/>
      <c r="AG294" s="1809"/>
      <c r="BL294" s="80"/>
    </row>
    <row r="295" spans="1:64" s="1808" customFormat="1" ht="13.2" customHeight="1">
      <c r="A295" s="1648"/>
      <c r="B295" s="1648"/>
      <c r="C295" s="1845"/>
      <c r="D295" s="1812"/>
      <c r="E295" s="1854"/>
      <c r="F295" s="1854"/>
      <c r="G295" s="1854"/>
      <c r="H295" s="1854"/>
      <c r="I295" s="1854"/>
      <c r="J295" s="1854"/>
      <c r="K295" s="1854"/>
      <c r="L295" s="1812"/>
      <c r="M295" s="1854"/>
      <c r="N295" s="1854"/>
      <c r="O295" s="1854"/>
      <c r="P295" s="1854"/>
      <c r="Q295" s="1854"/>
      <c r="R295" s="1854"/>
      <c r="S295" s="1854"/>
      <c r="T295" s="1854"/>
      <c r="U295" s="1854"/>
      <c r="V295" s="1854"/>
      <c r="W295" s="1857"/>
      <c r="X295" s="1854"/>
      <c r="Y295" s="1854"/>
      <c r="Z295" s="1854"/>
      <c r="AA295" s="1858"/>
      <c r="AF295" s="1809"/>
      <c r="AG295" s="1809"/>
      <c r="BL295" s="80"/>
    </row>
    <row r="296" spans="1:64" s="1808" customFormat="1">
      <c r="A296" s="1648"/>
      <c r="B296" s="1648"/>
      <c r="C296" s="1845"/>
      <c r="D296" s="1091" t="s">
        <v>1677</v>
      </c>
      <c r="E296" s="1854"/>
      <c r="F296" s="1854"/>
      <c r="G296" s="1854"/>
      <c r="H296" s="1854"/>
      <c r="I296" s="1854"/>
      <c r="J296" s="1854"/>
      <c r="K296" s="1854"/>
      <c r="L296" s="1812"/>
      <c r="M296" s="1854"/>
      <c r="N296" s="1854"/>
      <c r="O296" s="1854"/>
      <c r="P296" s="1854"/>
      <c r="Q296" s="1854"/>
      <c r="R296" s="1854"/>
      <c r="S296" s="1854"/>
      <c r="T296" s="1854"/>
      <c r="U296" s="1854"/>
      <c r="V296" s="1854"/>
      <c r="W296" s="1857"/>
      <c r="X296" s="1854"/>
      <c r="Y296" s="1854"/>
      <c r="Z296" s="1854"/>
      <c r="AA296" s="1858"/>
      <c r="AF296" s="1809"/>
      <c r="AG296" s="1809"/>
      <c r="BL296" s="80"/>
    </row>
    <row r="297" spans="1:64" s="1808" customFormat="1">
      <c r="A297" s="1648"/>
      <c r="B297" s="1648"/>
      <c r="C297" s="1845"/>
      <c r="D297" s="3061" t="s">
        <v>1587</v>
      </c>
      <c r="E297" s="1814"/>
      <c r="F297" s="1814"/>
      <c r="G297" s="1814"/>
      <c r="H297" s="1814"/>
      <c r="I297" s="1814"/>
      <c r="J297" s="1814"/>
      <c r="K297" s="1814"/>
      <c r="L297" s="1813"/>
      <c r="M297" s="1814"/>
      <c r="N297" s="1814"/>
      <c r="O297" s="1814"/>
      <c r="P297" s="1814" t="s">
        <v>2534</v>
      </c>
      <c r="Q297" s="1814"/>
      <c r="R297" s="1814"/>
      <c r="S297" s="1814"/>
      <c r="T297" s="1814"/>
      <c r="U297" s="1854"/>
      <c r="V297" s="1854"/>
      <c r="W297" s="1857"/>
      <c r="Y297" s="1834" t="s">
        <v>1562</v>
      </c>
      <c r="Z297" s="1835" t="s">
        <v>1412</v>
      </c>
      <c r="AA297" s="1153"/>
      <c r="AF297" s="1809"/>
      <c r="AG297" s="1809"/>
      <c r="BL297" s="80"/>
    </row>
    <row r="298" spans="1:64" s="1808" customFormat="1">
      <c r="A298" s="1648"/>
      <c r="B298" s="1648"/>
      <c r="C298" s="1845"/>
      <c r="D298" s="3062" t="s">
        <v>1588</v>
      </c>
      <c r="E298" s="3063"/>
      <c r="F298" s="3063"/>
      <c r="G298" s="3063"/>
      <c r="H298" s="3063"/>
      <c r="I298" s="3064"/>
      <c r="J298" s="3062" t="s">
        <v>1589</v>
      </c>
      <c r="K298" s="3063"/>
      <c r="L298" s="3065"/>
      <c r="M298" s="3063"/>
      <c r="N298" s="3063"/>
      <c r="O298" s="3063"/>
      <c r="P298" s="3062" t="s">
        <v>1590</v>
      </c>
      <c r="Q298" s="3063"/>
      <c r="R298" s="3063"/>
      <c r="S298" s="3063"/>
      <c r="T298" s="3063"/>
      <c r="U298" s="3063"/>
      <c r="V298" s="3063"/>
      <c r="W298" s="3064"/>
      <c r="X298" s="1153"/>
      <c r="Y298" s="1153"/>
      <c r="Z298" s="1153"/>
      <c r="AF298" s="1809"/>
      <c r="AG298" s="1809"/>
      <c r="BL298" s="80"/>
    </row>
    <row r="299" spans="1:64" s="1854" customFormat="1">
      <c r="A299" s="1648"/>
      <c r="B299" s="1648"/>
      <c r="C299" s="1845"/>
      <c r="D299" s="1874" t="s">
        <v>1563</v>
      </c>
      <c r="E299" s="1767"/>
      <c r="F299" s="1767"/>
      <c r="G299" s="1767"/>
      <c r="H299" s="1767"/>
      <c r="I299" s="1828"/>
      <c r="J299" s="1873" t="s">
        <v>1564</v>
      </c>
      <c r="K299" s="1767"/>
      <c r="L299" s="1875"/>
      <c r="M299" s="1767"/>
      <c r="N299" s="1830"/>
      <c r="O299" s="1830"/>
      <c r="P299" s="1873" t="s">
        <v>1592</v>
      </c>
      <c r="Q299" s="1767"/>
      <c r="R299" s="1767"/>
      <c r="S299" s="1767"/>
      <c r="T299" s="1767"/>
      <c r="U299" s="1767"/>
      <c r="V299" s="1767"/>
      <c r="W299" s="1828"/>
      <c r="X299" s="1153"/>
      <c r="Y299" s="1153"/>
      <c r="Z299" s="1153"/>
      <c r="AF299" s="1857"/>
      <c r="AG299" s="1857"/>
      <c r="BL299" s="80"/>
    </row>
    <row r="300" spans="1:64" s="1854" customFormat="1">
      <c r="A300" s="1648"/>
      <c r="B300" s="1648"/>
      <c r="C300" s="1845"/>
      <c r="D300" s="1874" t="s">
        <v>1565</v>
      </c>
      <c r="E300" s="1767"/>
      <c r="F300" s="1767"/>
      <c r="G300" s="1767"/>
      <c r="H300" s="1767"/>
      <c r="I300" s="1828"/>
      <c r="J300" s="1873" t="s">
        <v>1566</v>
      </c>
      <c r="K300" s="1767"/>
      <c r="L300" s="1875"/>
      <c r="M300" s="1767"/>
      <c r="N300" s="1830"/>
      <c r="O300" s="1830"/>
      <c r="P300" s="1873" t="s">
        <v>1593</v>
      </c>
      <c r="Q300" s="1767"/>
      <c r="R300" s="1767"/>
      <c r="S300" s="1767"/>
      <c r="T300" s="1767"/>
      <c r="U300" s="1767"/>
      <c r="V300" s="1767"/>
      <c r="W300" s="1828"/>
      <c r="X300" s="1153"/>
      <c r="Y300" s="1153"/>
      <c r="Z300" s="1153"/>
      <c r="AF300" s="1857"/>
      <c r="AG300" s="1857"/>
      <c r="BL300" s="80"/>
    </row>
    <row r="301" spans="1:64" s="1854" customFormat="1">
      <c r="A301" s="1648"/>
      <c r="B301" s="1648"/>
      <c r="C301" s="1845"/>
      <c r="D301" s="1874" t="s">
        <v>1567</v>
      </c>
      <c r="E301" s="1767"/>
      <c r="F301" s="1767"/>
      <c r="G301" s="1767"/>
      <c r="H301" s="1767"/>
      <c r="I301" s="1828"/>
      <c r="J301" s="1873" t="s">
        <v>1568</v>
      </c>
      <c r="K301" s="1767"/>
      <c r="L301" s="1875"/>
      <c r="M301" s="1767"/>
      <c r="N301" s="1830"/>
      <c r="O301" s="1830"/>
      <c r="P301" s="1873" t="s">
        <v>1584</v>
      </c>
      <c r="Q301" s="1767"/>
      <c r="R301" s="1767"/>
      <c r="S301" s="1767"/>
      <c r="T301" s="1767"/>
      <c r="U301" s="1767"/>
      <c r="V301" s="1767"/>
      <c r="W301" s="1828"/>
      <c r="X301" s="1153"/>
      <c r="Y301" s="1153"/>
      <c r="Z301" s="1153"/>
      <c r="AF301" s="1857"/>
      <c r="AG301" s="1857"/>
      <c r="BL301" s="80"/>
    </row>
    <row r="302" spans="1:64" s="1854" customFormat="1">
      <c r="A302" s="1648"/>
      <c r="B302" s="1648"/>
      <c r="C302" s="1845"/>
      <c r="D302" s="1874" t="s">
        <v>1569</v>
      </c>
      <c r="E302" s="1767"/>
      <c r="F302" s="1767"/>
      <c r="G302" s="1767"/>
      <c r="H302" s="1767"/>
      <c r="I302" s="1828"/>
      <c r="J302" s="1873" t="s">
        <v>1570</v>
      </c>
      <c r="K302" s="1767"/>
      <c r="L302" s="1875"/>
      <c r="M302" s="1767"/>
      <c r="N302" s="1830"/>
      <c r="O302" s="1830"/>
      <c r="P302" s="3592" t="s">
        <v>1594</v>
      </c>
      <c r="Q302" s="3442"/>
      <c r="R302" s="3442"/>
      <c r="S302" s="3442"/>
      <c r="T302" s="3442"/>
      <c r="U302" s="3442"/>
      <c r="V302" s="3442"/>
      <c r="W302" s="3596"/>
      <c r="X302" s="1153"/>
      <c r="Y302" s="1153"/>
      <c r="Z302" s="1153"/>
      <c r="AF302" s="1857"/>
      <c r="AG302" s="1857"/>
      <c r="BL302" s="80"/>
    </row>
    <row r="303" spans="1:64" s="1854" customFormat="1">
      <c r="A303" s="1648"/>
      <c r="B303" s="1648"/>
      <c r="C303" s="1845"/>
      <c r="D303" s="1874" t="s">
        <v>1571</v>
      </c>
      <c r="E303" s="1767"/>
      <c r="F303" s="1767"/>
      <c r="G303" s="1767"/>
      <c r="H303" s="1767"/>
      <c r="I303" s="1828"/>
      <c r="J303" s="1873" t="s">
        <v>1572</v>
      </c>
      <c r="K303" s="1767"/>
      <c r="L303" s="1875"/>
      <c r="M303" s="1767"/>
      <c r="N303" s="1830"/>
      <c r="O303" s="1830"/>
      <c r="P303" s="3592"/>
      <c r="Q303" s="3442"/>
      <c r="R303" s="3442"/>
      <c r="S303" s="3442"/>
      <c r="T303" s="3442"/>
      <c r="U303" s="3442"/>
      <c r="V303" s="3442"/>
      <c r="W303" s="3596"/>
      <c r="X303" s="1153"/>
      <c r="Y303" s="1153"/>
      <c r="Z303" s="1153"/>
      <c r="AF303" s="1857"/>
      <c r="AG303" s="1857"/>
      <c r="BL303" s="80"/>
    </row>
    <row r="304" spans="1:64" s="1854" customFormat="1">
      <c r="A304" s="1648"/>
      <c r="B304" s="1648"/>
      <c r="C304" s="1845"/>
      <c r="D304" s="1874" t="s">
        <v>1573</v>
      </c>
      <c r="E304" s="1767"/>
      <c r="F304" s="1767"/>
      <c r="G304" s="1767"/>
      <c r="H304" s="1767"/>
      <c r="I304" s="1828"/>
      <c r="J304" s="1876" t="s">
        <v>1574</v>
      </c>
      <c r="K304" s="1761"/>
      <c r="L304" s="1877"/>
      <c r="M304" s="1761"/>
      <c r="N304" s="1831"/>
      <c r="O304" s="1831"/>
      <c r="P304" s="3592" t="s">
        <v>1585</v>
      </c>
      <c r="Q304" s="3442"/>
      <c r="R304" s="3442"/>
      <c r="S304" s="3442"/>
      <c r="T304" s="3442"/>
      <c r="U304" s="3442"/>
      <c r="V304" s="3442"/>
      <c r="W304" s="3596"/>
      <c r="X304" s="1153"/>
      <c r="Y304" s="1153"/>
      <c r="Z304" s="1153"/>
      <c r="AF304" s="1857"/>
      <c r="AG304" s="1857"/>
      <c r="BL304" s="80"/>
    </row>
    <row r="305" spans="1:64" s="1854" customFormat="1">
      <c r="A305" s="1648"/>
      <c r="B305" s="1648"/>
      <c r="C305" s="1845"/>
      <c r="D305" s="1874" t="s">
        <v>1575</v>
      </c>
      <c r="E305" s="1767"/>
      <c r="F305" s="1767"/>
      <c r="G305" s="1767"/>
      <c r="H305" s="1767"/>
      <c r="I305" s="1828"/>
      <c r="J305" s="1776"/>
      <c r="K305" s="1776"/>
      <c r="L305" s="1878"/>
      <c r="M305" s="1776"/>
      <c r="N305" s="1814"/>
      <c r="O305" s="1814"/>
      <c r="P305" s="3592"/>
      <c r="Q305" s="3442"/>
      <c r="R305" s="3442"/>
      <c r="S305" s="3442"/>
      <c r="T305" s="3442"/>
      <c r="U305" s="3442"/>
      <c r="V305" s="3442"/>
      <c r="W305" s="3596"/>
      <c r="X305" s="1153"/>
      <c r="Y305" s="1153"/>
      <c r="Z305" s="1153"/>
      <c r="AF305" s="1857"/>
      <c r="AG305" s="1857"/>
      <c r="BL305" s="80"/>
    </row>
    <row r="306" spans="1:64" s="1808" customFormat="1">
      <c r="A306" s="1648"/>
      <c r="B306" s="1648"/>
      <c r="C306" s="1845"/>
      <c r="D306" s="1874" t="s">
        <v>1576</v>
      </c>
      <c r="E306" s="1767"/>
      <c r="F306" s="1767"/>
      <c r="G306" s="1767"/>
      <c r="H306" s="1767"/>
      <c r="I306" s="1828"/>
      <c r="J306" s="1776"/>
      <c r="K306" s="1776"/>
      <c r="L306" s="1878"/>
      <c r="M306" s="1776"/>
      <c r="N306" s="1814"/>
      <c r="O306" s="1814"/>
      <c r="P306" s="3592" t="s">
        <v>1586</v>
      </c>
      <c r="Q306" s="3442"/>
      <c r="R306" s="3442"/>
      <c r="S306" s="3442"/>
      <c r="T306" s="3442"/>
      <c r="U306" s="3442"/>
      <c r="V306" s="3442"/>
      <c r="W306" s="3596"/>
      <c r="X306" s="1153"/>
      <c r="Y306" s="1153"/>
      <c r="Z306" s="1153"/>
      <c r="AF306" s="1809"/>
      <c r="AG306" s="1809"/>
      <c r="BL306" s="80"/>
    </row>
    <row r="307" spans="1:64" s="1808" customFormat="1">
      <c r="A307" s="1648"/>
      <c r="B307" s="1648"/>
      <c r="C307" s="1845"/>
      <c r="D307" s="1874" t="s">
        <v>1577</v>
      </c>
      <c r="E307" s="1767"/>
      <c r="F307" s="1767"/>
      <c r="G307" s="1767"/>
      <c r="H307" s="1767"/>
      <c r="I307" s="1828"/>
      <c r="J307" s="1776"/>
      <c r="K307" s="1776"/>
      <c r="L307" s="1878"/>
      <c r="M307" s="1776"/>
      <c r="N307" s="1814"/>
      <c r="O307" s="1814"/>
      <c r="P307" s="3597"/>
      <c r="Q307" s="3443"/>
      <c r="R307" s="3443"/>
      <c r="S307" s="3443"/>
      <c r="T307" s="3443"/>
      <c r="U307" s="3443"/>
      <c r="V307" s="3443"/>
      <c r="W307" s="3598"/>
      <c r="X307" s="1153"/>
      <c r="Y307" s="1153"/>
      <c r="Z307" s="1153"/>
      <c r="AA307" s="1801"/>
      <c r="AF307" s="1809"/>
      <c r="AG307" s="1809"/>
      <c r="BL307" s="80"/>
    </row>
    <row r="308" spans="1:64" s="1808" customFormat="1">
      <c r="A308" s="1648"/>
      <c r="B308" s="1648"/>
      <c r="C308" s="1845"/>
      <c r="D308" s="1874" t="s">
        <v>1578</v>
      </c>
      <c r="E308" s="1767"/>
      <c r="F308" s="1767"/>
      <c r="G308" s="1767"/>
      <c r="H308" s="1767"/>
      <c r="I308" s="1828"/>
      <c r="J308" s="1776"/>
      <c r="K308" s="1776"/>
      <c r="L308" s="1878"/>
      <c r="M308" s="1776"/>
      <c r="N308" s="1814"/>
      <c r="O308" s="1814"/>
      <c r="P308" s="3062" t="s">
        <v>1591</v>
      </c>
      <c r="Q308" s="3063"/>
      <c r="R308" s="3063"/>
      <c r="S308" s="3063"/>
      <c r="T308" s="3063"/>
      <c r="U308" s="3063"/>
      <c r="V308" s="3063"/>
      <c r="W308" s="3064"/>
      <c r="X308" s="1153"/>
      <c r="Y308" s="1153"/>
      <c r="Z308" s="1153"/>
      <c r="AF308" s="1809"/>
      <c r="AG308" s="1809"/>
      <c r="BL308" s="80"/>
    </row>
    <row r="309" spans="1:64" s="1808" customFormat="1">
      <c r="A309" s="1648"/>
      <c r="B309" s="1648"/>
      <c r="C309" s="1845"/>
      <c r="D309" s="3576" t="s">
        <v>1579</v>
      </c>
      <c r="E309" s="3460"/>
      <c r="F309" s="3460"/>
      <c r="G309" s="3460"/>
      <c r="H309" s="3460"/>
      <c r="I309" s="3577"/>
      <c r="J309" s="1776"/>
      <c r="K309" s="1776"/>
      <c r="L309" s="1878"/>
      <c r="M309" s="1776"/>
      <c r="N309" s="1814"/>
      <c r="O309" s="1854"/>
      <c r="P309" s="1873" t="s">
        <v>1582</v>
      </c>
      <c r="Q309" s="1767"/>
      <c r="R309" s="1767"/>
      <c r="S309" s="1767"/>
      <c r="T309" s="1767"/>
      <c r="U309" s="1767"/>
      <c r="V309" s="1767"/>
      <c r="W309" s="1880"/>
      <c r="X309" s="1153"/>
      <c r="Y309" s="1153"/>
      <c r="Z309" s="1153"/>
      <c r="AF309" s="1809"/>
      <c r="AG309" s="1809"/>
      <c r="BL309" s="80"/>
    </row>
    <row r="310" spans="1:64" s="1808" customFormat="1">
      <c r="A310" s="1648"/>
      <c r="B310" s="1648"/>
      <c r="C310" s="1845"/>
      <c r="D310" s="3576"/>
      <c r="E310" s="3460"/>
      <c r="F310" s="3460"/>
      <c r="G310" s="3460"/>
      <c r="H310" s="3460"/>
      <c r="I310" s="3577"/>
      <c r="J310" s="1776"/>
      <c r="K310" s="1776"/>
      <c r="L310" s="1878"/>
      <c r="M310" s="1776"/>
      <c r="N310" s="1814"/>
      <c r="O310" s="1854"/>
      <c r="P310" s="1873" t="s">
        <v>1583</v>
      </c>
      <c r="Q310" s="1767"/>
      <c r="R310" s="1767"/>
      <c r="S310" s="1767"/>
      <c r="T310" s="1767"/>
      <c r="U310" s="1767"/>
      <c r="V310" s="1767"/>
      <c r="W310" s="1880"/>
      <c r="X310" s="1153"/>
      <c r="Y310" s="1153"/>
      <c r="Z310" s="1153"/>
      <c r="AF310" s="1809"/>
      <c r="AG310" s="1809"/>
      <c r="BL310" s="80"/>
    </row>
    <row r="311" spans="1:64" s="1808" customFormat="1">
      <c r="A311" s="1648"/>
      <c r="B311" s="1648"/>
      <c r="C311" s="1845"/>
      <c r="D311" s="1874" t="s">
        <v>1580</v>
      </c>
      <c r="E311" s="1767"/>
      <c r="F311" s="1767"/>
      <c r="G311" s="1767"/>
      <c r="H311" s="1767"/>
      <c r="I311" s="1828"/>
      <c r="J311" s="1776"/>
      <c r="K311" s="1776"/>
      <c r="L311" s="1878"/>
      <c r="M311" s="1776"/>
      <c r="N311" s="1814"/>
      <c r="O311" s="1854"/>
      <c r="P311" s="3592" t="s">
        <v>1595</v>
      </c>
      <c r="Q311" s="3442"/>
      <c r="R311" s="3442"/>
      <c r="S311" s="3442"/>
      <c r="T311" s="3442"/>
      <c r="U311" s="3442"/>
      <c r="V311" s="3442"/>
      <c r="W311" s="3596"/>
      <c r="X311" s="1153"/>
      <c r="Y311" s="1153"/>
      <c r="Z311" s="1153"/>
      <c r="AF311" s="1809"/>
      <c r="AG311" s="1809"/>
      <c r="BL311" s="80"/>
    </row>
    <row r="312" spans="1:64" s="1808" customFormat="1">
      <c r="A312" s="1648"/>
      <c r="B312" s="1648"/>
      <c r="C312" s="1845"/>
      <c r="D312" s="1879" t="s">
        <v>1581</v>
      </c>
      <c r="E312" s="1526"/>
      <c r="F312" s="1526"/>
      <c r="G312" s="1526"/>
      <c r="H312" s="1526"/>
      <c r="I312" s="1829"/>
      <c r="J312" s="1854"/>
      <c r="K312" s="1854"/>
      <c r="L312" s="1812"/>
      <c r="M312" s="1854"/>
      <c r="N312" s="1854"/>
      <c r="O312" s="1854"/>
      <c r="P312" s="3597"/>
      <c r="Q312" s="3443"/>
      <c r="R312" s="3443"/>
      <c r="S312" s="3443"/>
      <c r="T312" s="3443"/>
      <c r="U312" s="3443"/>
      <c r="V312" s="3443"/>
      <c r="W312" s="3598"/>
      <c r="X312" s="1153"/>
      <c r="Y312" s="1153"/>
      <c r="Z312" s="1153"/>
      <c r="AF312" s="1809"/>
      <c r="AG312" s="1809"/>
      <c r="BL312" s="80"/>
    </row>
    <row r="313" spans="1:64" s="2545" customFormat="1">
      <c r="A313" s="1648"/>
      <c r="B313" s="1648"/>
      <c r="C313" s="1845"/>
      <c r="E313" s="2547"/>
      <c r="F313" s="2547"/>
      <c r="G313" s="2547"/>
      <c r="H313" s="2547"/>
      <c r="I313" s="2547"/>
      <c r="L313" s="1812"/>
      <c r="P313" s="2562"/>
      <c r="Q313" s="2562"/>
      <c r="R313" s="2562"/>
      <c r="S313" s="2562"/>
      <c r="T313" s="2562"/>
      <c r="U313" s="2562"/>
      <c r="V313" s="2562"/>
      <c r="W313" s="2562"/>
      <c r="X313" s="1153"/>
      <c r="Y313" s="1153"/>
      <c r="Z313" s="1153"/>
      <c r="AF313" s="2547"/>
      <c r="AG313" s="2547"/>
      <c r="BL313" s="80"/>
    </row>
    <row r="314" spans="1:64" s="2545" customFormat="1">
      <c r="A314" s="1648"/>
      <c r="B314" s="1648"/>
      <c r="C314" s="1845"/>
      <c r="D314" s="1091" t="s">
        <v>1933</v>
      </c>
      <c r="E314" s="2547"/>
      <c r="F314" s="2547"/>
      <c r="G314" s="2547"/>
      <c r="H314" s="2547"/>
      <c r="I314" s="2547"/>
      <c r="K314" s="2896" t="s">
        <v>2535</v>
      </c>
      <c r="L314" s="1812"/>
      <c r="P314" s="2562"/>
      <c r="Q314" s="2562"/>
      <c r="R314" s="2562"/>
      <c r="S314" s="2562"/>
      <c r="T314" s="2562"/>
      <c r="U314" s="2562"/>
      <c r="V314" s="2562"/>
      <c r="W314" s="2562"/>
      <c r="X314" s="1153"/>
      <c r="Y314" s="1153"/>
      <c r="Z314" s="1153"/>
      <c r="AF314" s="2547"/>
      <c r="AG314" s="2547"/>
      <c r="BL314" s="80"/>
    </row>
    <row r="315" spans="1:64" s="2545" customFormat="1">
      <c r="A315" s="1648"/>
      <c r="B315" s="1648"/>
      <c r="C315" s="1845"/>
      <c r="D315" s="2616" t="s">
        <v>1938</v>
      </c>
      <c r="E315" s="2547"/>
      <c r="F315" s="2547"/>
      <c r="G315" s="2547"/>
      <c r="H315" s="2547"/>
      <c r="I315" s="2547"/>
      <c r="L315" s="1812"/>
      <c r="P315" s="2562"/>
      <c r="Q315" s="2618" t="s">
        <v>1943</v>
      </c>
      <c r="R315" s="2562"/>
      <c r="S315" s="2562"/>
      <c r="T315" s="2562"/>
      <c r="U315" s="2562"/>
      <c r="V315" s="2562"/>
      <c r="W315" s="2562"/>
      <c r="X315" s="1153"/>
      <c r="Y315" s="1153"/>
      <c r="Z315" s="1153"/>
      <c r="AF315" s="2547"/>
      <c r="AG315" s="2547"/>
      <c r="BL315" s="80"/>
    </row>
    <row r="316" spans="1:64" s="2545" customFormat="1" ht="13.2" customHeight="1">
      <c r="A316" s="1648"/>
      <c r="B316" s="1648"/>
      <c r="C316" s="1845"/>
      <c r="D316" s="2617" t="s">
        <v>1937</v>
      </c>
      <c r="E316" s="2547"/>
      <c r="F316" s="2547"/>
      <c r="G316" s="2547"/>
      <c r="H316" s="2619" t="s">
        <v>1940</v>
      </c>
      <c r="I316" s="2619"/>
      <c r="J316" s="2619"/>
      <c r="K316" s="2619"/>
      <c r="L316" s="2619"/>
      <c r="P316" s="2562"/>
      <c r="Q316" s="2618" t="s">
        <v>1939</v>
      </c>
      <c r="R316" s="2562"/>
      <c r="S316" s="2562"/>
      <c r="T316" s="2562"/>
      <c r="U316" s="2562"/>
      <c r="V316" s="2562"/>
      <c r="W316" s="2562"/>
      <c r="X316" s="1153"/>
      <c r="Y316" s="1153"/>
      <c r="Z316" s="1153"/>
      <c r="AF316" s="2547"/>
      <c r="AG316" s="2547"/>
      <c r="BL316" s="80"/>
    </row>
    <row r="317" spans="1:64" s="2545" customFormat="1">
      <c r="A317" s="1648"/>
      <c r="B317" s="1648"/>
      <c r="C317" s="1845"/>
      <c r="D317" s="2616" t="s">
        <v>1936</v>
      </c>
      <c r="E317" s="2547"/>
      <c r="F317" s="2547"/>
      <c r="G317" s="2547"/>
      <c r="H317" s="2619"/>
      <c r="I317" s="2619"/>
      <c r="J317" s="2619"/>
      <c r="K317" s="2619"/>
      <c r="L317" s="2619"/>
      <c r="P317" s="2562"/>
      <c r="Q317" s="2618" t="s">
        <v>1944</v>
      </c>
      <c r="R317" s="2562"/>
      <c r="S317" s="2562"/>
      <c r="T317" s="2562"/>
      <c r="U317" s="2562"/>
      <c r="V317" s="2562"/>
      <c r="W317" s="2562"/>
      <c r="X317" s="1153"/>
      <c r="Y317" s="1153"/>
      <c r="Z317" s="1153"/>
      <c r="AF317" s="2547"/>
      <c r="AG317" s="2547"/>
      <c r="BL317" s="80"/>
    </row>
    <row r="318" spans="1:64" s="2545" customFormat="1">
      <c r="A318" s="1648"/>
      <c r="B318" s="1648"/>
      <c r="C318" s="1845"/>
      <c r="D318" s="2616" t="s">
        <v>1942</v>
      </c>
      <c r="E318" s="2547"/>
      <c r="F318" s="2637" t="s">
        <v>2017</v>
      </c>
      <c r="J318" s="2618" t="s">
        <v>1941</v>
      </c>
      <c r="K318" s="2547"/>
      <c r="L318" s="1673"/>
      <c r="M318" s="1673"/>
      <c r="N318" s="1673"/>
      <c r="O318" s="1673"/>
      <c r="P318" s="2601"/>
      <c r="Q318" s="2547"/>
      <c r="T318" s="2562"/>
      <c r="W318" s="2562"/>
      <c r="X318" s="1153"/>
      <c r="Y318" s="1153"/>
      <c r="Z318" s="1153"/>
      <c r="AF318" s="2547"/>
      <c r="AG318" s="2547"/>
      <c r="BL318" s="80"/>
    </row>
    <row r="319" spans="1:64" s="2545" customFormat="1">
      <c r="A319" s="1648"/>
      <c r="B319" s="1648"/>
      <c r="C319" s="1845"/>
      <c r="D319" s="2616"/>
      <c r="E319" s="2547"/>
      <c r="J319" s="2618" t="s">
        <v>1945</v>
      </c>
      <c r="K319" s="2547"/>
      <c r="L319" s="1673"/>
      <c r="M319" s="1673"/>
      <c r="N319" s="1673"/>
      <c r="O319" s="1673"/>
      <c r="P319" s="2601"/>
      <c r="Q319" s="1830"/>
      <c r="T319" s="2562"/>
      <c r="W319" s="2562"/>
      <c r="X319" s="1153"/>
      <c r="Y319" s="1153"/>
      <c r="Z319" s="1153"/>
      <c r="AF319" s="2547"/>
      <c r="AG319" s="2547"/>
      <c r="BL319" s="80"/>
    </row>
    <row r="320" spans="1:64" s="2269" customFormat="1">
      <c r="A320" s="1648"/>
      <c r="B320" s="1648"/>
      <c r="C320" s="1845"/>
      <c r="D320" s="2545"/>
      <c r="E320" s="2273"/>
      <c r="F320" s="2273"/>
      <c r="G320" s="2273"/>
      <c r="H320" s="2273"/>
      <c r="I320" s="2273"/>
      <c r="L320" s="1812"/>
      <c r="P320" s="2277"/>
      <c r="Q320" s="2277"/>
      <c r="R320" s="2277"/>
      <c r="S320" s="2277"/>
      <c r="T320" s="2277"/>
      <c r="U320" s="2277"/>
      <c r="V320" s="2277"/>
      <c r="W320" s="2277"/>
      <c r="X320" s="1153"/>
      <c r="Y320" s="1153"/>
      <c r="Z320" s="1153"/>
      <c r="AF320" s="2273"/>
      <c r="AG320" s="2273"/>
      <c r="BL320" s="80"/>
    </row>
    <row r="321" spans="1:64" s="2896" customFormat="1">
      <c r="A321" s="1648"/>
      <c r="B321" s="3727" t="s">
        <v>2664</v>
      </c>
      <c r="C321" s="1845"/>
      <c r="D321" s="3431" t="s">
        <v>2663</v>
      </c>
      <c r="E321" s="3431"/>
      <c r="F321" s="3431"/>
      <c r="G321" s="3431"/>
      <c r="H321" s="3431"/>
      <c r="I321" s="3431"/>
      <c r="J321" s="3431"/>
      <c r="K321" s="3431"/>
      <c r="L321" s="3431"/>
      <c r="M321" s="3431"/>
      <c r="N321" s="3431"/>
      <c r="O321" s="3431"/>
      <c r="P321" s="3431"/>
      <c r="Q321" s="3431"/>
      <c r="R321" s="3431"/>
      <c r="S321" s="3431"/>
      <c r="T321" s="3431"/>
      <c r="U321" s="3431"/>
      <c r="V321" s="3431"/>
      <c r="W321" s="3431"/>
      <c r="X321" s="1153"/>
      <c r="Y321" s="1153"/>
      <c r="Z321" s="1153"/>
      <c r="AF321" s="2891"/>
      <c r="AG321" s="2891"/>
      <c r="BL321" s="80"/>
    </row>
    <row r="322" spans="1:64" s="2896" customFormat="1">
      <c r="A322" s="1648"/>
      <c r="B322" s="1648"/>
      <c r="C322" s="1845"/>
      <c r="D322" s="3431"/>
      <c r="E322" s="3431"/>
      <c r="F322" s="3431"/>
      <c r="G322" s="3431"/>
      <c r="H322" s="3431"/>
      <c r="I322" s="3431"/>
      <c r="J322" s="3431"/>
      <c r="K322" s="3431"/>
      <c r="L322" s="3431"/>
      <c r="M322" s="3431"/>
      <c r="N322" s="3431"/>
      <c r="O322" s="3431"/>
      <c r="P322" s="3431"/>
      <c r="Q322" s="3431"/>
      <c r="R322" s="3431"/>
      <c r="S322" s="3431"/>
      <c r="T322" s="3431"/>
      <c r="U322" s="3431"/>
      <c r="V322" s="3431"/>
      <c r="W322" s="3431"/>
      <c r="X322" s="1153"/>
      <c r="Y322" s="1153"/>
      <c r="Z322" s="1153"/>
      <c r="AF322" s="2891"/>
      <c r="AG322" s="2891"/>
      <c r="BL322" s="80"/>
    </row>
    <row r="323" spans="1:64" s="2896" customFormat="1">
      <c r="A323" s="1648"/>
      <c r="B323" s="1648"/>
      <c r="C323" s="1845"/>
      <c r="E323" s="2891"/>
      <c r="F323" s="2891"/>
      <c r="G323" s="2891"/>
      <c r="H323" s="2891"/>
      <c r="I323" s="2891"/>
      <c r="L323" s="1812"/>
      <c r="P323" s="2897"/>
      <c r="Q323" s="2897"/>
      <c r="R323" s="2897"/>
      <c r="S323" s="2897"/>
      <c r="T323" s="2897"/>
      <c r="U323" s="2897"/>
      <c r="V323" s="2897"/>
      <c r="W323" s="2897"/>
      <c r="X323" s="1153"/>
      <c r="Y323" s="1153"/>
      <c r="Z323" s="1153"/>
      <c r="AF323" s="2891"/>
      <c r="AG323" s="2891"/>
      <c r="BL323" s="80"/>
    </row>
    <row r="324" spans="1:64" s="2269" customFormat="1" ht="13.2" customHeight="1">
      <c r="A324" s="1648"/>
      <c r="B324" s="3634" t="s">
        <v>2035</v>
      </c>
      <c r="C324" s="2484"/>
      <c r="D324" s="3556" t="s">
        <v>2537</v>
      </c>
      <c r="E324" s="3556"/>
      <c r="F324" s="3556"/>
      <c r="G324" s="3556"/>
      <c r="H324" s="3556"/>
      <c r="I324" s="3556"/>
      <c r="J324" s="3556"/>
      <c r="K324" s="3556"/>
      <c r="L324" s="3556"/>
      <c r="M324" s="3556"/>
      <c r="N324" s="3556"/>
      <c r="O324" s="3556"/>
      <c r="P324" s="3556"/>
      <c r="Q324" s="3556"/>
      <c r="R324" s="3556"/>
      <c r="S324" s="3556"/>
      <c r="T324" s="3556"/>
      <c r="U324" s="3556"/>
      <c r="V324" s="3556"/>
      <c r="W324" s="3556"/>
      <c r="X324" s="2486"/>
      <c r="Y324" s="1153"/>
      <c r="Z324" s="1153"/>
      <c r="AF324" s="2273"/>
      <c r="AG324" s="2273"/>
      <c r="BL324" s="80"/>
    </row>
    <row r="325" spans="1:64" s="2269" customFormat="1">
      <c r="A325" s="1648"/>
      <c r="B325" s="3635"/>
      <c r="C325" s="1845"/>
      <c r="D325" s="3557"/>
      <c r="E325" s="3557"/>
      <c r="F325" s="3557"/>
      <c r="G325" s="3557"/>
      <c r="H325" s="3557"/>
      <c r="I325" s="3557"/>
      <c r="J325" s="3557"/>
      <c r="K325" s="3557"/>
      <c r="L325" s="3557"/>
      <c r="M325" s="3557"/>
      <c r="N325" s="3557"/>
      <c r="O325" s="3557"/>
      <c r="P325" s="3557"/>
      <c r="Q325" s="3557"/>
      <c r="R325" s="3557"/>
      <c r="S325" s="3557"/>
      <c r="T325" s="3557"/>
      <c r="U325" s="3557"/>
      <c r="V325" s="3557"/>
      <c r="W325" s="3557"/>
      <c r="X325" s="2487"/>
      <c r="Y325" s="2569" t="s">
        <v>1992</v>
      </c>
      <c r="Z325" s="1153"/>
      <c r="AF325" s="2273"/>
      <c r="AG325" s="2273"/>
      <c r="BL325" s="80"/>
    </row>
    <row r="326" spans="1:64" s="2569" customFormat="1">
      <c r="A326" s="1648"/>
      <c r="B326" s="3635"/>
      <c r="C326" s="1845"/>
      <c r="D326" s="2635"/>
      <c r="E326" s="2635"/>
      <c r="F326" s="2635"/>
      <c r="G326" s="2635"/>
      <c r="H326" s="2635"/>
      <c r="I326" s="2635"/>
      <c r="J326" s="2635"/>
      <c r="K326" s="2635"/>
      <c r="L326" s="2635"/>
      <c r="M326" s="2635"/>
      <c r="N326" s="2635"/>
      <c r="O326" s="2635"/>
      <c r="P326" s="2635"/>
      <c r="Q326" s="2635"/>
      <c r="R326" s="2635"/>
      <c r="S326" s="2635"/>
      <c r="T326" s="2635"/>
      <c r="U326" s="2635"/>
      <c r="V326" s="2635"/>
      <c r="W326" s="2635"/>
      <c r="X326" s="2487"/>
      <c r="Y326" s="1153"/>
      <c r="Z326" s="1153"/>
      <c r="AF326" s="2570"/>
      <c r="AG326" s="2570"/>
      <c r="BL326" s="80"/>
    </row>
    <row r="327" spans="1:64" s="2569" customFormat="1">
      <c r="A327" s="1648"/>
      <c r="B327" s="3635"/>
      <c r="C327" s="1845"/>
      <c r="D327" s="2632" t="s">
        <v>2538</v>
      </c>
      <c r="E327" s="2635"/>
      <c r="F327" s="2635"/>
      <c r="G327" s="2635"/>
      <c r="H327" s="2635"/>
      <c r="I327" s="2635"/>
      <c r="J327" s="2635"/>
      <c r="K327" s="2635"/>
      <c r="L327" s="2635"/>
      <c r="M327" s="2635"/>
      <c r="N327" s="2635"/>
      <c r="O327" s="2635"/>
      <c r="P327" s="2635"/>
      <c r="Q327" s="2635"/>
      <c r="R327" s="2635"/>
      <c r="S327" s="2635"/>
      <c r="T327" s="2635"/>
      <c r="U327" s="2635"/>
      <c r="V327" s="2635"/>
      <c r="W327" s="2635"/>
      <c r="X327" s="2487"/>
      <c r="Y327" s="1153"/>
      <c r="Z327" s="1153"/>
      <c r="AF327" s="2570"/>
      <c r="AG327" s="2570"/>
      <c r="BL327" s="80"/>
    </row>
    <row r="328" spans="1:64" s="2569" customFormat="1">
      <c r="A328" s="1648"/>
      <c r="B328" s="2626"/>
      <c r="C328" s="1845"/>
      <c r="D328" s="2592" t="s">
        <v>1991</v>
      </c>
      <c r="E328" s="2591"/>
      <c r="F328" s="2591"/>
      <c r="G328" s="2591"/>
      <c r="H328" s="2591"/>
      <c r="I328" s="2591"/>
      <c r="J328" s="2591"/>
      <c r="K328" s="2591"/>
      <c r="L328" s="2591"/>
      <c r="M328" s="2591"/>
      <c r="N328" s="2591"/>
      <c r="O328" s="2591"/>
      <c r="P328" s="2591"/>
      <c r="Q328" s="2591"/>
      <c r="R328" s="2591"/>
      <c r="S328" s="2591"/>
      <c r="T328" s="2591"/>
      <c r="U328" s="2591"/>
      <c r="V328" s="2591"/>
      <c r="W328" s="2591"/>
      <c r="X328" s="2487"/>
      <c r="Y328" s="1153"/>
      <c r="Z328" s="1153"/>
      <c r="AF328" s="2570"/>
      <c r="AG328" s="2570"/>
      <c r="BL328" s="80"/>
    </row>
    <row r="329" spans="1:64" s="2569" customFormat="1" ht="13.2" customHeight="1">
      <c r="A329" s="1648"/>
      <c r="B329" s="2626"/>
      <c r="C329" s="1845"/>
      <c r="D329" s="3558" t="s">
        <v>2018</v>
      </c>
      <c r="E329" s="3558"/>
      <c r="F329" s="3558"/>
      <c r="G329" s="3558"/>
      <c r="H329" s="3558"/>
      <c r="I329" s="3558"/>
      <c r="J329" s="3558"/>
      <c r="K329" s="3558"/>
      <c r="L329" s="3558"/>
      <c r="M329" s="3558"/>
      <c r="N329" s="3558"/>
      <c r="O329" s="3558"/>
      <c r="P329" s="3558"/>
      <c r="Q329" s="3558"/>
      <c r="R329" s="3558"/>
      <c r="S329" s="3558"/>
      <c r="T329" s="3558"/>
      <c r="U329" s="3558"/>
      <c r="V329" s="3558"/>
      <c r="W329" s="3558"/>
      <c r="X329" s="2487"/>
      <c r="Y329" s="1153" t="s">
        <v>1911</v>
      </c>
      <c r="Z329" s="1153"/>
      <c r="AF329" s="2570"/>
      <c r="AG329" s="2570"/>
      <c r="BL329" s="80"/>
    </row>
    <row r="330" spans="1:64" s="2569" customFormat="1">
      <c r="A330" s="1648"/>
      <c r="B330" s="2626"/>
      <c r="C330" s="1845"/>
      <c r="D330" s="3558"/>
      <c r="E330" s="3558"/>
      <c r="F330" s="3558"/>
      <c r="G330" s="3558"/>
      <c r="H330" s="3558"/>
      <c r="I330" s="3558"/>
      <c r="J330" s="3558"/>
      <c r="K330" s="3558"/>
      <c r="L330" s="3558"/>
      <c r="M330" s="3558"/>
      <c r="N330" s="3558"/>
      <c r="O330" s="3558"/>
      <c r="P330" s="3558"/>
      <c r="Q330" s="3558"/>
      <c r="R330" s="3558"/>
      <c r="S330" s="3558"/>
      <c r="T330" s="3558"/>
      <c r="U330" s="3558"/>
      <c r="V330" s="3558"/>
      <c r="W330" s="3558"/>
      <c r="X330" s="2487"/>
      <c r="Y330" s="1153"/>
      <c r="Z330" s="1153"/>
      <c r="AF330" s="2570"/>
      <c r="AG330" s="2570"/>
      <c r="BL330" s="80"/>
    </row>
    <row r="331" spans="1:64" s="2569" customFormat="1">
      <c r="A331" s="1648"/>
      <c r="B331" s="2626"/>
      <c r="C331" s="1845"/>
      <c r="D331" s="3559" t="s">
        <v>2019</v>
      </c>
      <c r="E331" s="3559"/>
      <c r="F331" s="3559"/>
      <c r="G331" s="3559"/>
      <c r="H331" s="3559"/>
      <c r="I331" s="3559"/>
      <c r="J331" s="3559"/>
      <c r="K331" s="3559"/>
      <c r="L331" s="3559"/>
      <c r="M331" s="3559"/>
      <c r="N331" s="3559"/>
      <c r="O331" s="3559"/>
      <c r="P331" s="3559"/>
      <c r="Q331" s="3559"/>
      <c r="R331" s="3559"/>
      <c r="S331" s="3559"/>
      <c r="T331" s="3559"/>
      <c r="U331" s="3559"/>
      <c r="V331" s="3559"/>
      <c r="W331" s="3559"/>
      <c r="X331" s="2487"/>
      <c r="Z331" s="1153"/>
      <c r="AF331" s="2570"/>
      <c r="AG331" s="2570"/>
      <c r="BL331" s="80"/>
    </row>
    <row r="332" spans="1:64" s="2569" customFormat="1">
      <c r="A332" s="1648"/>
      <c r="B332" s="2626"/>
      <c r="C332" s="1845"/>
      <c r="D332" s="3559"/>
      <c r="E332" s="3559"/>
      <c r="F332" s="3559"/>
      <c r="G332" s="3559"/>
      <c r="H332" s="3559"/>
      <c r="I332" s="3559"/>
      <c r="J332" s="3559"/>
      <c r="K332" s="3559"/>
      <c r="L332" s="3559"/>
      <c r="M332" s="3559"/>
      <c r="N332" s="3559"/>
      <c r="O332" s="3559"/>
      <c r="P332" s="3559"/>
      <c r="Q332" s="3559"/>
      <c r="R332" s="3559"/>
      <c r="S332" s="3559"/>
      <c r="T332" s="3559"/>
      <c r="U332" s="3559"/>
      <c r="V332" s="3559"/>
      <c r="W332" s="3559"/>
      <c r="X332" s="2487"/>
      <c r="Y332" s="1153"/>
      <c r="Z332" s="1153"/>
      <c r="AF332" s="2570"/>
      <c r="AG332" s="2570"/>
      <c r="BL332" s="80"/>
    </row>
    <row r="333" spans="1:64" s="2545" customFormat="1">
      <c r="A333" s="1648"/>
      <c r="B333" s="2626"/>
      <c r="C333" s="1845"/>
      <c r="D333" s="3559" t="s">
        <v>2043</v>
      </c>
      <c r="E333" s="3559"/>
      <c r="F333" s="3559"/>
      <c r="G333" s="3559"/>
      <c r="H333" s="3559"/>
      <c r="I333" s="3559"/>
      <c r="J333" s="3559"/>
      <c r="K333" s="3559"/>
      <c r="L333" s="3559"/>
      <c r="M333" s="3559"/>
      <c r="N333" s="3559"/>
      <c r="O333" s="3559"/>
      <c r="P333" s="3559"/>
      <c r="Q333" s="3559"/>
      <c r="R333" s="3559"/>
      <c r="S333" s="3559"/>
      <c r="T333" s="3559"/>
      <c r="U333" s="3559"/>
      <c r="V333" s="3559"/>
      <c r="W333" s="3559"/>
      <c r="X333" s="2487"/>
      <c r="Y333" s="1153"/>
      <c r="Z333" s="1153"/>
      <c r="AF333" s="2547"/>
      <c r="AG333" s="2547"/>
      <c r="BL333" s="80"/>
    </row>
    <row r="334" spans="1:64" s="2569" customFormat="1">
      <c r="A334" s="1648"/>
      <c r="B334" s="2626"/>
      <c r="C334" s="1845"/>
      <c r="D334" s="3559"/>
      <c r="E334" s="3559"/>
      <c r="F334" s="3559"/>
      <c r="G334" s="3559"/>
      <c r="H334" s="3559"/>
      <c r="I334" s="3559"/>
      <c r="J334" s="3559"/>
      <c r="K334" s="3559"/>
      <c r="L334" s="3559"/>
      <c r="M334" s="3559"/>
      <c r="N334" s="3559"/>
      <c r="O334" s="3559"/>
      <c r="P334" s="3559"/>
      <c r="Q334" s="3559"/>
      <c r="R334" s="3559"/>
      <c r="S334" s="3559"/>
      <c r="T334" s="3559"/>
      <c r="U334" s="3559"/>
      <c r="V334" s="3559"/>
      <c r="W334" s="3559"/>
      <c r="X334" s="2487"/>
      <c r="Y334" s="1153"/>
      <c r="Z334" s="1153"/>
      <c r="AF334" s="2570"/>
      <c r="AG334" s="2570"/>
      <c r="BL334" s="80"/>
    </row>
    <row r="335" spans="1:64" s="2569" customFormat="1">
      <c r="A335" s="1648"/>
      <c r="B335" s="2626"/>
      <c r="C335" s="1845"/>
      <c r="D335" s="3559"/>
      <c r="E335" s="3559"/>
      <c r="F335" s="3559"/>
      <c r="G335" s="3559"/>
      <c r="H335" s="3559"/>
      <c r="I335" s="3559"/>
      <c r="J335" s="3559"/>
      <c r="K335" s="3559"/>
      <c r="L335" s="3559"/>
      <c r="M335" s="3559"/>
      <c r="N335" s="3559"/>
      <c r="O335" s="3559"/>
      <c r="P335" s="3559"/>
      <c r="Q335" s="3559"/>
      <c r="R335" s="3559"/>
      <c r="S335" s="3559"/>
      <c r="T335" s="3559"/>
      <c r="U335" s="3559"/>
      <c r="V335" s="3559"/>
      <c r="W335" s="3559"/>
      <c r="X335" s="2487"/>
      <c r="Y335" s="1153"/>
      <c r="Z335" s="1153"/>
      <c r="AF335" s="2570"/>
      <c r="AG335" s="2570"/>
      <c r="BL335" s="80"/>
    </row>
    <row r="336" spans="1:64" s="2569" customFormat="1">
      <c r="A336" s="1648"/>
      <c r="B336" s="2626"/>
      <c r="C336" s="1845"/>
      <c r="D336" s="2591"/>
      <c r="E336" s="2565"/>
      <c r="F336" s="2565"/>
      <c r="G336" s="2565"/>
      <c r="H336" s="2565"/>
      <c r="I336" s="2565"/>
      <c r="J336" s="2565"/>
      <c r="K336" s="2565"/>
      <c r="L336" s="2565"/>
      <c r="M336" s="2565"/>
      <c r="N336" s="2565"/>
      <c r="O336" s="2565"/>
      <c r="P336" s="2565"/>
      <c r="Q336" s="2565"/>
      <c r="R336" s="2565"/>
      <c r="S336" s="2565"/>
      <c r="T336" s="2565"/>
      <c r="U336" s="2565"/>
      <c r="V336" s="2565"/>
      <c r="W336" s="2565"/>
      <c r="X336" s="2487"/>
      <c r="Y336" s="1153"/>
      <c r="Z336" s="1153"/>
      <c r="AF336" s="2570"/>
      <c r="AG336" s="2570"/>
      <c r="BL336" s="80"/>
    </row>
    <row r="337" spans="1:64" s="2569" customFormat="1">
      <c r="A337" s="1648"/>
      <c r="B337" s="2626"/>
      <c r="C337" s="1845"/>
      <c r="D337" s="3560" t="s">
        <v>2539</v>
      </c>
      <c r="E337" s="3560"/>
      <c r="F337" s="3560"/>
      <c r="G337" s="3560"/>
      <c r="H337" s="3560"/>
      <c r="I337" s="3560"/>
      <c r="J337" s="3560"/>
      <c r="K337" s="3560"/>
      <c r="L337" s="3560"/>
      <c r="M337" s="3560"/>
      <c r="N337" s="3560"/>
      <c r="O337" s="3560"/>
      <c r="P337" s="3560"/>
      <c r="Q337" s="3560"/>
      <c r="R337" s="3560"/>
      <c r="S337" s="3560"/>
      <c r="T337" s="3560"/>
      <c r="U337" s="3560"/>
      <c r="V337" s="3560"/>
      <c r="W337" s="2565"/>
      <c r="X337" s="2487"/>
      <c r="Y337" s="2574" t="s">
        <v>1993</v>
      </c>
      <c r="Z337" s="1153"/>
      <c r="AF337" s="2570"/>
      <c r="AG337" s="2570"/>
      <c r="BL337" s="80"/>
    </row>
    <row r="338" spans="1:64" s="2569" customFormat="1">
      <c r="A338" s="1648"/>
      <c r="B338" s="2626"/>
      <c r="C338" s="1845"/>
      <c r="D338" s="3560"/>
      <c r="E338" s="3560"/>
      <c r="F338" s="3560"/>
      <c r="G338" s="3560"/>
      <c r="H338" s="3560"/>
      <c r="I338" s="3560"/>
      <c r="J338" s="3560"/>
      <c r="K338" s="3560"/>
      <c r="L338" s="3560"/>
      <c r="M338" s="3560"/>
      <c r="N338" s="3560"/>
      <c r="O338" s="3560"/>
      <c r="P338" s="3560"/>
      <c r="Q338" s="3560"/>
      <c r="R338" s="3560"/>
      <c r="S338" s="3560"/>
      <c r="T338" s="3560"/>
      <c r="U338" s="3560"/>
      <c r="V338" s="3560"/>
      <c r="W338" s="2565"/>
      <c r="X338" s="2487"/>
      <c r="Y338" s="2574"/>
      <c r="Z338" s="1153"/>
      <c r="AF338" s="2570"/>
      <c r="AG338" s="2570"/>
      <c r="BL338" s="80"/>
    </row>
    <row r="339" spans="1:64" s="2661" customFormat="1">
      <c r="A339" s="1648"/>
      <c r="B339" s="2626"/>
      <c r="C339" s="1845"/>
      <c r="D339" s="3641" t="s">
        <v>2023</v>
      </c>
      <c r="E339" s="3641"/>
      <c r="F339" s="3641"/>
      <c r="G339" s="3641"/>
      <c r="H339" s="3641"/>
      <c r="I339" s="3641"/>
      <c r="J339" s="3641"/>
      <c r="K339" s="3641"/>
      <c r="L339" s="3641"/>
      <c r="M339" s="3641"/>
      <c r="N339" s="3641"/>
      <c r="O339" s="3641"/>
      <c r="P339" s="3641"/>
      <c r="Q339" s="3641"/>
      <c r="R339" s="3641"/>
      <c r="S339" s="3641"/>
      <c r="T339" s="3641"/>
      <c r="U339" s="3641"/>
      <c r="V339" s="3641"/>
      <c r="W339" s="3641"/>
      <c r="X339" s="2487"/>
      <c r="Y339" s="2574"/>
      <c r="Z339" s="1153"/>
      <c r="AF339" s="2662"/>
      <c r="AG339" s="2662"/>
      <c r="BL339" s="80"/>
    </row>
    <row r="340" spans="1:64" s="2661" customFormat="1">
      <c r="A340" s="1648"/>
      <c r="B340" s="2626"/>
      <c r="C340" s="1845"/>
      <c r="D340" s="3641"/>
      <c r="E340" s="3641"/>
      <c r="F340" s="3641"/>
      <c r="G340" s="3641"/>
      <c r="H340" s="3641"/>
      <c r="I340" s="3641"/>
      <c r="J340" s="3641"/>
      <c r="K340" s="3641"/>
      <c r="L340" s="3641"/>
      <c r="M340" s="3641"/>
      <c r="N340" s="3641"/>
      <c r="O340" s="3641"/>
      <c r="P340" s="3641"/>
      <c r="Q340" s="3641"/>
      <c r="R340" s="3641"/>
      <c r="S340" s="3641"/>
      <c r="T340" s="3641"/>
      <c r="U340" s="3641"/>
      <c r="V340" s="3641"/>
      <c r="W340" s="3641"/>
      <c r="X340" s="2487"/>
      <c r="Y340" s="2574"/>
      <c r="Z340" s="1153"/>
      <c r="AF340" s="2662"/>
      <c r="AG340" s="2662"/>
      <c r="BL340" s="80"/>
    </row>
    <row r="341" spans="1:64" s="2269" customFormat="1">
      <c r="A341" s="1648"/>
      <c r="B341" s="2626"/>
      <c r="C341" s="1845"/>
      <c r="D341" s="3559" t="s">
        <v>2044</v>
      </c>
      <c r="E341" s="3559"/>
      <c r="F341" s="3559"/>
      <c r="G341" s="3559"/>
      <c r="H341" s="3559"/>
      <c r="I341" s="3559"/>
      <c r="J341" s="3559"/>
      <c r="K341" s="3559"/>
      <c r="L341" s="3559"/>
      <c r="M341" s="3559"/>
      <c r="N341" s="3559"/>
      <c r="O341" s="3559"/>
      <c r="P341" s="3559"/>
      <c r="Q341" s="3559"/>
      <c r="R341" s="3559"/>
      <c r="S341" s="3559"/>
      <c r="T341" s="3559"/>
      <c r="U341" s="3559"/>
      <c r="V341" s="3559"/>
      <c r="W341" s="3559"/>
      <c r="X341" s="2487"/>
      <c r="Y341" s="1153"/>
      <c r="Z341" s="1153"/>
      <c r="AF341" s="2273"/>
      <c r="AG341" s="2273"/>
      <c r="BL341" s="80"/>
    </row>
    <row r="342" spans="1:64" s="2569" customFormat="1" ht="13.2" customHeight="1">
      <c r="A342" s="1648"/>
      <c r="B342" s="2626"/>
      <c r="C342" s="1845"/>
      <c r="D342" s="3559" t="s">
        <v>2020</v>
      </c>
      <c r="E342" s="3559"/>
      <c r="F342" s="3559"/>
      <c r="G342" s="3559"/>
      <c r="H342" s="3559"/>
      <c r="I342" s="3559"/>
      <c r="J342" s="3559"/>
      <c r="K342" s="3559"/>
      <c r="L342" s="3559"/>
      <c r="M342" s="3559"/>
      <c r="N342" s="3559"/>
      <c r="O342" s="3559"/>
      <c r="P342" s="3559"/>
      <c r="Q342" s="3559"/>
      <c r="R342" s="3559"/>
      <c r="S342" s="3559"/>
      <c r="T342" s="3559"/>
      <c r="U342" s="3559"/>
      <c r="V342" s="3559"/>
      <c r="W342" s="3559"/>
      <c r="X342" s="2487"/>
      <c r="Y342" s="1153"/>
      <c r="Z342" s="1153"/>
      <c r="AF342" s="2570"/>
      <c r="AG342" s="2570"/>
      <c r="BL342" s="80"/>
    </row>
    <row r="343" spans="1:64" s="2569" customFormat="1">
      <c r="A343" s="1648"/>
      <c r="B343" s="2626"/>
      <c r="C343" s="1845"/>
      <c r="D343" s="3559"/>
      <c r="E343" s="3559"/>
      <c r="F343" s="3559"/>
      <c r="G343" s="3559"/>
      <c r="H343" s="3559"/>
      <c r="I343" s="3559"/>
      <c r="J343" s="3559"/>
      <c r="K343" s="3559"/>
      <c r="L343" s="3559"/>
      <c r="M343" s="3559"/>
      <c r="N343" s="3559"/>
      <c r="O343" s="3559"/>
      <c r="P343" s="3559"/>
      <c r="Q343" s="3559"/>
      <c r="R343" s="3559"/>
      <c r="S343" s="3559"/>
      <c r="T343" s="3559"/>
      <c r="U343" s="3559"/>
      <c r="V343" s="3559"/>
      <c r="W343" s="3559"/>
      <c r="X343" s="2487"/>
      <c r="Y343" s="1153"/>
      <c r="Z343" s="1153"/>
      <c r="AF343" s="2570"/>
      <c r="AG343" s="2570"/>
      <c r="BL343" s="80"/>
    </row>
    <row r="344" spans="1:64" s="2569" customFormat="1">
      <c r="A344" s="1648"/>
      <c r="B344" s="2626"/>
      <c r="C344" s="1845"/>
      <c r="D344" s="3559"/>
      <c r="E344" s="3559"/>
      <c r="F344" s="3559"/>
      <c r="G344" s="3559"/>
      <c r="H344" s="3559"/>
      <c r="I344" s="3559"/>
      <c r="J344" s="3559"/>
      <c r="K344" s="3559"/>
      <c r="L344" s="3559"/>
      <c r="M344" s="3559"/>
      <c r="N344" s="3559"/>
      <c r="O344" s="3559"/>
      <c r="P344" s="3559"/>
      <c r="Q344" s="3559"/>
      <c r="R344" s="3559"/>
      <c r="S344" s="3559"/>
      <c r="T344" s="3559"/>
      <c r="U344" s="3559"/>
      <c r="V344" s="3559"/>
      <c r="W344" s="3559"/>
      <c r="X344" s="2487"/>
      <c r="Y344" s="1153"/>
      <c r="Z344" s="1153"/>
      <c r="AF344" s="2570"/>
      <c r="AG344" s="2570"/>
      <c r="BL344" s="80"/>
    </row>
    <row r="345" spans="1:64" s="2569" customFormat="1">
      <c r="A345" s="1648"/>
      <c r="B345" s="2626"/>
      <c r="C345" s="1845"/>
      <c r="D345" s="2592" t="s">
        <v>1999</v>
      </c>
      <c r="E345" s="2644"/>
      <c r="F345" s="2644"/>
      <c r="G345" s="2644"/>
      <c r="H345" s="2644"/>
      <c r="I345" s="2644"/>
      <c r="J345" s="2644"/>
      <c r="K345" s="2644"/>
      <c r="L345" s="2644"/>
      <c r="M345" s="2644"/>
      <c r="N345" s="2644"/>
      <c r="O345" s="2644"/>
      <c r="P345" s="2644"/>
      <c r="Q345" s="2644"/>
      <c r="R345" s="2644"/>
      <c r="S345" s="2644"/>
      <c r="T345" s="2644"/>
      <c r="U345" s="2644"/>
      <c r="V345" s="2644"/>
      <c r="W345" s="2644"/>
      <c r="X345" s="2487"/>
      <c r="Y345" s="1153"/>
      <c r="Z345" s="1153"/>
      <c r="AF345" s="2570"/>
      <c r="AG345" s="2570"/>
      <c r="BL345" s="80"/>
    </row>
    <row r="346" spans="1:64" s="2569" customFormat="1">
      <c r="A346" s="1648"/>
      <c r="B346" s="2626"/>
      <c r="C346" s="1845"/>
      <c r="D346" s="3559" t="s">
        <v>2021</v>
      </c>
      <c r="E346" s="3559"/>
      <c r="F346" s="3559"/>
      <c r="G346" s="3559"/>
      <c r="H346" s="3559"/>
      <c r="I346" s="3559"/>
      <c r="J346" s="3559"/>
      <c r="K346" s="3559"/>
      <c r="L346" s="3559"/>
      <c r="M346" s="3559"/>
      <c r="N346" s="3559"/>
      <c r="O346" s="3559"/>
      <c r="P346" s="3559"/>
      <c r="Q346" s="3559"/>
      <c r="R346" s="3559"/>
      <c r="S346" s="3559"/>
      <c r="T346" s="3559"/>
      <c r="U346" s="3559"/>
      <c r="V346" s="3559"/>
      <c r="W346" s="3559"/>
      <c r="X346" s="2487"/>
      <c r="Y346" s="1153"/>
      <c r="Z346" s="1153"/>
      <c r="AF346" s="2570"/>
      <c r="AG346" s="2570"/>
      <c r="BL346" s="80"/>
    </row>
    <row r="347" spans="1:64" s="2569" customFormat="1">
      <c r="A347" s="1648"/>
      <c r="B347" s="2626"/>
      <c r="C347" s="1845"/>
      <c r="D347" s="3559"/>
      <c r="E347" s="3559"/>
      <c r="F347" s="3559"/>
      <c r="G347" s="3559"/>
      <c r="H347" s="3559"/>
      <c r="I347" s="3559"/>
      <c r="J347" s="3559"/>
      <c r="K347" s="3559"/>
      <c r="L347" s="3559"/>
      <c r="M347" s="3559"/>
      <c r="N347" s="3559"/>
      <c r="O347" s="3559"/>
      <c r="P347" s="3559"/>
      <c r="Q347" s="3559"/>
      <c r="R347" s="3559"/>
      <c r="S347" s="3559"/>
      <c r="T347" s="3559"/>
      <c r="U347" s="3559"/>
      <c r="V347" s="3559"/>
      <c r="W347" s="3559"/>
      <c r="X347" s="2487"/>
      <c r="Y347" s="1153"/>
      <c r="Z347" s="1153"/>
      <c r="AF347" s="2570"/>
      <c r="AG347" s="2570"/>
      <c r="BL347" s="80"/>
    </row>
    <row r="348" spans="1:64" s="2569" customFormat="1">
      <c r="A348" s="1648"/>
      <c r="B348" s="2626"/>
      <c r="C348" s="1845"/>
      <c r="D348" s="3559"/>
      <c r="E348" s="3559"/>
      <c r="F348" s="3559"/>
      <c r="G348" s="3559"/>
      <c r="H348" s="3559"/>
      <c r="I348" s="3559"/>
      <c r="J348" s="3559"/>
      <c r="K348" s="3559"/>
      <c r="L348" s="3559"/>
      <c r="M348" s="3559"/>
      <c r="N348" s="3559"/>
      <c r="O348" s="3559"/>
      <c r="P348" s="3559"/>
      <c r="Q348" s="3559"/>
      <c r="R348" s="3559"/>
      <c r="S348" s="3559"/>
      <c r="T348" s="3559"/>
      <c r="U348" s="3559"/>
      <c r="V348" s="3559"/>
      <c r="W348" s="3559"/>
      <c r="X348" s="2487"/>
      <c r="Y348" s="1153"/>
      <c r="Z348" s="1153"/>
      <c r="AF348" s="2570"/>
      <c r="AG348" s="2570"/>
      <c r="BL348" s="80"/>
    </row>
    <row r="349" spans="1:64" s="2545" customFormat="1">
      <c r="A349" s="1648"/>
      <c r="B349" s="2626"/>
      <c r="C349" s="1845"/>
      <c r="D349" s="2592" t="s">
        <v>2022</v>
      </c>
      <c r="E349" s="2591"/>
      <c r="F349" s="2591"/>
      <c r="G349" s="2591"/>
      <c r="H349" s="2591"/>
      <c r="I349" s="2591"/>
      <c r="J349" s="2591"/>
      <c r="K349" s="2591"/>
      <c r="L349" s="2591"/>
      <c r="M349" s="2591"/>
      <c r="N349" s="2591"/>
      <c r="O349" s="2591"/>
      <c r="P349" s="2591"/>
      <c r="Q349" s="2591"/>
      <c r="R349" s="2591"/>
      <c r="S349" s="2591"/>
      <c r="T349" s="2591"/>
      <c r="U349" s="2591"/>
      <c r="V349" s="2591"/>
      <c r="W349" s="2591"/>
      <c r="X349" s="2487"/>
      <c r="Y349" s="2574" t="s">
        <v>1910</v>
      </c>
      <c r="Z349" s="1153"/>
      <c r="AF349" s="2547"/>
      <c r="AG349" s="2547"/>
      <c r="BL349" s="80"/>
    </row>
    <row r="350" spans="1:64" s="2569" customFormat="1">
      <c r="A350" s="1648"/>
      <c r="B350" s="2626"/>
      <c r="C350" s="1845"/>
      <c r="D350" s="2592"/>
      <c r="E350" s="2591"/>
      <c r="F350" s="2591"/>
      <c r="G350" s="2591"/>
      <c r="H350" s="2591"/>
      <c r="I350" s="2591"/>
      <c r="J350" s="2591"/>
      <c r="K350" s="2591"/>
      <c r="L350" s="2591"/>
      <c r="M350" s="2591"/>
      <c r="N350" s="2591"/>
      <c r="O350" s="2591"/>
      <c r="P350" s="2591"/>
      <c r="Q350" s="2591"/>
      <c r="R350" s="2591"/>
      <c r="S350" s="2591"/>
      <c r="T350" s="2591"/>
      <c r="U350" s="2591"/>
      <c r="V350" s="2591"/>
      <c r="W350" s="2591"/>
      <c r="X350" s="2487"/>
      <c r="Y350" s="2574"/>
      <c r="Z350" s="1153"/>
      <c r="AF350" s="2570"/>
      <c r="AG350" s="2570"/>
      <c r="BL350" s="80"/>
    </row>
    <row r="351" spans="1:64" s="2569" customFormat="1">
      <c r="A351" s="1648"/>
      <c r="B351" s="2626"/>
      <c r="C351" s="1845"/>
      <c r="D351" s="2645" t="str">
        <f>CONCATENATE("Hypothetical Mobile and Fixed D*/Ebitda* resp. stand at 1.5x and ", ROUND('GEARINGS, E&amp;Enot'!AJ333,1),"x. If we assume and add an operational cash level similar to Belgacom's (",ROUND(CALCULATIONS!MV7,1),"x), resulting tD*/Ebitda* would imply a Financial Risk :")</f>
        <v>Hypothetical Mobile and Fixed D*/Ebitda* resp. stand at 1.5x and 2.3x. If we assume and add an operational cash level similar to Belgacom's (0.1x), resulting tD*/Ebitda* would imply a Financial Risk :</v>
      </c>
      <c r="E351" s="2592"/>
      <c r="F351" s="2592"/>
      <c r="G351" s="2592"/>
      <c r="H351" s="2592"/>
      <c r="I351" s="2592"/>
      <c r="J351" s="2592"/>
      <c r="K351" s="2592"/>
      <c r="L351" s="2591"/>
      <c r="M351" s="2591"/>
      <c r="N351" s="2591"/>
      <c r="O351" s="2591"/>
      <c r="P351" s="2591"/>
      <c r="Q351" s="2591"/>
      <c r="R351" s="2591"/>
      <c r="S351" s="2591"/>
      <c r="T351" s="2591"/>
      <c r="U351" s="2591"/>
      <c r="V351" s="2591"/>
      <c r="W351" s="2591"/>
      <c r="X351" s="2487"/>
      <c r="Y351" s="2574"/>
      <c r="Z351" s="1153"/>
      <c r="AF351" s="2570"/>
      <c r="AG351" s="2570"/>
      <c r="BL351" s="80"/>
    </row>
    <row r="352" spans="1:64" s="2569" customFormat="1">
      <c r="A352" s="1648"/>
      <c r="B352" s="3432" t="s">
        <v>2036</v>
      </c>
      <c r="C352" s="1845"/>
      <c r="D352" s="2639" t="s">
        <v>1994</v>
      </c>
      <c r="E352" s="2592"/>
      <c r="F352" s="2592"/>
      <c r="G352" s="2592"/>
      <c r="H352" s="2592"/>
      <c r="I352" s="2592"/>
      <c r="J352" s="2592"/>
      <c r="K352" s="2592"/>
      <c r="L352" s="2591"/>
      <c r="M352" s="2591"/>
      <c r="N352" s="2591"/>
      <c r="O352" s="2591"/>
      <c r="P352" s="2591"/>
      <c r="Q352" s="2591"/>
      <c r="R352" s="2591"/>
      <c r="S352" s="2591"/>
      <c r="T352" s="2591"/>
      <c r="U352" s="2591"/>
      <c r="V352" s="2591"/>
      <c r="W352" s="2591"/>
      <c r="X352" s="2487"/>
      <c r="Y352" s="2574"/>
      <c r="Z352" s="1153"/>
      <c r="AF352" s="2570"/>
      <c r="AG352" s="2570"/>
      <c r="BL352" s="80"/>
    </row>
    <row r="353" spans="1:64" s="2569" customFormat="1">
      <c r="A353" s="1648"/>
      <c r="B353" s="3433"/>
      <c r="C353" s="1845"/>
      <c r="D353" s="2639" t="s">
        <v>1995</v>
      </c>
      <c r="E353" s="2592"/>
      <c r="F353" s="2592"/>
      <c r="G353" s="2592"/>
      <c r="H353" s="2592"/>
      <c r="I353" s="2592"/>
      <c r="J353" s="2592"/>
      <c r="K353" s="2592"/>
      <c r="L353" s="2591"/>
      <c r="M353" s="2591"/>
      <c r="N353" s="2591"/>
      <c r="O353" s="2591"/>
      <c r="P353" s="2591"/>
      <c r="Q353" s="2591"/>
      <c r="R353" s="2591"/>
      <c r="S353" s="2591"/>
      <c r="T353" s="2591"/>
      <c r="U353" s="2591"/>
      <c r="V353" s="2591"/>
      <c r="W353" s="2591"/>
      <c r="X353" s="2487"/>
      <c r="Y353" s="2574"/>
      <c r="Z353" s="1153"/>
      <c r="AF353" s="2570"/>
      <c r="AG353" s="2570"/>
      <c r="BL353" s="80"/>
    </row>
    <row r="354" spans="1:64" s="2569" customFormat="1">
      <c r="A354" s="1648"/>
      <c r="B354" s="2626"/>
      <c r="C354" s="1845"/>
      <c r="D354" s="2592"/>
      <c r="E354" s="2591"/>
      <c r="F354" s="2591"/>
      <c r="G354" s="2591"/>
      <c r="H354" s="2591"/>
      <c r="I354" s="2591"/>
      <c r="J354" s="2591"/>
      <c r="K354" s="2591"/>
      <c r="L354" s="2591"/>
      <c r="M354" s="2591"/>
      <c r="N354" s="2591"/>
      <c r="O354" s="2591"/>
      <c r="P354" s="2591"/>
      <c r="Q354" s="2591"/>
      <c r="R354" s="2591"/>
      <c r="S354" s="2591"/>
      <c r="T354" s="2591"/>
      <c r="U354" s="2591"/>
      <c r="V354" s="2591"/>
      <c r="W354" s="2591"/>
      <c r="X354" s="2487"/>
      <c r="Y354" s="2574"/>
      <c r="Z354" s="1153"/>
      <c r="AF354" s="2570"/>
      <c r="AG354" s="2570"/>
      <c r="BL354" s="80"/>
    </row>
    <row r="355" spans="1:64" s="2569" customFormat="1" ht="13.2" customHeight="1">
      <c r="A355" s="1648"/>
      <c r="B355" s="2626"/>
      <c r="C355" s="1845"/>
      <c r="D355" s="3647" t="s">
        <v>2540</v>
      </c>
      <c r="E355" s="3648"/>
      <c r="F355" s="3648"/>
      <c r="G355" s="3648"/>
      <c r="H355" s="3648"/>
      <c r="I355" s="3648"/>
      <c r="J355" s="3648"/>
      <c r="K355" s="3648"/>
      <c r="L355" s="3648"/>
      <c r="M355" s="3648"/>
      <c r="N355" s="3648"/>
      <c r="O355" s="3648"/>
      <c r="P355" s="3648"/>
      <c r="Q355" s="3648"/>
      <c r="R355" s="3648"/>
      <c r="S355" s="3648"/>
      <c r="T355" s="3648"/>
      <c r="U355" s="3648"/>
      <c r="V355" s="3648"/>
      <c r="W355" s="3649"/>
      <c r="X355" s="2487"/>
      <c r="Y355" s="2574"/>
      <c r="Z355" s="1153"/>
      <c r="AF355" s="2570"/>
      <c r="AG355" s="2570"/>
      <c r="BL355" s="80"/>
    </row>
    <row r="356" spans="1:64" s="2569" customFormat="1" ht="13.2" customHeight="1">
      <c r="A356" s="1648"/>
      <c r="B356" s="2626"/>
      <c r="C356" s="1845"/>
      <c r="D356" s="3650"/>
      <c r="E356" s="3651"/>
      <c r="F356" s="3651"/>
      <c r="G356" s="3651"/>
      <c r="H356" s="3651"/>
      <c r="I356" s="3651"/>
      <c r="J356" s="3651"/>
      <c r="K356" s="3651"/>
      <c r="L356" s="3651"/>
      <c r="M356" s="3651"/>
      <c r="N356" s="3651"/>
      <c r="O356" s="3651"/>
      <c r="P356" s="3651"/>
      <c r="Q356" s="3651"/>
      <c r="R356" s="3651"/>
      <c r="S356" s="3651"/>
      <c r="T356" s="3651"/>
      <c r="U356" s="3651"/>
      <c r="V356" s="3651"/>
      <c r="W356" s="3652"/>
      <c r="X356" s="2487"/>
      <c r="Y356" s="1153"/>
      <c r="Z356" s="1153"/>
      <c r="AF356" s="2570"/>
      <c r="AG356" s="2570"/>
      <c r="BL356" s="80"/>
    </row>
    <row r="357" spans="1:64" s="2545" customFormat="1" ht="13.2" customHeight="1">
      <c r="A357" s="1648"/>
      <c r="B357" s="2626"/>
      <c r="C357" s="1845"/>
      <c r="D357" s="3640" t="s">
        <v>2024</v>
      </c>
      <c r="E357" s="3641"/>
      <c r="F357" s="3641"/>
      <c r="G357" s="3641"/>
      <c r="H357" s="3641"/>
      <c r="I357" s="3641"/>
      <c r="J357" s="3641"/>
      <c r="K357" s="3641"/>
      <c r="L357" s="3641"/>
      <c r="M357" s="3641"/>
      <c r="N357" s="3641"/>
      <c r="O357" s="3641"/>
      <c r="P357" s="3641"/>
      <c r="Q357" s="3641"/>
      <c r="R357" s="3641"/>
      <c r="S357" s="3641"/>
      <c r="T357" s="3641"/>
      <c r="U357" s="3641"/>
      <c r="V357" s="3641"/>
      <c r="W357" s="3642"/>
      <c r="X357" s="2593"/>
      <c r="Y357" s="1153"/>
      <c r="Z357" s="1153"/>
      <c r="AF357" s="2547"/>
      <c r="AG357" s="2547"/>
      <c r="BL357" s="80"/>
    </row>
    <row r="358" spans="1:64" s="2545" customFormat="1">
      <c r="A358" s="1648"/>
      <c r="B358" s="2626"/>
      <c r="C358" s="1845"/>
      <c r="D358" s="3640"/>
      <c r="E358" s="3641"/>
      <c r="F358" s="3641"/>
      <c r="G358" s="3641"/>
      <c r="H358" s="3641"/>
      <c r="I358" s="3641"/>
      <c r="J358" s="3641"/>
      <c r="K358" s="3641"/>
      <c r="L358" s="3641"/>
      <c r="M358" s="3641"/>
      <c r="N358" s="3641"/>
      <c r="O358" s="3641"/>
      <c r="P358" s="3641"/>
      <c r="Q358" s="3641"/>
      <c r="R358" s="3641"/>
      <c r="S358" s="3641"/>
      <c r="T358" s="3641"/>
      <c r="U358" s="3641"/>
      <c r="V358" s="3641"/>
      <c r="W358" s="3642"/>
      <c r="X358" s="2593"/>
      <c r="Y358" s="1153"/>
      <c r="Z358" s="1153"/>
      <c r="AF358" s="2547"/>
      <c r="AG358" s="2547"/>
      <c r="BL358" s="80"/>
    </row>
    <row r="359" spans="1:64" s="2545" customFormat="1">
      <c r="A359" s="1648"/>
      <c r="B359" s="2626"/>
      <c r="C359" s="1845"/>
      <c r="D359" s="3643" t="s">
        <v>2045</v>
      </c>
      <c r="E359" s="3644"/>
      <c r="F359" s="3644"/>
      <c r="G359" s="3644"/>
      <c r="H359" s="3644"/>
      <c r="I359" s="3644"/>
      <c r="J359" s="3644"/>
      <c r="K359" s="3644"/>
      <c r="L359" s="3644"/>
      <c r="M359" s="3644"/>
      <c r="N359" s="3644"/>
      <c r="O359" s="3644"/>
      <c r="P359" s="3644"/>
      <c r="Q359" s="3644"/>
      <c r="R359" s="3644"/>
      <c r="S359" s="3644"/>
      <c r="T359" s="3644"/>
      <c r="U359" s="3644"/>
      <c r="V359" s="3644"/>
      <c r="W359" s="3645"/>
      <c r="X359" s="2593"/>
      <c r="Y359" s="1153"/>
      <c r="Z359" s="1153"/>
      <c r="AF359" s="2547"/>
      <c r="AG359" s="2547"/>
      <c r="BL359" s="80"/>
    </row>
    <row r="360" spans="1:64" s="2545" customFormat="1">
      <c r="A360" s="1648"/>
      <c r="B360" s="2626"/>
      <c r="C360" s="1845"/>
      <c r="D360" s="3643"/>
      <c r="E360" s="3644"/>
      <c r="F360" s="3644"/>
      <c r="G360" s="3644"/>
      <c r="H360" s="3644"/>
      <c r="I360" s="3644"/>
      <c r="J360" s="3644"/>
      <c r="K360" s="3644"/>
      <c r="L360" s="3644"/>
      <c r="M360" s="3644"/>
      <c r="N360" s="3644"/>
      <c r="O360" s="3644"/>
      <c r="P360" s="3644"/>
      <c r="Q360" s="3644"/>
      <c r="R360" s="3644"/>
      <c r="S360" s="3644"/>
      <c r="T360" s="3644"/>
      <c r="U360" s="3644"/>
      <c r="V360" s="3644"/>
      <c r="W360" s="3645"/>
      <c r="X360" s="2593"/>
      <c r="Y360" s="1153"/>
      <c r="Z360" s="1153"/>
      <c r="AF360" s="2547"/>
      <c r="AG360" s="2547"/>
      <c r="BL360" s="80"/>
    </row>
    <row r="361" spans="1:64" s="2569" customFormat="1" ht="13.2" customHeight="1">
      <c r="A361" s="1648"/>
      <c r="B361" s="2626"/>
      <c r="C361" s="1845"/>
      <c r="D361" s="2648" t="s">
        <v>2025</v>
      </c>
      <c r="E361" s="2649"/>
      <c r="F361" s="2649"/>
      <c r="G361" s="2649"/>
      <c r="H361" s="2649"/>
      <c r="I361" s="2649"/>
      <c r="J361" s="2649"/>
      <c r="K361" s="2649"/>
      <c r="L361" s="2649"/>
      <c r="M361" s="2649"/>
      <c r="N361" s="2649"/>
      <c r="O361" s="2649"/>
      <c r="P361" s="2649"/>
      <c r="Q361" s="2649"/>
      <c r="R361" s="2649"/>
      <c r="S361" s="2649"/>
      <c r="T361" s="2649"/>
      <c r="U361" s="2649"/>
      <c r="V361" s="2649"/>
      <c r="W361" s="2650"/>
      <c r="X361" s="2593"/>
      <c r="Y361" s="1153"/>
      <c r="Z361" s="1153"/>
      <c r="AF361" s="2570"/>
      <c r="AG361" s="2570"/>
      <c r="BL361" s="80"/>
    </row>
    <row r="362" spans="1:64" s="2545" customFormat="1" ht="13.2" customHeight="1">
      <c r="A362" s="1648"/>
      <c r="B362" s="2626"/>
      <c r="C362" s="1845"/>
      <c r="D362" s="1742" t="s">
        <v>2000</v>
      </c>
      <c r="E362" s="1742"/>
      <c r="F362" s="1742"/>
      <c r="G362" s="1742"/>
      <c r="H362" s="1742"/>
      <c r="I362" s="1742"/>
      <c r="J362" s="1742"/>
      <c r="K362" s="1742"/>
      <c r="L362" s="1742"/>
      <c r="M362" s="1742"/>
      <c r="N362" s="1742"/>
      <c r="O362" s="1742"/>
      <c r="P362" s="1742"/>
      <c r="Q362" s="1742"/>
      <c r="R362" s="1742"/>
      <c r="S362" s="1742"/>
      <c r="T362" s="1742"/>
      <c r="U362" s="1742"/>
      <c r="V362" s="1742"/>
      <c r="W362" s="1742"/>
      <c r="X362" s="2593"/>
      <c r="Y362" s="1153"/>
      <c r="Z362" s="1153"/>
      <c r="AF362" s="2547"/>
      <c r="AG362" s="2547"/>
      <c r="BL362" s="80"/>
    </row>
    <row r="363" spans="1:64" s="2269" customFormat="1" ht="13.2" customHeight="1">
      <c r="A363" s="1648"/>
      <c r="B363" s="2626"/>
      <c r="C363" s="1845"/>
      <c r="D363" s="1745" t="s">
        <v>2001</v>
      </c>
      <c r="E363" s="1742"/>
      <c r="F363" s="1742"/>
      <c r="G363" s="1742"/>
      <c r="H363" s="1742"/>
      <c r="I363" s="1742"/>
      <c r="J363" s="1742"/>
      <c r="K363" s="1742"/>
      <c r="L363" s="1742"/>
      <c r="M363" s="1742"/>
      <c r="N363" s="1742"/>
      <c r="O363" s="1742"/>
      <c r="P363" s="1742"/>
      <c r="Q363" s="1742"/>
      <c r="R363" s="1742"/>
      <c r="S363" s="1742"/>
      <c r="T363" s="1742"/>
      <c r="U363" s="1742"/>
      <c r="V363" s="1742"/>
      <c r="W363" s="1742"/>
      <c r="X363" s="2622"/>
      <c r="Y363" s="2640"/>
      <c r="Z363" s="2641"/>
      <c r="AA363" s="2641"/>
      <c r="AB363" s="2641"/>
      <c r="AF363" s="2273"/>
      <c r="AG363" s="2273"/>
      <c r="BL363" s="80"/>
    </row>
    <row r="364" spans="1:64" s="2569" customFormat="1" ht="13.2" customHeight="1">
      <c r="A364" s="1648"/>
      <c r="B364" s="2626"/>
      <c r="C364" s="1845"/>
      <c r="D364" s="1745" t="s">
        <v>2002</v>
      </c>
      <c r="X364" s="2622"/>
      <c r="Y364" s="2640"/>
      <c r="Z364" s="2641"/>
      <c r="AA364" s="2641"/>
      <c r="AB364" s="2641"/>
      <c r="AF364" s="2570"/>
      <c r="AG364" s="2570"/>
      <c r="BL364" s="80"/>
    </row>
    <row r="365" spans="1:64" s="2569" customFormat="1" ht="13.2" customHeight="1">
      <c r="A365" s="1648"/>
      <c r="B365" s="2626"/>
      <c r="C365" s="1845"/>
      <c r="D365" s="1745"/>
      <c r="X365" s="2622"/>
      <c r="Y365" s="2641"/>
      <c r="Z365" s="2641"/>
      <c r="AA365" s="2641"/>
      <c r="AB365" s="2641"/>
      <c r="AF365" s="2570"/>
      <c r="AG365" s="2570"/>
      <c r="BL365" s="80"/>
    </row>
    <row r="366" spans="1:64" s="2545" customFormat="1" ht="13.2" customHeight="1">
      <c r="A366" s="1648"/>
      <c r="B366" s="2626"/>
      <c r="C366" s="1845"/>
      <c r="D366" s="2651" t="s">
        <v>1998</v>
      </c>
      <c r="E366" s="2565"/>
      <c r="F366" s="2565"/>
      <c r="G366" s="2565"/>
      <c r="H366" s="2565"/>
      <c r="I366" s="2565"/>
      <c r="J366" s="2565"/>
      <c r="K366" s="2565"/>
      <c r="L366" s="2565"/>
      <c r="M366" s="2565"/>
      <c r="N366" s="2565"/>
      <c r="O366" s="2565"/>
      <c r="P366" s="2565"/>
      <c r="Q366" s="2565"/>
      <c r="R366" s="2565"/>
      <c r="S366" s="2565"/>
      <c r="T366" s="2565"/>
      <c r="U366" s="2565"/>
      <c r="V366" s="2565"/>
      <c r="W366" s="2565"/>
      <c r="X366" s="2595"/>
      <c r="AF366" s="2547"/>
      <c r="AG366" s="2547"/>
      <c r="BL366" s="80"/>
    </row>
    <row r="367" spans="1:64" s="2545" customFormat="1">
      <c r="A367" s="1648"/>
      <c r="B367" s="3475" t="s">
        <v>2037</v>
      </c>
      <c r="C367" s="1845"/>
      <c r="D367" s="2594" t="s">
        <v>1997</v>
      </c>
      <c r="E367" s="2565"/>
      <c r="F367" s="2565"/>
      <c r="G367" s="2565"/>
      <c r="H367" s="2604"/>
      <c r="I367" s="2565"/>
      <c r="J367" s="2665"/>
      <c r="L367" s="2565"/>
      <c r="M367" s="2565"/>
      <c r="N367" s="2565"/>
      <c r="O367" s="2565"/>
      <c r="P367" s="2565"/>
      <c r="Q367" s="2565"/>
      <c r="R367" s="2565"/>
      <c r="S367" s="2565"/>
      <c r="T367" s="2565"/>
      <c r="U367" s="2565"/>
      <c r="V367" s="2565"/>
      <c r="W367" s="2565"/>
      <c r="X367" s="2595"/>
      <c r="AF367" s="2547"/>
      <c r="AG367" s="2547"/>
      <c r="BL367" s="80"/>
    </row>
    <row r="368" spans="1:64" s="2545" customFormat="1">
      <c r="A368" s="1648"/>
      <c r="B368" s="3475"/>
      <c r="C368" s="1845"/>
      <c r="D368" s="2594" t="s">
        <v>1996</v>
      </c>
      <c r="E368" s="2591"/>
      <c r="F368" s="2591"/>
      <c r="G368" s="2591"/>
      <c r="H368" s="2604"/>
      <c r="I368" s="2591"/>
      <c r="J368" s="2647" t="s">
        <v>2026</v>
      </c>
      <c r="L368" s="2591"/>
      <c r="M368" s="2591"/>
      <c r="N368" s="2591"/>
      <c r="O368" s="2591"/>
      <c r="P368" s="2591"/>
      <c r="Q368" s="2591"/>
      <c r="R368" s="2591"/>
      <c r="S368" s="2591"/>
      <c r="T368" s="2591"/>
      <c r="U368" s="2591"/>
      <c r="V368" s="2591"/>
      <c r="W368" s="2591"/>
      <c r="X368" s="2487"/>
      <c r="AF368" s="2547"/>
      <c r="AG368" s="2547"/>
      <c r="BL368" s="80"/>
    </row>
    <row r="369" spans="1:64" s="2269" customFormat="1">
      <c r="A369" s="1648"/>
      <c r="B369" s="2627"/>
      <c r="C369" s="2485"/>
      <c r="D369" s="2488"/>
      <c r="E369" s="90"/>
      <c r="F369" s="90"/>
      <c r="G369" s="90"/>
      <c r="H369" s="90"/>
      <c r="I369" s="90"/>
      <c r="J369" s="90"/>
      <c r="K369" s="90"/>
      <c r="L369" s="2489"/>
      <c r="M369" s="90"/>
      <c r="N369" s="90"/>
      <c r="O369" s="90"/>
      <c r="P369" s="2490"/>
      <c r="Q369" s="2490"/>
      <c r="R369" s="2490"/>
      <c r="S369" s="2490"/>
      <c r="T369" s="2490"/>
      <c r="U369" s="2490"/>
      <c r="V369" s="2490"/>
      <c r="W369" s="2490"/>
      <c r="X369" s="2491"/>
      <c r="Z369" s="1153"/>
      <c r="AF369" s="2273"/>
      <c r="AG369" s="2273"/>
      <c r="BL369" s="80"/>
    </row>
    <row r="370" spans="1:64" s="1808" customFormat="1">
      <c r="A370" s="1648"/>
      <c r="B370" s="1648"/>
      <c r="C370" s="1845"/>
      <c r="D370" s="1809"/>
      <c r="E370" s="1648"/>
      <c r="F370" s="1809"/>
      <c r="G370" s="1649"/>
      <c r="H370" s="1648"/>
      <c r="I370" s="1809"/>
      <c r="J370" s="1648"/>
      <c r="Q370" s="1426"/>
      <c r="R370" s="1165"/>
      <c r="S370" s="1696"/>
      <c r="T370" s="1696"/>
      <c r="U370" s="1696"/>
      <c r="V370" s="1696"/>
      <c r="W370" s="1165"/>
      <c r="X370" s="1809"/>
      <c r="AF370" s="1809"/>
      <c r="AG370" s="1809"/>
      <c r="BL370" s="80"/>
    </row>
    <row r="371" spans="1:64" s="1801" customFormat="1">
      <c r="C371" s="92"/>
      <c r="D371" s="1091" t="s">
        <v>1602</v>
      </c>
      <c r="L371" s="1705"/>
      <c r="P371" s="1836"/>
      <c r="Q371" s="1836"/>
      <c r="R371" s="1836"/>
      <c r="S371" s="1836"/>
      <c r="T371" s="1836"/>
      <c r="U371" s="1836"/>
      <c r="V371" s="1836"/>
      <c r="X371" s="1832"/>
      <c r="Y371" s="1834"/>
      <c r="Z371" s="1835"/>
      <c r="AA371" s="1153"/>
      <c r="AF371" s="1802"/>
      <c r="AG371" s="1802"/>
      <c r="BL371" s="80"/>
    </row>
    <row r="372" spans="1:64" s="1801" customFormat="1" ht="13.2" customHeight="1">
      <c r="C372" s="92"/>
      <c r="D372" s="1823" t="s">
        <v>1598</v>
      </c>
      <c r="L372" s="1705"/>
      <c r="P372" s="1802" t="s">
        <v>1612</v>
      </c>
      <c r="Q372" s="1836"/>
      <c r="R372" s="1838"/>
      <c r="S372" s="1836"/>
      <c r="T372" s="1836"/>
      <c r="U372" s="1836"/>
      <c r="V372" s="1836"/>
      <c r="X372" s="1832"/>
      <c r="Y372" s="1153" t="s">
        <v>1633</v>
      </c>
      <c r="Z372" s="1153"/>
      <c r="AA372" s="1153"/>
      <c r="AB372" s="1153"/>
      <c r="AF372" s="1802"/>
      <c r="AG372" s="1802"/>
      <c r="BL372" s="80"/>
    </row>
    <row r="373" spans="1:64" s="1801" customFormat="1">
      <c r="C373" s="92"/>
      <c r="D373" s="1823"/>
      <c r="L373" s="1705"/>
      <c r="P373" s="1837"/>
      <c r="Q373" s="1836"/>
      <c r="R373" s="1673" t="s">
        <v>1858</v>
      </c>
      <c r="S373" s="1836"/>
      <c r="T373" s="1836"/>
      <c r="V373" s="1836"/>
      <c r="X373" s="1832"/>
      <c r="Y373" s="1153" t="s">
        <v>1634</v>
      </c>
      <c r="Z373" s="1153"/>
      <c r="AA373" s="1153"/>
      <c r="AB373" s="1153"/>
      <c r="AF373" s="1802"/>
      <c r="AG373" s="1802"/>
      <c r="BL373" s="80"/>
    </row>
    <row r="374" spans="1:64" s="1801" customFormat="1">
      <c r="C374" s="92"/>
      <c r="D374" s="1823"/>
      <c r="L374" s="1705"/>
      <c r="P374" s="1836"/>
      <c r="Q374" s="1836"/>
      <c r="R374" s="1882" t="s">
        <v>1636</v>
      </c>
      <c r="S374" s="1836"/>
      <c r="T374" s="1836"/>
      <c r="V374" s="1836"/>
      <c r="X374" s="1832"/>
      <c r="AF374" s="1802"/>
      <c r="AG374" s="1802"/>
      <c r="BL374" s="80"/>
    </row>
    <row r="375" spans="1:64" s="1801" customFormat="1">
      <c r="C375" s="92"/>
      <c r="L375" s="1705"/>
      <c r="N375" s="1209"/>
      <c r="O375" s="1209"/>
      <c r="P375" s="1802"/>
      <c r="Q375" s="1802"/>
      <c r="R375" s="1802"/>
      <c r="S375" s="1802"/>
      <c r="T375" s="1802"/>
      <c r="U375" s="1857" t="s">
        <v>1599</v>
      </c>
      <c r="V375" s="1799"/>
      <c r="X375" s="1805"/>
      <c r="Y375" s="1153" t="s">
        <v>1635</v>
      </c>
      <c r="AF375" s="1802"/>
      <c r="AG375" s="1802"/>
      <c r="BL375" s="80"/>
    </row>
    <row r="376" spans="1:64" s="1801" customFormat="1">
      <c r="C376" s="92"/>
      <c r="D376" s="1418"/>
      <c r="L376" s="1705"/>
      <c r="N376" s="1209"/>
      <c r="O376" s="1209"/>
      <c r="P376" s="1802"/>
      <c r="Q376" s="1802"/>
      <c r="R376" s="1802"/>
      <c r="S376" s="1802"/>
      <c r="T376" s="1802"/>
      <c r="U376" s="1802"/>
      <c r="V376" s="1799"/>
      <c r="X376" s="1805"/>
      <c r="Y376" s="1153" t="s">
        <v>1600</v>
      </c>
      <c r="AF376" s="1802"/>
      <c r="AG376" s="1802"/>
      <c r="BL376" s="80"/>
    </row>
    <row r="377" spans="1:64" s="1801" customFormat="1">
      <c r="C377" s="92"/>
      <c r="D377" s="1418"/>
      <c r="L377" s="1705"/>
      <c r="N377" s="1209"/>
      <c r="O377" s="1209"/>
      <c r="P377" s="1209"/>
      <c r="Q377" s="1802"/>
      <c r="R377" s="1209"/>
      <c r="S377" s="1802"/>
      <c r="T377" s="1209"/>
      <c r="U377" s="1209"/>
      <c r="V377" s="1799"/>
      <c r="X377" s="1805"/>
      <c r="AF377" s="1802"/>
      <c r="AG377" s="1802"/>
      <c r="BL377" s="80"/>
    </row>
    <row r="378" spans="1:64" s="1801" customFormat="1">
      <c r="C378" s="92"/>
      <c r="D378" s="1418"/>
      <c r="L378" s="1705"/>
      <c r="M378" s="1854"/>
      <c r="N378" s="1209"/>
      <c r="O378" s="1209"/>
      <c r="P378" s="1209"/>
      <c r="Q378" s="1802"/>
      <c r="R378" s="1209"/>
      <c r="S378" s="1802"/>
      <c r="T378" s="1209"/>
      <c r="U378" s="1209"/>
      <c r="V378" s="1799"/>
      <c r="X378" s="1805"/>
      <c r="Y378" s="3599" t="s">
        <v>1856</v>
      </c>
      <c r="Z378" s="3599"/>
      <c r="AA378" s="3599"/>
      <c r="AB378" s="3599"/>
      <c r="AF378" s="1802"/>
      <c r="AG378" s="1802"/>
      <c r="BL378" s="80"/>
    </row>
    <row r="379" spans="1:64" s="1801" customFormat="1">
      <c r="C379" s="92"/>
      <c r="D379" s="1418"/>
      <c r="L379" s="1705"/>
      <c r="V379" s="1799"/>
      <c r="X379" s="1805"/>
      <c r="Y379" s="3599"/>
      <c r="Z379" s="3599"/>
      <c r="AA379" s="3599"/>
      <c r="AB379" s="3599"/>
      <c r="AF379" s="1802"/>
      <c r="AG379" s="1802"/>
      <c r="BL379" s="80"/>
    </row>
    <row r="380" spans="1:64" s="1801" customFormat="1">
      <c r="C380" s="92"/>
      <c r="D380" s="1418"/>
      <c r="L380" s="1705"/>
      <c r="V380" s="1799"/>
      <c r="X380" s="1805"/>
      <c r="AF380" s="1802"/>
      <c r="AG380" s="1802"/>
      <c r="BL380" s="80"/>
    </row>
    <row r="381" spans="1:64" s="1801" customFormat="1">
      <c r="C381" s="92"/>
      <c r="D381" s="1418"/>
      <c r="L381" s="1705"/>
      <c r="V381" s="1799"/>
      <c r="X381" s="1805"/>
      <c r="AF381" s="1802"/>
      <c r="AG381" s="1802"/>
      <c r="BL381" s="80"/>
    </row>
    <row r="382" spans="1:64" s="1801" customFormat="1">
      <c r="C382" s="92"/>
      <c r="D382" s="1418"/>
      <c r="L382" s="1705"/>
      <c r="M382" s="1745" t="s">
        <v>1865</v>
      </c>
      <c r="V382" s="1799"/>
      <c r="X382" s="1805"/>
      <c r="AF382" s="1802"/>
      <c r="AG382" s="1802"/>
      <c r="BL382" s="80"/>
    </row>
    <row r="383" spans="1:64" s="1801" customFormat="1">
      <c r="C383" s="92"/>
      <c r="D383" s="1418"/>
      <c r="L383" s="1705"/>
      <c r="X383" s="1805"/>
      <c r="AF383" s="1802"/>
      <c r="AG383" s="1802"/>
      <c r="BL383" s="80"/>
    </row>
    <row r="384" spans="1:64" s="1801" customFormat="1">
      <c r="C384" s="92"/>
      <c r="D384" s="1418"/>
      <c r="L384" s="1705"/>
      <c r="V384" s="1872"/>
      <c r="X384" s="1805"/>
      <c r="Y384" s="3430" t="s">
        <v>1857</v>
      </c>
      <c r="Z384" s="3430"/>
      <c r="AA384" s="3430"/>
      <c r="AB384" s="3430"/>
      <c r="AF384" s="1802"/>
      <c r="AG384" s="1802"/>
      <c r="BL384" s="80"/>
    </row>
    <row r="385" spans="3:64" s="1801" customFormat="1">
      <c r="C385" s="92"/>
      <c r="D385" s="1418"/>
      <c r="L385" s="1705"/>
      <c r="M385" s="1745" t="s">
        <v>1639</v>
      </c>
      <c r="U385" s="79" t="s">
        <v>1605</v>
      </c>
      <c r="V385" s="1799"/>
      <c r="X385" s="1805"/>
      <c r="Y385" s="3430"/>
      <c r="Z385" s="3430"/>
      <c r="AA385" s="3430"/>
      <c r="AB385" s="3430"/>
      <c r="AF385" s="1802"/>
      <c r="AG385" s="1802"/>
      <c r="BL385" s="80"/>
    </row>
    <row r="386" spans="3:64" s="1801" customFormat="1">
      <c r="C386" s="92"/>
      <c r="D386" s="1418"/>
      <c r="L386" s="1705"/>
      <c r="M386" s="1745" t="s">
        <v>1640</v>
      </c>
      <c r="U386" s="79" t="s">
        <v>1606</v>
      </c>
      <c r="X386" s="1805"/>
      <c r="AF386" s="1802"/>
      <c r="AG386" s="1802"/>
      <c r="BL386" s="80"/>
    </row>
    <row r="387" spans="3:64" s="1801" customFormat="1">
      <c r="C387" s="92"/>
      <c r="D387" s="1418"/>
      <c r="L387" s="1705"/>
      <c r="U387" s="1799"/>
      <c r="V387" s="1799"/>
      <c r="X387" s="1805"/>
      <c r="AF387" s="1802"/>
      <c r="AG387" s="1802"/>
      <c r="BL387" s="80"/>
    </row>
    <row r="388" spans="3:64" s="1801" customFormat="1">
      <c r="C388" s="92"/>
      <c r="D388" s="1418"/>
      <c r="L388" s="1705"/>
      <c r="U388" s="1799"/>
      <c r="V388" s="1799"/>
      <c r="X388" s="1805"/>
      <c r="AF388" s="1802"/>
      <c r="AG388" s="1802"/>
      <c r="BL388" s="80"/>
    </row>
    <row r="389" spans="3:64" s="1801" customFormat="1">
      <c r="C389" s="92"/>
      <c r="D389" s="3600" t="s">
        <v>1980</v>
      </c>
      <c r="E389" s="3601"/>
      <c r="F389" s="3601"/>
      <c r="G389" s="3601"/>
      <c r="H389" s="3601"/>
      <c r="I389" s="3601"/>
      <c r="J389" s="3601"/>
      <c r="K389" s="3601"/>
      <c r="L389" s="3601"/>
      <c r="M389" s="3601"/>
      <c r="N389" s="3601"/>
      <c r="O389" s="3601"/>
      <c r="P389" s="3601"/>
      <c r="Q389" s="3601"/>
      <c r="R389" s="3601"/>
      <c r="S389" s="3601"/>
      <c r="T389" s="3601"/>
      <c r="U389" s="3601"/>
      <c r="V389" s="3601"/>
      <c r="W389" s="3602"/>
      <c r="X389" s="1805"/>
      <c r="AF389" s="1802"/>
      <c r="AG389" s="1802"/>
      <c r="BL389" s="80"/>
    </row>
    <row r="390" spans="3:64" s="1801" customFormat="1">
      <c r="C390" s="92"/>
      <c r="D390" s="3603"/>
      <c r="E390" s="3604"/>
      <c r="F390" s="3604"/>
      <c r="G390" s="3604"/>
      <c r="H390" s="3604"/>
      <c r="I390" s="3604"/>
      <c r="J390" s="3604"/>
      <c r="K390" s="3604"/>
      <c r="L390" s="3604"/>
      <c r="M390" s="3604"/>
      <c r="N390" s="3604"/>
      <c r="O390" s="3604"/>
      <c r="P390" s="3604"/>
      <c r="Q390" s="3604"/>
      <c r="R390" s="3604"/>
      <c r="S390" s="3604"/>
      <c r="T390" s="3604"/>
      <c r="U390" s="3604"/>
      <c r="V390" s="3604"/>
      <c r="W390" s="3605"/>
      <c r="X390" s="1805"/>
      <c r="AF390" s="1802"/>
      <c r="AG390" s="1802"/>
      <c r="BL390" s="80"/>
    </row>
    <row r="391" spans="3:64" s="1801" customFormat="1">
      <c r="C391" s="92"/>
      <c r="D391" s="3606"/>
      <c r="E391" s="3607"/>
      <c r="F391" s="3607"/>
      <c r="G391" s="3607"/>
      <c r="H391" s="3607"/>
      <c r="I391" s="3607"/>
      <c r="J391" s="3607"/>
      <c r="K391" s="3607"/>
      <c r="L391" s="3607"/>
      <c r="M391" s="3607"/>
      <c r="N391" s="3607"/>
      <c r="O391" s="3607"/>
      <c r="P391" s="3607"/>
      <c r="Q391" s="3607"/>
      <c r="R391" s="3607"/>
      <c r="S391" s="3607"/>
      <c r="T391" s="3607"/>
      <c r="U391" s="3607"/>
      <c r="V391" s="3607"/>
      <c r="W391" s="3608"/>
      <c r="X391" s="1805"/>
      <c r="AF391" s="1802"/>
      <c r="AG391" s="1802"/>
      <c r="BL391" s="80"/>
    </row>
    <row r="392" spans="3:64" s="1801" customFormat="1">
      <c r="C392" s="92"/>
      <c r="D392" s="79"/>
      <c r="E392" s="1812"/>
      <c r="M392" s="1705"/>
      <c r="V392" s="1799"/>
      <c r="W392" s="1799"/>
      <c r="X392" s="1805"/>
      <c r="AF392" s="1802"/>
      <c r="AG392" s="1802"/>
      <c r="BL392" s="80"/>
    </row>
    <row r="393" spans="3:64" s="1801" customFormat="1">
      <c r="C393" s="92"/>
      <c r="D393" s="1839" t="s">
        <v>1638</v>
      </c>
      <c r="E393" s="1854"/>
      <c r="F393" s="1854"/>
      <c r="G393" s="1854"/>
      <c r="H393" s="1854"/>
      <c r="I393" s="1854"/>
      <c r="J393" s="1854"/>
      <c r="K393" s="1854"/>
      <c r="L393" s="1705"/>
      <c r="M393" s="1854"/>
      <c r="N393" s="1854"/>
      <c r="O393" s="1854"/>
      <c r="P393" s="1854"/>
      <c r="Q393" s="1854"/>
      <c r="R393" s="1854"/>
      <c r="S393" s="1854"/>
      <c r="T393" s="1854"/>
      <c r="U393" s="1854"/>
      <c r="V393" s="1854"/>
      <c r="X393" s="1805"/>
      <c r="Y393" s="1153" t="s">
        <v>1637</v>
      </c>
      <c r="AF393" s="1802"/>
      <c r="AG393" s="1802"/>
      <c r="BL393" s="80"/>
    </row>
    <row r="394" spans="3:64" s="1801" customFormat="1">
      <c r="C394" s="92"/>
      <c r="D394" s="1917" t="s">
        <v>1603</v>
      </c>
      <c r="E394" s="1854"/>
      <c r="F394" s="1854"/>
      <c r="G394" s="1854"/>
      <c r="H394" s="1854"/>
      <c r="I394" s="1854"/>
      <c r="J394" s="1854"/>
      <c r="K394" s="1854"/>
      <c r="L394" s="1705"/>
      <c r="M394" s="1854"/>
      <c r="N394" s="1854"/>
      <c r="O394" s="1854"/>
      <c r="P394" s="1854"/>
      <c r="Q394" s="1854"/>
      <c r="R394" s="1854"/>
      <c r="S394" s="1854"/>
      <c r="T394" s="1854"/>
      <c r="U394" s="1854"/>
      <c r="V394" s="1854"/>
      <c r="X394" s="1805"/>
      <c r="AF394" s="1802"/>
      <c r="AG394" s="1802"/>
      <c r="BL394" s="80"/>
    </row>
    <row r="395" spans="3:64" s="1801" customFormat="1">
      <c r="C395" s="92"/>
      <c r="D395" s="1918" t="s">
        <v>1607</v>
      </c>
      <c r="E395" s="1854"/>
      <c r="F395" s="1854"/>
      <c r="G395" s="1854"/>
      <c r="H395" s="1854"/>
      <c r="I395" s="1854"/>
      <c r="J395" s="1854"/>
      <c r="K395" s="1854"/>
      <c r="L395" s="1705"/>
      <c r="M395" s="1854"/>
      <c r="N395" s="1854"/>
      <c r="O395" s="1854"/>
      <c r="P395" s="1854"/>
      <c r="Q395" s="1854"/>
      <c r="R395" s="1854"/>
      <c r="S395" s="1854"/>
      <c r="T395" s="1854"/>
      <c r="U395" s="1854"/>
      <c r="V395" s="1854"/>
      <c r="X395" s="1805"/>
      <c r="AF395" s="1802"/>
      <c r="AG395" s="1802"/>
      <c r="BL395" s="80"/>
    </row>
    <row r="396" spans="3:64" s="1801" customFormat="1">
      <c r="C396" s="92"/>
      <c r="D396" s="1917" t="s">
        <v>1604</v>
      </c>
      <c r="E396" s="1854"/>
      <c r="F396" s="1854"/>
      <c r="G396" s="1854"/>
      <c r="H396" s="1854"/>
      <c r="I396" s="1854"/>
      <c r="J396" s="1854"/>
      <c r="K396" s="1854"/>
      <c r="L396" s="1705"/>
      <c r="M396" s="1854"/>
      <c r="N396" s="1854"/>
      <c r="O396" s="1854"/>
      <c r="P396" s="1854"/>
      <c r="Q396" s="1854"/>
      <c r="R396" s="1854"/>
      <c r="S396" s="1854"/>
      <c r="T396" s="1854"/>
      <c r="U396" s="1854"/>
      <c r="V396" s="1854"/>
      <c r="X396" s="1805"/>
      <c r="AF396" s="1802"/>
      <c r="AG396" s="1802"/>
      <c r="BL396" s="80"/>
    </row>
    <row r="397" spans="3:64" s="1801" customFormat="1">
      <c r="C397" s="92"/>
      <c r="D397" s="3578" t="s">
        <v>1608</v>
      </c>
      <c r="E397" s="3578"/>
      <c r="F397" s="3578"/>
      <c r="G397" s="3578"/>
      <c r="H397" s="3578"/>
      <c r="I397" s="3578"/>
      <c r="J397" s="3578"/>
      <c r="K397" s="3578"/>
      <c r="L397" s="3578"/>
      <c r="M397" s="3578"/>
      <c r="N397" s="3578"/>
      <c r="O397" s="3578"/>
      <c r="P397" s="3578"/>
      <c r="Q397" s="3578"/>
      <c r="R397" s="3578"/>
      <c r="S397" s="3578"/>
      <c r="T397" s="3578"/>
      <c r="U397" s="3578"/>
      <c r="V397" s="3578"/>
      <c r="W397" s="3578"/>
      <c r="X397" s="1805"/>
      <c r="AF397" s="1802"/>
      <c r="AG397" s="1802"/>
      <c r="BL397" s="80"/>
    </row>
    <row r="398" spans="3:64" s="1801" customFormat="1">
      <c r="C398" s="92"/>
      <c r="D398" s="3578"/>
      <c r="E398" s="3578"/>
      <c r="F398" s="3578"/>
      <c r="G398" s="3578"/>
      <c r="H398" s="3578"/>
      <c r="I398" s="3578"/>
      <c r="J398" s="3578"/>
      <c r="K398" s="3578"/>
      <c r="L398" s="3578"/>
      <c r="M398" s="3578"/>
      <c r="N398" s="3578"/>
      <c r="O398" s="3578"/>
      <c r="P398" s="3578"/>
      <c r="Q398" s="3578"/>
      <c r="R398" s="3578"/>
      <c r="S398" s="3578"/>
      <c r="T398" s="3578"/>
      <c r="U398" s="3578"/>
      <c r="V398" s="3578"/>
      <c r="W398" s="3578"/>
      <c r="X398" s="1805"/>
      <c r="AF398" s="1802"/>
      <c r="AG398" s="1802"/>
      <c r="BL398" s="80"/>
    </row>
    <row r="399" spans="3:64" s="1801" customFormat="1">
      <c r="C399" s="92"/>
      <c r="D399" s="3579" t="s">
        <v>1609</v>
      </c>
      <c r="E399" s="3579"/>
      <c r="F399" s="3579"/>
      <c r="G399" s="3579"/>
      <c r="H399" s="3579"/>
      <c r="I399" s="3579"/>
      <c r="J399" s="3579"/>
      <c r="K399" s="3579"/>
      <c r="L399" s="3579"/>
      <c r="M399" s="3579"/>
      <c r="N399" s="3579"/>
      <c r="O399" s="3579"/>
      <c r="P399" s="3579"/>
      <c r="Q399" s="3579"/>
      <c r="R399" s="3579"/>
      <c r="S399" s="3579"/>
      <c r="T399" s="3579"/>
      <c r="U399" s="3579"/>
      <c r="V399" s="3579"/>
      <c r="W399" s="3579"/>
      <c r="X399" s="1805"/>
      <c r="AF399" s="1802"/>
      <c r="AG399" s="1802"/>
      <c r="BL399" s="80"/>
    </row>
    <row r="400" spans="3:64" s="1801" customFormat="1">
      <c r="C400" s="92"/>
      <c r="D400" s="3579"/>
      <c r="E400" s="3579"/>
      <c r="F400" s="3579"/>
      <c r="G400" s="3579"/>
      <c r="H400" s="3579"/>
      <c r="I400" s="3579"/>
      <c r="J400" s="3579"/>
      <c r="K400" s="3579"/>
      <c r="L400" s="3579"/>
      <c r="M400" s="3579"/>
      <c r="N400" s="3579"/>
      <c r="O400" s="3579"/>
      <c r="P400" s="3579"/>
      <c r="Q400" s="3579"/>
      <c r="R400" s="3579"/>
      <c r="S400" s="3579"/>
      <c r="T400" s="3579"/>
      <c r="U400" s="3579"/>
      <c r="V400" s="3579"/>
      <c r="W400" s="3579"/>
      <c r="X400" s="1805"/>
      <c r="AF400" s="1802"/>
      <c r="AG400" s="1802"/>
      <c r="BL400" s="80"/>
    </row>
    <row r="401" spans="2:64" s="1801" customFormat="1">
      <c r="C401" s="92"/>
      <c r="D401" s="3580" t="s">
        <v>1610</v>
      </c>
      <c r="E401" s="3580"/>
      <c r="F401" s="3580"/>
      <c r="G401" s="3580"/>
      <c r="H401" s="3580"/>
      <c r="I401" s="3580"/>
      <c r="J401" s="3580"/>
      <c r="K401" s="3580"/>
      <c r="L401" s="3580"/>
      <c r="M401" s="3580"/>
      <c r="N401" s="3580"/>
      <c r="O401" s="3580"/>
      <c r="P401" s="3580"/>
      <c r="Q401" s="3580"/>
      <c r="R401" s="3580"/>
      <c r="S401" s="3580"/>
      <c r="T401" s="3580"/>
      <c r="U401" s="3580"/>
      <c r="V401" s="3580"/>
      <c r="W401" s="3580"/>
      <c r="X401" s="1805"/>
      <c r="AF401" s="1802"/>
      <c r="AG401" s="1802"/>
      <c r="BL401" s="80"/>
    </row>
    <row r="402" spans="2:64" s="1801" customFormat="1">
      <c r="C402" s="92"/>
      <c r="D402" s="3580"/>
      <c r="E402" s="3580"/>
      <c r="F402" s="3580"/>
      <c r="G402" s="3580"/>
      <c r="H402" s="3580"/>
      <c r="I402" s="3580"/>
      <c r="J402" s="3580"/>
      <c r="K402" s="3580"/>
      <c r="L402" s="3580"/>
      <c r="M402" s="3580"/>
      <c r="N402" s="3580"/>
      <c r="O402" s="3580"/>
      <c r="P402" s="3580"/>
      <c r="Q402" s="3580"/>
      <c r="R402" s="3580"/>
      <c r="S402" s="3580"/>
      <c r="T402" s="3580"/>
      <c r="U402" s="3580"/>
      <c r="V402" s="3580"/>
      <c r="W402" s="3580"/>
      <c r="X402" s="1805"/>
      <c r="AF402" s="1802"/>
      <c r="AG402" s="1802"/>
      <c r="BL402" s="80"/>
    </row>
    <row r="403" spans="2:64" s="2269" customFormat="1">
      <c r="C403" s="92"/>
      <c r="D403" s="2280"/>
      <c r="E403" s="2280"/>
      <c r="F403" s="2280"/>
      <c r="G403" s="2280"/>
      <c r="H403" s="2280"/>
      <c r="I403" s="2280"/>
      <c r="J403" s="2280"/>
      <c r="K403" s="2280"/>
      <c r="L403" s="2280"/>
      <c r="M403" s="2280"/>
      <c r="N403" s="2280"/>
      <c r="O403" s="2280"/>
      <c r="P403" s="2280"/>
      <c r="Q403" s="2280"/>
      <c r="R403" s="2280"/>
      <c r="S403" s="2280"/>
      <c r="T403" s="2280"/>
      <c r="U403" s="2280"/>
      <c r="V403" s="2280"/>
      <c r="W403" s="2280"/>
      <c r="X403" s="2272"/>
      <c r="AF403" s="2273"/>
      <c r="AG403" s="2273"/>
      <c r="BL403" s="80"/>
    </row>
    <row r="404" spans="2:64" s="2269" customFormat="1" ht="13.2" customHeight="1">
      <c r="B404" s="3636" t="s">
        <v>2039</v>
      </c>
      <c r="C404" s="135"/>
      <c r="D404" s="2480" t="s">
        <v>1977</v>
      </c>
      <c r="E404" s="2481"/>
      <c r="F404" s="2481"/>
      <c r="G404" s="2481"/>
      <c r="H404" s="2481"/>
      <c r="I404" s="2481"/>
      <c r="J404" s="2481"/>
      <c r="K404" s="2481"/>
      <c r="L404" s="2481"/>
      <c r="M404" s="2481"/>
      <c r="N404" s="2481"/>
      <c r="O404" s="2481"/>
      <c r="P404" s="2481"/>
      <c r="Q404" s="2481"/>
      <c r="R404" s="2481"/>
      <c r="S404" s="2481"/>
      <c r="T404" s="2481"/>
      <c r="U404" s="2481"/>
      <c r="V404" s="2481"/>
      <c r="W404" s="2481"/>
      <c r="X404" s="2492"/>
      <c r="AF404" s="2273"/>
      <c r="AG404" s="2273"/>
      <c r="BL404" s="80"/>
    </row>
    <row r="405" spans="2:64" s="2269" customFormat="1" ht="13.2" customHeight="1">
      <c r="B405" s="3637"/>
      <c r="C405" s="109"/>
      <c r="D405" s="2597" t="s">
        <v>1978</v>
      </c>
      <c r="E405" s="2597"/>
      <c r="F405" s="2597"/>
      <c r="G405" s="2597"/>
      <c r="H405" s="2597"/>
      <c r="I405" s="2597"/>
      <c r="J405" s="2597"/>
      <c r="K405" s="2597"/>
      <c r="L405" s="2597"/>
      <c r="M405" s="2597"/>
      <c r="N405" s="2597"/>
      <c r="O405" s="2597"/>
      <c r="P405" s="2597"/>
      <c r="Q405" s="2597"/>
      <c r="R405" s="2597"/>
      <c r="S405" s="2597"/>
      <c r="T405" s="2597"/>
      <c r="U405" s="2597"/>
      <c r="V405" s="2597"/>
      <c r="W405" s="2597"/>
      <c r="X405" s="2600"/>
      <c r="AF405" s="2273"/>
      <c r="AG405" s="2273"/>
      <c r="BL405" s="80"/>
    </row>
    <row r="406" spans="2:64" s="2569" customFormat="1" ht="13.2" customHeight="1">
      <c r="B406" s="3637"/>
      <c r="C406" s="109"/>
      <c r="D406" s="2597" t="s">
        <v>1979</v>
      </c>
      <c r="E406" s="2597"/>
      <c r="F406" s="2597"/>
      <c r="G406" s="2597"/>
      <c r="H406" s="2597"/>
      <c r="I406" s="2597"/>
      <c r="J406" s="2597"/>
      <c r="K406" s="2597"/>
      <c r="L406" s="2597"/>
      <c r="M406" s="2597"/>
      <c r="N406" s="2597"/>
      <c r="O406" s="2597"/>
      <c r="P406" s="2597"/>
      <c r="Q406" s="2597"/>
      <c r="R406" s="2597"/>
      <c r="S406" s="2597"/>
      <c r="T406" s="2597"/>
      <c r="U406" s="2597"/>
      <c r="V406" s="2597"/>
      <c r="W406" s="2597"/>
      <c r="X406" s="2600"/>
      <c r="AF406" s="2570"/>
      <c r="AG406" s="2570"/>
      <c r="BL406" s="80"/>
    </row>
    <row r="407" spans="2:64" s="2545" customFormat="1">
      <c r="B407" s="1079"/>
      <c r="C407" s="109"/>
      <c r="D407" s="2597"/>
      <c r="E407" s="2596"/>
      <c r="F407" s="2596"/>
      <c r="G407" s="2596"/>
      <c r="H407" s="2596"/>
      <c r="I407" s="2596"/>
      <c r="J407" s="2596"/>
      <c r="K407" s="2596"/>
      <c r="L407" s="2596"/>
      <c r="M407" s="2596"/>
      <c r="N407" s="2596"/>
      <c r="O407" s="2596"/>
      <c r="P407" s="2596"/>
      <c r="Q407" s="2596"/>
      <c r="R407" s="2596"/>
      <c r="S407" s="2596"/>
      <c r="T407" s="2596"/>
      <c r="U407" s="2596"/>
      <c r="V407" s="2596"/>
      <c r="W407" s="2596"/>
      <c r="X407" s="2600"/>
      <c r="AF407" s="2547"/>
      <c r="AG407" s="2547"/>
      <c r="BL407" s="80"/>
    </row>
    <row r="408" spans="2:64" s="2545" customFormat="1">
      <c r="B408" s="1079"/>
      <c r="C408" s="109"/>
      <c r="D408" s="2601" t="s">
        <v>1913</v>
      </c>
      <c r="E408" s="2596"/>
      <c r="F408" s="2596"/>
      <c r="G408" s="2596"/>
      <c r="H408" s="2596"/>
      <c r="I408" s="2596"/>
      <c r="J408" s="2596"/>
      <c r="K408" s="2596"/>
      <c r="L408" s="2596"/>
      <c r="M408" s="2596"/>
      <c r="N408" s="2596"/>
      <c r="O408" s="2596"/>
      <c r="P408" s="2596"/>
      <c r="Q408" s="2596"/>
      <c r="R408" s="2596"/>
      <c r="S408" s="2596"/>
      <c r="T408" s="2596"/>
      <c r="U408" s="2596"/>
      <c r="V408" s="2596"/>
      <c r="W408" s="2596"/>
      <c r="X408" s="2600"/>
      <c r="AF408" s="2547"/>
      <c r="AG408" s="2547"/>
      <c r="BL408" s="80"/>
    </row>
    <row r="409" spans="2:64" s="2545" customFormat="1" ht="13.2" customHeight="1">
      <c r="B409" s="1079"/>
      <c r="C409" s="109"/>
      <c r="D409" s="2597" t="s">
        <v>2027</v>
      </c>
      <c r="E409" s="2602"/>
      <c r="F409" s="2602"/>
      <c r="G409" s="2602"/>
      <c r="H409" s="2602"/>
      <c r="I409" s="2602"/>
      <c r="J409" s="2602"/>
      <c r="K409" s="2602"/>
      <c r="L409" s="2602"/>
      <c r="M409" s="2602"/>
      <c r="N409" s="2602"/>
      <c r="O409" s="2602"/>
      <c r="P409" s="2602"/>
      <c r="Q409" s="2602"/>
      <c r="R409" s="2602"/>
      <c r="S409" s="2602"/>
      <c r="T409" s="2602"/>
      <c r="U409" s="2602"/>
      <c r="V409" s="2602"/>
      <c r="W409" s="2602"/>
      <c r="X409" s="2600"/>
      <c r="AF409" s="2547"/>
      <c r="AG409" s="2547"/>
      <c r="BL409" s="80"/>
    </row>
    <row r="410" spans="2:64" s="2545" customFormat="1">
      <c r="B410" s="1079"/>
      <c r="C410" s="109"/>
      <c r="D410" s="2597" t="s">
        <v>2003</v>
      </c>
      <c r="E410" s="2602"/>
      <c r="F410" s="2602"/>
      <c r="G410" s="2602"/>
      <c r="H410" s="2602"/>
      <c r="I410" s="2602"/>
      <c r="J410" s="2602"/>
      <c r="K410" s="2602"/>
      <c r="L410" s="2602"/>
      <c r="M410" s="2602"/>
      <c r="N410" s="2602"/>
      <c r="O410" s="2602"/>
      <c r="P410" s="2602"/>
      <c r="Q410" s="2602"/>
      <c r="R410" s="2602"/>
      <c r="S410" s="2602"/>
      <c r="T410" s="2602"/>
      <c r="U410" s="2602"/>
      <c r="V410" s="2602"/>
      <c r="W410" s="2602"/>
      <c r="X410" s="2603"/>
      <c r="AF410" s="2547"/>
      <c r="AG410" s="2547"/>
      <c r="BL410" s="80"/>
    </row>
    <row r="411" spans="2:64" s="2569" customFormat="1">
      <c r="B411" s="1079"/>
      <c r="C411" s="109"/>
      <c r="D411" s="2642" t="s">
        <v>1981</v>
      </c>
      <c r="E411" s="2602"/>
      <c r="F411" s="2602"/>
      <c r="G411" s="2602"/>
      <c r="H411" s="2602"/>
      <c r="I411" s="2602"/>
      <c r="J411" s="2602"/>
      <c r="K411" s="2602"/>
      <c r="L411" s="2602"/>
      <c r="M411" s="2602"/>
      <c r="N411" s="2602"/>
      <c r="O411" s="2602"/>
      <c r="P411" s="2602"/>
      <c r="Q411" s="2602"/>
      <c r="R411" s="2602"/>
      <c r="S411" s="2602"/>
      <c r="T411" s="2602"/>
      <c r="U411" s="2602"/>
      <c r="V411" s="2602"/>
      <c r="W411" s="2602"/>
      <c r="X411" s="2603"/>
      <c r="AF411" s="2570"/>
      <c r="AG411" s="2570"/>
      <c r="BL411" s="80"/>
    </row>
    <row r="412" spans="2:64" s="2545" customFormat="1">
      <c r="B412" s="3475" t="s">
        <v>2038</v>
      </c>
      <c r="C412" s="109"/>
      <c r="D412" s="2654" t="s">
        <v>2004</v>
      </c>
      <c r="E412" s="2655"/>
      <c r="F412" s="2655"/>
      <c r="G412" s="2655"/>
      <c r="H412" s="2567"/>
      <c r="I412" s="1827"/>
      <c r="J412" s="2652" t="s">
        <v>2006</v>
      </c>
      <c r="K412" s="2653"/>
      <c r="M412" s="2599"/>
      <c r="N412" s="2599"/>
      <c r="O412" s="2599"/>
      <c r="P412" s="2596"/>
      <c r="Q412" s="2596"/>
      <c r="R412" s="2596"/>
      <c r="S412" s="2596"/>
      <c r="T412" s="2596"/>
      <c r="U412" s="2596"/>
      <c r="V412" s="2596"/>
      <c r="W412" s="2596"/>
      <c r="X412" s="2603"/>
      <c r="AF412" s="2547"/>
      <c r="AG412" s="2547"/>
      <c r="BL412" s="80"/>
    </row>
    <row r="413" spans="2:64" s="2545" customFormat="1">
      <c r="B413" s="3475"/>
      <c r="C413" s="109"/>
      <c r="D413" s="2656" t="s">
        <v>2005</v>
      </c>
      <c r="E413" s="2657"/>
      <c r="F413" s="2657"/>
      <c r="G413" s="2657"/>
      <c r="H413" s="1526"/>
      <c r="I413" s="1829"/>
      <c r="J413" s="2652" t="s">
        <v>2008</v>
      </c>
      <c r="K413" s="2646"/>
      <c r="M413" s="2599"/>
      <c r="N413" s="2599"/>
      <c r="O413" s="2599"/>
      <c r="P413" s="2596"/>
      <c r="Q413" s="2596"/>
      <c r="R413" s="2596"/>
      <c r="S413" s="2596"/>
      <c r="T413" s="2596"/>
      <c r="U413" s="2596"/>
      <c r="V413" s="2596"/>
      <c r="W413" s="2596"/>
      <c r="X413" s="2603"/>
      <c r="AF413" s="2547"/>
      <c r="AG413" s="2547"/>
      <c r="BL413" s="80"/>
    </row>
    <row r="414" spans="2:64" s="2569" customFormat="1">
      <c r="B414" s="1079"/>
      <c r="C414" s="109"/>
      <c r="D414" s="2594"/>
      <c r="E414" s="2591"/>
      <c r="F414" s="2591"/>
      <c r="G414" s="2591"/>
      <c r="K414" s="2646"/>
      <c r="L414" s="2646"/>
      <c r="M414" s="2599"/>
      <c r="N414" s="2599"/>
      <c r="O414" s="2599"/>
      <c r="P414" s="2599"/>
      <c r="Q414" s="2599"/>
      <c r="R414" s="2599"/>
      <c r="S414" s="2599"/>
      <c r="T414" s="2599"/>
      <c r="U414" s="2599"/>
      <c r="V414" s="2599"/>
      <c r="W414" s="2599"/>
      <c r="X414" s="2603"/>
      <c r="AF414" s="2570"/>
      <c r="AG414" s="2570"/>
      <c r="BL414" s="80"/>
    </row>
    <row r="415" spans="2:64" s="2545" customFormat="1" ht="13.2" customHeight="1">
      <c r="B415" s="1079"/>
      <c r="C415" s="109"/>
      <c r="D415" s="3638" t="s">
        <v>2007</v>
      </c>
      <c r="E415" s="3639"/>
      <c r="F415" s="3639"/>
      <c r="G415" s="3639"/>
      <c r="H415" s="3639"/>
      <c r="I415" s="3639"/>
      <c r="J415" s="3639"/>
      <c r="K415" s="3639"/>
      <c r="L415" s="3639"/>
      <c r="M415" s="3639"/>
      <c r="N415" s="3639"/>
      <c r="O415" s="3639"/>
      <c r="P415" s="3639"/>
      <c r="Q415" s="3639"/>
      <c r="R415" s="3639"/>
      <c r="S415" s="3639"/>
      <c r="T415" s="3639"/>
      <c r="U415" s="3639"/>
      <c r="V415" s="3639"/>
      <c r="W415" s="3639"/>
      <c r="X415" s="2603"/>
      <c r="AF415" s="2547"/>
      <c r="AG415" s="2547"/>
      <c r="BL415" s="80"/>
    </row>
    <row r="416" spans="2:64" s="2569" customFormat="1">
      <c r="B416" s="1079"/>
      <c r="C416" s="109"/>
      <c r="D416" s="3639"/>
      <c r="E416" s="3639"/>
      <c r="F416" s="3639"/>
      <c r="G416" s="3639"/>
      <c r="H416" s="3639"/>
      <c r="I416" s="3639"/>
      <c r="J416" s="3639"/>
      <c r="K416" s="3639"/>
      <c r="L416" s="3639"/>
      <c r="M416" s="3639"/>
      <c r="N416" s="3639"/>
      <c r="O416" s="3639"/>
      <c r="P416" s="3639"/>
      <c r="Q416" s="3639"/>
      <c r="R416" s="3639"/>
      <c r="S416" s="3639"/>
      <c r="T416" s="3639"/>
      <c r="U416" s="3639"/>
      <c r="V416" s="3639"/>
      <c r="W416" s="3639"/>
      <c r="X416" s="2603"/>
      <c r="AF416" s="2570"/>
      <c r="AG416" s="2570"/>
      <c r="BL416" s="80"/>
    </row>
    <row r="417" spans="1:64" s="2637" customFormat="1">
      <c r="B417" s="1079"/>
      <c r="C417" s="109"/>
      <c r="D417" s="3434" t="s">
        <v>2028</v>
      </c>
      <c r="E417" s="3434"/>
      <c r="F417" s="3434"/>
      <c r="G417" s="3434"/>
      <c r="H417" s="3434"/>
      <c r="I417" s="3434"/>
      <c r="J417" s="3434"/>
      <c r="K417" s="3434"/>
      <c r="L417" s="3434"/>
      <c r="M417" s="3434"/>
      <c r="N417" s="3434"/>
      <c r="O417" s="3434"/>
      <c r="P417" s="3434"/>
      <c r="Q417" s="3434"/>
      <c r="R417" s="3434"/>
      <c r="S417" s="3434"/>
      <c r="T417" s="3434"/>
      <c r="U417" s="3434"/>
      <c r="V417" s="3434"/>
      <c r="W417" s="3434"/>
      <c r="X417" s="2603"/>
      <c r="AF417" s="2638"/>
      <c r="AG417" s="2638"/>
      <c r="BL417" s="80"/>
    </row>
    <row r="418" spans="1:64" s="2269" customFormat="1">
      <c r="B418" s="1079"/>
      <c r="C418" s="109"/>
      <c r="D418" s="3454" t="s">
        <v>1914</v>
      </c>
      <c r="E418" s="3454"/>
      <c r="F418" s="3454"/>
      <c r="G418" s="3454"/>
      <c r="H418" s="3454"/>
      <c r="I418" s="3454"/>
      <c r="J418" s="3454"/>
      <c r="K418" s="3454"/>
      <c r="L418" s="3454"/>
      <c r="M418" s="3454"/>
      <c r="N418" s="3454"/>
      <c r="O418" s="3454"/>
      <c r="P418" s="3454"/>
      <c r="Q418" s="3454"/>
      <c r="R418" s="3454"/>
      <c r="S418" s="3454"/>
      <c r="T418" s="3454"/>
      <c r="U418" s="3454"/>
      <c r="V418" s="3454"/>
      <c r="W418" s="3454"/>
      <c r="X418" s="2554"/>
      <c r="AF418" s="2273"/>
      <c r="AG418" s="2273"/>
      <c r="BL418" s="80"/>
    </row>
    <row r="419" spans="1:64" s="2269" customFormat="1">
      <c r="B419" s="2629"/>
      <c r="C419" s="1622"/>
      <c r="D419" s="2598"/>
      <c r="E419" s="2493"/>
      <c r="F419" s="2493"/>
      <c r="G419" s="2493"/>
      <c r="H419" s="2493"/>
      <c r="I419" s="2493"/>
      <c r="J419" s="2493"/>
      <c r="K419" s="2493"/>
      <c r="L419" s="2493"/>
      <c r="M419" s="2493"/>
      <c r="N419" s="2493"/>
      <c r="O419" s="2493"/>
      <c r="P419" s="2493"/>
      <c r="Q419" s="2493"/>
      <c r="R419" s="2493"/>
      <c r="S419" s="2493"/>
      <c r="T419" s="2493"/>
      <c r="U419" s="2493"/>
      <c r="V419" s="2493"/>
      <c r="W419" s="2493"/>
      <c r="X419" s="2494"/>
      <c r="AF419" s="2273"/>
      <c r="AG419" s="2273"/>
      <c r="BL419" s="80"/>
    </row>
    <row r="420" spans="1:64" s="1854" customFormat="1">
      <c r="C420" s="92"/>
      <c r="D420" s="2613"/>
      <c r="E420" s="1860"/>
      <c r="F420" s="1860"/>
      <c r="G420" s="1860"/>
      <c r="H420" s="1860"/>
      <c r="I420" s="1860"/>
      <c r="J420" s="1860"/>
      <c r="K420" s="1860"/>
      <c r="L420" s="1860"/>
      <c r="M420" s="1860"/>
      <c r="N420" s="1860"/>
      <c r="O420" s="1860"/>
      <c r="P420" s="1860"/>
      <c r="Q420" s="1860"/>
      <c r="R420" s="1860"/>
      <c r="S420" s="1860"/>
      <c r="T420" s="1860"/>
      <c r="U420" s="1860"/>
      <c r="V420" s="1860"/>
      <c r="W420" s="1860"/>
      <c r="X420" s="1852"/>
      <c r="AF420" s="1857"/>
      <c r="AG420" s="1857"/>
      <c r="BL420" s="80"/>
    </row>
    <row r="421" spans="1:64" s="1725" customFormat="1">
      <c r="A421" s="1512" t="s">
        <v>1525</v>
      </c>
      <c r="B421" s="1513"/>
      <c r="C421" s="1847"/>
      <c r="D421" s="1979"/>
      <c r="E421" s="1980"/>
      <c r="F421" s="1980"/>
      <c r="G421" s="1980"/>
      <c r="H421" s="1980"/>
      <c r="I421" s="1980"/>
      <c r="J421" s="1980"/>
      <c r="K421" s="1980"/>
      <c r="L421" s="1980"/>
      <c r="M421" s="1980"/>
      <c r="N421" s="1980"/>
      <c r="O421" s="1980"/>
      <c r="P421" s="1980"/>
      <c r="Q421" s="1980"/>
      <c r="R421" s="1980"/>
      <c r="S421" s="1980"/>
      <c r="T421" s="1980"/>
      <c r="U421" s="1980"/>
      <c r="V421" s="1980"/>
      <c r="W421" s="1980"/>
      <c r="X421" s="1727"/>
      <c r="AF421" s="1727"/>
      <c r="AG421" s="1727"/>
      <c r="BL421" s="2462"/>
    </row>
    <row r="422" spans="1:64" s="1725" customFormat="1">
      <c r="A422" s="1913"/>
      <c r="B422" s="1847"/>
      <c r="C422" s="1847"/>
      <c r="D422" s="1979"/>
      <c r="E422" s="1912"/>
      <c r="F422" s="1912"/>
      <c r="G422" s="1912"/>
      <c r="H422" s="1912"/>
      <c r="I422" s="1912"/>
      <c r="J422" s="1912"/>
      <c r="K422" s="1912"/>
      <c r="L422" s="1912"/>
      <c r="M422" s="1912"/>
      <c r="N422" s="1912"/>
      <c r="O422" s="1912"/>
      <c r="P422" s="1912"/>
      <c r="Q422" s="1912"/>
      <c r="R422" s="1912"/>
      <c r="S422" s="1912"/>
      <c r="T422" s="1912"/>
      <c r="U422" s="1912"/>
      <c r="V422" s="1912"/>
      <c r="W422" s="1912"/>
      <c r="X422" s="1727"/>
      <c r="AF422" s="1727"/>
      <c r="AG422" s="1727"/>
      <c r="BL422" s="2462"/>
    </row>
    <row r="423" spans="1:64" s="1725" customFormat="1">
      <c r="A423" s="1913"/>
      <c r="B423" s="1847"/>
      <c r="C423" s="1847"/>
      <c r="D423" s="1979"/>
      <c r="E423" s="1912"/>
      <c r="F423" s="1912"/>
      <c r="G423" s="1912"/>
      <c r="H423" s="1912"/>
      <c r="I423" s="1912"/>
      <c r="J423" s="1912"/>
      <c r="K423" s="1912"/>
      <c r="L423" s="1912"/>
      <c r="M423" s="1912"/>
      <c r="N423" s="1912"/>
      <c r="O423" s="1912"/>
      <c r="P423" s="1912"/>
      <c r="Q423" s="1912"/>
      <c r="R423" s="1912"/>
      <c r="S423" s="1912"/>
      <c r="T423" s="1912"/>
      <c r="U423" s="1912"/>
      <c r="V423" s="1912"/>
      <c r="W423" s="1912"/>
      <c r="X423" s="1727"/>
      <c r="AF423" s="1727"/>
      <c r="AG423" s="1727"/>
      <c r="BL423" s="2462"/>
    </row>
    <row r="424" spans="1:64" s="1725" customFormat="1">
      <c r="A424" s="1913"/>
      <c r="B424" s="1847"/>
      <c r="C424" s="1847"/>
      <c r="D424" s="1979"/>
      <c r="E424" s="1912"/>
      <c r="F424" s="1912"/>
      <c r="G424" s="1912"/>
      <c r="H424" s="1912"/>
      <c r="I424" s="1912"/>
      <c r="J424" s="1912"/>
      <c r="K424" s="1912"/>
      <c r="L424" s="1912"/>
      <c r="M424" s="1912"/>
      <c r="N424" s="1912"/>
      <c r="O424" s="1912"/>
      <c r="P424" s="1912"/>
      <c r="Q424" s="1912"/>
      <c r="R424" s="1912"/>
      <c r="S424" s="1912"/>
      <c r="T424" s="1912"/>
      <c r="U424" s="1912"/>
      <c r="V424" s="1912"/>
      <c r="W424" s="1912"/>
      <c r="X424" s="1727"/>
      <c r="AF424" s="1727"/>
      <c r="AG424" s="1727"/>
      <c r="BL424" s="2462"/>
    </row>
    <row r="425" spans="1:64" s="2569" customFormat="1">
      <c r="C425" s="92"/>
      <c r="D425" s="2613"/>
      <c r="E425" s="1860"/>
      <c r="F425" s="1860"/>
      <c r="G425" s="1860"/>
      <c r="H425" s="1860"/>
      <c r="I425" s="1860"/>
      <c r="J425" s="1860"/>
      <c r="K425" s="1860"/>
      <c r="L425" s="1860"/>
      <c r="M425" s="1860"/>
      <c r="N425" s="1860"/>
      <c r="O425" s="1860"/>
      <c r="P425" s="1860"/>
      <c r="Q425" s="1860"/>
      <c r="R425" s="1860"/>
      <c r="S425" s="1860"/>
      <c r="T425" s="1860"/>
      <c r="U425" s="1860"/>
      <c r="V425" s="1860"/>
      <c r="W425" s="1860"/>
      <c r="X425" s="2566"/>
      <c r="AF425" s="2570"/>
      <c r="AG425" s="2570"/>
      <c r="BL425" s="80"/>
    </row>
    <row r="426" spans="1:64" s="2545" customFormat="1">
      <c r="C426" s="92"/>
      <c r="D426" s="2613"/>
      <c r="E426" s="1860"/>
      <c r="F426" s="1860"/>
      <c r="G426" s="1860"/>
      <c r="H426" s="1860"/>
      <c r="I426" s="1860"/>
      <c r="J426" s="1860"/>
      <c r="K426" s="1860"/>
      <c r="L426" s="1860"/>
      <c r="M426" s="1860"/>
      <c r="N426" s="1860"/>
      <c r="O426" s="1860"/>
      <c r="P426" s="1860"/>
      <c r="Q426" s="1860"/>
      <c r="R426" s="1860"/>
      <c r="S426" s="1860"/>
      <c r="T426" s="1860"/>
      <c r="U426" s="1860"/>
      <c r="V426" s="1860"/>
      <c r="W426" s="1860"/>
      <c r="X426" s="2552"/>
      <c r="AF426" s="2547"/>
      <c r="AG426" s="2547"/>
      <c r="BL426" s="80"/>
    </row>
    <row r="427" spans="1:64" s="2545" customFormat="1">
      <c r="A427" s="1252" t="s">
        <v>99</v>
      </c>
      <c r="B427" s="102"/>
      <c r="C427" s="92"/>
      <c r="D427" s="1812" t="s">
        <v>1920</v>
      </c>
      <c r="E427" s="1860"/>
      <c r="F427" s="1860"/>
      <c r="G427" s="1860"/>
      <c r="H427" s="1091" t="s">
        <v>1919</v>
      </c>
      <c r="J427" s="1854"/>
      <c r="K427" s="1801"/>
      <c r="L427" s="1801"/>
      <c r="M427" s="1801"/>
      <c r="N427" s="1801"/>
      <c r="O427" s="1801"/>
      <c r="P427" s="1801"/>
      <c r="Q427" s="1860"/>
      <c r="R427" s="1860"/>
      <c r="S427" s="1860"/>
      <c r="T427" s="1860"/>
      <c r="U427" s="1860"/>
      <c r="V427" s="1860"/>
      <c r="W427" s="1860"/>
      <c r="X427" s="2552"/>
      <c r="AF427" s="2547"/>
      <c r="AG427" s="2547"/>
      <c r="BL427" s="80"/>
    </row>
    <row r="428" spans="1:64" s="2545" customFormat="1">
      <c r="A428" s="1190"/>
      <c r="B428" s="93"/>
      <c r="C428" s="92"/>
      <c r="D428" s="3455" t="s">
        <v>1983</v>
      </c>
      <c r="E428" s="3456"/>
      <c r="F428" s="3456"/>
      <c r="G428" s="3456"/>
      <c r="H428" s="3456"/>
      <c r="I428" s="3456"/>
      <c r="J428" s="3456"/>
      <c r="K428" s="3456"/>
      <c r="L428" s="3456"/>
      <c r="M428" s="3456"/>
      <c r="N428" s="3456"/>
      <c r="O428" s="3456"/>
      <c r="P428" s="3456"/>
      <c r="Q428" s="3456"/>
      <c r="R428" s="3456"/>
      <c r="S428" s="3456"/>
      <c r="T428" s="3456"/>
      <c r="U428" s="3456"/>
      <c r="V428" s="3456"/>
      <c r="W428" s="3456"/>
      <c r="X428" s="2552"/>
      <c r="AF428" s="2547"/>
      <c r="AG428" s="2547"/>
      <c r="BL428" s="80"/>
    </row>
    <row r="429" spans="1:64" s="2545" customFormat="1">
      <c r="A429" s="1190"/>
      <c r="B429" s="93"/>
      <c r="C429" s="92"/>
      <c r="D429" s="3456"/>
      <c r="E429" s="3456"/>
      <c r="F429" s="3456"/>
      <c r="G429" s="3456"/>
      <c r="H429" s="3456"/>
      <c r="I429" s="3456"/>
      <c r="J429" s="3456"/>
      <c r="K429" s="3456"/>
      <c r="L429" s="3456"/>
      <c r="M429" s="3456"/>
      <c r="N429" s="3456"/>
      <c r="O429" s="3456"/>
      <c r="P429" s="3456"/>
      <c r="Q429" s="3456"/>
      <c r="R429" s="3456"/>
      <c r="S429" s="3456"/>
      <c r="T429" s="3456"/>
      <c r="U429" s="3456"/>
      <c r="V429" s="3456"/>
      <c r="W429" s="3456"/>
      <c r="X429" s="2571" t="s">
        <v>775</v>
      </c>
      <c r="AF429" s="2547"/>
      <c r="AG429" s="2547"/>
      <c r="BL429" s="80"/>
    </row>
    <row r="430" spans="1:64" s="1854" customFormat="1" ht="13.2" customHeight="1">
      <c r="C430" s="1845"/>
      <c r="D430" s="1748" t="s">
        <v>1947</v>
      </c>
      <c r="L430" s="1801"/>
      <c r="N430" s="1153"/>
      <c r="O430" s="3561" t="s">
        <v>1642</v>
      </c>
      <c r="P430" s="3561"/>
      <c r="Q430" s="3561"/>
      <c r="R430" s="3561"/>
      <c r="S430" s="3561"/>
      <c r="T430" s="3561"/>
      <c r="U430" s="3561"/>
      <c r="V430" s="3561"/>
      <c r="W430" s="3561"/>
      <c r="X430" s="1809"/>
      <c r="Y430" s="3457" t="s">
        <v>1982</v>
      </c>
      <c r="Z430" s="3317"/>
      <c r="AA430" s="3317"/>
      <c r="AB430" s="3318"/>
      <c r="AF430" s="1857"/>
      <c r="AG430" s="1857"/>
      <c r="BL430" s="80"/>
    </row>
    <row r="431" spans="1:64" s="1854" customFormat="1" ht="13.2" customHeight="1">
      <c r="A431" s="1648"/>
      <c r="B431" s="1648"/>
      <c r="C431" s="1845"/>
      <c r="D431" s="1801"/>
      <c r="E431" s="1801"/>
      <c r="F431" s="1801"/>
      <c r="G431" s="1801"/>
      <c r="H431" s="1801"/>
      <c r="I431" s="1801"/>
      <c r="J431" s="1801"/>
      <c r="K431" s="1801"/>
      <c r="L431" s="1801"/>
      <c r="M431" s="1801"/>
      <c r="N431" s="1801"/>
      <c r="O431" s="3561"/>
      <c r="P431" s="3561"/>
      <c r="Q431" s="3561"/>
      <c r="R431" s="3561"/>
      <c r="S431" s="3561"/>
      <c r="T431" s="3561"/>
      <c r="U431" s="3561"/>
      <c r="V431" s="3561"/>
      <c r="W431" s="3561"/>
      <c r="X431" s="1805"/>
      <c r="Y431" s="3458"/>
      <c r="Z431" s="3307"/>
      <c r="AA431" s="3307"/>
      <c r="AB431" s="3308"/>
      <c r="AF431" s="1857"/>
      <c r="AG431" s="1857"/>
      <c r="BL431" s="80"/>
    </row>
    <row r="432" spans="1:64" s="1854" customFormat="1">
      <c r="A432" s="1648"/>
      <c r="B432" s="1648"/>
      <c r="C432" s="1845"/>
      <c r="D432" s="1801"/>
      <c r="E432" s="1801"/>
      <c r="F432" s="1801"/>
      <c r="G432" s="1801"/>
      <c r="H432" s="1801"/>
      <c r="I432" s="1801"/>
      <c r="J432" s="1801"/>
      <c r="K432" s="1801"/>
      <c r="L432" s="1801"/>
      <c r="M432" s="1801"/>
      <c r="N432" s="1801"/>
      <c r="O432" s="2545" t="s">
        <v>1922</v>
      </c>
      <c r="P432" s="1801"/>
      <c r="Q432" s="1801"/>
      <c r="R432" s="1801"/>
      <c r="S432" s="1801"/>
      <c r="T432" s="1799"/>
      <c r="U432" s="1801"/>
      <c r="V432" s="1799"/>
      <c r="W432" s="1799"/>
      <c r="X432" s="1805"/>
      <c r="Y432" s="3458"/>
      <c r="Z432" s="3307"/>
      <c r="AA432" s="3307"/>
      <c r="AB432" s="3308"/>
      <c r="AF432" s="1857"/>
      <c r="AG432" s="1857"/>
      <c r="BL432" s="80"/>
    </row>
    <row r="433" spans="1:64" s="1854" customFormat="1">
      <c r="A433" s="1648"/>
      <c r="B433" s="1648"/>
      <c r="C433" s="1845"/>
      <c r="D433" s="1801"/>
      <c r="E433" s="1801"/>
      <c r="F433" s="1801"/>
      <c r="G433" s="1801"/>
      <c r="H433" s="1801"/>
      <c r="I433" s="1801"/>
      <c r="J433" s="1801"/>
      <c r="K433" s="1801"/>
      <c r="L433" s="1801"/>
      <c r="M433" s="1801"/>
      <c r="N433" s="1801"/>
      <c r="O433" s="1801"/>
      <c r="P433" s="1801"/>
      <c r="Q433" s="1801"/>
      <c r="R433" s="1801"/>
      <c r="S433" s="1801"/>
      <c r="T433" s="1799"/>
      <c r="U433" s="1801"/>
      <c r="V433" s="1799"/>
      <c r="W433" s="1799"/>
      <c r="X433" s="1805"/>
      <c r="Y433" s="2606" t="s">
        <v>1644</v>
      </c>
      <c r="Z433" s="2607"/>
      <c r="AA433" s="2607"/>
      <c r="AB433" s="2548"/>
      <c r="AF433" s="1857"/>
      <c r="AG433" s="1857"/>
      <c r="BL433" s="80"/>
    </row>
    <row r="434" spans="1:64" s="1854" customFormat="1">
      <c r="A434" s="1648"/>
      <c r="B434" s="1648"/>
      <c r="C434" s="1845"/>
      <c r="D434" s="1801"/>
      <c r="E434" s="1801"/>
      <c r="F434" s="1801"/>
      <c r="G434" s="1801"/>
      <c r="H434" s="1801"/>
      <c r="I434" s="1801"/>
      <c r="J434" s="1801"/>
      <c r="K434" s="1801"/>
      <c r="L434" s="1801"/>
      <c r="M434" s="1801"/>
      <c r="N434" s="1801"/>
      <c r="O434" s="1801"/>
      <c r="P434" s="1801"/>
      <c r="Q434" s="1801"/>
      <c r="R434" s="1801"/>
      <c r="S434" s="1801"/>
      <c r="T434" s="1799"/>
      <c r="U434" s="1801"/>
      <c r="V434" s="1799"/>
      <c r="W434" s="1799"/>
      <c r="X434" s="1805"/>
      <c r="Y434" s="2606" t="s">
        <v>1645</v>
      </c>
      <c r="Z434" s="2547"/>
      <c r="AA434" s="2552"/>
      <c r="AB434" s="2548"/>
      <c r="AF434" s="1857"/>
      <c r="AG434" s="1857"/>
      <c r="BL434" s="80"/>
    </row>
    <row r="435" spans="1:64" s="1854" customFormat="1">
      <c r="A435" s="1648"/>
      <c r="B435" s="1648"/>
      <c r="C435" s="1845"/>
      <c r="D435" s="1801"/>
      <c r="E435" s="1801"/>
      <c r="F435" s="1801"/>
      <c r="G435" s="1801"/>
      <c r="H435" s="1801"/>
      <c r="I435" s="1801"/>
      <c r="J435" s="1801"/>
      <c r="K435" s="1801"/>
      <c r="L435" s="1801"/>
      <c r="M435" s="1801"/>
      <c r="N435" s="1801"/>
      <c r="O435" s="1801"/>
      <c r="P435" s="1801"/>
      <c r="Q435" s="1801"/>
      <c r="R435" s="1801"/>
      <c r="S435" s="1801"/>
      <c r="T435" s="1799"/>
      <c r="U435" s="1801"/>
      <c r="V435" s="1799"/>
      <c r="W435" s="1799"/>
      <c r="X435" s="1805"/>
      <c r="Y435" s="2606" t="s">
        <v>1646</v>
      </c>
      <c r="Z435" s="2547"/>
      <c r="AA435" s="2552"/>
      <c r="AB435" s="2548"/>
      <c r="AF435" s="1857"/>
      <c r="AG435" s="1857"/>
      <c r="BL435" s="80"/>
    </row>
    <row r="436" spans="1:64" s="1854" customFormat="1">
      <c r="A436" s="1648"/>
      <c r="B436" s="1648"/>
      <c r="C436" s="1845"/>
      <c r="D436" s="1801"/>
      <c r="E436" s="1801"/>
      <c r="F436" s="1801"/>
      <c r="G436" s="1801"/>
      <c r="H436" s="1801"/>
      <c r="I436" s="1801"/>
      <c r="J436" s="1801"/>
      <c r="K436" s="1801"/>
      <c r="L436" s="1801"/>
      <c r="M436" s="1801"/>
      <c r="N436" s="1801"/>
      <c r="P436" s="1801"/>
      <c r="Q436" s="1801"/>
      <c r="R436" s="1801"/>
      <c r="S436" s="1801"/>
      <c r="T436" s="1799"/>
      <c r="V436" s="1799"/>
      <c r="W436" s="1799"/>
      <c r="X436" s="1805"/>
      <c r="Y436" s="2608" t="s">
        <v>1647</v>
      </c>
      <c r="Z436" s="2547"/>
      <c r="AA436" s="2552"/>
      <c r="AB436" s="2548"/>
      <c r="AF436" s="1857"/>
      <c r="AG436" s="1857"/>
      <c r="BL436" s="80"/>
    </row>
    <row r="437" spans="1:64" s="1854" customFormat="1">
      <c r="A437" s="1648"/>
      <c r="B437" s="1648"/>
      <c r="C437" s="1845"/>
      <c r="D437" s="1801"/>
      <c r="E437" s="1801"/>
      <c r="F437" s="1801"/>
      <c r="G437" s="1801"/>
      <c r="H437" s="1801"/>
      <c r="I437" s="1801"/>
      <c r="J437" s="1801"/>
      <c r="K437" s="1801"/>
      <c r="L437" s="1801"/>
      <c r="M437" s="1801"/>
      <c r="N437" s="1801"/>
      <c r="O437" s="1801"/>
      <c r="P437" s="1801"/>
      <c r="Q437" s="1861" t="s">
        <v>1678</v>
      </c>
      <c r="R437" s="1644"/>
      <c r="S437" s="1644"/>
      <c r="T437" s="1644"/>
      <c r="U437" s="1644"/>
      <c r="V437" s="1644"/>
      <c r="W437" s="1644"/>
      <c r="X437" s="1805"/>
      <c r="Y437" s="2609" t="s">
        <v>1672</v>
      </c>
      <c r="Z437" s="1526"/>
      <c r="AA437" s="2549"/>
      <c r="AB437" s="1829"/>
      <c r="AF437" s="1857"/>
      <c r="AG437" s="1857"/>
      <c r="BL437" s="80"/>
    </row>
    <row r="438" spans="1:64" s="1854" customFormat="1" ht="13.2" customHeight="1">
      <c r="A438" s="1648"/>
      <c r="B438" s="1648"/>
      <c r="C438" s="1845"/>
      <c r="D438" s="1801"/>
      <c r="E438" s="1801"/>
      <c r="F438" s="1801"/>
      <c r="G438" s="1801"/>
      <c r="H438" s="1801"/>
      <c r="I438" s="1801"/>
      <c r="J438" s="1801"/>
      <c r="K438" s="1801"/>
      <c r="L438" s="1801"/>
      <c r="M438" s="1801"/>
      <c r="N438" s="1801"/>
      <c r="O438" s="1801"/>
      <c r="P438" s="1801"/>
      <c r="X438" s="1805"/>
      <c r="Z438" s="2611" t="s">
        <v>1636</v>
      </c>
      <c r="AA438" s="1859"/>
      <c r="AF438" s="1857"/>
      <c r="AG438" s="1857"/>
      <c r="BL438" s="80"/>
    </row>
    <row r="439" spans="1:64" s="1854" customFormat="1" ht="13.2" customHeight="1">
      <c r="A439" s="1648"/>
      <c r="B439" s="1648"/>
      <c r="C439" s="1845"/>
      <c r="Q439" s="3614" t="s">
        <v>1643</v>
      </c>
      <c r="R439" s="3615"/>
      <c r="S439" s="3615"/>
      <c r="T439" s="3615"/>
      <c r="U439" s="3615"/>
      <c r="V439" s="3615"/>
      <c r="W439" s="3616"/>
      <c r="X439" s="1852"/>
      <c r="Y439" s="1593" t="s">
        <v>1652</v>
      </c>
      <c r="Z439" s="107"/>
      <c r="AA439" s="107"/>
      <c r="AB439" s="1616"/>
      <c r="AF439" s="1857"/>
      <c r="AG439" s="1857"/>
      <c r="BL439" s="80"/>
    </row>
    <row r="440" spans="1:64" s="1854" customFormat="1">
      <c r="A440" s="1648"/>
      <c r="B440" s="1648"/>
      <c r="C440" s="1845"/>
      <c r="Q440" s="3617"/>
      <c r="R440" s="3618"/>
      <c r="S440" s="3618"/>
      <c r="T440" s="3618"/>
      <c r="U440" s="3618"/>
      <c r="V440" s="3618"/>
      <c r="W440" s="3619"/>
      <c r="X440" s="1852"/>
      <c r="Y440" s="2612" t="s">
        <v>1921</v>
      </c>
      <c r="Z440" s="2547"/>
      <c r="AA440" s="2547"/>
      <c r="AB440" s="2143"/>
      <c r="AF440" s="1857"/>
      <c r="AG440" s="1857"/>
      <c r="BL440" s="80"/>
    </row>
    <row r="441" spans="1:64" s="1854" customFormat="1">
      <c r="A441" s="1648"/>
      <c r="B441" s="1648"/>
      <c r="C441" s="1845"/>
      <c r="Q441" s="3617"/>
      <c r="R441" s="3618"/>
      <c r="S441" s="3618"/>
      <c r="T441" s="3618"/>
      <c r="U441" s="3618"/>
      <c r="V441" s="3618"/>
      <c r="W441" s="3619"/>
      <c r="X441" s="1852"/>
      <c r="Y441" s="2612" t="s">
        <v>1915</v>
      </c>
      <c r="Z441" s="2547"/>
      <c r="AA441" s="2547"/>
      <c r="AB441" s="2143"/>
      <c r="AF441" s="1857"/>
      <c r="AG441" s="1857"/>
      <c r="BL441" s="80"/>
    </row>
    <row r="442" spans="1:64" s="1854" customFormat="1">
      <c r="A442" s="1648"/>
      <c r="B442" s="1648"/>
      <c r="C442" s="1845"/>
      <c r="Q442" s="3617"/>
      <c r="R442" s="3618"/>
      <c r="S442" s="3618"/>
      <c r="T442" s="3618"/>
      <c r="U442" s="3618"/>
      <c r="V442" s="3618"/>
      <c r="W442" s="3619"/>
      <c r="X442" s="1852"/>
      <c r="Y442" s="2612" t="s">
        <v>1916</v>
      </c>
      <c r="Z442" s="2547"/>
      <c r="AA442" s="2547"/>
      <c r="AB442" s="2143"/>
      <c r="AF442" s="1857"/>
      <c r="AG442" s="1857"/>
      <c r="BL442" s="80"/>
    </row>
    <row r="443" spans="1:64" s="1854" customFormat="1">
      <c r="A443" s="1648"/>
      <c r="B443" s="1648"/>
      <c r="C443" s="1845"/>
      <c r="Q443" s="3617"/>
      <c r="R443" s="3618"/>
      <c r="S443" s="3618"/>
      <c r="T443" s="3618"/>
      <c r="U443" s="3618"/>
      <c r="V443" s="3618"/>
      <c r="W443" s="3619"/>
      <c r="X443" s="1852"/>
      <c r="Y443" s="2612" t="s">
        <v>1917</v>
      </c>
      <c r="Z443" s="2547"/>
      <c r="AA443" s="2547"/>
      <c r="AB443" s="2143"/>
      <c r="AF443" s="1857"/>
      <c r="AG443" s="1857"/>
      <c r="BL443" s="80"/>
    </row>
    <row r="444" spans="1:64" s="1854" customFormat="1">
      <c r="A444" s="1648"/>
      <c r="B444" s="1648"/>
      <c r="C444" s="1845"/>
      <c r="Q444" s="3617"/>
      <c r="R444" s="3618"/>
      <c r="S444" s="3618"/>
      <c r="T444" s="3618"/>
      <c r="U444" s="3618"/>
      <c r="V444" s="3618"/>
      <c r="W444" s="3619"/>
      <c r="X444" s="1852"/>
      <c r="Y444" s="89" t="s">
        <v>1918</v>
      </c>
      <c r="Z444" s="90"/>
      <c r="AA444" s="2497"/>
      <c r="AB444" s="91"/>
      <c r="AF444" s="1857"/>
      <c r="AG444" s="1857"/>
      <c r="BL444" s="80"/>
    </row>
    <row r="445" spans="1:64" s="1854" customFormat="1">
      <c r="A445" s="1648"/>
      <c r="B445" s="1648"/>
      <c r="C445" s="1845"/>
      <c r="Q445" s="3617"/>
      <c r="R445" s="3618"/>
      <c r="S445" s="3618"/>
      <c r="T445" s="3618"/>
      <c r="U445" s="3618"/>
      <c r="V445" s="3618"/>
      <c r="W445" s="3619"/>
      <c r="X445" s="1852"/>
      <c r="Z445" s="1153"/>
      <c r="AA445" s="1153"/>
      <c r="AB445" s="1153"/>
      <c r="AF445" s="1857"/>
      <c r="AG445" s="1857"/>
      <c r="BL445" s="80"/>
    </row>
    <row r="446" spans="1:64" s="1854" customFormat="1" ht="13.2" customHeight="1">
      <c r="A446" s="1648"/>
      <c r="B446" s="1648"/>
      <c r="C446" s="1845"/>
      <c r="Q446" s="3617"/>
      <c r="R446" s="3618"/>
      <c r="S446" s="3618"/>
      <c r="T446" s="3618"/>
      <c r="U446" s="3618"/>
      <c r="V446" s="3618"/>
      <c r="W446" s="3619"/>
      <c r="X446" s="1852"/>
      <c r="Y446" s="3321" t="s">
        <v>1675</v>
      </c>
      <c r="Z446" s="3321"/>
      <c r="AA446" s="3321"/>
      <c r="AB446" s="3321"/>
      <c r="AG446" s="1857"/>
      <c r="BL446" s="80"/>
    </row>
    <row r="447" spans="1:64" s="1854" customFormat="1">
      <c r="A447" s="1648"/>
      <c r="B447" s="1648"/>
      <c r="C447" s="1845"/>
      <c r="Q447" s="3582" t="s">
        <v>1676</v>
      </c>
      <c r="R447" s="3583"/>
      <c r="S447" s="3583"/>
      <c r="T447" s="3583"/>
      <c r="U447" s="3583"/>
      <c r="V447" s="3583"/>
      <c r="W447" s="3584"/>
      <c r="X447" s="1852"/>
      <c r="Y447" s="3321"/>
      <c r="Z447" s="3321"/>
      <c r="AA447" s="3321"/>
      <c r="AB447" s="3321"/>
      <c r="AF447" s="1857"/>
      <c r="AG447" s="1857"/>
      <c r="BL447" s="80"/>
    </row>
    <row r="448" spans="1:64" s="1854" customFormat="1">
      <c r="A448" s="1648"/>
      <c r="B448" s="1648"/>
      <c r="C448" s="1845"/>
      <c r="Q448" s="3582"/>
      <c r="R448" s="3583"/>
      <c r="S448" s="3583"/>
      <c r="T448" s="3583"/>
      <c r="U448" s="3583"/>
      <c r="V448" s="3583"/>
      <c r="W448" s="3584"/>
      <c r="X448" s="1852"/>
      <c r="Y448" s="3321"/>
      <c r="Z448" s="3321"/>
      <c r="AA448" s="3321"/>
      <c r="AB448" s="3321"/>
      <c r="AF448" s="1857"/>
      <c r="AG448" s="1857"/>
      <c r="BL448" s="80"/>
    </row>
    <row r="449" spans="1:64" s="1854" customFormat="1" ht="13.2" customHeight="1">
      <c r="A449" s="1648"/>
      <c r="B449" s="1648"/>
      <c r="C449" s="1845"/>
      <c r="Q449" s="3582"/>
      <c r="R449" s="3583"/>
      <c r="S449" s="3583"/>
      <c r="T449" s="3583"/>
      <c r="U449" s="3583"/>
      <c r="V449" s="3583"/>
      <c r="W449" s="3584"/>
      <c r="X449" s="1852"/>
      <c r="AF449" s="1857"/>
      <c r="AG449" s="1857"/>
      <c r="BL449" s="80"/>
    </row>
    <row r="450" spans="1:64" s="1854" customFormat="1">
      <c r="A450" s="1648"/>
      <c r="B450" s="1648"/>
      <c r="C450" s="1845"/>
      <c r="Q450" s="3582"/>
      <c r="R450" s="3583"/>
      <c r="S450" s="3583"/>
      <c r="T450" s="3583"/>
      <c r="U450" s="3583"/>
      <c r="V450" s="3583"/>
      <c r="W450" s="3584"/>
      <c r="X450" s="1852"/>
      <c r="AF450" s="1857"/>
      <c r="AG450" s="1857"/>
      <c r="BL450" s="80"/>
    </row>
    <row r="451" spans="1:64" s="1854" customFormat="1">
      <c r="A451" s="1648"/>
      <c r="B451" s="1648"/>
      <c r="C451" s="1845"/>
      <c r="Q451" s="3582"/>
      <c r="R451" s="3583"/>
      <c r="S451" s="3583"/>
      <c r="T451" s="3583"/>
      <c r="U451" s="3583"/>
      <c r="V451" s="3583"/>
      <c r="W451" s="3584"/>
      <c r="X451" s="1852"/>
      <c r="Y451" s="3430" t="s">
        <v>1682</v>
      </c>
      <c r="Z451" s="3430"/>
      <c r="AA451" s="3430"/>
      <c r="AB451" s="3430"/>
      <c r="AF451" s="1857"/>
      <c r="AG451" s="1857"/>
      <c r="BL451" s="80"/>
    </row>
    <row r="452" spans="1:64" s="1854" customFormat="1">
      <c r="A452" s="1648"/>
      <c r="B452" s="1648"/>
      <c r="C452" s="1845"/>
      <c r="Q452" s="3582"/>
      <c r="R452" s="3583"/>
      <c r="S452" s="3583"/>
      <c r="T452" s="3583"/>
      <c r="U452" s="3583"/>
      <c r="V452" s="3583"/>
      <c r="W452" s="3584"/>
      <c r="X452" s="1852"/>
      <c r="Y452" s="3430"/>
      <c r="Z452" s="3430"/>
      <c r="AA452" s="3430"/>
      <c r="AB452" s="3430"/>
      <c r="AF452" s="1857"/>
      <c r="AG452" s="1857"/>
      <c r="BL452" s="80"/>
    </row>
    <row r="453" spans="1:64" s="1854" customFormat="1">
      <c r="A453" s="1648"/>
      <c r="B453" s="1648"/>
      <c r="C453" s="1845"/>
      <c r="Q453" s="3582"/>
      <c r="R453" s="3583"/>
      <c r="S453" s="3583"/>
      <c r="T453" s="3583"/>
      <c r="U453" s="3583"/>
      <c r="V453" s="3583"/>
      <c r="W453" s="3584"/>
      <c r="X453" s="1852"/>
      <c r="Y453" s="3430"/>
      <c r="Z453" s="3430"/>
      <c r="AA453" s="3430"/>
      <c r="AB453" s="3430"/>
      <c r="AF453" s="1857"/>
      <c r="AG453" s="1857"/>
      <c r="BL453" s="80"/>
    </row>
    <row r="454" spans="1:64" s="1854" customFormat="1" ht="13.2" customHeight="1">
      <c r="A454" s="1648"/>
      <c r="B454" s="1648"/>
      <c r="C454" s="1845"/>
      <c r="Q454" s="2427"/>
      <c r="R454" s="2547"/>
      <c r="S454" s="2547"/>
      <c r="T454" s="2547"/>
      <c r="U454" s="2547"/>
      <c r="V454" s="2547"/>
      <c r="W454" s="2548"/>
      <c r="X454" s="1852"/>
      <c r="Y454" s="133" t="s">
        <v>1670</v>
      </c>
      <c r="Z454" s="1861"/>
      <c r="AA454" s="1899" t="s">
        <v>1666</v>
      </c>
      <c r="AB454" s="1644"/>
      <c r="AF454" s="1857"/>
      <c r="AG454" s="1857"/>
      <c r="BL454" s="80"/>
    </row>
    <row r="455" spans="1:64" s="1854" customFormat="1" ht="13.2" customHeight="1">
      <c r="A455" s="1648"/>
      <c r="B455" s="1648"/>
      <c r="C455" s="1845"/>
      <c r="Q455" s="3585" t="s">
        <v>1653</v>
      </c>
      <c r="R455" s="3586"/>
      <c r="S455" s="3586"/>
      <c r="T455" s="3586"/>
      <c r="U455" s="3586"/>
      <c r="V455" s="3586"/>
      <c r="W455" s="3587"/>
      <c r="X455" s="1852"/>
      <c r="Y455" s="133" t="s">
        <v>1669</v>
      </c>
      <c r="Z455" s="1861"/>
      <c r="AA455" s="1899" t="s">
        <v>1666</v>
      </c>
      <c r="AB455" s="1881"/>
      <c r="AF455" s="1857"/>
      <c r="AG455" s="1857"/>
      <c r="BL455" s="80"/>
    </row>
    <row r="456" spans="1:64" s="1854" customFormat="1" ht="13.2" customHeight="1">
      <c r="A456" s="1648"/>
      <c r="B456" s="1648"/>
      <c r="C456" s="1845"/>
      <c r="Q456" s="3585"/>
      <c r="R456" s="3586"/>
      <c r="S456" s="3586"/>
      <c r="T456" s="3586"/>
      <c r="U456" s="3586"/>
      <c r="V456" s="3586"/>
      <c r="W456" s="3587"/>
      <c r="X456" s="1852"/>
      <c r="Y456" s="133" t="s">
        <v>1667</v>
      </c>
      <c r="Z456" s="1861"/>
      <c r="AA456" s="149"/>
      <c r="AB456" s="1861"/>
      <c r="AF456" s="1857"/>
      <c r="AG456" s="1857"/>
      <c r="BL456" s="80"/>
    </row>
    <row r="457" spans="1:64" s="1854" customFormat="1">
      <c r="A457" s="1648"/>
      <c r="B457" s="1648"/>
      <c r="C457" s="1845"/>
      <c r="Q457" s="3588"/>
      <c r="R457" s="3589"/>
      <c r="S457" s="3589"/>
      <c r="T457" s="3589"/>
      <c r="U457" s="3589"/>
      <c r="V457" s="3589"/>
      <c r="W457" s="3590"/>
      <c r="X457" s="1852"/>
      <c r="Y457" s="1861" t="s">
        <v>1671</v>
      </c>
      <c r="Z457" s="1861"/>
      <c r="AA457" s="1899" t="s">
        <v>1666</v>
      </c>
      <c r="AB457" s="1861"/>
      <c r="AF457" s="1857"/>
      <c r="AG457" s="1857"/>
      <c r="BL457" s="80"/>
    </row>
    <row r="458" spans="1:64" s="1854" customFormat="1">
      <c r="A458" s="1648"/>
      <c r="B458" s="1648"/>
      <c r="C458" s="1845"/>
      <c r="T458" s="1853"/>
      <c r="V458" s="1853"/>
      <c r="W458" s="1853"/>
      <c r="X458" s="1852"/>
      <c r="AF458" s="1857"/>
      <c r="AG458" s="1857"/>
      <c r="BL458" s="80"/>
    </row>
    <row r="459" spans="1:64" s="1854" customFormat="1" ht="13.2" customHeight="1">
      <c r="A459" s="1648"/>
      <c r="B459" s="1648"/>
      <c r="C459" s="1845"/>
      <c r="D459" s="3562" t="s">
        <v>2029</v>
      </c>
      <c r="E459" s="3562"/>
      <c r="F459" s="3562"/>
      <c r="G459" s="3562"/>
      <c r="H459" s="3562"/>
      <c r="I459" s="3562"/>
      <c r="J459" s="3562"/>
      <c r="K459" s="3562"/>
      <c r="L459" s="3562"/>
      <c r="M459" s="3562"/>
      <c r="N459" s="3562"/>
      <c r="O459" s="3562"/>
      <c r="P459" s="3562"/>
      <c r="Q459" s="3562"/>
      <c r="R459" s="3562"/>
      <c r="S459" s="3562"/>
      <c r="T459" s="3562"/>
      <c r="U459" s="3562"/>
      <c r="V459" s="3562"/>
      <c r="W459" s="3562"/>
      <c r="Y459" s="3446" t="s">
        <v>1665</v>
      </c>
      <c r="Z459" s="3446"/>
      <c r="AA459" s="3446"/>
      <c r="AB459" s="3446"/>
      <c r="AF459" s="1857"/>
      <c r="AG459" s="1857"/>
      <c r="BL459" s="80"/>
    </row>
    <row r="460" spans="1:64" s="1854" customFormat="1">
      <c r="A460" s="1648"/>
      <c r="B460" s="1648"/>
      <c r="C460" s="1845"/>
      <c r="D460" s="3562"/>
      <c r="E460" s="3562"/>
      <c r="F460" s="3562"/>
      <c r="G460" s="3562"/>
      <c r="H460" s="3562"/>
      <c r="I460" s="3562"/>
      <c r="J460" s="3562"/>
      <c r="K460" s="3562"/>
      <c r="L460" s="3562"/>
      <c r="M460" s="3562"/>
      <c r="N460" s="3562"/>
      <c r="O460" s="3562"/>
      <c r="P460" s="3562"/>
      <c r="Q460" s="3562"/>
      <c r="R460" s="3562"/>
      <c r="S460" s="3562"/>
      <c r="T460" s="3562"/>
      <c r="U460" s="3562"/>
      <c r="V460" s="3562"/>
      <c r="W460" s="3562"/>
      <c r="Y460" s="3446"/>
      <c r="Z460" s="3446"/>
      <c r="AA460" s="3446"/>
      <c r="AB460" s="3446"/>
      <c r="AF460" s="1857"/>
      <c r="AG460" s="1857"/>
      <c r="BL460" s="80"/>
    </row>
    <row r="461" spans="1:64" s="1854" customFormat="1">
      <c r="A461" s="1648"/>
      <c r="B461" s="1648"/>
      <c r="C461" s="1845"/>
      <c r="D461" s="3562"/>
      <c r="E461" s="3562"/>
      <c r="F461" s="3562"/>
      <c r="G461" s="3562"/>
      <c r="H461" s="3562"/>
      <c r="I461" s="3562"/>
      <c r="J461" s="3562"/>
      <c r="K461" s="3562"/>
      <c r="L461" s="3562"/>
      <c r="M461" s="3562"/>
      <c r="N461" s="3562"/>
      <c r="O461" s="3562"/>
      <c r="P461" s="3562"/>
      <c r="Q461" s="3562"/>
      <c r="R461" s="3562"/>
      <c r="S461" s="3562"/>
      <c r="T461" s="3562"/>
      <c r="U461" s="3562"/>
      <c r="V461" s="3562"/>
      <c r="W461" s="3562"/>
      <c r="Y461" s="1885" t="s">
        <v>1648</v>
      </c>
      <c r="Z461" s="1898"/>
      <c r="AA461" s="1898"/>
      <c r="AB461" s="1898"/>
      <c r="AF461" s="1857"/>
      <c r="AG461" s="1857"/>
      <c r="BL461" s="80"/>
    </row>
    <row r="462" spans="1:64" s="1854" customFormat="1">
      <c r="A462" s="1648"/>
      <c r="B462" s="1648"/>
      <c r="C462" s="1845"/>
      <c r="D462" s="1916"/>
      <c r="E462" s="1916"/>
      <c r="F462" s="1916"/>
      <c r="G462" s="1916"/>
      <c r="H462" s="1916"/>
      <c r="I462" s="1916"/>
      <c r="J462" s="1916"/>
      <c r="K462" s="1916"/>
      <c r="L462" s="1916"/>
      <c r="M462" s="1916"/>
      <c r="N462" s="1916"/>
      <c r="O462" s="1916"/>
      <c r="P462" s="1916"/>
      <c r="Q462" s="1916"/>
      <c r="R462" s="1916"/>
      <c r="S462" s="1916"/>
      <c r="T462" s="1916"/>
      <c r="U462" s="1916"/>
      <c r="V462" s="1916"/>
      <c r="W462" s="1916"/>
      <c r="Y462" s="1885" t="s">
        <v>1649</v>
      </c>
      <c r="Z462" s="1898"/>
      <c r="AA462" s="1898"/>
      <c r="AB462" s="1898"/>
      <c r="AF462" s="1857"/>
      <c r="AG462" s="1857"/>
      <c r="BL462" s="80"/>
    </row>
    <row r="463" spans="1:64" s="1854" customFormat="1">
      <c r="A463" s="1648"/>
      <c r="B463" s="1648"/>
      <c r="C463" s="1845"/>
      <c r="D463" s="1886" t="s">
        <v>2031</v>
      </c>
      <c r="E463" s="1916"/>
      <c r="F463" s="1916"/>
      <c r="G463" s="1916"/>
      <c r="H463" s="1916"/>
      <c r="I463" s="1916"/>
      <c r="J463" s="1916"/>
      <c r="K463" s="1916"/>
      <c r="L463" s="1916"/>
      <c r="M463" s="1916"/>
      <c r="N463" s="1916"/>
      <c r="O463" s="1916"/>
      <c r="P463" s="1916"/>
      <c r="Q463" s="1916"/>
      <c r="R463" s="1916"/>
      <c r="S463" s="1916"/>
      <c r="T463" s="1916"/>
      <c r="U463" s="1916"/>
      <c r="V463" s="1916"/>
      <c r="W463" s="1916"/>
      <c r="Y463" s="1885" t="s">
        <v>1650</v>
      </c>
      <c r="AF463" s="1857"/>
      <c r="AG463" s="1857"/>
      <c r="BL463" s="80"/>
    </row>
    <row r="464" spans="1:64" s="1854" customFormat="1">
      <c r="A464" s="1648"/>
      <c r="B464" s="1648"/>
      <c r="C464" s="1845"/>
      <c r="D464" s="1916"/>
      <c r="E464" s="1916"/>
      <c r="F464" s="1916"/>
      <c r="G464" s="1916"/>
      <c r="H464" s="1916"/>
      <c r="I464" s="1916"/>
      <c r="J464" s="1916"/>
      <c r="K464" s="1916"/>
      <c r="L464" s="1916"/>
      <c r="M464" s="1916"/>
      <c r="N464" s="1916"/>
      <c r="O464" s="1916"/>
      <c r="P464" s="1916"/>
      <c r="Q464" s="1916"/>
      <c r="R464" s="1854" t="s">
        <v>99</v>
      </c>
      <c r="S464" s="3613" t="s">
        <v>1427</v>
      </c>
      <c r="T464" s="3613"/>
      <c r="U464" s="1853" t="s">
        <v>98</v>
      </c>
      <c r="V464" s="1883"/>
      <c r="W464" s="1916"/>
      <c r="Y464" s="1885" t="s">
        <v>1651</v>
      </c>
      <c r="AB464" s="1644"/>
      <c r="AF464" s="1857"/>
      <c r="AG464" s="1857"/>
      <c r="BL464" s="80"/>
    </row>
    <row r="465" spans="1:64" s="1854" customFormat="1" ht="13.2" customHeight="1">
      <c r="A465" s="1648"/>
      <c r="B465" s="1648"/>
      <c r="C465" s="1845"/>
      <c r="E465" s="1915"/>
      <c r="F465" s="1915"/>
      <c r="G465" s="1915"/>
      <c r="H465" s="1915"/>
      <c r="I465" s="1915"/>
      <c r="J465" s="1915"/>
      <c r="K465" s="1915"/>
      <c r="L465" s="1915"/>
      <c r="M465" s="1915"/>
      <c r="N465" s="1915"/>
      <c r="O465" s="1915"/>
      <c r="P465" s="1915"/>
      <c r="Q465" s="1915"/>
      <c r="R465" s="1702" t="s">
        <v>311</v>
      </c>
      <c r="S465" s="1702" t="s">
        <v>1658</v>
      </c>
      <c r="T465" s="1855"/>
      <c r="U465" s="1855"/>
      <c r="V465" s="1855"/>
      <c r="W465" s="1915"/>
      <c r="Y465" s="3594" t="s">
        <v>1668</v>
      </c>
      <c r="Z465" s="3594"/>
      <c r="AA465" s="3594"/>
      <c r="AB465" s="3594"/>
      <c r="AF465" s="1857"/>
      <c r="AG465" s="1857"/>
      <c r="BL465" s="80"/>
    </row>
    <row r="466" spans="1:64" s="1854" customFormat="1">
      <c r="A466" s="1648"/>
      <c r="B466" s="1648"/>
      <c r="C466" s="1845"/>
      <c r="D466" s="1915"/>
      <c r="E466" s="1915"/>
      <c r="F466" s="1915"/>
      <c r="G466" s="1915"/>
      <c r="H466" s="1915"/>
      <c r="I466" s="1915"/>
      <c r="J466" s="1915"/>
      <c r="K466" s="1915"/>
      <c r="L466" s="1915"/>
      <c r="M466" s="1915"/>
      <c r="N466" s="1915"/>
      <c r="O466" s="1915"/>
      <c r="P466" s="1915"/>
      <c r="Q466" s="1915"/>
      <c r="R466" s="1702" t="s">
        <v>1654</v>
      </c>
      <c r="S466" s="1702" t="s">
        <v>1659</v>
      </c>
      <c r="W466" s="1915"/>
      <c r="Y466" s="3594"/>
      <c r="Z466" s="3594"/>
      <c r="AA466" s="3594"/>
      <c r="AB466" s="3594"/>
      <c r="AF466" s="1857"/>
      <c r="AG466" s="1857"/>
      <c r="BL466" s="80"/>
    </row>
    <row r="467" spans="1:64" s="1854" customFormat="1">
      <c r="A467" s="1648"/>
      <c r="B467" s="1648"/>
      <c r="C467" s="1845"/>
      <c r="D467" s="1915"/>
      <c r="E467" s="1915"/>
      <c r="F467" s="1915"/>
      <c r="G467" s="1915"/>
      <c r="H467" s="1915"/>
      <c r="I467" s="1915"/>
      <c r="J467" s="1915"/>
      <c r="K467" s="1915"/>
      <c r="L467" s="1915"/>
      <c r="M467" s="1915"/>
      <c r="N467" s="1915"/>
      <c r="O467" s="1915"/>
      <c r="P467" s="1915"/>
      <c r="Q467" s="1915"/>
      <c r="T467" s="1896" t="s">
        <v>1420</v>
      </c>
      <c r="U467" s="1897" t="s">
        <v>1413</v>
      </c>
      <c r="V467" s="1897"/>
      <c r="W467" s="1915"/>
      <c r="AF467" s="1857"/>
      <c r="AG467" s="1857"/>
      <c r="BL467" s="80"/>
    </row>
    <row r="468" spans="1:64" s="1854" customFormat="1">
      <c r="A468" s="1648"/>
      <c r="B468" s="1648"/>
      <c r="C468" s="1845"/>
      <c r="E468" s="1883"/>
      <c r="F468" s="1883"/>
      <c r="G468" s="1883"/>
      <c r="H468" s="1883"/>
      <c r="I468" s="1883"/>
      <c r="J468" s="1883"/>
      <c r="K468" s="1883"/>
      <c r="L468" s="1883"/>
      <c r="M468" s="1883"/>
      <c r="N468" s="1883"/>
      <c r="O468" s="1883"/>
      <c r="P468" s="1883"/>
      <c r="Q468" s="1883"/>
      <c r="R468" s="1702" t="s">
        <v>67</v>
      </c>
      <c r="S468" s="1702" t="s">
        <v>1660</v>
      </c>
      <c r="T468" s="1702" t="s">
        <v>1415</v>
      </c>
      <c r="U468" s="1816" t="s">
        <v>1414</v>
      </c>
      <c r="V468" s="1816"/>
      <c r="W468" s="1883"/>
      <c r="X468" s="1852"/>
      <c r="Y468" s="1871" t="s">
        <v>1679</v>
      </c>
      <c r="AF468" s="1857"/>
      <c r="AG468" s="1857"/>
      <c r="BL468" s="80"/>
    </row>
    <row r="469" spans="1:64" s="1854" customFormat="1">
      <c r="A469" s="1648"/>
      <c r="B469" s="1648"/>
      <c r="C469" s="1845"/>
      <c r="E469" s="1883"/>
      <c r="F469" s="1883"/>
      <c r="G469" s="1883"/>
      <c r="H469" s="1883"/>
      <c r="I469" s="1883"/>
      <c r="J469" s="1883"/>
      <c r="K469" s="1883"/>
      <c r="L469" s="1883"/>
      <c r="M469" s="1883"/>
      <c r="N469" s="1883"/>
      <c r="O469" s="1883"/>
      <c r="P469" s="1883"/>
      <c r="Q469" s="1883"/>
      <c r="R469" s="1887" t="s">
        <v>1655</v>
      </c>
      <c r="S469" s="1887" t="s">
        <v>1661</v>
      </c>
      <c r="T469" s="1887" t="s">
        <v>1421</v>
      </c>
      <c r="U469" s="1816" t="s">
        <v>1416</v>
      </c>
      <c r="V469" s="1816"/>
      <c r="W469" s="1883"/>
      <c r="X469" s="1852"/>
      <c r="Y469" s="3574" t="s">
        <v>1641</v>
      </c>
      <c r="Z469" s="3574"/>
      <c r="AA469" s="3574"/>
      <c r="AB469" s="3574"/>
      <c r="AF469" s="1857"/>
      <c r="AG469" s="1857"/>
      <c r="BL469" s="80"/>
    </row>
    <row r="470" spans="1:64" s="1854" customFormat="1">
      <c r="A470" s="1648"/>
      <c r="B470" s="1648"/>
      <c r="C470" s="1845"/>
      <c r="D470" s="1883"/>
      <c r="E470" s="1883"/>
      <c r="F470" s="1883"/>
      <c r="G470" s="1883"/>
      <c r="H470" s="1883"/>
      <c r="I470" s="1883"/>
      <c r="J470" s="1883"/>
      <c r="K470" s="1883"/>
      <c r="L470" s="1883"/>
      <c r="M470" s="1883"/>
      <c r="N470" s="1883"/>
      <c r="O470" s="1883"/>
      <c r="P470" s="1883"/>
      <c r="Q470" s="1883"/>
      <c r="R470" s="1889" t="s">
        <v>1656</v>
      </c>
      <c r="S470" s="1889" t="s">
        <v>1662</v>
      </c>
      <c r="T470" s="1887" t="s">
        <v>1422</v>
      </c>
      <c r="U470" s="1816" t="s">
        <v>1417</v>
      </c>
      <c r="V470" s="1816"/>
      <c r="X470" s="1852"/>
      <c r="Y470" s="3574"/>
      <c r="Z470" s="3574"/>
      <c r="AA470" s="3574"/>
      <c r="AB470" s="3574"/>
      <c r="AF470" s="1857"/>
      <c r="AG470" s="1857"/>
      <c r="BL470" s="80"/>
    </row>
    <row r="471" spans="1:64" s="1854" customFormat="1" ht="13.2" customHeight="1">
      <c r="A471" s="1648"/>
      <c r="B471" s="1648"/>
      <c r="C471" s="1845"/>
      <c r="D471" s="1801"/>
      <c r="E471" s="1801"/>
      <c r="F471" s="1801"/>
      <c r="G471" s="1801"/>
      <c r="H471" s="1801"/>
      <c r="I471" s="1801"/>
      <c r="J471" s="1801"/>
      <c r="K471" s="1801"/>
      <c r="L471" s="1801"/>
      <c r="M471" s="1801"/>
      <c r="N471" s="1801"/>
      <c r="O471" s="1801"/>
      <c r="P471" s="1801"/>
      <c r="Q471" s="1801"/>
      <c r="R471" s="1895" t="s">
        <v>335</v>
      </c>
      <c r="S471" s="1895" t="s">
        <v>1663</v>
      </c>
      <c r="T471" s="1888" t="s">
        <v>1423</v>
      </c>
      <c r="U471" s="1818" t="s">
        <v>1418</v>
      </c>
      <c r="V471" s="1818"/>
      <c r="Y471" s="111" t="s">
        <v>1680</v>
      </c>
      <c r="AF471" s="1857"/>
      <c r="AG471" s="1857"/>
      <c r="BL471" s="80"/>
    </row>
    <row r="472" spans="1:64" s="1854" customFormat="1" ht="13.2" customHeight="1">
      <c r="A472" s="1648"/>
      <c r="B472" s="1648"/>
      <c r="C472" s="1845"/>
      <c r="D472" s="1801"/>
      <c r="E472" s="1801"/>
      <c r="F472" s="1801"/>
      <c r="G472" s="1801"/>
      <c r="H472" s="1801"/>
      <c r="I472" s="1801"/>
      <c r="J472" s="1801"/>
      <c r="K472" s="1801"/>
      <c r="L472" s="1801"/>
      <c r="M472" s="1801"/>
      <c r="N472" s="1801"/>
      <c r="O472" s="1801"/>
      <c r="P472" s="1801"/>
      <c r="Q472" s="1801"/>
      <c r="R472" s="1526"/>
      <c r="S472" s="1526"/>
      <c r="T472" s="1893" t="s">
        <v>1424</v>
      </c>
      <c r="U472" s="1894" t="s">
        <v>1419</v>
      </c>
      <c r="V472" s="1894"/>
      <c r="X472" s="1857"/>
      <c r="Y472" s="3595" t="s">
        <v>1681</v>
      </c>
      <c r="Z472" s="3595"/>
      <c r="AA472" s="3595"/>
      <c r="AB472" s="3595"/>
      <c r="AF472" s="1857"/>
      <c r="AG472" s="1857"/>
      <c r="BL472" s="80"/>
    </row>
    <row r="473" spans="1:64" s="1854" customFormat="1">
      <c r="A473" s="1648"/>
      <c r="B473" s="1648"/>
      <c r="C473" s="1845"/>
      <c r="D473" s="1801"/>
      <c r="E473" s="1801"/>
      <c r="F473" s="1801"/>
      <c r="G473" s="1801"/>
      <c r="H473" s="1801"/>
      <c r="I473" s="1801"/>
      <c r="J473" s="1801"/>
      <c r="K473" s="1801"/>
      <c r="L473" s="1801"/>
      <c r="M473" s="1801"/>
      <c r="N473" s="1801"/>
      <c r="O473" s="1801"/>
      <c r="P473" s="1801"/>
      <c r="Q473" s="1801"/>
      <c r="R473" s="1892" t="s">
        <v>1657</v>
      </c>
      <c r="S473" s="1892" t="s">
        <v>1664</v>
      </c>
      <c r="T473" s="1526"/>
      <c r="U473" s="1526"/>
      <c r="V473" s="1526"/>
      <c r="X473" s="1890"/>
      <c r="Y473" s="3595"/>
      <c r="Z473" s="3595"/>
      <c r="AA473" s="3595"/>
      <c r="AB473" s="3595"/>
      <c r="AF473" s="1857"/>
      <c r="AG473" s="1857"/>
      <c r="BL473" s="80"/>
    </row>
    <row r="474" spans="1:64" s="1854" customFormat="1">
      <c r="A474" s="1648"/>
      <c r="B474" s="1648"/>
      <c r="C474" s="1845"/>
      <c r="D474" s="1801"/>
      <c r="E474" s="1801"/>
      <c r="F474" s="1801"/>
      <c r="G474" s="1801"/>
      <c r="H474" s="1801"/>
      <c r="I474" s="1801"/>
      <c r="J474" s="1801"/>
      <c r="K474" s="1801"/>
      <c r="L474" s="1801"/>
      <c r="M474" s="1801"/>
      <c r="N474" s="1801"/>
      <c r="O474" s="1801"/>
      <c r="P474" s="1801"/>
      <c r="Q474" s="1801"/>
      <c r="X474" s="1891"/>
      <c r="AB474" s="1644"/>
      <c r="AF474" s="1857"/>
      <c r="AG474" s="1857"/>
      <c r="BL474" s="80"/>
    </row>
    <row r="475" spans="1:64" s="2083" customFormat="1">
      <c r="A475" s="1649"/>
      <c r="B475" s="1649"/>
      <c r="C475" s="2082"/>
      <c r="D475" s="1823" t="s">
        <v>1925</v>
      </c>
      <c r="E475" s="2545"/>
      <c r="F475" s="2545"/>
      <c r="G475" s="2545"/>
      <c r="H475" s="2545"/>
      <c r="I475" s="2545"/>
      <c r="J475" s="2545"/>
      <c r="K475" s="2545"/>
      <c r="L475" s="2545"/>
      <c r="M475" s="2545"/>
      <c r="N475" s="2545"/>
      <c r="O475" s="2545"/>
      <c r="P475" s="2545"/>
      <c r="Q475" s="3457" t="s">
        <v>2032</v>
      </c>
      <c r="R475" s="3317"/>
      <c r="S475" s="3317"/>
      <c r="T475" s="3317"/>
      <c r="U475" s="3317"/>
      <c r="V475" s="3317"/>
      <c r="W475" s="3317"/>
      <c r="X475" s="2085"/>
      <c r="Y475" s="3321" t="s">
        <v>1927</v>
      </c>
      <c r="Z475" s="3321"/>
      <c r="AA475" s="3321"/>
      <c r="AB475" s="3321"/>
      <c r="AF475" s="2086"/>
      <c r="AG475" s="2086"/>
      <c r="BL475" s="2256"/>
    </row>
    <row r="476" spans="1:64" s="2083" customFormat="1">
      <c r="A476" s="1649"/>
      <c r="B476" s="1649"/>
      <c r="C476" s="2082"/>
      <c r="D476" s="133" t="s">
        <v>1923</v>
      </c>
      <c r="E476" s="2545"/>
      <c r="F476" s="2545"/>
      <c r="G476" s="2545"/>
      <c r="H476" s="2545"/>
      <c r="I476" s="2545"/>
      <c r="J476" s="2545"/>
      <c r="K476" s="2545"/>
      <c r="L476" s="2545"/>
      <c r="M476" s="2545"/>
      <c r="N476" s="2545"/>
      <c r="O476" s="2545"/>
      <c r="P476" s="2545"/>
      <c r="Q476" s="3458"/>
      <c r="R476" s="3307"/>
      <c r="S476" s="3307"/>
      <c r="T476" s="3307"/>
      <c r="U476" s="3307"/>
      <c r="V476" s="3307"/>
      <c r="W476" s="3307"/>
      <c r="X476" s="2085"/>
      <c r="Y476" s="3321"/>
      <c r="Z476" s="3321"/>
      <c r="AA476" s="3321"/>
      <c r="AB476" s="3321"/>
      <c r="AF476" s="2086"/>
      <c r="AG476" s="2086"/>
      <c r="BL476" s="2256"/>
    </row>
    <row r="477" spans="1:64" s="2083" customFormat="1">
      <c r="A477" s="1649"/>
      <c r="B477" s="1649"/>
      <c r="C477" s="2082"/>
      <c r="D477" s="133" t="s">
        <v>1924</v>
      </c>
      <c r="E477" s="2545"/>
      <c r="F477" s="2545"/>
      <c r="G477" s="2545"/>
      <c r="H477" s="2545"/>
      <c r="I477" s="2545"/>
      <c r="J477" s="2545"/>
      <c r="K477" s="2545"/>
      <c r="L477" s="2545"/>
      <c r="M477" s="2545"/>
      <c r="N477" s="2545"/>
      <c r="O477" s="2545"/>
      <c r="P477" s="2545"/>
      <c r="Q477" s="3458" t="s">
        <v>1959</v>
      </c>
      <c r="R477" s="3307"/>
      <c r="S477" s="3307"/>
      <c r="T477" s="3307"/>
      <c r="U477" s="3307"/>
      <c r="V477" s="3307"/>
      <c r="W477" s="3307"/>
      <c r="X477" s="2085"/>
      <c r="AF477" s="2086"/>
      <c r="AG477" s="2086"/>
      <c r="BL477" s="2256"/>
    </row>
    <row r="478" spans="1:64" s="2083" customFormat="1" ht="13.2" customHeight="1">
      <c r="A478" s="1649"/>
      <c r="B478" s="1649"/>
      <c r="C478" s="2082"/>
      <c r="D478" s="133" t="s">
        <v>1926</v>
      </c>
      <c r="E478" s="133"/>
      <c r="F478" s="133"/>
      <c r="G478" s="133"/>
      <c r="H478" s="133"/>
      <c r="I478" s="133"/>
      <c r="J478" s="133"/>
      <c r="K478" s="133"/>
      <c r="L478" s="2545"/>
      <c r="M478" s="2545"/>
      <c r="N478" s="2545"/>
      <c r="O478" s="2545"/>
      <c r="P478" s="2545"/>
      <c r="Q478" s="3458"/>
      <c r="R478" s="3307"/>
      <c r="S478" s="3307"/>
      <c r="T478" s="3307"/>
      <c r="U478" s="3307"/>
      <c r="V478" s="3307"/>
      <c r="W478" s="3307"/>
      <c r="X478" s="2085"/>
      <c r="AF478" s="2086"/>
      <c r="AG478" s="2086"/>
      <c r="BL478" s="2256"/>
    </row>
    <row r="479" spans="1:64" s="2083" customFormat="1">
      <c r="A479" s="1649"/>
      <c r="B479" s="1649"/>
      <c r="C479" s="2082"/>
      <c r="D479" s="2087"/>
      <c r="E479" s="2087"/>
      <c r="F479" s="2087"/>
      <c r="G479" s="2087"/>
      <c r="H479" s="2087"/>
      <c r="I479" s="2087"/>
      <c r="J479" s="2087"/>
      <c r="K479" s="2087"/>
      <c r="T479" s="2084"/>
      <c r="V479" s="2084"/>
      <c r="W479" s="2084"/>
      <c r="X479" s="2085"/>
      <c r="AF479" s="2086"/>
      <c r="AG479" s="2086"/>
      <c r="BL479" s="2256"/>
    </row>
    <row r="480" spans="1:64" s="2545" customFormat="1">
      <c r="A480" s="1673"/>
      <c r="B480" s="1673"/>
      <c r="C480" s="1697"/>
      <c r="T480" s="2546"/>
      <c r="V480" s="2546"/>
      <c r="W480" s="2546"/>
      <c r="X480" s="2552"/>
      <c r="AF480" s="2547"/>
      <c r="AG480" s="2547"/>
      <c r="BL480" s="80"/>
    </row>
    <row r="481" spans="1:64" s="2545" customFormat="1">
      <c r="A481" s="1595" t="s">
        <v>1867</v>
      </c>
      <c r="B481" s="1123"/>
      <c r="C481" s="1697"/>
      <c r="D481" s="1091" t="s">
        <v>1928</v>
      </c>
      <c r="H481" s="2545" t="s">
        <v>1970</v>
      </c>
      <c r="T481" s="2546"/>
      <c r="V481" s="2546"/>
      <c r="W481" s="2546"/>
      <c r="X481" s="2552"/>
      <c r="AF481" s="2547"/>
      <c r="AG481" s="2547"/>
      <c r="BL481" s="80"/>
    </row>
    <row r="482" spans="1:64" s="2545" customFormat="1">
      <c r="A482" s="1673"/>
      <c r="B482" s="1673"/>
      <c r="C482" s="1697"/>
      <c r="D482" s="1884" t="s">
        <v>1929</v>
      </c>
      <c r="T482" s="2546"/>
      <c r="V482" s="2546"/>
      <c r="W482" s="2546"/>
      <c r="X482" s="2552"/>
      <c r="AF482" s="2547"/>
      <c r="AG482" s="2547"/>
      <c r="BL482" s="80"/>
    </row>
    <row r="483" spans="1:64" s="2545" customFormat="1">
      <c r="A483" s="1673"/>
      <c r="B483" s="1673"/>
      <c r="C483" s="1697"/>
      <c r="E483" s="1673"/>
      <c r="F483" s="2547"/>
      <c r="G483" s="1673"/>
      <c r="H483" s="1673"/>
      <c r="I483" s="2547"/>
      <c r="J483" s="1673"/>
      <c r="Q483" s="73"/>
      <c r="S483" s="1697"/>
      <c r="T483" s="1697"/>
      <c r="U483" s="1697"/>
      <c r="V483" s="1697"/>
      <c r="X483" s="2547"/>
      <c r="AF483" s="2547"/>
      <c r="AG483" s="2547"/>
      <c r="BL483" s="80"/>
    </row>
    <row r="484" spans="1:64" s="2545" customFormat="1">
      <c r="A484" s="1673"/>
      <c r="B484" s="1673"/>
      <c r="C484" s="1697"/>
      <c r="E484" s="1673"/>
      <c r="F484" s="2547"/>
      <c r="G484" s="1673"/>
      <c r="H484" s="1673"/>
      <c r="I484" s="2547"/>
      <c r="J484" s="1673"/>
      <c r="Q484" s="73"/>
      <c r="S484" s="1697"/>
      <c r="T484" s="1697"/>
      <c r="U484" s="1697"/>
      <c r="V484" s="1697"/>
      <c r="X484" s="2547"/>
      <c r="AF484" s="2547"/>
      <c r="AG484" s="2547"/>
      <c r="BL484" s="80"/>
    </row>
    <row r="485" spans="1:64" s="2545" customFormat="1">
      <c r="A485" s="1673"/>
      <c r="B485" s="1673"/>
      <c r="C485" s="1697"/>
      <c r="E485" s="1673"/>
      <c r="F485" s="2547"/>
      <c r="G485" s="1673"/>
      <c r="H485" s="1673"/>
      <c r="I485" s="2547"/>
      <c r="J485" s="1673"/>
      <c r="Q485" s="73"/>
      <c r="S485" s="1697"/>
      <c r="T485" s="1697"/>
      <c r="U485" s="1697"/>
      <c r="V485" s="1697"/>
      <c r="X485" s="2547"/>
      <c r="AF485" s="2547"/>
      <c r="AG485" s="2547"/>
      <c r="BL485" s="80"/>
    </row>
    <row r="486" spans="1:64" s="1861" customFormat="1">
      <c r="A486" s="1189" t="s">
        <v>1955</v>
      </c>
      <c r="B486" s="94"/>
      <c r="C486" s="93"/>
      <c r="D486" s="94"/>
      <c r="E486" s="94"/>
      <c r="F486" s="94"/>
      <c r="G486" s="94"/>
      <c r="H486" s="94"/>
      <c r="I486" s="94"/>
      <c r="J486" s="94"/>
      <c r="K486" s="94"/>
      <c r="L486" s="94"/>
      <c r="M486" s="94"/>
      <c r="N486" s="94"/>
      <c r="O486" s="94"/>
      <c r="P486" s="94"/>
      <c r="Q486" s="94"/>
      <c r="R486" s="94"/>
      <c r="S486" s="94"/>
      <c r="T486" s="94"/>
      <c r="U486" s="94"/>
      <c r="V486" s="94"/>
      <c r="W486" s="94"/>
      <c r="X486" s="592"/>
      <c r="Y486" s="1235"/>
      <c r="Z486" s="1235"/>
      <c r="AA486" s="1235"/>
      <c r="AB486" s="1235"/>
      <c r="AD486" s="1235"/>
      <c r="AE486" s="1235"/>
      <c r="AF486" s="1982"/>
      <c r="AG486" s="1982"/>
      <c r="AH486" s="1235"/>
      <c r="AI486" s="1235"/>
      <c r="AJ486" s="1235"/>
      <c r="AK486" s="1235"/>
      <c r="AL486" s="1235"/>
      <c r="AM486" s="1235"/>
      <c r="AN486" s="1235"/>
      <c r="AO486" s="1235"/>
      <c r="AP486" s="1235"/>
      <c r="AQ486" s="1235"/>
      <c r="AR486" s="1235"/>
      <c r="AS486" s="1235"/>
      <c r="AT486" s="1235"/>
      <c r="BL486" s="80"/>
    </row>
    <row r="487" spans="1:64" s="1854" customFormat="1">
      <c r="A487" s="1648"/>
      <c r="B487" s="1648"/>
      <c r="C487" s="1845"/>
      <c r="D487" s="1856"/>
      <c r="E487" s="1648"/>
      <c r="F487" s="1857"/>
      <c r="G487" s="1649"/>
      <c r="H487" s="1648"/>
      <c r="I487" s="1857"/>
      <c r="J487" s="1648"/>
      <c r="Q487" s="73"/>
      <c r="X487" s="1857"/>
      <c r="AF487" s="1857"/>
      <c r="AG487" s="1857"/>
      <c r="BL487" s="80"/>
    </row>
    <row r="488" spans="1:64" s="1730" customFormat="1">
      <c r="A488" s="2614"/>
      <c r="B488" s="2614"/>
      <c r="C488" s="1846"/>
      <c r="D488" s="2638" t="s">
        <v>2033</v>
      </c>
      <c r="E488" s="1673"/>
      <c r="F488" s="1922"/>
      <c r="G488" s="1673"/>
      <c r="H488" s="1673"/>
      <c r="I488" s="1922"/>
      <c r="J488" s="1673"/>
      <c r="K488" s="1921"/>
      <c r="L488" s="1921"/>
      <c r="M488" s="1921"/>
      <c r="N488" s="1921"/>
      <c r="O488" s="1921"/>
      <c r="P488" s="1921"/>
      <c r="Q488" s="73"/>
      <c r="R488" s="1921"/>
      <c r="S488" s="1921"/>
      <c r="T488" s="1921"/>
      <c r="U488" s="1921"/>
      <c r="V488" s="1921"/>
      <c r="W488" s="1921"/>
      <c r="X488" s="1809"/>
      <c r="Z488" s="1736"/>
      <c r="AA488" s="1736"/>
      <c r="AF488" s="1731"/>
      <c r="AG488" s="1731"/>
      <c r="BL488" s="80"/>
    </row>
    <row r="489" spans="1:64" s="1730" customFormat="1" ht="13.2" customHeight="1">
      <c r="A489" s="2614"/>
      <c r="B489" s="2614"/>
      <c r="C489" s="1846"/>
      <c r="D489" s="3415" t="s">
        <v>2034</v>
      </c>
      <c r="E489" s="3415"/>
      <c r="F489" s="3415"/>
      <c r="G489" s="3415"/>
      <c r="H489" s="3415"/>
      <c r="I489" s="3415"/>
      <c r="J489" s="3415"/>
      <c r="K489" s="3415"/>
      <c r="L489" s="3415"/>
      <c r="M489" s="3415"/>
      <c r="N489" s="3415"/>
      <c r="O489" s="3415"/>
      <c r="P489" s="3415"/>
      <c r="Q489" s="3415"/>
      <c r="R489" s="3415"/>
      <c r="S489" s="3415"/>
      <c r="T489" s="3415"/>
      <c r="U489" s="3415"/>
      <c r="V489" s="3415"/>
      <c r="W489" s="3415"/>
      <c r="X489" s="1809"/>
      <c r="Y489" s="3321" t="s">
        <v>1734</v>
      </c>
      <c r="Z489" s="3321"/>
      <c r="AA489" s="3321"/>
      <c r="AB489" s="3321"/>
      <c r="AF489" s="1731"/>
      <c r="AG489" s="1731"/>
      <c r="BL489" s="80"/>
    </row>
    <row r="490" spans="1:64" s="1730" customFormat="1">
      <c r="C490" s="92"/>
      <c r="D490" s="3415"/>
      <c r="E490" s="3415"/>
      <c r="F490" s="3415"/>
      <c r="G490" s="3415"/>
      <c r="H490" s="3415"/>
      <c r="I490" s="3415"/>
      <c r="J490" s="3415"/>
      <c r="K490" s="3415"/>
      <c r="L490" s="3415"/>
      <c r="M490" s="3415"/>
      <c r="N490" s="3415"/>
      <c r="O490" s="3415"/>
      <c r="P490" s="3415"/>
      <c r="Q490" s="3415"/>
      <c r="R490" s="3415"/>
      <c r="S490" s="3415"/>
      <c r="T490" s="3415"/>
      <c r="U490" s="3415"/>
      <c r="V490" s="3415"/>
      <c r="W490" s="3415"/>
      <c r="X490" s="1809"/>
      <c r="Y490" s="3321"/>
      <c r="Z490" s="3321"/>
      <c r="AA490" s="3321"/>
      <c r="AB490" s="3321"/>
      <c r="AF490" s="1731"/>
      <c r="AG490" s="1731"/>
      <c r="BL490" s="80"/>
    </row>
    <row r="491" spans="1:64" s="1921" customFormat="1">
      <c r="C491" s="92"/>
      <c r="D491" s="2615" t="s">
        <v>1537</v>
      </c>
      <c r="E491" s="1673"/>
      <c r="F491" s="1922"/>
      <c r="G491" s="1673"/>
      <c r="H491" s="1673"/>
      <c r="I491" s="1922"/>
      <c r="J491" s="1673"/>
      <c r="Q491" s="73"/>
      <c r="X491" s="1922"/>
      <c r="AF491" s="1922"/>
      <c r="AG491" s="1922"/>
      <c r="BL491" s="80"/>
    </row>
    <row r="492" spans="1:64" ht="13.2" customHeight="1">
      <c r="A492" s="1604"/>
      <c r="D492" s="1744" t="s">
        <v>1985</v>
      </c>
      <c r="E492" s="1919"/>
      <c r="F492" s="1919"/>
      <c r="G492" s="1919"/>
      <c r="H492" s="1919"/>
      <c r="I492" s="1919"/>
      <c r="J492" s="1919"/>
      <c r="K492" s="1919"/>
      <c r="L492" s="1919"/>
      <c r="M492" s="1919"/>
      <c r="N492" s="1919"/>
      <c r="O492" s="1919"/>
      <c r="P492" s="1919"/>
      <c r="Q492" s="1919"/>
      <c r="R492" s="1919"/>
      <c r="S492" s="1919"/>
      <c r="T492" s="1919"/>
      <c r="U492" s="1919"/>
      <c r="V492" s="1919"/>
      <c r="W492" s="1919"/>
    </row>
    <row r="493" spans="1:64" s="2569" customFormat="1" ht="13.2" customHeight="1">
      <c r="C493" s="92"/>
      <c r="D493" s="1744" t="s">
        <v>1986</v>
      </c>
      <c r="E493" s="2568"/>
      <c r="F493" s="2568"/>
      <c r="G493" s="2568"/>
      <c r="H493" s="2568"/>
      <c r="I493" s="2568"/>
      <c r="J493" s="2568"/>
      <c r="K493" s="2568"/>
      <c r="L493" s="2568"/>
      <c r="M493" s="2568"/>
      <c r="N493" s="2568"/>
      <c r="O493" s="2568"/>
      <c r="P493" s="2568"/>
      <c r="Q493" s="2568"/>
      <c r="R493" s="2568"/>
      <c r="S493" s="2568"/>
      <c r="T493" s="2568"/>
      <c r="U493" s="2568"/>
      <c r="V493" s="2568"/>
      <c r="W493" s="2568"/>
      <c r="X493" s="2570"/>
      <c r="AF493" s="2570"/>
      <c r="AG493" s="2570"/>
      <c r="BL493" s="80"/>
    </row>
    <row r="494" spans="1:64" s="1736" customFormat="1" ht="13.2" customHeight="1">
      <c r="C494" s="92"/>
      <c r="D494" s="1748" t="s">
        <v>1870</v>
      </c>
      <c r="E494" s="1919"/>
      <c r="F494" s="1919"/>
      <c r="G494" s="1919"/>
      <c r="H494" s="1919"/>
      <c r="I494" s="1919"/>
      <c r="J494" s="1919"/>
      <c r="K494" s="1919"/>
      <c r="L494" s="1919"/>
      <c r="M494" s="1919"/>
      <c r="N494" s="1919"/>
      <c r="O494" s="1919"/>
      <c r="P494" s="1919"/>
      <c r="Q494" s="1919"/>
      <c r="R494" s="1919"/>
      <c r="S494" s="1919"/>
      <c r="T494" s="1919"/>
      <c r="U494" s="1919"/>
      <c r="V494" s="1919"/>
      <c r="W494" s="1919"/>
      <c r="X494" s="1809"/>
      <c r="Y494" s="1153" t="s">
        <v>1869</v>
      </c>
      <c r="Z494" s="1604"/>
      <c r="AA494" s="1604"/>
      <c r="AF494" s="1737"/>
      <c r="AG494" s="1737"/>
      <c r="BL494" s="80"/>
    </row>
    <row r="495" spans="1:64" s="2545" customFormat="1" ht="13.2" customHeight="1">
      <c r="C495" s="92"/>
      <c r="D495" s="1748"/>
      <c r="E495" s="2546"/>
      <c r="F495" s="2546"/>
      <c r="G495" s="2546"/>
      <c r="H495" s="2546"/>
      <c r="I495" s="2546"/>
      <c r="J495" s="2546"/>
      <c r="K495" s="2546"/>
      <c r="L495" s="2546"/>
      <c r="M495" s="2546"/>
      <c r="N495" s="2546"/>
      <c r="O495" s="2546"/>
      <c r="P495" s="2546"/>
      <c r="Q495" s="2546"/>
      <c r="R495" s="2546"/>
      <c r="S495" s="2546"/>
      <c r="T495" s="2546"/>
      <c r="U495" s="2546"/>
      <c r="V495" s="2546"/>
      <c r="W495" s="2546"/>
      <c r="X495" s="2547"/>
      <c r="Y495" s="1153"/>
      <c r="Z495" s="1153"/>
      <c r="AA495" s="1153"/>
      <c r="AF495" s="2547"/>
      <c r="AG495" s="2547"/>
      <c r="BL495" s="80"/>
    </row>
    <row r="496" spans="1:64">
      <c r="E496" s="1602"/>
      <c r="F496" s="1602"/>
      <c r="G496" s="1602"/>
      <c r="H496" s="1602"/>
      <c r="I496" s="1602"/>
      <c r="J496" s="1602"/>
      <c r="K496" s="1602"/>
      <c r="L496" s="1602"/>
      <c r="M496" s="1602"/>
      <c r="N496" s="1602"/>
      <c r="O496" s="1602"/>
      <c r="P496" s="1602"/>
      <c r="Q496" s="1602"/>
      <c r="R496" s="1602"/>
      <c r="S496" s="1602"/>
      <c r="T496" s="1602"/>
      <c r="U496" s="1602"/>
      <c r="AF496" s="1300" t="s">
        <v>1930</v>
      </c>
      <c r="AG496" s="1604"/>
      <c r="AJ496" s="1605"/>
      <c r="AK496" s="1605"/>
    </row>
    <row r="497" spans="1:64">
      <c r="A497" s="1595" t="s">
        <v>323</v>
      </c>
      <c r="B497" s="2624" t="s">
        <v>98</v>
      </c>
      <c r="D497" s="1700" t="s">
        <v>1434</v>
      </c>
      <c r="E497" s="1700"/>
      <c r="F497" s="1700"/>
      <c r="G497" s="1700"/>
      <c r="H497" s="1700"/>
      <c r="I497" s="1700"/>
      <c r="J497" s="1700"/>
      <c r="K497" s="1700"/>
      <c r="L497" s="1700"/>
      <c r="M497" s="1787"/>
      <c r="N497" s="1787"/>
      <c r="O497" s="1787"/>
      <c r="P497" s="1700"/>
      <c r="Q497" s="1701"/>
      <c r="R497" s="1702"/>
      <c r="S497" s="1700"/>
      <c r="T497" s="1787"/>
      <c r="U497" s="1787"/>
      <c r="V497" s="1787"/>
      <c r="W497" s="1787"/>
      <c r="AF497" s="1604"/>
      <c r="AG497" s="1604"/>
      <c r="AJ497" s="1605"/>
      <c r="AK497" s="1605"/>
    </row>
    <row r="498" spans="1:64">
      <c r="B498" s="2624" t="s">
        <v>99</v>
      </c>
      <c r="D498" s="1700" t="s">
        <v>1436</v>
      </c>
      <c r="E498" s="1700"/>
      <c r="F498" s="1700"/>
      <c r="G498" s="1700"/>
      <c r="H498" s="1700"/>
      <c r="I498" s="1700"/>
      <c r="J498" s="1700"/>
      <c r="K498" s="1700"/>
      <c r="L498" s="1700"/>
      <c r="M498" s="1787"/>
      <c r="N498" s="1787"/>
      <c r="O498" s="1787"/>
      <c r="P498" s="1700"/>
      <c r="Q498" s="1701"/>
      <c r="R498" s="1702"/>
      <c r="S498" s="1700"/>
      <c r="T498" s="1787"/>
      <c r="U498" s="1787"/>
      <c r="V498" s="1787"/>
      <c r="W498" s="1787"/>
      <c r="AF498" s="1604"/>
      <c r="AG498" s="1604"/>
      <c r="AJ498" s="1605"/>
      <c r="AK498" s="1605"/>
    </row>
    <row r="499" spans="1:64">
      <c r="B499" s="2624" t="s">
        <v>100</v>
      </c>
      <c r="D499" s="1700" t="s">
        <v>1435</v>
      </c>
      <c r="E499" s="1700"/>
      <c r="F499" s="1700"/>
      <c r="G499" s="1700"/>
      <c r="H499" s="1700"/>
      <c r="I499" s="1700"/>
      <c r="J499" s="1700"/>
      <c r="K499" s="1700"/>
      <c r="L499" s="1700"/>
      <c r="M499" s="1787"/>
      <c r="N499" s="1787"/>
      <c r="O499" s="1787"/>
      <c r="P499" s="1700"/>
      <c r="Q499" s="1701"/>
      <c r="R499" s="1702"/>
      <c r="S499" s="1700"/>
      <c r="T499" s="1787"/>
      <c r="U499" s="1787"/>
      <c r="V499" s="1787"/>
      <c r="W499" s="1787"/>
      <c r="AF499" s="1604"/>
      <c r="AG499" s="1604"/>
      <c r="AJ499" s="1605"/>
      <c r="AK499" s="1605"/>
    </row>
    <row r="500" spans="1:64">
      <c r="D500" s="79"/>
      <c r="E500" s="109"/>
      <c r="F500" s="109"/>
      <c r="G500" s="109"/>
      <c r="H500" s="109"/>
      <c r="I500" s="109"/>
      <c r="J500" s="109"/>
      <c r="K500" s="109"/>
      <c r="L500" s="109"/>
      <c r="P500" s="109"/>
      <c r="Q500" s="1697"/>
      <c r="R500" s="77"/>
      <c r="S500" s="109"/>
      <c r="AF500" s="1604"/>
      <c r="AG500" s="1604"/>
      <c r="AJ500" s="1605"/>
      <c r="AK500" s="1605"/>
    </row>
    <row r="501" spans="1:64">
      <c r="B501" s="2624" t="s">
        <v>101</v>
      </c>
      <c r="D501" s="1105" t="s">
        <v>1868</v>
      </c>
      <c r="E501" s="1105"/>
      <c r="F501" s="1105"/>
      <c r="G501" s="597"/>
      <c r="H501" s="1703"/>
      <c r="I501" s="1222"/>
      <c r="J501" s="597"/>
      <c r="K501" s="597"/>
      <c r="L501" s="597"/>
      <c r="M501" s="597"/>
      <c r="N501" s="1105"/>
      <c r="O501" s="1105"/>
      <c r="P501" s="597"/>
      <c r="Q501" s="1703"/>
      <c r="R501" s="1222"/>
      <c r="S501" s="597"/>
      <c r="T501" s="1105"/>
      <c r="U501" s="1105"/>
      <c r="V501" s="1105"/>
      <c r="W501" s="1105"/>
      <c r="AF501" s="1604"/>
      <c r="AG501" s="1604"/>
      <c r="AJ501" s="1605"/>
      <c r="AK501" s="1605"/>
    </row>
    <row r="502" spans="1:64">
      <c r="D502" s="1737"/>
      <c r="E502" s="1605"/>
      <c r="F502" s="109"/>
      <c r="G502" s="1697"/>
      <c r="H502" s="77"/>
      <c r="I502" s="109"/>
      <c r="J502" s="109"/>
      <c r="K502" s="109"/>
      <c r="L502" s="109"/>
      <c r="P502" s="109"/>
      <c r="Q502" s="1697"/>
      <c r="R502" s="77"/>
      <c r="S502" s="109"/>
      <c r="AF502" s="1604"/>
      <c r="AG502" s="1604"/>
      <c r="AJ502" s="1605"/>
      <c r="AK502" s="1605"/>
    </row>
    <row r="503" spans="1:64" s="1921" customFormat="1">
      <c r="A503" s="1155"/>
      <c r="C503" s="92"/>
      <c r="D503" s="1922"/>
      <c r="E503" s="1922"/>
      <c r="F503" s="109"/>
      <c r="G503" s="1697"/>
      <c r="H503" s="77"/>
      <c r="I503" s="109"/>
      <c r="J503" s="109"/>
      <c r="K503" s="109"/>
      <c r="L503" s="109"/>
      <c r="P503" s="109"/>
      <c r="Q503" s="1697"/>
      <c r="R503" s="77"/>
      <c r="S503" s="109"/>
      <c r="X503" s="1922"/>
      <c r="AJ503" s="1922"/>
      <c r="AK503" s="1922"/>
      <c r="BL503" s="80"/>
    </row>
    <row r="504" spans="1:64">
      <c r="A504" s="1252" t="s">
        <v>772</v>
      </c>
      <c r="B504" s="2624" t="s">
        <v>98</v>
      </c>
      <c r="D504" s="1735" t="s">
        <v>1471</v>
      </c>
      <c r="E504" s="1920"/>
      <c r="F504" s="1735"/>
      <c r="G504" s="1735"/>
      <c r="H504" s="1735"/>
      <c r="I504" s="1735"/>
      <c r="J504" s="1735"/>
      <c r="K504" s="1735"/>
      <c r="L504" s="1735"/>
      <c r="M504" s="1735"/>
      <c r="N504" s="1735"/>
      <c r="O504" s="1735"/>
      <c r="P504" s="1700"/>
      <c r="Q504" s="1701"/>
      <c r="R504" s="1702"/>
      <c r="S504" s="1700"/>
      <c r="T504" s="1735"/>
      <c r="U504" s="1735"/>
      <c r="V504" s="1735"/>
      <c r="W504" s="1735"/>
      <c r="AF504" s="1604"/>
      <c r="AG504" s="1604"/>
      <c r="AJ504" s="1605"/>
      <c r="AK504" s="1605"/>
      <c r="BC504" s="1300"/>
    </row>
    <row r="505" spans="1:64">
      <c r="D505" s="3441" t="s">
        <v>1483</v>
      </c>
      <c r="E505" s="3441"/>
      <c r="F505" s="3441"/>
      <c r="G505" s="3441"/>
      <c r="H505" s="3441"/>
      <c r="I505" s="3441"/>
      <c r="J505" s="3441"/>
      <c r="K505" s="3441"/>
      <c r="L505" s="3441"/>
      <c r="M505" s="3441"/>
      <c r="N505" s="3441"/>
      <c r="O505" s="3441"/>
      <c r="P505" s="3441"/>
      <c r="Q505" s="3441"/>
      <c r="R505" s="3441"/>
      <c r="S505" s="3441"/>
      <c r="T505" s="3441"/>
      <c r="U505" s="3441"/>
      <c r="V505" s="3441"/>
      <c r="W505" s="3441"/>
      <c r="Y505" s="1736"/>
      <c r="Z505" s="1736"/>
      <c r="AA505" s="1736"/>
      <c r="AF505" s="1604"/>
      <c r="AG505" s="1604"/>
      <c r="AJ505" s="1605"/>
      <c r="AK505" s="1605"/>
    </row>
    <row r="506" spans="1:64" ht="13.2" customHeight="1">
      <c r="A506" s="1604"/>
      <c r="C506" s="1604"/>
      <c r="D506" s="3442"/>
      <c r="E506" s="3442"/>
      <c r="F506" s="3442"/>
      <c r="G506" s="3442"/>
      <c r="H506" s="3442"/>
      <c r="I506" s="3442"/>
      <c r="J506" s="3442"/>
      <c r="K506" s="3442"/>
      <c r="L506" s="3442"/>
      <c r="M506" s="3442"/>
      <c r="N506" s="3442"/>
      <c r="O506" s="3442"/>
      <c r="P506" s="3442"/>
      <c r="Q506" s="3442"/>
      <c r="R506" s="3442"/>
      <c r="S506" s="3442"/>
      <c r="T506" s="3442"/>
      <c r="U506" s="3442"/>
      <c r="V506" s="3442"/>
      <c r="W506" s="3442"/>
      <c r="Y506" s="1736"/>
      <c r="Z506" s="1736"/>
      <c r="AA506" s="1736"/>
      <c r="AF506" s="1604"/>
      <c r="AG506" s="1604"/>
      <c r="AJ506" s="1605"/>
      <c r="AK506" s="1605"/>
    </row>
    <row r="507" spans="1:64">
      <c r="A507" s="1604"/>
      <c r="C507" s="1604"/>
      <c r="D507" s="3443"/>
      <c r="E507" s="3443"/>
      <c r="F507" s="3443"/>
      <c r="G507" s="3443"/>
      <c r="H507" s="3443"/>
      <c r="I507" s="3443"/>
      <c r="J507" s="3443"/>
      <c r="K507" s="3443"/>
      <c r="L507" s="3443"/>
      <c r="M507" s="3443"/>
      <c r="N507" s="3443"/>
      <c r="O507" s="3443"/>
      <c r="P507" s="3443"/>
      <c r="Q507" s="3443"/>
      <c r="R507" s="3443"/>
      <c r="S507" s="3443"/>
      <c r="T507" s="3443"/>
      <c r="U507" s="3443"/>
      <c r="V507" s="3443"/>
      <c r="W507" s="3443"/>
      <c r="Y507" s="1736"/>
      <c r="Z507" s="1736"/>
      <c r="AA507" s="1736"/>
      <c r="AF507" s="1604"/>
      <c r="AG507" s="1604"/>
      <c r="AJ507" s="1605"/>
      <c r="AK507" s="1605"/>
    </row>
    <row r="508" spans="1:64">
      <c r="A508" s="1604"/>
      <c r="C508" s="1604"/>
      <c r="D508" s="3441" t="s">
        <v>2100</v>
      </c>
      <c r="E508" s="3441"/>
      <c r="F508" s="3441"/>
      <c r="G508" s="3441"/>
      <c r="H508" s="3441"/>
      <c r="I508" s="3441"/>
      <c r="J508" s="3441"/>
      <c r="K508" s="3441"/>
      <c r="L508" s="3441"/>
      <c r="M508" s="3441"/>
      <c r="N508" s="3441"/>
      <c r="O508" s="3441"/>
      <c r="P508" s="3441"/>
      <c r="Q508" s="3441"/>
      <c r="R508" s="3441"/>
      <c r="S508" s="3441"/>
      <c r="T508" s="3441"/>
      <c r="U508" s="3441"/>
      <c r="V508" s="3441"/>
      <c r="W508" s="3441"/>
      <c r="AF508" s="1604"/>
      <c r="AG508" s="1604"/>
      <c r="AJ508" s="1605"/>
      <c r="AK508" s="1605"/>
    </row>
    <row r="509" spans="1:64">
      <c r="A509" s="1604"/>
      <c r="C509" s="1604"/>
      <c r="D509" s="3442"/>
      <c r="E509" s="3442"/>
      <c r="F509" s="3442"/>
      <c r="G509" s="3442"/>
      <c r="H509" s="3442"/>
      <c r="I509" s="3442"/>
      <c r="J509" s="3442"/>
      <c r="K509" s="3442"/>
      <c r="L509" s="3442"/>
      <c r="M509" s="3442"/>
      <c r="N509" s="3442"/>
      <c r="O509" s="3442"/>
      <c r="P509" s="3442"/>
      <c r="Q509" s="3442"/>
      <c r="R509" s="3442"/>
      <c r="S509" s="3442"/>
      <c r="T509" s="3442"/>
      <c r="U509" s="3442"/>
      <c r="V509" s="3442"/>
      <c r="W509" s="3442"/>
      <c r="AF509" s="1604"/>
      <c r="AG509" s="1604"/>
      <c r="AJ509" s="1605"/>
      <c r="AK509" s="1605"/>
    </row>
    <row r="510" spans="1:64">
      <c r="A510" s="1604"/>
      <c r="C510" s="1604"/>
      <c r="D510" s="3442"/>
      <c r="E510" s="3442"/>
      <c r="F510" s="3442"/>
      <c r="G510" s="3442"/>
      <c r="H510" s="3442"/>
      <c r="I510" s="3442"/>
      <c r="J510" s="3442"/>
      <c r="K510" s="3442"/>
      <c r="L510" s="3442"/>
      <c r="M510" s="3442"/>
      <c r="N510" s="3442"/>
      <c r="O510" s="3442"/>
      <c r="P510" s="3442"/>
      <c r="Q510" s="3442"/>
      <c r="R510" s="3442"/>
      <c r="S510" s="3442"/>
      <c r="T510" s="3442"/>
      <c r="U510" s="3442"/>
      <c r="V510" s="3442"/>
      <c r="W510" s="3442"/>
      <c r="AF510" s="1604"/>
      <c r="AG510" s="1604"/>
      <c r="AJ510" s="1605"/>
      <c r="AK510" s="1605"/>
    </row>
    <row r="511" spans="1:64" ht="13.2" customHeight="1">
      <c r="A511" s="1604"/>
      <c r="C511" s="1604"/>
      <c r="D511" s="3442" t="s">
        <v>1484</v>
      </c>
      <c r="E511" s="3442"/>
      <c r="F511" s="3442"/>
      <c r="G511" s="3442"/>
      <c r="H511" s="3442"/>
      <c r="I511" s="3442"/>
      <c r="J511" s="3442"/>
      <c r="K511" s="3442"/>
      <c r="L511" s="3442"/>
      <c r="M511" s="3442"/>
      <c r="N511" s="3442"/>
      <c r="O511" s="3442"/>
      <c r="P511" s="3442"/>
      <c r="Q511" s="3442"/>
      <c r="R511" s="3442"/>
      <c r="S511" s="3442"/>
      <c r="T511" s="3442"/>
      <c r="U511" s="3442"/>
      <c r="V511" s="3442"/>
      <c r="W511" s="3442"/>
      <c r="AF511" s="1604"/>
      <c r="AG511" s="1604"/>
      <c r="AJ511" s="1605"/>
      <c r="AK511" s="1605"/>
    </row>
    <row r="512" spans="1:64">
      <c r="A512" s="1604"/>
      <c r="C512" s="1604"/>
      <c r="D512" s="3442"/>
      <c r="E512" s="3442"/>
      <c r="F512" s="3442"/>
      <c r="G512" s="3442"/>
      <c r="H512" s="3442"/>
      <c r="I512" s="3442"/>
      <c r="J512" s="3442"/>
      <c r="K512" s="3442"/>
      <c r="L512" s="3442"/>
      <c r="M512" s="3442"/>
      <c r="N512" s="3442"/>
      <c r="O512" s="3442"/>
      <c r="P512" s="3442"/>
      <c r="Q512" s="3442"/>
      <c r="R512" s="3442"/>
      <c r="S512" s="3442"/>
      <c r="T512" s="3442"/>
      <c r="U512" s="3442"/>
      <c r="V512" s="3442"/>
      <c r="W512" s="3442"/>
      <c r="AF512" s="1604"/>
      <c r="AG512" s="1604"/>
      <c r="AJ512" s="1605"/>
      <c r="AK512" s="1605"/>
    </row>
    <row r="513" spans="1:37">
      <c r="A513" s="1604"/>
      <c r="C513" s="1604"/>
      <c r="D513" s="3442"/>
      <c r="E513" s="3442"/>
      <c r="F513" s="3442"/>
      <c r="G513" s="3442"/>
      <c r="H513" s="3442"/>
      <c r="I513" s="3442"/>
      <c r="J513" s="3442"/>
      <c r="K513" s="3442"/>
      <c r="L513" s="3442"/>
      <c r="M513" s="3442"/>
      <c r="N513" s="3442"/>
      <c r="O513" s="3442"/>
      <c r="P513" s="3442"/>
      <c r="Q513" s="3442"/>
      <c r="R513" s="3442"/>
      <c r="S513" s="3442"/>
      <c r="T513" s="3442"/>
      <c r="U513" s="3442"/>
      <c r="V513" s="3442"/>
      <c r="W513" s="3442"/>
      <c r="AF513" s="1604"/>
      <c r="AG513" s="1604"/>
      <c r="AJ513" s="1605"/>
      <c r="AK513" s="1605"/>
    </row>
    <row r="514" spans="1:37" ht="13.2" customHeight="1">
      <c r="A514" s="1604"/>
      <c r="C514" s="1604"/>
      <c r="D514" s="3442" t="s">
        <v>1485</v>
      </c>
      <c r="E514" s="3442"/>
      <c r="F514" s="3442"/>
      <c r="G514" s="3442"/>
      <c r="H514" s="3442"/>
      <c r="I514" s="3442"/>
      <c r="J514" s="3442"/>
      <c r="K514" s="3442"/>
      <c r="L514" s="3442"/>
      <c r="M514" s="3442"/>
      <c r="N514" s="3442"/>
      <c r="O514" s="3442"/>
      <c r="P514" s="3442"/>
      <c r="Q514" s="3442"/>
      <c r="R514" s="3442"/>
      <c r="S514" s="3442"/>
      <c r="T514" s="3442"/>
      <c r="U514" s="3442"/>
      <c r="V514" s="3442"/>
      <c r="W514" s="3442"/>
      <c r="X514" s="1767"/>
      <c r="AF514" s="1604"/>
      <c r="AG514" s="1604"/>
      <c r="AJ514" s="1605"/>
      <c r="AK514" s="1605"/>
    </row>
    <row r="515" spans="1:37">
      <c r="A515" s="1604"/>
      <c r="C515" s="1604"/>
      <c r="D515" s="3442"/>
      <c r="E515" s="3442"/>
      <c r="F515" s="3442"/>
      <c r="G515" s="3442"/>
      <c r="H515" s="3442"/>
      <c r="I515" s="3442"/>
      <c r="J515" s="3442"/>
      <c r="K515" s="3442"/>
      <c r="L515" s="3442"/>
      <c r="M515" s="3442"/>
      <c r="N515" s="3442"/>
      <c r="O515" s="3442"/>
      <c r="P515" s="3442"/>
      <c r="Q515" s="3442"/>
      <c r="R515" s="3442"/>
      <c r="S515" s="3442"/>
      <c r="T515" s="3442"/>
      <c r="U515" s="3442"/>
      <c r="V515" s="3442"/>
      <c r="W515" s="3442"/>
      <c r="X515" s="1767"/>
      <c r="Y515" s="1921" t="s">
        <v>1473</v>
      </c>
      <c r="AF515" s="1604"/>
      <c r="AG515" s="1604"/>
      <c r="AJ515" s="1605"/>
      <c r="AK515" s="1605"/>
    </row>
    <row r="516" spans="1:37">
      <c r="A516" s="1604"/>
      <c r="C516" s="1604"/>
      <c r="D516" s="3442"/>
      <c r="E516" s="3442"/>
      <c r="F516" s="3442"/>
      <c r="G516" s="3442"/>
      <c r="H516" s="3442"/>
      <c r="I516" s="3442"/>
      <c r="J516" s="3442"/>
      <c r="K516" s="3442"/>
      <c r="L516" s="3442"/>
      <c r="M516" s="3442"/>
      <c r="N516" s="3442"/>
      <c r="O516" s="3442"/>
      <c r="P516" s="3442"/>
      <c r="Q516" s="3442"/>
      <c r="R516" s="3442"/>
      <c r="S516" s="3442"/>
      <c r="T516" s="3442"/>
      <c r="U516" s="3442"/>
      <c r="V516" s="3442"/>
      <c r="W516" s="3442"/>
      <c r="X516" s="1767"/>
      <c r="Y516" s="136">
        <f>CALCULATIONS!MN7</f>
        <v>1.2701878517367673</v>
      </c>
      <c r="Z516" s="136"/>
      <c r="AF516" s="1604"/>
      <c r="AG516" s="1604"/>
      <c r="AJ516" s="1605"/>
      <c r="AK516" s="1605"/>
    </row>
    <row r="517" spans="1:37">
      <c r="A517" s="1604"/>
      <c r="C517" s="1604"/>
      <c r="D517" s="3442" t="s">
        <v>1486</v>
      </c>
      <c r="E517" s="3442"/>
      <c r="F517" s="3442"/>
      <c r="G517" s="3442"/>
      <c r="H517" s="3442"/>
      <c r="I517" s="3442"/>
      <c r="J517" s="3442"/>
      <c r="K517" s="3442"/>
      <c r="L517" s="3442"/>
      <c r="M517" s="3442"/>
      <c r="N517" s="3442"/>
      <c r="O517" s="3442"/>
      <c r="P517" s="3442"/>
      <c r="Q517" s="3442"/>
      <c r="R517" s="3442"/>
      <c r="S517" s="3442"/>
      <c r="T517" s="3442"/>
      <c r="U517" s="3442"/>
      <c r="V517" s="3442"/>
      <c r="W517" s="3442"/>
      <c r="AF517" s="1300" t="s">
        <v>1405</v>
      </c>
      <c r="AG517" s="1604"/>
      <c r="AJ517" s="1605"/>
      <c r="AK517" s="1605"/>
    </row>
    <row r="518" spans="1:37">
      <c r="A518" s="1604"/>
      <c r="C518" s="1604"/>
      <c r="D518" s="3442"/>
      <c r="E518" s="3442"/>
      <c r="F518" s="3442"/>
      <c r="G518" s="3442"/>
      <c r="H518" s="3442"/>
      <c r="I518" s="3442"/>
      <c r="J518" s="3442"/>
      <c r="K518" s="3442"/>
      <c r="L518" s="3442"/>
      <c r="M518" s="3442"/>
      <c r="N518" s="3442"/>
      <c r="O518" s="3442"/>
      <c r="P518" s="3442"/>
      <c r="Q518" s="3442"/>
      <c r="R518" s="3442"/>
      <c r="S518" s="3442"/>
      <c r="T518" s="3442"/>
      <c r="U518" s="3442"/>
      <c r="V518" s="3442"/>
      <c r="W518" s="3442"/>
      <c r="AF518" s="1604"/>
      <c r="AG518" s="1604"/>
      <c r="AJ518" s="1605"/>
      <c r="AK518" s="1605"/>
    </row>
    <row r="519" spans="1:37">
      <c r="A519" s="1604"/>
      <c r="C519" s="1604"/>
      <c r="D519" s="1761" t="s">
        <v>1487</v>
      </c>
      <c r="E519" s="1761"/>
      <c r="F519" s="1761"/>
      <c r="G519" s="1761"/>
      <c r="H519" s="1761"/>
      <c r="I519" s="1761"/>
      <c r="J519" s="1761"/>
      <c r="K519" s="1761"/>
      <c r="L519" s="1761"/>
      <c r="M519" s="1761"/>
      <c r="N519" s="1761"/>
      <c r="O519" s="1761"/>
      <c r="P519" s="1761"/>
      <c r="Q519" s="1761"/>
      <c r="R519" s="1761"/>
      <c r="S519" s="1761"/>
      <c r="T519" s="1761"/>
      <c r="U519" s="1761"/>
      <c r="V519" s="1761"/>
      <c r="W519" s="1761"/>
      <c r="AF519" s="1604"/>
      <c r="AG519" s="1604"/>
    </row>
    <row r="520" spans="1:37">
      <c r="A520" s="1604"/>
      <c r="C520" s="1604"/>
      <c r="D520" s="1987"/>
      <c r="E520" s="1987"/>
      <c r="F520" s="1987"/>
      <c r="G520" s="1987"/>
      <c r="H520" s="1987"/>
      <c r="I520" s="1987"/>
      <c r="J520" s="1987"/>
      <c r="K520" s="1987"/>
      <c r="L520" s="1987"/>
      <c r="M520" s="1987"/>
      <c r="N520" s="1987"/>
      <c r="O520" s="1987"/>
      <c r="P520" s="1987"/>
      <c r="Q520" s="1987"/>
      <c r="R520" s="1987"/>
      <c r="S520" s="1987"/>
      <c r="T520" s="1987"/>
      <c r="U520" s="1987"/>
      <c r="V520" s="1987"/>
      <c r="W520" s="1987"/>
      <c r="AF520" s="1604"/>
      <c r="AG520" s="1604"/>
    </row>
    <row r="521" spans="1:37">
      <c r="A521" s="1604"/>
      <c r="B521" s="2624" t="s">
        <v>99</v>
      </c>
      <c r="C521" s="1604"/>
      <c r="D521" s="1920" t="s">
        <v>1476</v>
      </c>
      <c r="E521" s="1754"/>
      <c r="F521" s="1754"/>
      <c r="G521" s="1754"/>
      <c r="H521" s="1754"/>
      <c r="I521" s="1754"/>
      <c r="J521" s="1754"/>
      <c r="K521" s="1754"/>
      <c r="L521" s="1754"/>
      <c r="M521" s="1754"/>
      <c r="N521" s="1754"/>
      <c r="O521" s="1753"/>
      <c r="P521" s="1755"/>
      <c r="Q521" s="1756"/>
      <c r="R521" s="1753"/>
      <c r="S521" s="1754"/>
      <c r="T521" s="1754"/>
      <c r="U521" s="1754"/>
      <c r="V521" s="1754"/>
      <c r="W521" s="1754"/>
      <c r="Y521" s="1153" t="s">
        <v>37</v>
      </c>
      <c r="Z521" s="1153"/>
      <c r="AA521" s="1153" t="s">
        <v>98</v>
      </c>
      <c r="AB521" s="1153" t="s">
        <v>99</v>
      </c>
      <c r="AF521" s="1604"/>
      <c r="AG521" s="1604"/>
    </row>
    <row r="522" spans="1:37">
      <c r="D522" s="3553" t="s">
        <v>1488</v>
      </c>
      <c r="E522" s="3553"/>
      <c r="F522" s="3553"/>
      <c r="G522" s="3553"/>
      <c r="H522" s="3553"/>
      <c r="I522" s="3553"/>
      <c r="J522" s="3553"/>
      <c r="K522" s="3553"/>
      <c r="L522" s="3553"/>
      <c r="M522" s="3553"/>
      <c r="N522" s="3553"/>
      <c r="O522" s="3553"/>
      <c r="P522" s="3553"/>
      <c r="Q522" s="3553"/>
      <c r="R522" s="3553"/>
      <c r="S522" s="3553"/>
      <c r="T522" s="3553"/>
      <c r="U522" s="3553"/>
      <c r="V522" s="3553"/>
      <c r="W522" s="3553"/>
      <c r="Y522" s="1779" t="s">
        <v>1695</v>
      </c>
      <c r="Z522" s="1779"/>
      <c r="AA522" s="1779" t="s">
        <v>1453</v>
      </c>
      <c r="AB522" s="1779" t="s">
        <v>1454</v>
      </c>
      <c r="AF522" s="1604"/>
      <c r="AG522" s="1604"/>
    </row>
    <row r="523" spans="1:37" ht="13.2" customHeight="1">
      <c r="D523" s="3554"/>
      <c r="E523" s="3554"/>
      <c r="F523" s="3554"/>
      <c r="G523" s="3554"/>
      <c r="H523" s="3554"/>
      <c r="I523" s="3554"/>
      <c r="J523" s="3554"/>
      <c r="K523" s="3554"/>
      <c r="L523" s="3554"/>
      <c r="M523" s="3554"/>
      <c r="N523" s="3554"/>
      <c r="O523" s="3554"/>
      <c r="P523" s="3554"/>
      <c r="Q523" s="3554"/>
      <c r="R523" s="3554"/>
      <c r="S523" s="3554"/>
      <c r="T523" s="3554"/>
      <c r="U523" s="3554"/>
      <c r="V523" s="3554"/>
      <c r="W523" s="3554"/>
      <c r="Y523" s="1779" t="s">
        <v>1696</v>
      </c>
      <c r="Z523" s="1779"/>
      <c r="AA523" s="1779" t="s">
        <v>1451</v>
      </c>
      <c r="AB523" s="3611" t="s">
        <v>1453</v>
      </c>
    </row>
    <row r="524" spans="1:37" ht="13.2" customHeight="1">
      <c r="D524" s="3555" t="s">
        <v>1489</v>
      </c>
      <c r="E524" s="3555"/>
      <c r="F524" s="3555"/>
      <c r="G524" s="3555"/>
      <c r="H524" s="3555"/>
      <c r="I524" s="3555"/>
      <c r="J524" s="3555"/>
      <c r="K524" s="3555"/>
      <c r="L524" s="3555"/>
      <c r="M524" s="3555"/>
      <c r="N524" s="3555"/>
      <c r="O524" s="3555"/>
      <c r="P524" s="3555"/>
      <c r="Q524" s="3555"/>
      <c r="R524" s="3555"/>
      <c r="S524" s="3555"/>
      <c r="T524" s="3555"/>
      <c r="U524" s="3555"/>
      <c r="V524" s="3555"/>
      <c r="W524" s="3555"/>
      <c r="X524" s="1999"/>
      <c r="Y524" s="1779" t="s">
        <v>1450</v>
      </c>
      <c r="Z524" s="1779"/>
      <c r="AA524" s="1779" t="s">
        <v>1454</v>
      </c>
      <c r="AB524" s="3612"/>
    </row>
    <row r="525" spans="1:37">
      <c r="D525" s="3555"/>
      <c r="E525" s="3555"/>
      <c r="F525" s="3555"/>
      <c r="G525" s="3555"/>
      <c r="H525" s="3555"/>
      <c r="I525" s="3555"/>
      <c r="J525" s="3555"/>
      <c r="K525" s="3555"/>
      <c r="L525" s="3555"/>
      <c r="M525" s="3555"/>
      <c r="N525" s="3555"/>
      <c r="O525" s="3555"/>
      <c r="P525" s="3555"/>
      <c r="Q525" s="3555"/>
      <c r="R525" s="3555"/>
      <c r="S525" s="3555"/>
      <c r="T525" s="3555"/>
      <c r="U525" s="3555"/>
      <c r="V525" s="3555"/>
      <c r="W525" s="3555"/>
      <c r="X525" s="1999"/>
    </row>
    <row r="526" spans="1:37">
      <c r="D526" s="3555"/>
      <c r="E526" s="3555"/>
      <c r="F526" s="3555"/>
      <c r="G526" s="3555"/>
      <c r="H526" s="3555"/>
      <c r="I526" s="3555"/>
      <c r="J526" s="3555"/>
      <c r="K526" s="3555"/>
      <c r="L526" s="3555"/>
      <c r="M526" s="3555"/>
      <c r="N526" s="3555"/>
      <c r="O526" s="3555"/>
      <c r="P526" s="3555"/>
      <c r="Q526" s="3555"/>
      <c r="R526" s="3555"/>
      <c r="S526" s="3555"/>
      <c r="T526" s="3555"/>
      <c r="U526" s="3555"/>
      <c r="V526" s="3555"/>
      <c r="W526" s="3555"/>
      <c r="X526" s="1999"/>
    </row>
    <row r="527" spans="1:37">
      <c r="D527" s="3442" t="s">
        <v>1470</v>
      </c>
      <c r="E527" s="3442"/>
      <c r="F527" s="3442"/>
      <c r="G527" s="3442"/>
      <c r="H527" s="3442"/>
      <c r="I527" s="3442"/>
      <c r="J527" s="3442"/>
      <c r="K527" s="3442"/>
      <c r="L527" s="3442"/>
      <c r="M527" s="3442"/>
      <c r="N527" s="3442"/>
      <c r="O527" s="3442"/>
      <c r="P527" s="3442"/>
      <c r="Q527" s="3442"/>
      <c r="R527" s="3442"/>
      <c r="S527" s="3442"/>
      <c r="T527" s="3442"/>
      <c r="U527" s="3442"/>
      <c r="V527" s="3442"/>
      <c r="W527" s="3442"/>
    </row>
    <row r="528" spans="1:37">
      <c r="D528" s="3442"/>
      <c r="E528" s="3442"/>
      <c r="F528" s="3442"/>
      <c r="G528" s="3442"/>
      <c r="H528" s="3442"/>
      <c r="I528" s="3442"/>
      <c r="J528" s="3442"/>
      <c r="K528" s="3442"/>
      <c r="L528" s="3442"/>
      <c r="M528" s="3442"/>
      <c r="N528" s="3442"/>
      <c r="O528" s="3442"/>
      <c r="P528" s="3442"/>
      <c r="Q528" s="3442"/>
      <c r="R528" s="3442"/>
      <c r="S528" s="3442"/>
      <c r="T528" s="3442"/>
      <c r="U528" s="3442"/>
      <c r="V528" s="3442"/>
      <c r="W528" s="3442"/>
    </row>
    <row r="529" spans="1:64">
      <c r="D529" s="3442" t="s">
        <v>1490</v>
      </c>
      <c r="E529" s="3442"/>
      <c r="F529" s="3442"/>
      <c r="G529" s="3442"/>
      <c r="H529" s="3442"/>
      <c r="I529" s="3442"/>
      <c r="J529" s="3442"/>
      <c r="K529" s="3442"/>
      <c r="L529" s="3442"/>
      <c r="M529" s="3442"/>
      <c r="N529" s="3442"/>
      <c r="O529" s="3442"/>
      <c r="P529" s="3442"/>
      <c r="Q529" s="3442"/>
      <c r="R529" s="3442"/>
      <c r="S529" s="3442"/>
      <c r="T529" s="3442"/>
      <c r="U529" s="3442"/>
      <c r="V529" s="3442"/>
      <c r="W529" s="3442"/>
      <c r="Y529" s="3552" t="s">
        <v>1875</v>
      </c>
      <c r="Z529" s="3552"/>
      <c r="AA529" s="3552"/>
      <c r="AB529" s="3552"/>
    </row>
    <row r="530" spans="1:64">
      <c r="D530" s="3442"/>
      <c r="E530" s="3442"/>
      <c r="F530" s="3442"/>
      <c r="G530" s="3442"/>
      <c r="H530" s="3442"/>
      <c r="I530" s="3442"/>
      <c r="J530" s="3442"/>
      <c r="K530" s="3442"/>
      <c r="L530" s="3442"/>
      <c r="M530" s="3442"/>
      <c r="N530" s="3442"/>
      <c r="O530" s="3442"/>
      <c r="P530" s="3442"/>
      <c r="Q530" s="3442"/>
      <c r="R530" s="3442"/>
      <c r="S530" s="3442"/>
      <c r="T530" s="3442"/>
      <c r="U530" s="3442"/>
      <c r="V530" s="3442"/>
      <c r="W530" s="3442"/>
      <c r="Y530" s="3552"/>
      <c r="Z530" s="3552"/>
      <c r="AA530" s="3552"/>
      <c r="AB530" s="3552"/>
    </row>
    <row r="531" spans="1:64">
      <c r="D531" s="3443"/>
      <c r="E531" s="3443"/>
      <c r="F531" s="3443"/>
      <c r="G531" s="3443"/>
      <c r="H531" s="3443"/>
      <c r="I531" s="3443"/>
      <c r="J531" s="3443"/>
      <c r="K531" s="3443"/>
      <c r="L531" s="3443"/>
      <c r="M531" s="3443"/>
      <c r="N531" s="3443"/>
      <c r="O531" s="3443"/>
      <c r="P531" s="3443"/>
      <c r="Q531" s="3443"/>
      <c r="R531" s="3443"/>
      <c r="S531" s="3443"/>
      <c r="T531" s="3443"/>
      <c r="U531" s="3443"/>
      <c r="V531" s="3443"/>
      <c r="W531" s="3443"/>
      <c r="Y531" s="3552"/>
      <c r="Z531" s="3552"/>
      <c r="AA531" s="3552"/>
      <c r="AB531" s="3552"/>
    </row>
    <row r="532" spans="1:64">
      <c r="D532" s="3447" t="s">
        <v>1491</v>
      </c>
      <c r="E532" s="3447"/>
      <c r="F532" s="3447"/>
      <c r="G532" s="3447"/>
      <c r="H532" s="3447"/>
      <c r="I532" s="3447"/>
      <c r="J532" s="3447"/>
      <c r="K532" s="3447"/>
      <c r="L532" s="3447"/>
      <c r="M532" s="3447"/>
      <c r="N532" s="3447"/>
      <c r="O532" s="3447"/>
      <c r="P532" s="3447"/>
      <c r="Q532" s="3447"/>
      <c r="R532" s="3447"/>
      <c r="S532" s="3447"/>
      <c r="T532" s="3447"/>
      <c r="U532" s="3447"/>
      <c r="V532" s="3447"/>
      <c r="W532" s="3447"/>
      <c r="Y532" s="3552"/>
      <c r="Z532" s="3552"/>
      <c r="AA532" s="3552"/>
      <c r="AB532" s="3552"/>
    </row>
    <row r="533" spans="1:64">
      <c r="D533" s="3609"/>
      <c r="E533" s="3609"/>
      <c r="F533" s="3609"/>
      <c r="G533" s="3609"/>
      <c r="H533" s="3609"/>
      <c r="I533" s="3609"/>
      <c r="J533" s="3609"/>
      <c r="K533" s="3609"/>
      <c r="L533" s="3609"/>
      <c r="M533" s="3609"/>
      <c r="N533" s="3609"/>
      <c r="O533" s="3609"/>
      <c r="P533" s="3609"/>
      <c r="Q533" s="3609"/>
      <c r="R533" s="3609"/>
      <c r="S533" s="3609"/>
      <c r="T533" s="3609"/>
      <c r="U533" s="3609"/>
      <c r="V533" s="3609"/>
      <c r="W533" s="3609"/>
    </row>
    <row r="534" spans="1:64" s="1736" customFormat="1">
      <c r="A534" s="1155"/>
      <c r="C534" s="92"/>
      <c r="D534" s="79"/>
      <c r="E534" s="1765"/>
      <c r="F534" s="1765"/>
      <c r="G534" s="1765"/>
      <c r="H534" s="1765"/>
      <c r="I534" s="1765"/>
      <c r="J534" s="1765"/>
      <c r="K534" s="1765"/>
      <c r="L534" s="1765"/>
      <c r="M534" s="1765"/>
      <c r="N534" s="1765"/>
      <c r="O534" s="1765"/>
      <c r="P534" s="1765"/>
      <c r="Q534" s="1765"/>
      <c r="R534" s="1765"/>
      <c r="S534" s="1765"/>
      <c r="T534" s="1765"/>
      <c r="U534" s="1765"/>
      <c r="V534" s="1765"/>
      <c r="W534" s="1765"/>
      <c r="X534" s="1809"/>
      <c r="Y534" s="3575" t="s">
        <v>1950</v>
      </c>
      <c r="Z534" s="3575"/>
      <c r="AA534" s="3575"/>
      <c r="AB534" s="3575"/>
      <c r="AF534" s="1737"/>
      <c r="AG534" s="1737"/>
      <c r="BL534" s="80"/>
    </row>
    <row r="535" spans="1:64" ht="13.2" customHeight="1">
      <c r="A535" s="1190"/>
      <c r="B535" s="2624" t="s">
        <v>101</v>
      </c>
      <c r="D535" s="1105" t="s">
        <v>1871</v>
      </c>
      <c r="E535" s="1105"/>
      <c r="F535" s="1105"/>
      <c r="G535" s="1105"/>
      <c r="H535" s="1105"/>
      <c r="I535" s="1105"/>
      <c r="J535" s="1105"/>
      <c r="K535" s="1105"/>
      <c r="L535" s="1105"/>
      <c r="M535" s="1105"/>
      <c r="N535" s="1105"/>
      <c r="O535" s="1105"/>
      <c r="P535" s="1105"/>
      <c r="Q535" s="1105"/>
      <c r="R535" s="1105"/>
      <c r="S535" s="1105"/>
      <c r="T535" s="1105"/>
      <c r="U535" s="1105"/>
      <c r="V535" s="1105"/>
      <c r="W535" s="1105"/>
      <c r="Y535" s="3575"/>
      <c r="Z535" s="3575"/>
      <c r="AA535" s="3575"/>
      <c r="AB535" s="3575"/>
    </row>
    <row r="536" spans="1:64">
      <c r="A536" s="1190"/>
      <c r="B536" s="92"/>
      <c r="D536" s="79"/>
      <c r="E536" s="1479"/>
      <c r="F536" s="1605"/>
      <c r="G536" s="1605"/>
      <c r="H536" s="1605"/>
      <c r="I536" s="1605"/>
      <c r="J536" s="1605"/>
      <c r="K536" s="1605"/>
      <c r="L536" s="1605"/>
      <c r="M536" s="1605"/>
      <c r="N536" s="1605"/>
      <c r="O536" s="1605"/>
      <c r="P536" s="1605"/>
      <c r="Q536" s="1605"/>
      <c r="R536" s="1605"/>
      <c r="S536" s="1605"/>
      <c r="T536" s="1605"/>
      <c r="U536" s="1605"/>
      <c r="V536" s="1605"/>
      <c r="W536" s="1605"/>
      <c r="Y536" s="3575"/>
      <c r="Z536" s="3575"/>
      <c r="AA536" s="3575"/>
      <c r="AB536" s="3575"/>
    </row>
    <row r="537" spans="1:64" s="2545" customFormat="1">
      <c r="A537" s="1190"/>
      <c r="B537" s="92"/>
      <c r="C537" s="92"/>
      <c r="D537" s="79"/>
      <c r="E537" s="1479"/>
      <c r="F537" s="2547"/>
      <c r="G537" s="2547"/>
      <c r="H537" s="2547"/>
      <c r="I537" s="2547"/>
      <c r="J537" s="2547"/>
      <c r="K537" s="2547"/>
      <c r="L537" s="2547"/>
      <c r="M537" s="2547"/>
      <c r="N537" s="2547"/>
      <c r="O537" s="2547"/>
      <c r="P537" s="2547"/>
      <c r="Q537" s="2547"/>
      <c r="R537" s="2547"/>
      <c r="S537" s="2547"/>
      <c r="T537" s="2547"/>
      <c r="U537" s="2547"/>
      <c r="V537" s="2547"/>
      <c r="W537" s="2547"/>
      <c r="X537" s="2547"/>
      <c r="Y537" s="2563"/>
      <c r="Z537" s="2563"/>
      <c r="AA537" s="2563"/>
      <c r="AB537" s="2563"/>
      <c r="AF537" s="2547"/>
      <c r="AG537" s="2547"/>
      <c r="BL537" s="80"/>
    </row>
    <row r="538" spans="1:64" s="1736" customFormat="1">
      <c r="A538" s="1190"/>
      <c r="B538" s="3435" t="s">
        <v>1960</v>
      </c>
      <c r="C538" s="135"/>
      <c r="D538" s="3610" t="s">
        <v>1971</v>
      </c>
      <c r="E538" s="3610"/>
      <c r="F538" s="3610"/>
      <c r="G538" s="3610"/>
      <c r="H538" s="3610"/>
      <c r="I538" s="3610"/>
      <c r="J538" s="3610"/>
      <c r="K538" s="3610"/>
      <c r="L538" s="3610"/>
      <c r="M538" s="3610"/>
      <c r="N538" s="3610"/>
      <c r="O538" s="3610"/>
      <c r="P538" s="3610"/>
      <c r="Q538" s="3610"/>
      <c r="R538" s="3610"/>
      <c r="S538" s="3610"/>
      <c r="T538" s="3610"/>
      <c r="U538" s="3610"/>
      <c r="V538" s="3610"/>
      <c r="W538" s="3610"/>
      <c r="X538" s="1616"/>
      <c r="Z538" s="1738"/>
      <c r="AA538" s="1738"/>
      <c r="AF538" s="1737"/>
      <c r="AG538" s="1737"/>
      <c r="BL538" s="80"/>
    </row>
    <row r="539" spans="1:64" s="1921" customFormat="1">
      <c r="A539" s="1190"/>
      <c r="B539" s="3436"/>
      <c r="C539" s="109"/>
      <c r="D539" s="3307"/>
      <c r="E539" s="3307"/>
      <c r="F539" s="3307"/>
      <c r="G539" s="3307"/>
      <c r="H539" s="3307"/>
      <c r="I539" s="3307"/>
      <c r="J539" s="3307"/>
      <c r="K539" s="3307"/>
      <c r="L539" s="3307"/>
      <c r="M539" s="3307"/>
      <c r="N539" s="3307"/>
      <c r="O539" s="3307"/>
      <c r="P539" s="3307"/>
      <c r="Q539" s="3307"/>
      <c r="R539" s="3307"/>
      <c r="S539" s="3307"/>
      <c r="T539" s="3307"/>
      <c r="U539" s="3307"/>
      <c r="V539" s="3307"/>
      <c r="W539" s="3307"/>
      <c r="X539" s="2143"/>
      <c r="Z539" s="2496"/>
      <c r="AA539" s="2496"/>
      <c r="AB539" s="2496"/>
      <c r="AF539" s="1922"/>
      <c r="AG539" s="1922"/>
      <c r="BL539" s="80"/>
    </row>
    <row r="540" spans="1:64" s="2269" customFormat="1">
      <c r="A540" s="1190"/>
      <c r="B540" s="3069"/>
      <c r="C540" s="109"/>
      <c r="D540" s="1836" t="str">
        <f>CONCATENATE("- By 2Q13, Belgacom's tD*/Ebitda* stood at ",ROUND(CALCULATIONS!MU7,1),", i.e just ",ROUND(CALCULATIONS!MV7,1)," above D*/Ebitda*, the same small difference as between period's averages.")</f>
        <v>- By 2Q13, Belgacom's tD*/Ebitda* stood at 1.4, i.e just 0.1 above D*/Ebitda*, the same small difference as between period's averages.</v>
      </c>
      <c r="E540" s="2273"/>
      <c r="F540" s="2273"/>
      <c r="G540" s="2273"/>
      <c r="H540" s="2273"/>
      <c r="I540" s="2273"/>
      <c r="J540" s="2273"/>
      <c r="K540" s="2273"/>
      <c r="L540" s="2273"/>
      <c r="M540" s="2273"/>
      <c r="N540" s="2273"/>
      <c r="O540" s="2273"/>
      <c r="P540" s="2273"/>
      <c r="Q540" s="2273"/>
      <c r="R540" s="2273"/>
      <c r="S540" s="2273"/>
      <c r="T540" s="2273"/>
      <c r="U540" s="2273"/>
      <c r="V540" s="2273"/>
      <c r="W540" s="2273"/>
      <c r="X540" s="2143"/>
      <c r="Y540" s="2496"/>
      <c r="Z540" s="2496"/>
      <c r="AA540" s="2496"/>
      <c r="AB540" s="2496"/>
      <c r="AF540" s="2273"/>
      <c r="AG540" s="2273"/>
      <c r="BL540" s="80"/>
    </row>
    <row r="541" spans="1:64" s="2269" customFormat="1">
      <c r="A541" s="1190"/>
      <c r="B541" s="3069"/>
      <c r="C541" s="109"/>
      <c r="D541" s="1744" t="s">
        <v>1952</v>
      </c>
      <c r="E541" s="2273"/>
      <c r="F541" s="2273"/>
      <c r="G541" s="2273"/>
      <c r="H541" s="2273"/>
      <c r="I541" s="2273"/>
      <c r="J541" s="2273"/>
      <c r="K541" s="2273"/>
      <c r="L541" s="2273"/>
      <c r="M541" s="2273"/>
      <c r="N541" s="2273"/>
      <c r="O541" s="2273"/>
      <c r="P541" s="2273"/>
      <c r="Q541" s="2273"/>
      <c r="R541" s="2273"/>
      <c r="S541" s="2273"/>
      <c r="T541" s="143" t="s">
        <v>1698</v>
      </c>
      <c r="U541" s="1991"/>
      <c r="V541" s="1720" t="s">
        <v>796</v>
      </c>
      <c r="W541" s="1470" t="s">
        <v>797</v>
      </c>
      <c r="X541" s="2143"/>
      <c r="Y541" s="3552" t="s">
        <v>1697</v>
      </c>
      <c r="Z541" s="3552"/>
      <c r="AA541" s="3552"/>
      <c r="AB541" s="3552"/>
      <c r="AF541" s="2273"/>
      <c r="AG541" s="2273"/>
      <c r="BL541" s="80"/>
    </row>
    <row r="542" spans="1:64" s="2269" customFormat="1">
      <c r="A542" s="1190"/>
      <c r="B542" s="3069"/>
      <c r="C542" s="109"/>
      <c r="D542" s="1744" t="s">
        <v>1951</v>
      </c>
      <c r="E542" s="2273"/>
      <c r="F542" s="2273"/>
      <c r="G542" s="2273"/>
      <c r="H542" s="2273"/>
      <c r="I542" s="2273"/>
      <c r="J542" s="2273"/>
      <c r="K542" s="2273"/>
      <c r="L542" s="2273"/>
      <c r="M542" s="2273"/>
      <c r="N542" s="2273"/>
      <c r="O542" s="2273"/>
      <c r="P542" s="2273"/>
      <c r="Q542" s="2273"/>
      <c r="R542" s="2273"/>
      <c r="S542" s="2273"/>
      <c r="T542" s="1721">
        <f>2+CALCULATIONS!$MV$7+0.2</f>
        <v>2.3220916924174952</v>
      </c>
      <c r="U542" s="1992"/>
      <c r="V542" s="1722">
        <f>1.5+CALCULATIONS!$MV$7+0.2</f>
        <v>1.8220916924174948</v>
      </c>
      <c r="W542" s="1988">
        <f>2.5+CALCULATIONS!$MV$7+0.2</f>
        <v>2.8220916924174952</v>
      </c>
      <c r="X542" s="2143"/>
      <c r="Y542" s="3552"/>
      <c r="Z542" s="3552"/>
      <c r="AA542" s="3552"/>
      <c r="AB542" s="3552"/>
      <c r="AF542" s="2273"/>
      <c r="AG542" s="2273"/>
      <c r="BL542" s="80"/>
    </row>
    <row r="543" spans="1:64" s="2545" customFormat="1">
      <c r="A543" s="1190"/>
      <c r="B543" s="3069"/>
      <c r="C543" s="109"/>
      <c r="D543" s="1744"/>
      <c r="E543" s="2547"/>
      <c r="F543" s="2547"/>
      <c r="G543" s="2547"/>
      <c r="H543" s="2547"/>
      <c r="I543" s="2547"/>
      <c r="J543" s="2547"/>
      <c r="K543" s="2547"/>
      <c r="L543" s="2547"/>
      <c r="M543" s="2547"/>
      <c r="N543" s="2547"/>
      <c r="O543" s="2547"/>
      <c r="P543" s="2547"/>
      <c r="Q543" s="2547"/>
      <c r="R543" s="2547"/>
      <c r="S543" s="2547"/>
      <c r="T543" s="240"/>
      <c r="U543" s="240"/>
      <c r="V543" s="240"/>
      <c r="W543" s="240"/>
      <c r="X543" s="2143"/>
      <c r="Y543" s="2559"/>
      <c r="Z543" s="2559"/>
      <c r="AA543" s="2559"/>
      <c r="AB543" s="2559"/>
      <c r="AF543" s="2547"/>
      <c r="AG543" s="2547"/>
      <c r="BL543" s="80"/>
    </row>
    <row r="544" spans="1:64" s="2545" customFormat="1">
      <c r="A544" s="1190"/>
      <c r="B544" s="3069"/>
      <c r="C544" s="109"/>
      <c r="D544" s="2570" t="s">
        <v>1987</v>
      </c>
      <c r="E544" s="2547"/>
      <c r="F544" s="2547"/>
      <c r="G544" s="2547"/>
      <c r="H544" s="2547"/>
      <c r="I544" s="2547"/>
      <c r="J544" s="2547"/>
      <c r="K544" s="2547"/>
      <c r="L544" s="2547"/>
      <c r="M544" s="2547"/>
      <c r="N544" s="2547"/>
      <c r="O544" s="2547"/>
      <c r="P544" s="2547"/>
      <c r="Q544" s="2547"/>
      <c r="R544" s="2547"/>
      <c r="S544" s="2547"/>
      <c r="T544" s="240"/>
      <c r="U544" s="240"/>
      <c r="V544" s="240"/>
      <c r="W544" s="240"/>
      <c r="X544" s="2143"/>
      <c r="Y544" s="2559"/>
      <c r="Z544" s="2559"/>
      <c r="AA544" s="2559"/>
      <c r="AB544" s="2559"/>
      <c r="AF544" s="2547"/>
      <c r="AG544" s="2547"/>
      <c r="BL544" s="80"/>
    </row>
    <row r="545" spans="1:64" ht="13.2" customHeight="1">
      <c r="A545" s="1190"/>
      <c r="B545" s="3069"/>
      <c r="C545" s="109"/>
      <c r="D545" s="1744" t="s">
        <v>2054</v>
      </c>
      <c r="E545" s="2273"/>
      <c r="F545" s="2273"/>
      <c r="G545" s="2273"/>
      <c r="H545" s="2273"/>
      <c r="I545" s="2273"/>
      <c r="J545" s="2273"/>
      <c r="K545" s="2273"/>
      <c r="L545" s="2273"/>
      <c r="M545" s="2273"/>
      <c r="N545" s="2273"/>
      <c r="O545" s="2273"/>
      <c r="P545" s="2273"/>
      <c r="Q545" s="2273"/>
      <c r="R545" s="2273"/>
      <c r="S545" s="2273"/>
      <c r="T545" s="2273"/>
      <c r="U545" s="2273"/>
      <c r="V545" s="2273"/>
      <c r="W545" s="2273"/>
      <c r="X545" s="2143"/>
      <c r="Y545" s="2496"/>
      <c r="Z545" s="2496"/>
      <c r="AA545" s="2496"/>
      <c r="AB545" s="2496"/>
    </row>
    <row r="546" spans="1:64" s="1736" customFormat="1">
      <c r="A546" s="1190"/>
      <c r="B546" s="3069"/>
      <c r="C546" s="109"/>
      <c r="D546" s="1990" t="s">
        <v>1972</v>
      </c>
      <c r="E546" s="1989"/>
      <c r="F546" s="1989"/>
      <c r="G546" s="1989"/>
      <c r="H546" s="1989"/>
      <c r="I546" s="1989"/>
      <c r="J546" s="1989"/>
      <c r="K546" s="1989"/>
      <c r="L546" s="1989"/>
      <c r="M546" s="1989"/>
      <c r="N546" s="1989"/>
      <c r="O546" s="1989"/>
      <c r="P546" s="1989"/>
      <c r="Q546" s="1989"/>
      <c r="R546" s="1989"/>
      <c r="S546" s="1989"/>
      <c r="T546" s="1989"/>
      <c r="U546" s="1989"/>
      <c r="V546" s="1989"/>
      <c r="W546" s="2273"/>
      <c r="X546" s="2143"/>
      <c r="Y546" s="2496"/>
      <c r="Z546" s="2496"/>
      <c r="AA546" s="2496"/>
      <c r="AB546" s="2496"/>
      <c r="AF546" s="1737"/>
      <c r="AG546" s="1737"/>
      <c r="BL546" s="80"/>
    </row>
    <row r="547" spans="1:64" s="1921" customFormat="1">
      <c r="A547" s="1190"/>
      <c r="B547" s="3069"/>
      <c r="C547" s="109"/>
      <c r="D547" s="1990" t="s">
        <v>2055</v>
      </c>
      <c r="E547" s="2279"/>
      <c r="F547" s="2279"/>
      <c r="G547" s="2279"/>
      <c r="H547" s="2279"/>
      <c r="I547" s="2279"/>
      <c r="J547" s="2279"/>
      <c r="K547" s="2279"/>
      <c r="L547" s="2279"/>
      <c r="M547" s="2279"/>
      <c r="N547" s="2279"/>
      <c r="O547" s="2279"/>
      <c r="P547" s="2279"/>
      <c r="Q547" s="2279"/>
      <c r="R547" s="2279"/>
      <c r="S547" s="2279"/>
      <c r="T547" s="2279"/>
      <c r="U547" s="2279"/>
      <c r="V547" s="2279"/>
      <c r="W547" s="2273"/>
      <c r="X547" s="2143"/>
      <c r="Y547" s="2496"/>
      <c r="Z547" s="2496"/>
      <c r="AA547" s="2496"/>
      <c r="AB547" s="2496"/>
      <c r="AF547" s="1922"/>
      <c r="AG547" s="1922"/>
      <c r="BL547" s="80"/>
    </row>
    <row r="548" spans="1:64">
      <c r="A548" s="1190"/>
      <c r="B548" s="3069"/>
      <c r="C548" s="109"/>
      <c r="D548" s="1479"/>
      <c r="E548" s="2273"/>
      <c r="F548" s="2273"/>
      <c r="G548" s="2273"/>
      <c r="H548" s="2273"/>
      <c r="I548" s="2273"/>
      <c r="J548" s="2273"/>
      <c r="K548" s="2273"/>
      <c r="L548" s="2273"/>
      <c r="M548" s="2273"/>
      <c r="N548" s="2273"/>
      <c r="O548" s="2273"/>
      <c r="P548" s="2273"/>
      <c r="Q548" s="2273"/>
      <c r="R548" s="2273"/>
      <c r="S548" s="2273"/>
      <c r="T548" s="2273"/>
      <c r="U548" s="2273"/>
      <c r="V548" s="2273"/>
      <c r="W548" s="2273"/>
      <c r="X548" s="2143"/>
      <c r="Y548" s="1165"/>
      <c r="Z548" s="1165"/>
      <c r="AA548" s="1165"/>
    </row>
    <row r="549" spans="1:64" ht="13.2" customHeight="1">
      <c r="A549" s="1190"/>
      <c r="B549" s="3069"/>
      <c r="C549" s="109"/>
      <c r="D549" s="3408" t="s">
        <v>1973</v>
      </c>
      <c r="E549" s="3408"/>
      <c r="F549" s="3408"/>
      <c r="G549" s="3408"/>
      <c r="H549" s="3408"/>
      <c r="I549" s="3408"/>
      <c r="J549" s="3408"/>
      <c r="K549" s="3408"/>
      <c r="L549" s="3408"/>
      <c r="M549" s="3408"/>
      <c r="N549" s="3408"/>
      <c r="O549" s="3408"/>
      <c r="P549" s="3408"/>
      <c r="Q549" s="3408"/>
      <c r="R549" s="3408"/>
      <c r="S549" s="1673"/>
      <c r="T549" s="1673"/>
      <c r="U549" s="1673"/>
      <c r="V549" s="1673"/>
      <c r="W549" s="1673"/>
      <c r="X549" s="1668"/>
      <c r="Y549" s="2643" t="s">
        <v>1984</v>
      </c>
      <c r="Z549" s="1165"/>
      <c r="AA549" s="1165"/>
      <c r="AB549" s="2610" t="s">
        <v>1953</v>
      </c>
    </row>
    <row r="550" spans="1:64" s="1921" customFormat="1">
      <c r="A550" s="1190"/>
      <c r="B550" s="3069"/>
      <c r="C550" s="109"/>
      <c r="D550" s="3408"/>
      <c r="E550" s="3408"/>
      <c r="F550" s="3408"/>
      <c r="G550" s="3408"/>
      <c r="H550" s="3408"/>
      <c r="I550" s="3408"/>
      <c r="J550" s="3408"/>
      <c r="K550" s="3408"/>
      <c r="L550" s="3408"/>
      <c r="M550" s="3408"/>
      <c r="N550" s="3408"/>
      <c r="O550" s="3408"/>
      <c r="P550" s="3408"/>
      <c r="Q550" s="3408"/>
      <c r="R550" s="3408"/>
      <c r="S550" s="1673"/>
      <c r="T550" s="1673"/>
      <c r="U550" s="1673"/>
      <c r="V550" s="1673"/>
      <c r="W550" s="1673"/>
      <c r="X550" s="1668"/>
      <c r="Y550" s="1165"/>
      <c r="Z550" s="1165"/>
      <c r="AA550" s="1165"/>
      <c r="AF550" s="1922"/>
      <c r="AG550" s="1922"/>
      <c r="BL550" s="80"/>
    </row>
    <row r="551" spans="1:64" s="2545" customFormat="1">
      <c r="A551" s="1190"/>
      <c r="B551" s="3069"/>
      <c r="C551" s="109"/>
      <c r="D551" s="1744" t="s">
        <v>1975</v>
      </c>
      <c r="E551" s="2547"/>
      <c r="F551" s="1673"/>
      <c r="G551" s="1673"/>
      <c r="H551" s="1673"/>
      <c r="I551" s="1673"/>
      <c r="J551" s="1673"/>
      <c r="L551" s="1673"/>
      <c r="M551" s="1673"/>
      <c r="N551" s="1673"/>
      <c r="O551" s="1673"/>
      <c r="P551" s="1673"/>
      <c r="R551" s="3473" t="s">
        <v>1976</v>
      </c>
      <c r="S551" s="3408"/>
      <c r="T551" s="3408"/>
      <c r="U551" s="3408"/>
      <c r="V551" s="3408"/>
      <c r="W551" s="3408"/>
      <c r="X551" s="2636"/>
      <c r="Y551" s="1165"/>
      <c r="Z551" s="1165"/>
      <c r="AA551" s="1165"/>
      <c r="AF551" s="2547"/>
      <c r="AG551" s="2547"/>
      <c r="BL551" s="80"/>
    </row>
    <row r="552" spans="1:64" s="2545" customFormat="1">
      <c r="A552" s="1190"/>
      <c r="B552" s="3069"/>
      <c r="C552" s="109"/>
      <c r="D552" s="1744" t="s">
        <v>1974</v>
      </c>
      <c r="E552" s="2547"/>
      <c r="F552" s="1673"/>
      <c r="G552" s="1673"/>
      <c r="H552" s="1673"/>
      <c r="I552" s="1673"/>
      <c r="J552" s="1673"/>
      <c r="L552" s="1673"/>
      <c r="M552" s="1673"/>
      <c r="N552" s="1673"/>
      <c r="O552" s="1673"/>
      <c r="P552" s="1673"/>
      <c r="R552" s="3473"/>
      <c r="S552" s="3408"/>
      <c r="T552" s="3408"/>
      <c r="U552" s="3408"/>
      <c r="V552" s="3408"/>
      <c r="W552" s="3408"/>
      <c r="X552" s="2636"/>
      <c r="Y552" s="1165"/>
      <c r="Z552" s="1165"/>
      <c r="AA552" s="1165"/>
      <c r="AF552" s="2547"/>
      <c r="AG552" s="2547"/>
      <c r="BL552" s="80"/>
    </row>
    <row r="553" spans="1:64" s="1921" customFormat="1">
      <c r="A553" s="1190"/>
      <c r="B553" s="3069"/>
      <c r="C553" s="109"/>
      <c r="D553" s="2273"/>
      <c r="E553" s="2273"/>
      <c r="F553" s="1673"/>
      <c r="G553" s="1673"/>
      <c r="H553" s="1673"/>
      <c r="I553" s="1673"/>
      <c r="J553" s="1673"/>
      <c r="K553" s="1673"/>
      <c r="L553" s="1673"/>
      <c r="M553" s="1673"/>
      <c r="N553" s="1673"/>
      <c r="O553" s="1673"/>
      <c r="P553" s="1673"/>
      <c r="Q553" s="1673"/>
      <c r="R553" s="1673"/>
      <c r="S553" s="1673"/>
      <c r="T553" s="2273"/>
      <c r="U553" s="2273"/>
      <c r="V553" s="2273"/>
      <c r="W553" s="2273"/>
      <c r="X553" s="2143"/>
      <c r="AF553" s="1922"/>
      <c r="AG553" s="1922"/>
      <c r="BL553" s="80"/>
    </row>
    <row r="554" spans="1:64" s="1736" customFormat="1">
      <c r="A554" s="1190"/>
      <c r="B554" s="3069"/>
      <c r="C554" s="109"/>
      <c r="D554" s="3408" t="s">
        <v>2050</v>
      </c>
      <c r="E554" s="3408"/>
      <c r="F554" s="3408"/>
      <c r="G554" s="3408"/>
      <c r="H554" s="3408"/>
      <c r="I554" s="3408"/>
      <c r="J554" s="3408"/>
      <c r="K554" s="3408"/>
      <c r="L554" s="3408"/>
      <c r="M554" s="3408"/>
      <c r="N554" s="3408"/>
      <c r="O554" s="3408"/>
      <c r="P554" s="3408"/>
      <c r="Q554" s="3408"/>
      <c r="R554" s="3408"/>
      <c r="S554" s="1668"/>
      <c r="T554" s="1529" t="s">
        <v>37</v>
      </c>
      <c r="U554" s="1998"/>
      <c r="V554" s="1720" t="s">
        <v>1513</v>
      </c>
      <c r="W554" s="1470" t="s">
        <v>1452</v>
      </c>
      <c r="X554" s="2143"/>
      <c r="Y554" s="1165"/>
      <c r="Z554" s="1165"/>
      <c r="AA554" s="1165"/>
      <c r="AB554" s="1921"/>
      <c r="AF554" s="1737"/>
      <c r="AG554" s="1737"/>
      <c r="BL554" s="80"/>
    </row>
    <row r="555" spans="1:64" s="1736" customFormat="1">
      <c r="A555" s="1190"/>
      <c r="B555" s="3069"/>
      <c r="C555" s="109"/>
      <c r="D555" s="3408"/>
      <c r="E555" s="3408"/>
      <c r="F555" s="3408"/>
      <c r="G555" s="3408"/>
      <c r="H555" s="3408"/>
      <c r="I555" s="3408"/>
      <c r="J555" s="3408"/>
      <c r="K555" s="3408"/>
      <c r="L555" s="3408"/>
      <c r="M555" s="3408"/>
      <c r="N555" s="3408"/>
      <c r="O555" s="3408"/>
      <c r="P555" s="3408"/>
      <c r="Q555" s="3408"/>
      <c r="R555" s="3408"/>
      <c r="S555" s="1994" t="s">
        <v>1666</v>
      </c>
      <c r="T555" s="3071" t="s">
        <v>68</v>
      </c>
      <c r="U555" s="3068"/>
      <c r="V555" s="1722" t="s">
        <v>67</v>
      </c>
      <c r="W555" s="1988" t="s">
        <v>69</v>
      </c>
      <c r="X555" s="2143"/>
      <c r="Y555" s="1165" t="s">
        <v>1474</v>
      </c>
      <c r="Z555" s="1165"/>
      <c r="AA555" s="1165"/>
      <c r="AF555" s="1737"/>
      <c r="AG555" s="1737"/>
      <c r="BL555" s="80"/>
    </row>
    <row r="556" spans="1:64" s="1921" customFormat="1">
      <c r="A556" s="1190"/>
      <c r="B556" s="3070"/>
      <c r="C556" s="1622"/>
      <c r="D556" s="1596"/>
      <c r="E556" s="2497"/>
      <c r="F556" s="2497"/>
      <c r="G556" s="2497"/>
      <c r="H556" s="2497"/>
      <c r="I556" s="2497"/>
      <c r="J556" s="2497"/>
      <c r="K556" s="2497"/>
      <c r="L556" s="2497"/>
      <c r="M556" s="2497"/>
      <c r="N556" s="2497"/>
      <c r="O556" s="2497"/>
      <c r="P556" s="2497"/>
      <c r="Q556" s="2497"/>
      <c r="R556" s="2497"/>
      <c r="S556" s="2497"/>
      <c r="T556" s="2497"/>
      <c r="U556" s="90"/>
      <c r="V556" s="90"/>
      <c r="W556" s="90"/>
      <c r="X556" s="91"/>
      <c r="Y556" s="1165"/>
      <c r="Z556" s="1165"/>
      <c r="AA556" s="1165"/>
      <c r="AF556" s="1922"/>
      <c r="AG556" s="1922"/>
      <c r="BL556" s="80"/>
    </row>
    <row r="557" spans="1:64" s="2269" customFormat="1">
      <c r="A557" s="1190"/>
      <c r="B557" s="109"/>
      <c r="C557" s="109"/>
      <c r="D557" s="1479"/>
      <c r="E557" s="2272"/>
      <c r="F557" s="2272"/>
      <c r="G557" s="2272"/>
      <c r="H557" s="2272"/>
      <c r="I557" s="2272"/>
      <c r="J557" s="2272"/>
      <c r="K557" s="2272"/>
      <c r="L557" s="2272"/>
      <c r="M557" s="2272"/>
      <c r="N557" s="2272"/>
      <c r="O557" s="2272"/>
      <c r="P557" s="2272"/>
      <c r="Q557" s="2272"/>
      <c r="R557" s="2272"/>
      <c r="S557" s="2272"/>
      <c r="T557" s="2272"/>
      <c r="U557" s="2273"/>
      <c r="V557" s="2273"/>
      <c r="W557" s="2273"/>
      <c r="X557" s="2273"/>
      <c r="Y557" s="1165"/>
      <c r="Z557" s="1165"/>
      <c r="AA557" s="1165"/>
      <c r="AF557" s="2273"/>
      <c r="AG557" s="2273"/>
      <c r="BL557" s="80"/>
    </row>
    <row r="558" spans="1:64">
      <c r="A558" s="1190"/>
      <c r="B558" s="92"/>
      <c r="D558" s="3307" t="s">
        <v>1954</v>
      </c>
      <c r="E558" s="3440"/>
      <c r="F558" s="3440"/>
      <c r="G558" s="3440"/>
      <c r="H558" s="3440"/>
      <c r="I558" s="3440"/>
      <c r="J558" s="3440"/>
      <c r="K558" s="3440"/>
      <c r="L558" s="3440"/>
      <c r="M558" s="3440"/>
      <c r="N558" s="3440"/>
      <c r="O558" s="3440"/>
      <c r="P558" s="3440"/>
      <c r="Q558" s="3440"/>
      <c r="R558" s="3440"/>
      <c r="S558" s="3440"/>
      <c r="T558" s="3440"/>
      <c r="U558" s="3440"/>
      <c r="V558" s="3440"/>
      <c r="W558" s="3440"/>
    </row>
    <row r="559" spans="1:64">
      <c r="A559" s="1190"/>
      <c r="B559" s="92"/>
      <c r="D559" s="3440"/>
      <c r="E559" s="3440"/>
      <c r="F559" s="3440"/>
      <c r="G559" s="3440"/>
      <c r="H559" s="3440"/>
      <c r="I559" s="3440"/>
      <c r="J559" s="3440"/>
      <c r="K559" s="3440"/>
      <c r="L559" s="3440"/>
      <c r="M559" s="3440"/>
      <c r="N559" s="3440"/>
      <c r="O559" s="3440"/>
      <c r="P559" s="3440"/>
      <c r="Q559" s="3440"/>
      <c r="R559" s="3440"/>
      <c r="S559" s="3440"/>
      <c r="T559" s="3440"/>
      <c r="U559" s="3440"/>
      <c r="V559" s="3440"/>
      <c r="W559" s="3440"/>
    </row>
    <row r="560" spans="1:64" s="2545" customFormat="1">
      <c r="A560" s="1190"/>
      <c r="B560" s="92"/>
      <c r="C560" s="92"/>
      <c r="D560" s="2564"/>
      <c r="E560" s="2564"/>
      <c r="F560" s="2564"/>
      <c r="G560" s="2564"/>
      <c r="H560" s="2564"/>
      <c r="I560" s="2564"/>
      <c r="J560" s="2564"/>
      <c r="K560" s="2564"/>
      <c r="L560" s="2564"/>
      <c r="M560" s="2564"/>
      <c r="N560" s="2564"/>
      <c r="O560" s="2564"/>
      <c r="P560" s="2564"/>
      <c r="Q560" s="2564"/>
      <c r="R560" s="2564"/>
      <c r="S560" s="2564"/>
      <c r="T560" s="2564"/>
      <c r="V560" s="2564"/>
      <c r="W560" s="2564"/>
      <c r="X560" s="2547"/>
      <c r="AF560" s="2547"/>
      <c r="AG560" s="2547"/>
      <c r="BL560" s="80"/>
    </row>
    <row r="561" spans="1:64" s="2545" customFormat="1">
      <c r="A561" s="1190"/>
      <c r="B561" s="3474" t="s">
        <v>1988</v>
      </c>
      <c r="C561" s="135"/>
      <c r="D561" s="107" t="s">
        <v>2052</v>
      </c>
      <c r="E561" s="2673"/>
      <c r="F561" s="2673"/>
      <c r="G561" s="2673"/>
      <c r="H561" s="2673"/>
      <c r="I561" s="2673"/>
      <c r="J561" s="2673"/>
      <c r="K561" s="2673"/>
      <c r="L561" s="2673"/>
      <c r="M561" s="2673"/>
      <c r="N561" s="2673"/>
      <c r="O561" s="2673"/>
      <c r="P561" s="2673"/>
      <c r="Q561" s="2673"/>
      <c r="R561" s="107"/>
      <c r="S561" s="107"/>
      <c r="T561" s="107"/>
      <c r="U561" s="107"/>
      <c r="V561" s="107"/>
      <c r="W561" s="107"/>
      <c r="X561" s="1616"/>
      <c r="AF561" s="2547"/>
      <c r="AG561" s="2547"/>
      <c r="BL561" s="80"/>
    </row>
    <row r="562" spans="1:64" s="2545" customFormat="1">
      <c r="A562" s="1190"/>
      <c r="B562" s="3475"/>
      <c r="C562" s="109"/>
      <c r="D562" s="2672" t="s">
        <v>2046</v>
      </c>
      <c r="E562" s="2670"/>
      <c r="F562" s="2670"/>
      <c r="G562" s="2670"/>
      <c r="H562" s="2662"/>
      <c r="I562" s="2662"/>
      <c r="J562" s="2663"/>
      <c r="K562" s="2663"/>
      <c r="L562" s="2663"/>
      <c r="M562" s="2663"/>
      <c r="N562" s="2663"/>
      <c r="O562" s="2663"/>
      <c r="P562" s="2663"/>
      <c r="Q562" s="2662"/>
      <c r="R562" s="2662"/>
      <c r="S562" s="2662"/>
      <c r="T562" s="2666" t="s">
        <v>55</v>
      </c>
      <c r="U562" s="157"/>
      <c r="V562" s="2666" t="s">
        <v>372</v>
      </c>
      <c r="W562" s="157"/>
      <c r="X562" s="2143"/>
      <c r="AF562" s="2547"/>
      <c r="AG562" s="2547"/>
      <c r="BL562" s="80"/>
    </row>
    <row r="563" spans="1:64" s="2545" customFormat="1">
      <c r="A563" s="1190"/>
      <c r="B563" s="3437" t="s">
        <v>2053</v>
      </c>
      <c r="C563" s="109"/>
      <c r="D563" s="2672" t="s">
        <v>2047</v>
      </c>
      <c r="E563" s="2671"/>
      <c r="F563" s="2671"/>
      <c r="G563" s="2671"/>
      <c r="H563" s="2662"/>
      <c r="I563" s="2662"/>
      <c r="J563" s="2663"/>
      <c r="K563" s="2663"/>
      <c r="L563" s="2663"/>
      <c r="M563" s="2663"/>
      <c r="N563" s="2663"/>
      <c r="O563" s="2663"/>
      <c r="P563" s="2663"/>
      <c r="Q563" s="2663"/>
      <c r="R563" s="2662"/>
      <c r="S563" s="2662"/>
      <c r="T563" s="1721">
        <f>1.5+0.2</f>
        <v>1.7</v>
      </c>
      <c r="U563" s="157"/>
      <c r="V563" s="1721">
        <f>'GEARINGS, E&amp;Enot'!AJ333+0.2</f>
        <v>2.481712714592275</v>
      </c>
      <c r="W563" s="157"/>
      <c r="X563" s="2143"/>
      <c r="AF563" s="2547"/>
      <c r="AG563" s="2547"/>
      <c r="BL563" s="80"/>
    </row>
    <row r="564" spans="1:64" s="2661" customFormat="1" ht="13.2" customHeight="1">
      <c r="A564" s="1190"/>
      <c r="B564" s="3437"/>
      <c r="C564" s="109"/>
      <c r="D564" s="2669" t="s">
        <v>2048</v>
      </c>
      <c r="E564" s="2671"/>
      <c r="F564" s="2671"/>
      <c r="G564" s="2671"/>
      <c r="H564" s="2662"/>
      <c r="I564" s="2662"/>
      <c r="J564" s="2663"/>
      <c r="K564" s="2663"/>
      <c r="L564" s="2663"/>
      <c r="M564" s="2663"/>
      <c r="N564" s="2663"/>
      <c r="O564" s="2663"/>
      <c r="P564" s="2663"/>
      <c r="Q564" s="2663"/>
      <c r="R564" s="2662"/>
      <c r="S564" s="2662"/>
      <c r="T564" s="2668" t="s">
        <v>68</v>
      </c>
      <c r="U564" s="2667"/>
      <c r="V564" s="3653" t="s">
        <v>2051</v>
      </c>
      <c r="W564" s="3654"/>
      <c r="X564" s="2143"/>
      <c r="AF564" s="2662"/>
      <c r="AG564" s="2662"/>
      <c r="BL564" s="80"/>
    </row>
    <row r="565" spans="1:64" s="2569" customFormat="1">
      <c r="A565" s="1190"/>
      <c r="B565" s="2629"/>
      <c r="C565" s="1622"/>
      <c r="D565" s="2674"/>
      <c r="E565" s="2675"/>
      <c r="F565" s="2675"/>
      <c r="G565" s="2675"/>
      <c r="H565" s="2675"/>
      <c r="I565" s="2675"/>
      <c r="J565" s="2675"/>
      <c r="K565" s="2675"/>
      <c r="L565" s="2675"/>
      <c r="M565" s="2675"/>
      <c r="N565" s="2675"/>
      <c r="O565" s="2675"/>
      <c r="P565" s="2675"/>
      <c r="Q565" s="2675"/>
      <c r="R565" s="2675"/>
      <c r="S565" s="2675"/>
      <c r="T565" s="2675"/>
      <c r="U565" s="2675"/>
      <c r="V565" s="2675"/>
      <c r="W565" s="2675"/>
      <c r="X565" s="91"/>
      <c r="AF565" s="2570"/>
      <c r="AG565" s="2570"/>
      <c r="BL565" s="80"/>
    </row>
    <row r="566" spans="1:64" s="2545" customFormat="1">
      <c r="A566" s="1190"/>
      <c r="B566" s="92"/>
      <c r="C566" s="92"/>
      <c r="Q566" s="2564"/>
      <c r="R566" s="2564"/>
      <c r="S566" s="2564"/>
      <c r="T566" s="2564"/>
      <c r="U566" s="2564"/>
      <c r="V566" s="2564"/>
      <c r="W566" s="2564"/>
      <c r="X566" s="2547"/>
      <c r="AF566" s="2547"/>
      <c r="AG566" s="2547"/>
      <c r="BL566" s="80"/>
    </row>
    <row r="567" spans="1:64" s="1725" customFormat="1">
      <c r="A567" s="1796"/>
      <c r="B567" s="1797"/>
      <c r="C567" s="1797"/>
      <c r="D567" s="1300"/>
      <c r="E567" s="1798"/>
      <c r="F567" s="1798"/>
      <c r="G567" s="1798"/>
      <c r="H567" s="1798"/>
      <c r="I567" s="1798"/>
      <c r="J567" s="1798"/>
      <c r="K567" s="1798"/>
      <c r="L567" s="1798"/>
      <c r="M567" s="1798"/>
      <c r="N567" s="1798"/>
      <c r="O567" s="1798"/>
      <c r="P567" s="1798"/>
      <c r="Q567" s="1798"/>
      <c r="R567" s="1798"/>
      <c r="S567" s="1798"/>
      <c r="T567" s="1798"/>
      <c r="U567" s="1798"/>
      <c r="V567" s="1798"/>
      <c r="W567" s="1798"/>
      <c r="X567" s="1727"/>
      <c r="AF567" s="1727"/>
      <c r="AG567" s="1727"/>
      <c r="BL567" s="2462"/>
    </row>
    <row r="568" spans="1:64" s="1725" customFormat="1">
      <c r="A568" s="1512" t="s">
        <v>1525</v>
      </c>
      <c r="B568" s="1513"/>
      <c r="C568" s="1847"/>
      <c r="D568" s="1980"/>
      <c r="E568" s="1980"/>
      <c r="F568" s="1980"/>
      <c r="G568" s="1980"/>
      <c r="H568" s="1980"/>
      <c r="I568" s="1980"/>
      <c r="J568" s="1980"/>
      <c r="K568" s="1980"/>
      <c r="L568" s="1980"/>
      <c r="M568" s="1980"/>
      <c r="N568" s="1980"/>
      <c r="O568" s="1980"/>
      <c r="P568" s="1980"/>
      <c r="Q568" s="1980"/>
      <c r="R568" s="1980"/>
      <c r="S568" s="1980"/>
      <c r="T568" s="1980"/>
      <c r="U568" s="1980"/>
      <c r="V568" s="1980"/>
      <c r="W568" s="1980"/>
      <c r="X568" s="1727"/>
      <c r="AF568" s="1727"/>
      <c r="AG568" s="1727"/>
      <c r="BL568" s="2462"/>
    </row>
    <row r="569" spans="1:64" s="1725" customFormat="1">
      <c r="A569" s="1913"/>
      <c r="B569" s="1847"/>
      <c r="C569" s="1847"/>
      <c r="D569" s="1980"/>
      <c r="E569" s="1980"/>
      <c r="F569" s="1980"/>
      <c r="G569" s="1980"/>
      <c r="H569" s="1980"/>
      <c r="I569" s="1980"/>
      <c r="J569" s="1980"/>
      <c r="K569" s="1980"/>
      <c r="L569" s="1980"/>
      <c r="M569" s="1980"/>
      <c r="N569" s="1980"/>
      <c r="O569" s="1980"/>
      <c r="P569" s="1980"/>
      <c r="Q569" s="1980"/>
      <c r="R569" s="1980"/>
      <c r="S569" s="1980"/>
      <c r="T569" s="1980"/>
      <c r="U569" s="1980"/>
      <c r="V569" s="1980"/>
      <c r="W569" s="1980"/>
      <c r="X569" s="1727"/>
      <c r="AF569" s="1727"/>
      <c r="AG569" s="1727"/>
      <c r="BL569" s="2462"/>
    </row>
    <row r="570" spans="1:64" s="1725" customFormat="1">
      <c r="A570" s="1796"/>
      <c r="B570" s="1797"/>
      <c r="C570" s="1797"/>
      <c r="D570" s="1980"/>
      <c r="E570" s="1980"/>
      <c r="F570" s="1980"/>
      <c r="G570" s="1980"/>
      <c r="H570" s="1980"/>
      <c r="I570" s="1980"/>
      <c r="J570" s="1980"/>
      <c r="K570" s="1980"/>
      <c r="L570" s="1980"/>
      <c r="M570" s="1980"/>
      <c r="N570" s="1980"/>
      <c r="O570" s="1980"/>
      <c r="P570" s="1980"/>
      <c r="Q570" s="1980"/>
      <c r="R570" s="1980"/>
      <c r="S570" s="1980"/>
      <c r="T570" s="1980"/>
      <c r="U570" s="1980"/>
      <c r="V570" s="1980"/>
      <c r="W570" s="1980"/>
      <c r="X570" s="1727"/>
      <c r="AF570" s="1727"/>
      <c r="AG570" s="1727"/>
      <c r="BL570" s="2462"/>
    </row>
    <row r="571" spans="1:64" s="1788" customFormat="1">
      <c r="A571" s="1190"/>
      <c r="B571" s="92"/>
      <c r="C571" s="92"/>
      <c r="D571" s="1981"/>
      <c r="E571" s="1981"/>
      <c r="F571" s="1981"/>
      <c r="G571" s="1981"/>
      <c r="H571" s="1981"/>
      <c r="I571" s="1981"/>
      <c r="J571" s="1981"/>
      <c r="K571" s="1981"/>
      <c r="L571" s="1981"/>
      <c r="M571" s="1981"/>
      <c r="N571" s="1981"/>
      <c r="O571" s="1981"/>
      <c r="P571" s="1981"/>
      <c r="Q571" s="1981"/>
      <c r="R571" s="1981"/>
      <c r="S571" s="1981"/>
      <c r="T571" s="1981"/>
      <c r="U571" s="1981"/>
      <c r="V571" s="1981"/>
      <c r="W571" s="1981"/>
      <c r="X571" s="1809"/>
      <c r="AF571" s="1789"/>
      <c r="AG571" s="1789"/>
      <c r="BL571" s="80"/>
    </row>
    <row r="572" spans="1:64" s="92" customFormat="1">
      <c r="A572" s="1190"/>
      <c r="D572" s="93"/>
      <c r="E572" s="109"/>
      <c r="F572" s="109"/>
      <c r="G572" s="109"/>
      <c r="H572" s="109"/>
      <c r="I572" s="109"/>
      <c r="J572" s="109"/>
      <c r="K572" s="109"/>
      <c r="L572" s="109"/>
      <c r="M572" s="109"/>
      <c r="N572" s="109"/>
      <c r="O572" s="109"/>
      <c r="P572" s="109"/>
      <c r="Q572" s="109"/>
      <c r="R572" s="109"/>
      <c r="S572" s="109"/>
      <c r="T572" s="109"/>
      <c r="U572" s="1594"/>
      <c r="V572" s="1594"/>
      <c r="W572" s="1594"/>
      <c r="X572" s="109"/>
      <c r="AF572" s="109"/>
      <c r="AG572" s="109"/>
      <c r="BL572" s="2425"/>
    </row>
    <row r="573" spans="1:64" s="92" customFormat="1">
      <c r="A573" s="1190"/>
      <c r="D573" s="93"/>
      <c r="E573" s="109"/>
      <c r="F573" s="109"/>
      <c r="G573" s="109"/>
      <c r="H573" s="109"/>
      <c r="I573" s="109"/>
      <c r="J573" s="109"/>
      <c r="K573" s="109"/>
      <c r="L573" s="109"/>
      <c r="M573" s="109"/>
      <c r="N573" s="109"/>
      <c r="O573" s="109"/>
      <c r="P573" s="109"/>
      <c r="Q573" s="109"/>
      <c r="R573" s="109"/>
      <c r="S573" s="109"/>
      <c r="T573" s="109"/>
      <c r="U573" s="1594"/>
      <c r="V573" s="1594"/>
      <c r="W573" s="1594"/>
      <c r="X573" s="109"/>
      <c r="AF573" s="109"/>
      <c r="AG573" s="109"/>
      <c r="BL573" s="2425"/>
    </row>
    <row r="574" spans="1:64">
      <c r="A574" s="1252" t="s">
        <v>774</v>
      </c>
      <c r="B574" s="2624" t="s">
        <v>98</v>
      </c>
      <c r="D574" s="1603" t="s">
        <v>1438</v>
      </c>
      <c r="E574" s="1920"/>
      <c r="F574" s="1603"/>
      <c r="G574" s="1603"/>
      <c r="H574" s="1603"/>
      <c r="I574" s="1603"/>
      <c r="J574" s="1603"/>
      <c r="K574" s="1603"/>
      <c r="L574" s="1603"/>
      <c r="M574" s="1603"/>
      <c r="N574" s="1603"/>
      <c r="O574" s="1603"/>
      <c r="P574" s="1700"/>
      <c r="Q574" s="1701"/>
      <c r="R574" s="1702"/>
      <c r="S574" s="1700"/>
      <c r="T574" s="1603"/>
      <c r="U574" s="1603"/>
      <c r="V574" s="1603"/>
      <c r="W574" s="1603"/>
      <c r="AF574" s="1300" t="s">
        <v>1406</v>
      </c>
    </row>
    <row r="575" spans="1:64">
      <c r="D575" s="3441" t="s">
        <v>1492</v>
      </c>
      <c r="E575" s="3441"/>
      <c r="F575" s="3441"/>
      <c r="G575" s="3441"/>
      <c r="H575" s="3441"/>
      <c r="I575" s="3441"/>
      <c r="J575" s="3441"/>
      <c r="K575" s="3441"/>
      <c r="L575" s="3441"/>
      <c r="M575" s="3441"/>
      <c r="N575" s="3441"/>
      <c r="O575" s="3441"/>
      <c r="P575" s="3441"/>
      <c r="Q575" s="3441"/>
      <c r="R575" s="3441"/>
      <c r="S575" s="3441"/>
      <c r="T575" s="3441"/>
      <c r="U575" s="3441"/>
      <c r="V575" s="3441"/>
      <c r="W575" s="3441"/>
    </row>
    <row r="576" spans="1:64">
      <c r="D576" s="3442"/>
      <c r="E576" s="3442"/>
      <c r="F576" s="3442"/>
      <c r="G576" s="3442"/>
      <c r="H576" s="3442"/>
      <c r="I576" s="3442"/>
      <c r="J576" s="3442"/>
      <c r="K576" s="3442"/>
      <c r="L576" s="3442"/>
      <c r="M576" s="3442"/>
      <c r="N576" s="3442"/>
      <c r="O576" s="3442"/>
      <c r="P576" s="3442"/>
      <c r="Q576" s="3442"/>
      <c r="R576" s="3442"/>
      <c r="S576" s="3442"/>
      <c r="T576" s="3442"/>
      <c r="U576" s="3442"/>
      <c r="V576" s="3442"/>
      <c r="W576" s="3442"/>
    </row>
    <row r="577" spans="1:33">
      <c r="D577" s="3442"/>
      <c r="E577" s="3442"/>
      <c r="F577" s="3442"/>
      <c r="G577" s="3442"/>
      <c r="H577" s="3442"/>
      <c r="I577" s="3442"/>
      <c r="J577" s="3442"/>
      <c r="K577" s="3442"/>
      <c r="L577" s="3442"/>
      <c r="M577" s="3442"/>
      <c r="N577" s="3442"/>
      <c r="O577" s="3442"/>
      <c r="P577" s="3442"/>
      <c r="Q577" s="3442"/>
      <c r="R577" s="3442"/>
      <c r="S577" s="3442"/>
      <c r="T577" s="3442"/>
      <c r="U577" s="3442"/>
      <c r="V577" s="3442"/>
      <c r="W577" s="3442"/>
    </row>
    <row r="578" spans="1:33">
      <c r="D578" s="1767" t="s">
        <v>1493</v>
      </c>
      <c r="E578" s="1767"/>
      <c r="F578" s="1767"/>
      <c r="G578" s="1767"/>
      <c r="H578" s="1767"/>
      <c r="I578" s="1767"/>
      <c r="J578" s="1767"/>
      <c r="K578" s="1767"/>
      <c r="L578" s="1767"/>
      <c r="M578" s="1767"/>
      <c r="N578" s="1767"/>
      <c r="O578" s="1767"/>
      <c r="P578" s="1767"/>
      <c r="Q578" s="1767"/>
      <c r="R578" s="1767"/>
      <c r="S578" s="1767"/>
      <c r="T578" s="1767"/>
      <c r="U578" s="1767"/>
      <c r="V578" s="1767"/>
      <c r="Y578" s="1986"/>
      <c r="Z578" s="1986"/>
      <c r="AA578" s="1986"/>
    </row>
    <row r="579" spans="1:33">
      <c r="D579" s="3442" t="s">
        <v>1425</v>
      </c>
      <c r="E579" s="3442"/>
      <c r="F579" s="3442"/>
      <c r="G579" s="3442"/>
      <c r="H579" s="3442"/>
      <c r="I579" s="3442"/>
      <c r="J579" s="3442"/>
      <c r="K579" s="3442"/>
      <c r="L579" s="3442"/>
      <c r="M579" s="3442"/>
      <c r="N579" s="3442"/>
      <c r="O579" s="3442"/>
      <c r="P579" s="3442"/>
      <c r="Q579" s="3442"/>
      <c r="R579" s="3442"/>
      <c r="S579" s="3442"/>
      <c r="T579" s="3442"/>
      <c r="U579" s="3442"/>
      <c r="V579" s="3442"/>
      <c r="W579" s="3442"/>
      <c r="X579" s="3442"/>
      <c r="Y579" s="1986"/>
      <c r="Z579" s="1986"/>
      <c r="AA579" s="1986"/>
    </row>
    <row r="580" spans="1:33">
      <c r="D580" s="3442"/>
      <c r="E580" s="3442"/>
      <c r="F580" s="3442"/>
      <c r="G580" s="3442"/>
      <c r="H580" s="3442"/>
      <c r="I580" s="3442"/>
      <c r="J580" s="3442"/>
      <c r="K580" s="3442"/>
      <c r="L580" s="3442"/>
      <c r="M580" s="3442"/>
      <c r="N580" s="3442"/>
      <c r="O580" s="3442"/>
      <c r="P580" s="3442"/>
      <c r="Q580" s="3442"/>
      <c r="R580" s="3442"/>
      <c r="S580" s="3442"/>
      <c r="T580" s="3442"/>
      <c r="U580" s="3442"/>
      <c r="V580" s="3442"/>
      <c r="W580" s="3442"/>
      <c r="X580" s="3442"/>
    </row>
    <row r="581" spans="1:33">
      <c r="D581" s="3442" t="s">
        <v>1494</v>
      </c>
      <c r="E581" s="3442"/>
      <c r="F581" s="3442"/>
      <c r="G581" s="3442"/>
      <c r="H581" s="3442"/>
      <c r="I581" s="3442"/>
      <c r="J581" s="3442"/>
      <c r="K581" s="3442"/>
      <c r="L581" s="3442"/>
      <c r="M581" s="3442"/>
      <c r="N581" s="3442"/>
      <c r="O581" s="3442"/>
      <c r="P581" s="3442"/>
      <c r="Q581" s="3442"/>
      <c r="R581" s="3442"/>
      <c r="S581" s="3442"/>
      <c r="T581" s="3442"/>
      <c r="U581" s="3442"/>
      <c r="V581" s="3442"/>
      <c r="W581" s="3442"/>
    </row>
    <row r="582" spans="1:33">
      <c r="D582" s="3442"/>
      <c r="E582" s="3442"/>
      <c r="F582" s="3442"/>
      <c r="G582" s="3442"/>
      <c r="H582" s="3442"/>
      <c r="I582" s="3442"/>
      <c r="J582" s="3442"/>
      <c r="K582" s="3442"/>
      <c r="L582" s="3442"/>
      <c r="M582" s="3442"/>
      <c r="N582" s="3442"/>
      <c r="O582" s="3442"/>
      <c r="P582" s="3442"/>
      <c r="Q582" s="3442"/>
      <c r="R582" s="3442"/>
      <c r="S582" s="3442"/>
      <c r="T582" s="3442"/>
      <c r="U582" s="3442"/>
      <c r="V582" s="3442"/>
      <c r="W582" s="3442"/>
    </row>
    <row r="583" spans="1:33">
      <c r="D583" s="3442" t="s">
        <v>1495</v>
      </c>
      <c r="E583" s="3442"/>
      <c r="F583" s="3442"/>
      <c r="G583" s="3442"/>
      <c r="H583" s="3442"/>
      <c r="I583" s="3442"/>
      <c r="J583" s="3442"/>
      <c r="K583" s="3442"/>
      <c r="L583" s="3442"/>
      <c r="M583" s="3442"/>
      <c r="N583" s="3442"/>
      <c r="O583" s="3442"/>
      <c r="P583" s="3442"/>
      <c r="Q583" s="3442"/>
      <c r="R583" s="3442"/>
      <c r="S583" s="3442"/>
      <c r="T583" s="3442"/>
      <c r="U583" s="3442"/>
      <c r="V583" s="3442"/>
      <c r="W583" s="3442"/>
    </row>
    <row r="584" spans="1:33">
      <c r="A584" s="1604"/>
      <c r="C584" s="1604"/>
      <c r="D584" s="3443"/>
      <c r="E584" s="3443"/>
      <c r="F584" s="3443"/>
      <c r="G584" s="3443"/>
      <c r="H584" s="3443"/>
      <c r="I584" s="3443"/>
      <c r="J584" s="3443"/>
      <c r="K584" s="3443"/>
      <c r="L584" s="3443"/>
      <c r="M584" s="3443"/>
      <c r="N584" s="3443"/>
      <c r="O584" s="3443"/>
      <c r="P584" s="3443"/>
      <c r="Q584" s="3443"/>
      <c r="R584" s="3443"/>
      <c r="S584" s="3443"/>
      <c r="T584" s="3443"/>
      <c r="U584" s="3443"/>
      <c r="V584" s="3443"/>
      <c r="W584" s="3443"/>
      <c r="AF584" s="1604"/>
      <c r="AG584" s="1604"/>
    </row>
    <row r="585" spans="1:33">
      <c r="A585" s="1604"/>
      <c r="C585" s="1604"/>
      <c r="D585" s="1814"/>
      <c r="E585" s="1814"/>
      <c r="F585" s="1814"/>
      <c r="G585" s="1814"/>
      <c r="H585" s="1814"/>
      <c r="I585" s="1814"/>
      <c r="J585" s="1814"/>
      <c r="K585" s="1814"/>
      <c r="L585" s="1814"/>
      <c r="M585" s="1814"/>
      <c r="N585" s="1814"/>
      <c r="O585" s="1814"/>
      <c r="P585" s="1814"/>
      <c r="Q585" s="1814"/>
      <c r="R585" s="1814"/>
      <c r="S585" s="1814"/>
      <c r="T585" s="1814"/>
      <c r="U585" s="1814"/>
      <c r="V585" s="1814"/>
      <c r="W585" s="1814"/>
      <c r="AF585" s="1604"/>
      <c r="AG585" s="1604"/>
    </row>
    <row r="586" spans="1:33">
      <c r="A586" s="1604"/>
      <c r="B586" s="2624" t="s">
        <v>99</v>
      </c>
      <c r="C586" s="1604"/>
      <c r="D586" s="1920" t="s">
        <v>1439</v>
      </c>
      <c r="E586" s="1920"/>
      <c r="F586" s="1920"/>
      <c r="G586" s="1920"/>
      <c r="H586" s="1920"/>
      <c r="I586" s="1920"/>
      <c r="J586" s="1920"/>
      <c r="K586" s="1920"/>
      <c r="L586" s="1920"/>
      <c r="M586" s="1920"/>
      <c r="N586" s="1920"/>
      <c r="O586" s="1700"/>
      <c r="P586" s="1701"/>
      <c r="Q586" s="1702"/>
      <c r="R586" s="1700"/>
      <c r="S586" s="1920"/>
      <c r="T586" s="1920"/>
      <c r="U586" s="1920"/>
      <c r="V586" s="1920"/>
      <c r="W586" s="1920"/>
      <c r="Y586" s="1736" t="s">
        <v>1478</v>
      </c>
      <c r="AF586" s="1604"/>
      <c r="AG586" s="1604"/>
    </row>
    <row r="587" spans="1:33">
      <c r="A587" s="1604"/>
      <c r="C587" s="1604"/>
      <c r="D587" s="3444" t="s">
        <v>1496</v>
      </c>
      <c r="E587" s="3444"/>
      <c r="F587" s="3444"/>
      <c r="G587" s="3444"/>
      <c r="H587" s="3444"/>
      <c r="I587" s="3444"/>
      <c r="J587" s="3444"/>
      <c r="K587" s="3444"/>
      <c r="L587" s="3444"/>
      <c r="M587" s="3444"/>
      <c r="N587" s="3444"/>
      <c r="O587" s="3444"/>
      <c r="P587" s="3444"/>
      <c r="Q587" s="3444"/>
      <c r="R587" s="3444"/>
      <c r="S587" s="3444"/>
      <c r="T587" s="3444"/>
      <c r="U587" s="3444"/>
      <c r="V587" s="3444"/>
      <c r="W587" s="3444"/>
      <c r="Y587" s="136">
        <f>CALCULATIONS!MS9</f>
        <v>5.0035394649622855</v>
      </c>
      <c r="AF587" s="1604"/>
      <c r="AG587" s="1604"/>
    </row>
    <row r="588" spans="1:33">
      <c r="A588" s="1604"/>
      <c r="C588" s="1604"/>
      <c r="D588" s="3445"/>
      <c r="E588" s="3445"/>
      <c r="F588" s="3445"/>
      <c r="G588" s="3445"/>
      <c r="H588" s="3445"/>
      <c r="I588" s="3445"/>
      <c r="J588" s="3445"/>
      <c r="K588" s="3445"/>
      <c r="L588" s="3445"/>
      <c r="M588" s="3445"/>
      <c r="N588" s="3445"/>
      <c r="O588" s="3445"/>
      <c r="P588" s="3445"/>
      <c r="Q588" s="3445"/>
      <c r="R588" s="3445"/>
      <c r="S588" s="3445"/>
      <c r="T588" s="3445"/>
      <c r="U588" s="3445"/>
      <c r="V588" s="3445"/>
      <c r="W588" s="3445"/>
      <c r="Z588" s="1153" t="s">
        <v>1481</v>
      </c>
      <c r="AF588" s="1604"/>
      <c r="AG588" s="1604"/>
    </row>
    <row r="589" spans="1:33">
      <c r="A589" s="1604"/>
      <c r="C589" s="1604"/>
      <c r="D589" s="3445"/>
      <c r="E589" s="3445"/>
      <c r="F589" s="3445"/>
      <c r="G589" s="3445"/>
      <c r="H589" s="3445"/>
      <c r="I589" s="3445"/>
      <c r="J589" s="3445"/>
      <c r="K589" s="3445"/>
      <c r="L589" s="3445"/>
      <c r="M589" s="3445"/>
      <c r="N589" s="3445"/>
      <c r="O589" s="3445"/>
      <c r="P589" s="3445"/>
      <c r="Q589" s="3445"/>
      <c r="R589" s="3445"/>
      <c r="S589" s="3445"/>
      <c r="T589" s="3445"/>
      <c r="U589" s="3445"/>
      <c r="V589" s="3445"/>
      <c r="W589" s="3445"/>
      <c r="Y589" s="1736"/>
      <c r="Z589" s="1763">
        <f>CALCULATIONS!KH9</f>
        <v>4.3704719780651446</v>
      </c>
      <c r="AF589" s="1604"/>
      <c r="AG589" s="1604"/>
    </row>
    <row r="590" spans="1:33">
      <c r="A590" s="1604"/>
      <c r="C590" s="1604"/>
      <c r="D590" s="3445"/>
      <c r="E590" s="3445"/>
      <c r="F590" s="3445"/>
      <c r="G590" s="3445"/>
      <c r="H590" s="3445"/>
      <c r="I590" s="3445"/>
      <c r="J590" s="3445"/>
      <c r="K590" s="3445"/>
      <c r="L590" s="3445"/>
      <c r="M590" s="3445"/>
      <c r="N590" s="3445"/>
      <c r="O590" s="3445"/>
      <c r="P590" s="3445"/>
      <c r="Q590" s="3445"/>
      <c r="R590" s="3445"/>
      <c r="S590" s="3445"/>
      <c r="T590" s="3445"/>
      <c r="U590" s="3445"/>
      <c r="V590" s="3445"/>
      <c r="W590" s="3445"/>
      <c r="AF590" s="1604"/>
      <c r="AG590" s="1604"/>
    </row>
    <row r="591" spans="1:33">
      <c r="A591" s="1604"/>
      <c r="C591" s="1604"/>
      <c r="D591" s="3445" t="s">
        <v>1411</v>
      </c>
      <c r="E591" s="3445"/>
      <c r="F591" s="3445"/>
      <c r="G591" s="3445"/>
      <c r="H591" s="3445"/>
      <c r="I591" s="3445"/>
      <c r="J591" s="3445"/>
      <c r="K591" s="3445"/>
      <c r="L591" s="3445"/>
      <c r="M591" s="3445"/>
      <c r="N591" s="3445"/>
      <c r="O591" s="3445"/>
      <c r="P591" s="3445"/>
      <c r="Q591" s="3445"/>
      <c r="R591" s="3445"/>
      <c r="S591" s="3445"/>
      <c r="T591" s="3445"/>
      <c r="U591" s="3445"/>
      <c r="V591" s="3445"/>
      <c r="W591" s="3445"/>
      <c r="AF591" s="1604"/>
      <c r="AG591" s="1604"/>
    </row>
    <row r="592" spans="1:33">
      <c r="A592" s="1604"/>
      <c r="C592" s="1604"/>
      <c r="D592" s="3445"/>
      <c r="E592" s="3445"/>
      <c r="F592" s="3445"/>
      <c r="G592" s="3445"/>
      <c r="H592" s="3445"/>
      <c r="I592" s="3445"/>
      <c r="J592" s="3445"/>
      <c r="K592" s="3445"/>
      <c r="L592" s="3445"/>
      <c r="M592" s="3445"/>
      <c r="N592" s="3445"/>
      <c r="O592" s="3445"/>
      <c r="P592" s="3445"/>
      <c r="Q592" s="3445"/>
      <c r="R592" s="3445"/>
      <c r="S592" s="3445"/>
      <c r="T592" s="3445"/>
      <c r="U592" s="3445"/>
      <c r="V592" s="3445"/>
      <c r="W592" s="3445"/>
      <c r="AF592" s="1604"/>
      <c r="AG592" s="1604"/>
    </row>
    <row r="593" spans="1:33">
      <c r="A593" s="1604"/>
      <c r="C593" s="1604"/>
      <c r="D593" s="3445" t="s">
        <v>1497</v>
      </c>
      <c r="E593" s="3445"/>
      <c r="F593" s="3445"/>
      <c r="G593" s="3445"/>
      <c r="H593" s="3445"/>
      <c r="I593" s="3445"/>
      <c r="J593" s="3445"/>
      <c r="K593" s="3445"/>
      <c r="L593" s="3445"/>
      <c r="M593" s="3445"/>
      <c r="N593" s="3445"/>
      <c r="O593" s="3445"/>
      <c r="P593" s="3445"/>
      <c r="Q593" s="3445"/>
      <c r="R593" s="3445"/>
      <c r="S593" s="3445"/>
      <c r="T593" s="3445"/>
      <c r="U593" s="3445"/>
      <c r="V593" s="3445"/>
      <c r="W593" s="3445"/>
      <c r="AF593" s="1604"/>
      <c r="AG593" s="1604"/>
    </row>
    <row r="594" spans="1:33">
      <c r="A594" s="1604"/>
      <c r="C594" s="1604"/>
      <c r="D594" s="3445"/>
      <c r="E594" s="3445"/>
      <c r="F594" s="3445"/>
      <c r="G594" s="3445"/>
      <c r="H594" s="3445"/>
      <c r="I594" s="3445"/>
      <c r="J594" s="3445"/>
      <c r="K594" s="3445"/>
      <c r="L594" s="3445"/>
      <c r="M594" s="3445"/>
      <c r="N594" s="3445"/>
      <c r="O594" s="3445"/>
      <c r="P594" s="3445"/>
      <c r="Q594" s="3445"/>
      <c r="R594" s="3445"/>
      <c r="S594" s="3445"/>
      <c r="T594" s="3445"/>
      <c r="U594" s="3445"/>
      <c r="V594" s="3445"/>
      <c r="W594" s="3445"/>
      <c r="AF594" s="1604"/>
      <c r="AG594" s="1604"/>
    </row>
    <row r="595" spans="1:33">
      <c r="A595" s="1604"/>
      <c r="C595" s="1604"/>
      <c r="D595" s="3445" t="s">
        <v>1898</v>
      </c>
      <c r="E595" s="3445"/>
      <c r="F595" s="3445"/>
      <c r="G595" s="3445"/>
      <c r="H595" s="3445"/>
      <c r="I595" s="3445"/>
      <c r="J595" s="3445"/>
      <c r="K595" s="3445"/>
      <c r="L595" s="3445"/>
      <c r="M595" s="3445"/>
      <c r="N595" s="3445"/>
      <c r="O595" s="3445"/>
      <c r="P595" s="3445"/>
      <c r="Q595" s="3445"/>
      <c r="R595" s="3445"/>
      <c r="S595" s="3445"/>
      <c r="T595" s="3445"/>
      <c r="U595" s="3445"/>
      <c r="V595" s="3445"/>
      <c r="W595" s="3445"/>
      <c r="AF595" s="1604"/>
      <c r="AG595" s="1604"/>
    </row>
    <row r="596" spans="1:33">
      <c r="A596" s="1604"/>
      <c r="C596" s="1604"/>
      <c r="D596" s="3646"/>
      <c r="E596" s="3646"/>
      <c r="F596" s="3646"/>
      <c r="G596" s="3646"/>
      <c r="H596" s="3646"/>
      <c r="I596" s="3646"/>
      <c r="J596" s="3646"/>
      <c r="K596" s="3646"/>
      <c r="L596" s="3646"/>
      <c r="M596" s="3646"/>
      <c r="N596" s="3646"/>
      <c r="O596" s="3646"/>
      <c r="P596" s="3646"/>
      <c r="Q596" s="3646"/>
      <c r="R596" s="3646"/>
      <c r="S596" s="3646"/>
      <c r="T596" s="3646"/>
      <c r="U596" s="3646"/>
      <c r="V596" s="3646"/>
      <c r="W596" s="3646"/>
      <c r="AF596" s="1604"/>
      <c r="AG596" s="1604"/>
    </row>
    <row r="597" spans="1:33">
      <c r="A597" s="1604"/>
      <c r="C597" s="1604"/>
      <c r="D597" s="1723"/>
      <c r="E597" s="1723"/>
      <c r="F597" s="1723"/>
      <c r="G597" s="1723"/>
      <c r="H597" s="1723"/>
      <c r="I597" s="1723"/>
      <c r="J597" s="1723"/>
      <c r="K597" s="1723"/>
      <c r="L597" s="1723"/>
      <c r="M597" s="1723"/>
      <c r="N597" s="1723"/>
      <c r="O597" s="1723"/>
      <c r="P597" s="1723"/>
      <c r="Q597" s="1723"/>
      <c r="R597" s="1723"/>
      <c r="S597" s="1723"/>
      <c r="T597" s="1723"/>
      <c r="U597" s="1723"/>
      <c r="V597" s="1723"/>
      <c r="W597" s="1814"/>
      <c r="AF597" s="1604"/>
      <c r="AG597" s="1604"/>
    </row>
    <row r="598" spans="1:33">
      <c r="A598" s="1604"/>
      <c r="B598" s="2624" t="s">
        <v>100</v>
      </c>
      <c r="C598" s="1604"/>
      <c r="D598" s="1920" t="s">
        <v>1444</v>
      </c>
      <c r="E598" s="1920"/>
      <c r="F598" s="1920"/>
      <c r="G598" s="1920"/>
      <c r="H598" s="1920"/>
      <c r="I598" s="1920"/>
      <c r="J598" s="1920"/>
      <c r="K598" s="1920"/>
      <c r="L598" s="1920"/>
      <c r="M598" s="1920"/>
      <c r="N598" s="1920"/>
      <c r="O598" s="1700"/>
      <c r="P598" s="1701"/>
      <c r="Q598" s="1702"/>
      <c r="R598" s="1700"/>
      <c r="S598" s="1920"/>
      <c r="T598" s="1920"/>
      <c r="U598" s="1920"/>
      <c r="V598" s="1920"/>
      <c r="W598" s="1920"/>
      <c r="AF598" s="1604"/>
      <c r="AG598" s="1604"/>
    </row>
    <row r="599" spans="1:33">
      <c r="A599" s="1604"/>
      <c r="C599" s="1604"/>
      <c r="D599" s="3441" t="s">
        <v>1699</v>
      </c>
      <c r="E599" s="3441"/>
      <c r="F599" s="3441"/>
      <c r="G599" s="3441"/>
      <c r="H599" s="3441"/>
      <c r="I599" s="3441"/>
      <c r="J599" s="3441"/>
      <c r="K599" s="3441"/>
      <c r="L599" s="3441"/>
      <c r="M599" s="3441"/>
      <c r="N599" s="3441"/>
      <c r="O599" s="3441"/>
      <c r="P599" s="3441"/>
      <c r="Q599" s="3441"/>
      <c r="R599" s="3441"/>
      <c r="S599" s="3441"/>
      <c r="T599" s="3441"/>
      <c r="U599" s="3441"/>
      <c r="V599" s="3441"/>
      <c r="W599" s="3441"/>
      <c r="Y599" s="1153"/>
      <c r="Z599" s="1153" t="s">
        <v>1482</v>
      </c>
      <c r="AF599" s="1604"/>
      <c r="AG599" s="1604"/>
    </row>
    <row r="600" spans="1:33">
      <c r="D600" s="3442"/>
      <c r="E600" s="3442"/>
      <c r="F600" s="3442"/>
      <c r="G600" s="3442"/>
      <c r="H600" s="3442"/>
      <c r="I600" s="3442"/>
      <c r="J600" s="3442"/>
      <c r="K600" s="3442"/>
      <c r="L600" s="3442"/>
      <c r="M600" s="3442"/>
      <c r="N600" s="3442"/>
      <c r="O600" s="3442"/>
      <c r="P600" s="3442"/>
      <c r="Q600" s="3442"/>
      <c r="R600" s="3442"/>
      <c r="S600" s="3442"/>
      <c r="T600" s="3442"/>
      <c r="U600" s="3442"/>
      <c r="V600" s="3442"/>
      <c r="W600" s="3442"/>
      <c r="Y600" s="1153"/>
      <c r="Z600" s="1763">
        <f>CALCULATIONS!KD9+1</f>
        <v>4.7407046780406041</v>
      </c>
    </row>
    <row r="601" spans="1:33">
      <c r="D601" s="3442" t="s">
        <v>1480</v>
      </c>
      <c r="E601" s="3442"/>
      <c r="F601" s="3442"/>
      <c r="G601" s="3442"/>
      <c r="H601" s="3442"/>
      <c r="I601" s="3442"/>
      <c r="J601" s="3442"/>
      <c r="K601" s="3442"/>
      <c r="L601" s="3442"/>
      <c r="M601" s="3442"/>
      <c r="N601" s="3442"/>
      <c r="O601" s="3442"/>
      <c r="P601" s="3442"/>
      <c r="Q601" s="3442"/>
      <c r="R601" s="3442"/>
      <c r="S601" s="3442"/>
      <c r="T601" s="3442"/>
      <c r="U601" s="3442"/>
      <c r="V601" s="3442"/>
      <c r="W601" s="3442"/>
      <c r="Y601" s="1153"/>
      <c r="Z601" s="1153"/>
    </row>
    <row r="602" spans="1:33">
      <c r="D602" s="3442"/>
      <c r="E602" s="3442"/>
      <c r="F602" s="3442"/>
      <c r="G602" s="3442"/>
      <c r="H602" s="3442"/>
      <c r="I602" s="3442"/>
      <c r="J602" s="3442"/>
      <c r="K602" s="3442"/>
      <c r="L602" s="3442"/>
      <c r="M602" s="3442"/>
      <c r="N602" s="3442"/>
      <c r="O602" s="3442"/>
      <c r="P602" s="3442"/>
      <c r="Q602" s="3442"/>
      <c r="R602" s="3442"/>
      <c r="S602" s="3442"/>
      <c r="T602" s="3442"/>
      <c r="U602" s="3442"/>
      <c r="V602" s="3442"/>
      <c r="W602" s="3442"/>
      <c r="Y602" s="1153"/>
      <c r="Z602" s="1153"/>
    </row>
    <row r="603" spans="1:33">
      <c r="D603" s="3442"/>
      <c r="E603" s="3442"/>
      <c r="F603" s="3442"/>
      <c r="G603" s="3442"/>
      <c r="H603" s="3442"/>
      <c r="I603" s="3442"/>
      <c r="J603" s="3442"/>
      <c r="K603" s="3442"/>
      <c r="L603" s="3442"/>
      <c r="M603" s="3442"/>
      <c r="N603" s="3442"/>
      <c r="O603" s="3442"/>
      <c r="P603" s="3442"/>
      <c r="Q603" s="3442"/>
      <c r="R603" s="3442"/>
      <c r="S603" s="3442"/>
      <c r="T603" s="3442"/>
      <c r="U603" s="3442"/>
      <c r="V603" s="3442"/>
      <c r="W603" s="3442"/>
      <c r="Y603" s="1153"/>
      <c r="Z603" s="1153"/>
    </row>
    <row r="604" spans="1:33">
      <c r="D604" s="1767" t="s">
        <v>1445</v>
      </c>
      <c r="E604" s="1767"/>
      <c r="F604" s="1767"/>
      <c r="G604" s="1767"/>
      <c r="H604" s="1767"/>
      <c r="I604" s="1767"/>
      <c r="J604" s="1767"/>
      <c r="K604" s="1767"/>
      <c r="L604" s="1767"/>
      <c r="M604" s="1767"/>
      <c r="N604" s="1767"/>
      <c r="O604" s="1773"/>
      <c r="P604" s="1774"/>
      <c r="Q604" s="1775"/>
      <c r="R604" s="1773"/>
      <c r="S604" s="1767"/>
      <c r="T604" s="1767"/>
      <c r="U604" s="1767"/>
      <c r="V604" s="1767"/>
      <c r="Y604" s="1153" t="s">
        <v>1700</v>
      </c>
      <c r="Z604" s="1153"/>
    </row>
    <row r="605" spans="1:33">
      <c r="D605" s="3442" t="s">
        <v>1498</v>
      </c>
      <c r="E605" s="3442"/>
      <c r="F605" s="3442"/>
      <c r="G605" s="3442"/>
      <c r="H605" s="3442"/>
      <c r="I605" s="3442"/>
      <c r="J605" s="3442"/>
      <c r="K605" s="3442"/>
      <c r="L605" s="3442"/>
      <c r="M605" s="3442"/>
      <c r="N605" s="3442"/>
      <c r="O605" s="3442"/>
      <c r="P605" s="3442"/>
      <c r="Q605" s="3442"/>
      <c r="R605" s="3442"/>
      <c r="S605" s="3442"/>
      <c r="T605" s="3442"/>
      <c r="U605" s="3442"/>
      <c r="V605" s="3442"/>
      <c r="W605" s="3442"/>
    </row>
    <row r="606" spans="1:33">
      <c r="D606" s="3442"/>
      <c r="E606" s="3442"/>
      <c r="F606" s="3442"/>
      <c r="G606" s="3442"/>
      <c r="H606" s="3442"/>
      <c r="I606" s="3442"/>
      <c r="J606" s="3442"/>
      <c r="K606" s="3442"/>
      <c r="L606" s="3442"/>
      <c r="M606" s="3442"/>
      <c r="N606" s="3442"/>
      <c r="O606" s="3442"/>
      <c r="P606" s="3442"/>
      <c r="Q606" s="3442"/>
      <c r="R606" s="3442"/>
      <c r="S606" s="3442"/>
      <c r="T606" s="3442"/>
      <c r="U606" s="3442"/>
      <c r="V606" s="3442"/>
      <c r="W606" s="3442"/>
    </row>
    <row r="607" spans="1:33">
      <c r="D607" s="3448" t="s">
        <v>1479</v>
      </c>
      <c r="E607" s="3448"/>
      <c r="F607" s="3448"/>
      <c r="G607" s="3448"/>
      <c r="H607" s="3448"/>
      <c r="I607" s="3448"/>
      <c r="J607" s="3448"/>
      <c r="K607" s="3448"/>
      <c r="L607" s="3448"/>
      <c r="M607" s="3448"/>
      <c r="N607" s="3448"/>
      <c r="O607" s="3448"/>
      <c r="P607" s="3448"/>
      <c r="Q607" s="3448"/>
      <c r="R607" s="3448"/>
      <c r="S607" s="3448"/>
      <c r="T607" s="3448"/>
      <c r="U607" s="3448"/>
      <c r="V607" s="3448"/>
      <c r="W607" s="3448"/>
    </row>
    <row r="608" spans="1:33">
      <c r="D608" s="3448"/>
      <c r="E608" s="3448"/>
      <c r="F608" s="3448"/>
      <c r="G608" s="3448"/>
      <c r="H608" s="3448"/>
      <c r="I608" s="3448"/>
      <c r="J608" s="3448"/>
      <c r="K608" s="3448"/>
      <c r="L608" s="3448"/>
      <c r="M608" s="3448"/>
      <c r="N608" s="3448"/>
      <c r="O608" s="3448"/>
      <c r="P608" s="3448"/>
      <c r="Q608" s="3448"/>
      <c r="R608" s="3448"/>
      <c r="S608" s="3448"/>
      <c r="T608" s="3448"/>
      <c r="U608" s="3448"/>
      <c r="V608" s="3448"/>
      <c r="W608" s="3448"/>
    </row>
    <row r="609" spans="1:64">
      <c r="D609" s="3448" t="s">
        <v>1446</v>
      </c>
      <c r="E609" s="3448"/>
      <c r="F609" s="3448"/>
      <c r="G609" s="3448"/>
      <c r="H609" s="3448"/>
      <c r="I609" s="3448"/>
      <c r="J609" s="3448"/>
      <c r="K609" s="3448"/>
      <c r="L609" s="3448"/>
      <c r="M609" s="3448"/>
      <c r="N609" s="3448"/>
      <c r="O609" s="3448"/>
      <c r="P609" s="3448"/>
      <c r="Q609" s="3448"/>
      <c r="R609" s="3448"/>
      <c r="S609" s="3448"/>
      <c r="T609" s="3448"/>
      <c r="U609" s="3448"/>
      <c r="V609" s="3448"/>
      <c r="W609" s="3448"/>
    </row>
    <row r="610" spans="1:64">
      <c r="D610" s="3449"/>
      <c r="E610" s="3449"/>
      <c r="F610" s="3449"/>
      <c r="G610" s="3449"/>
      <c r="H610" s="3449"/>
      <c r="I610" s="3449"/>
      <c r="J610" s="3449"/>
      <c r="K610" s="3449"/>
      <c r="L610" s="3449"/>
      <c r="M610" s="3449"/>
      <c r="N610" s="3449"/>
      <c r="O610" s="3449"/>
      <c r="P610" s="3449"/>
      <c r="Q610" s="3449"/>
      <c r="R610" s="3449"/>
      <c r="S610" s="3449"/>
      <c r="T610" s="3449"/>
      <c r="U610" s="3449"/>
      <c r="V610" s="3449"/>
      <c r="W610" s="3449"/>
    </row>
    <row r="611" spans="1:64">
      <c r="D611" s="1747" t="s">
        <v>1701</v>
      </c>
      <c r="E611" s="1153"/>
      <c r="F611" s="1209"/>
      <c r="G611" s="1209"/>
      <c r="H611" s="1209"/>
      <c r="I611" s="1209"/>
      <c r="J611" s="1209"/>
      <c r="K611" s="1209"/>
      <c r="L611" s="1209"/>
      <c r="M611" s="1209"/>
      <c r="N611" s="1209"/>
      <c r="O611" s="1758"/>
      <c r="P611" s="1759"/>
      <c r="Q611" s="1760"/>
      <c r="R611" s="1758"/>
      <c r="S611" s="1209"/>
      <c r="T611" s="1209"/>
      <c r="U611" s="1209"/>
      <c r="V611" s="1922"/>
      <c r="W611" s="1922"/>
    </row>
    <row r="612" spans="1:64" s="1725" customFormat="1">
      <c r="A612" s="1724"/>
      <c r="C612" s="1797"/>
      <c r="D612" s="1997" t="s">
        <v>1442</v>
      </c>
      <c r="E612" s="1768"/>
      <c r="F612" s="1768"/>
      <c r="G612" s="1768"/>
      <c r="H612" s="1768"/>
      <c r="I612" s="1768"/>
      <c r="J612" s="1768"/>
      <c r="K612" s="1768"/>
      <c r="L612" s="1768"/>
      <c r="M612" s="1768"/>
      <c r="N612" s="1768"/>
      <c r="O612" s="1768"/>
      <c r="P612" s="1768"/>
      <c r="Q612" s="1768"/>
      <c r="R612" s="1768"/>
      <c r="S612" s="1995"/>
      <c r="T612" s="1995"/>
      <c r="U612" s="1995"/>
      <c r="V612" s="1996"/>
      <c r="W612" s="1996"/>
      <c r="X612" s="1727"/>
      <c r="AF612" s="1727"/>
      <c r="AG612" s="1727"/>
      <c r="BL612" s="2462"/>
    </row>
    <row r="613" spans="1:64" s="1725" customFormat="1">
      <c r="A613" s="1724"/>
      <c r="C613" s="1797"/>
      <c r="D613" s="1726"/>
      <c r="E613" s="1762"/>
      <c r="F613" s="1786"/>
      <c r="G613" s="1786"/>
      <c r="H613" s="1786"/>
      <c r="I613" s="1786"/>
      <c r="J613" s="1786"/>
      <c r="K613" s="1786"/>
      <c r="L613" s="1786"/>
      <c r="M613" s="1786"/>
      <c r="N613" s="1786"/>
      <c r="O613" s="1786"/>
      <c r="P613" s="1786"/>
      <c r="Q613" s="1786"/>
      <c r="R613" s="1786"/>
      <c r="S613" s="1786"/>
      <c r="T613" s="1769"/>
      <c r="U613" s="1769"/>
      <c r="V613" s="1770"/>
      <c r="W613" s="1770"/>
      <c r="X613" s="1727"/>
      <c r="AF613" s="1727"/>
      <c r="AG613" s="1727"/>
      <c r="BL613" s="2462"/>
    </row>
    <row r="614" spans="1:64">
      <c r="B614" s="2624" t="s">
        <v>101</v>
      </c>
      <c r="D614" s="1105" t="s">
        <v>2099</v>
      </c>
      <c r="E614" s="1105"/>
      <c r="F614" s="1105"/>
      <c r="G614" s="1105"/>
      <c r="H614" s="1105"/>
      <c r="I614" s="1105"/>
      <c r="J614" s="1105"/>
      <c r="K614" s="1105"/>
      <c r="L614" s="1105"/>
      <c r="M614" s="1105"/>
      <c r="N614" s="1105"/>
      <c r="O614" s="1105"/>
      <c r="P614" s="597"/>
      <c r="Q614" s="1703"/>
      <c r="R614" s="1222"/>
      <c r="S614" s="1222"/>
      <c r="T614" s="1222"/>
      <c r="U614" s="1222"/>
      <c r="V614" s="1222"/>
      <c r="W614" s="1222"/>
    </row>
    <row r="615" spans="1:64">
      <c r="D615" s="79"/>
      <c r="P615" s="109"/>
      <c r="Q615" s="1697"/>
      <c r="R615" s="77"/>
      <c r="S615" s="109"/>
    </row>
    <row r="616" spans="1:64">
      <c r="B616" s="3435" t="s">
        <v>1967</v>
      </c>
      <c r="C616" s="135"/>
      <c r="D616" s="107" t="str">
        <f>CONCATENATE("Telenet's tD*/Ebitda* was ", ROUND(CALCULATIONS!NB9,1)," higher than its D*/Ebitda* for the period, and ",ROUND(CALCULATIONS!MV9,1)," by end 2Q13. Taking the former spread and Telenet's stated net leverage target of 3.5-4.5x, we find the range 4.0-5x mentioned")</f>
        <v>Telenet's tD*/Ebitda* was 0.5 higher than its D*/Ebitda* for the period, and 0.1 by end 2Q13. Taking the former spread and Telenet's stated net leverage target of 3.5-4.5x, we find the range 4.0-5x mentioned</v>
      </c>
      <c r="E616" s="107"/>
      <c r="F616" s="107"/>
      <c r="G616" s="107"/>
      <c r="H616" s="107"/>
      <c r="I616" s="107"/>
      <c r="J616" s="107"/>
      <c r="K616" s="107"/>
      <c r="L616" s="107"/>
      <c r="M616" s="107"/>
      <c r="N616" s="107"/>
      <c r="O616" s="107"/>
      <c r="P616" s="135"/>
      <c r="Q616" s="2503"/>
      <c r="R616" s="2504"/>
      <c r="S616" s="135"/>
      <c r="T616" s="107"/>
      <c r="U616" s="107"/>
      <c r="V616" s="107"/>
      <c r="W616" s="107"/>
      <c r="X616" s="1616"/>
    </row>
    <row r="617" spans="1:64">
      <c r="B617" s="3436"/>
      <c r="C617" s="109"/>
      <c r="D617" s="2273" t="s">
        <v>1499</v>
      </c>
      <c r="E617" s="2273"/>
      <c r="F617" s="2273"/>
      <c r="G617" s="2273"/>
      <c r="H617" s="2273"/>
      <c r="I617" s="2273"/>
      <c r="J617" s="2273"/>
      <c r="K617" s="2273"/>
      <c r="L617" s="2273"/>
      <c r="M617" s="2273"/>
      <c r="N617" s="2273"/>
      <c r="O617" s="2273"/>
      <c r="P617" s="109"/>
      <c r="Q617" s="1697"/>
      <c r="R617" s="77"/>
      <c r="S617" s="109"/>
      <c r="T617" s="2273"/>
      <c r="U617" s="2273"/>
      <c r="V617" s="2273"/>
      <c r="W617" s="2273"/>
      <c r="X617" s="2143"/>
    </row>
    <row r="618" spans="1:64" s="1736" customFormat="1">
      <c r="A618" s="1155"/>
      <c r="B618" s="3069"/>
      <c r="C618" s="109"/>
      <c r="D618" s="1744" t="s">
        <v>1872</v>
      </c>
      <c r="E618" s="2273"/>
      <c r="F618" s="2273"/>
      <c r="G618" s="2273"/>
      <c r="H618" s="2273"/>
      <c r="I618" s="2273"/>
      <c r="J618" s="2273"/>
      <c r="K618" s="2273"/>
      <c r="L618" s="2273"/>
      <c r="M618" s="2273"/>
      <c r="N618" s="2273"/>
      <c r="O618" s="2273"/>
      <c r="P618" s="109"/>
      <c r="Q618" s="1697"/>
      <c r="R618" s="77"/>
      <c r="S618" s="109"/>
      <c r="T618" s="2273"/>
      <c r="U618" s="2273"/>
      <c r="V618" s="2273"/>
      <c r="W618" s="2273"/>
      <c r="X618" s="2143"/>
      <c r="AF618" s="1737"/>
      <c r="AG618" s="1737"/>
      <c r="BL618" s="80"/>
    </row>
    <row r="619" spans="1:64" ht="13.2" customHeight="1">
      <c r="B619" s="3069"/>
      <c r="C619" s="109"/>
      <c r="D619" s="3415" t="s">
        <v>2056</v>
      </c>
      <c r="E619" s="3415"/>
      <c r="F619" s="3415"/>
      <c r="G619" s="3415"/>
      <c r="H619" s="3415"/>
      <c r="I619" s="3415"/>
      <c r="J619" s="3415"/>
      <c r="K619" s="3415"/>
      <c r="L619" s="3415"/>
      <c r="M619" s="3415"/>
      <c r="N619" s="3415"/>
      <c r="O619" s="3415"/>
      <c r="P619" s="3415"/>
      <c r="Q619" s="3415"/>
      <c r="R619" s="3415"/>
      <c r="S619" s="2273"/>
      <c r="T619" s="1529" t="s">
        <v>38</v>
      </c>
      <c r="U619" s="1998"/>
      <c r="V619" s="1720" t="s">
        <v>1513</v>
      </c>
      <c r="W619" s="1470" t="s">
        <v>1452</v>
      </c>
      <c r="X619" s="2143"/>
    </row>
    <row r="620" spans="1:64">
      <c r="B620" s="3069"/>
      <c r="C620" s="109"/>
      <c r="D620" s="3415"/>
      <c r="E620" s="3415"/>
      <c r="F620" s="3415"/>
      <c r="G620" s="3415"/>
      <c r="H620" s="3415"/>
      <c r="I620" s="3415"/>
      <c r="J620" s="3415"/>
      <c r="K620" s="3415"/>
      <c r="L620" s="3415"/>
      <c r="M620" s="3415"/>
      <c r="N620" s="3415"/>
      <c r="O620" s="3415"/>
      <c r="P620" s="3415"/>
      <c r="Q620" s="3415"/>
      <c r="R620" s="3415"/>
      <c r="S620" s="2273"/>
      <c r="T620" s="3071" t="s">
        <v>111</v>
      </c>
      <c r="U620" s="3068"/>
      <c r="V620" s="1722" t="s">
        <v>333</v>
      </c>
      <c r="W620" s="1988" t="s">
        <v>111</v>
      </c>
      <c r="X620" s="2143"/>
      <c r="Y620" s="1165" t="s">
        <v>1500</v>
      </c>
    </row>
    <row r="621" spans="1:64" s="2269" customFormat="1">
      <c r="A621" s="1155"/>
      <c r="B621" s="3070"/>
      <c r="C621" s="1622"/>
      <c r="D621" s="2499"/>
      <c r="E621" s="2500"/>
      <c r="F621" s="2500"/>
      <c r="G621" s="2500"/>
      <c r="H621" s="2500"/>
      <c r="I621" s="2500"/>
      <c r="J621" s="2500"/>
      <c r="K621" s="2500"/>
      <c r="L621" s="2500"/>
      <c r="M621" s="2500"/>
      <c r="N621" s="2500"/>
      <c r="O621" s="2500"/>
      <c r="P621" s="2500"/>
      <c r="Q621" s="2500"/>
      <c r="R621" s="2500"/>
      <c r="S621" s="90"/>
      <c r="T621" s="2502"/>
      <c r="U621" s="2502"/>
      <c r="V621" s="2501"/>
      <c r="W621" s="2501"/>
      <c r="X621" s="91"/>
      <c r="Y621" s="1165"/>
      <c r="AF621" s="2273"/>
      <c r="AG621" s="2273"/>
      <c r="BL621" s="80"/>
    </row>
    <row r="622" spans="1:64">
      <c r="D622" s="79"/>
      <c r="P622" s="109"/>
      <c r="Q622" s="1697"/>
      <c r="R622" s="77"/>
      <c r="S622" s="109"/>
    </row>
    <row r="623" spans="1:64" s="2545" customFormat="1">
      <c r="A623" s="1155"/>
      <c r="C623" s="92"/>
      <c r="D623" s="2545" t="s">
        <v>1885</v>
      </c>
      <c r="P623" s="109"/>
      <c r="Q623" s="1697"/>
      <c r="R623" s="77"/>
      <c r="S623" s="109"/>
      <c r="X623" s="2547"/>
      <c r="AF623" s="2547"/>
      <c r="AG623" s="2547"/>
      <c r="BL623" s="80"/>
    </row>
    <row r="624" spans="1:64" s="2545" customFormat="1">
      <c r="A624" s="1155"/>
      <c r="C624" s="92"/>
      <c r="D624" s="133" t="s">
        <v>1961</v>
      </c>
      <c r="P624" s="109"/>
      <c r="Q624" s="1697"/>
      <c r="R624" s="77"/>
      <c r="S624" s="109"/>
      <c r="X624" s="2547"/>
      <c r="AF624" s="2547"/>
      <c r="AG624" s="2547"/>
      <c r="BL624" s="80"/>
    </row>
    <row r="625" spans="1:64" s="1736" customFormat="1" ht="13.2" customHeight="1">
      <c r="A625" s="1155"/>
      <c r="C625" s="92"/>
      <c r="D625" s="3621" t="s">
        <v>1702</v>
      </c>
      <c r="E625" s="3621"/>
      <c r="F625" s="3621"/>
      <c r="G625" s="3621"/>
      <c r="H625" s="3621"/>
      <c r="I625" s="3621"/>
      <c r="J625" s="3621"/>
      <c r="K625" s="3621"/>
      <c r="L625" s="3621"/>
      <c r="M625" s="3621"/>
      <c r="N625" s="3621"/>
      <c r="O625" s="3621"/>
      <c r="P625" s="3621"/>
      <c r="Q625" s="3621"/>
      <c r="R625" s="3621"/>
      <c r="S625" s="3621"/>
      <c r="T625" s="3621"/>
      <c r="U625" s="3621"/>
      <c r="V625" s="3621"/>
      <c r="W625" s="3621"/>
      <c r="X625" s="1809"/>
      <c r="AF625" s="1737"/>
      <c r="AG625" s="1737"/>
      <c r="BL625" s="80"/>
    </row>
    <row r="626" spans="1:64">
      <c r="D626" s="3621"/>
      <c r="E626" s="3621"/>
      <c r="F626" s="3621"/>
      <c r="G626" s="3621"/>
      <c r="H626" s="3621"/>
      <c r="I626" s="3621"/>
      <c r="J626" s="3621"/>
      <c r="K626" s="3621"/>
      <c r="L626" s="3621"/>
      <c r="M626" s="3621"/>
      <c r="N626" s="3621"/>
      <c r="O626" s="3621"/>
      <c r="P626" s="3621"/>
      <c r="Q626" s="3621"/>
      <c r="R626" s="3621"/>
      <c r="S626" s="3621"/>
      <c r="T626" s="3621"/>
      <c r="U626" s="3621"/>
      <c r="V626" s="3621"/>
      <c r="W626" s="3621"/>
    </row>
    <row r="627" spans="1:64" s="2545" customFormat="1">
      <c r="A627" s="1155"/>
      <c r="C627" s="92"/>
      <c r="D627" s="2553"/>
      <c r="E627" s="2553"/>
      <c r="F627" s="2553"/>
      <c r="G627" s="2553"/>
      <c r="H627" s="2553"/>
      <c r="I627" s="2553"/>
      <c r="J627" s="2553"/>
      <c r="K627" s="2553"/>
      <c r="L627" s="2553"/>
      <c r="M627" s="2553"/>
      <c r="N627" s="2553"/>
      <c r="O627" s="2553"/>
      <c r="P627" s="2553"/>
      <c r="Q627" s="2553"/>
      <c r="R627" s="2553"/>
      <c r="S627" s="2553"/>
      <c r="T627" s="2553"/>
      <c r="U627" s="2553"/>
      <c r="V627" s="2553"/>
      <c r="W627" s="2553"/>
      <c r="X627" s="2547"/>
      <c r="AF627" s="2547"/>
      <c r="AG627" s="2547"/>
      <c r="BL627" s="80"/>
    </row>
    <row r="628" spans="1:64" s="1736" customFormat="1">
      <c r="A628" s="1155"/>
      <c r="C628" s="92"/>
      <c r="D628" s="79"/>
      <c r="E628" s="1743"/>
      <c r="F628" s="1743"/>
      <c r="G628" s="1743"/>
      <c r="H628" s="1743"/>
      <c r="I628" s="1743"/>
      <c r="J628" s="1743"/>
      <c r="K628" s="1743"/>
      <c r="L628" s="1743"/>
      <c r="M628" s="1743"/>
      <c r="N628" s="1743"/>
      <c r="O628" s="1743"/>
      <c r="P628" s="1743"/>
      <c r="Q628" s="1743"/>
      <c r="R628" s="1743"/>
      <c r="S628" s="1743"/>
      <c r="T628" s="1743"/>
      <c r="U628" s="1743"/>
      <c r="V628" s="1743"/>
      <c r="W628" s="1743"/>
      <c r="X628" s="1809"/>
      <c r="AF628" s="1737"/>
      <c r="AG628" s="1737"/>
      <c r="BL628" s="80"/>
    </row>
    <row r="629" spans="1:64">
      <c r="A629" s="1595" t="s">
        <v>1458</v>
      </c>
      <c r="B629" s="1595"/>
      <c r="D629" s="2637" t="s">
        <v>2040</v>
      </c>
      <c r="P629" s="109"/>
      <c r="Q629" s="1697"/>
      <c r="R629" s="77"/>
      <c r="S629" s="109"/>
    </row>
    <row r="630" spans="1:64" s="1921" customFormat="1">
      <c r="A630" s="1190"/>
      <c r="B630" s="92"/>
      <c r="C630" s="92"/>
      <c r="D630" s="1748" t="s">
        <v>1704</v>
      </c>
      <c r="P630" s="109"/>
      <c r="Q630" s="1697"/>
      <c r="R630" s="77"/>
      <c r="S630" s="109"/>
      <c r="X630" s="1922"/>
      <c r="AF630" s="1922"/>
      <c r="AG630" s="1922"/>
      <c r="BL630" s="80"/>
    </row>
    <row r="631" spans="1:64" s="1921" customFormat="1">
      <c r="A631" s="1190"/>
      <c r="B631" s="92"/>
      <c r="C631" s="92"/>
      <c r="D631" s="1748" t="s">
        <v>2041</v>
      </c>
      <c r="P631" s="109"/>
      <c r="Q631" s="1697"/>
      <c r="R631" s="77"/>
      <c r="S631" s="109"/>
      <c r="X631" s="1922"/>
      <c r="AF631" s="1922"/>
      <c r="AG631" s="1922"/>
      <c r="BL631" s="80"/>
    </row>
    <row r="632" spans="1:64" s="1921" customFormat="1">
      <c r="A632" s="1190"/>
      <c r="B632" s="92"/>
      <c r="C632" s="92"/>
      <c r="D632" s="1748" t="s">
        <v>1705</v>
      </c>
      <c r="P632" s="109"/>
      <c r="Q632" s="1697"/>
      <c r="R632" s="77"/>
      <c r="S632" s="109"/>
      <c r="X632" s="1922"/>
      <c r="AF632" s="1922"/>
      <c r="AG632" s="1922"/>
      <c r="BL632" s="80"/>
    </row>
    <row r="633" spans="1:64" s="1921" customFormat="1">
      <c r="A633" s="1190"/>
      <c r="B633" s="92"/>
      <c r="C633" s="92"/>
      <c r="D633" s="1748" t="s">
        <v>2042</v>
      </c>
      <c r="P633" s="109"/>
      <c r="Q633" s="1697"/>
      <c r="R633" s="77"/>
      <c r="S633" s="109"/>
      <c r="X633" s="1922"/>
      <c r="AF633" s="1922"/>
      <c r="AG633" s="1922"/>
      <c r="BL633" s="80"/>
    </row>
    <row r="634" spans="1:64" s="92" customFormat="1">
      <c r="A634" s="1190"/>
      <c r="D634" s="93"/>
      <c r="P634" s="109"/>
      <c r="Q634" s="1697"/>
      <c r="R634" s="77"/>
      <c r="S634" s="109"/>
      <c r="X634" s="109"/>
      <c r="AF634" s="109"/>
      <c r="AG634" s="109"/>
      <c r="BL634" s="2425"/>
    </row>
    <row r="635" spans="1:64" s="92" customFormat="1">
      <c r="B635" s="2624" t="s">
        <v>98</v>
      </c>
      <c r="D635" s="1603" t="s">
        <v>1447</v>
      </c>
      <c r="E635" s="1920"/>
      <c r="F635" s="1603"/>
      <c r="G635" s="1603"/>
      <c r="H635" s="1603"/>
      <c r="I635" s="1603"/>
      <c r="J635" s="1603"/>
      <c r="K635" s="1603"/>
      <c r="L635" s="1603"/>
      <c r="M635" s="1603"/>
      <c r="N635" s="1603"/>
      <c r="O635" s="1603"/>
      <c r="P635" s="1700"/>
      <c r="Q635" s="1701"/>
      <c r="R635" s="1702"/>
      <c r="S635" s="1700"/>
      <c r="T635" s="1603"/>
      <c r="U635" s="1603"/>
      <c r="V635" s="1603"/>
      <c r="W635" s="1603"/>
      <c r="X635" s="1809"/>
      <c r="Y635" s="1604"/>
      <c r="Z635" s="1604"/>
      <c r="AF635" s="1300" t="s">
        <v>1455</v>
      </c>
      <c r="AG635" s="109"/>
      <c r="BL635" s="2425"/>
    </row>
    <row r="636" spans="1:64" s="92" customFormat="1">
      <c r="A636" s="1190"/>
      <c r="B636" s="1921"/>
      <c r="D636" s="1153" t="s">
        <v>1514</v>
      </c>
      <c r="F636" s="1153"/>
      <c r="G636" s="1153"/>
      <c r="H636" s="1153"/>
      <c r="I636" s="1153"/>
      <c r="J636" s="1153"/>
      <c r="K636" s="1153"/>
      <c r="L636" s="1153"/>
      <c r="M636" s="1153"/>
      <c r="N636" s="1153"/>
      <c r="O636" s="1153"/>
      <c r="P636" s="1758"/>
      <c r="Q636" s="1759"/>
      <c r="R636" s="1760"/>
      <c r="S636" s="1758"/>
      <c r="T636" s="1153"/>
      <c r="U636" s="1153"/>
      <c r="V636" s="1153"/>
      <c r="W636" s="1153"/>
      <c r="X636" s="1209"/>
      <c r="Y636" s="1604"/>
      <c r="Z636" s="1604"/>
      <c r="AF636" s="109"/>
      <c r="AG636" s="109"/>
      <c r="BL636" s="2425"/>
    </row>
    <row r="637" spans="1:64" s="92" customFormat="1">
      <c r="A637" s="1190"/>
      <c r="B637" s="1921"/>
      <c r="D637" s="3446" t="s">
        <v>1501</v>
      </c>
      <c r="E637" s="3446"/>
      <c r="F637" s="3446"/>
      <c r="G637" s="3446"/>
      <c r="H637" s="3446"/>
      <c r="I637" s="3446"/>
      <c r="J637" s="3446"/>
      <c r="K637" s="3446"/>
      <c r="L637" s="3446"/>
      <c r="M637" s="3446"/>
      <c r="N637" s="3446"/>
      <c r="O637" s="3446"/>
      <c r="P637" s="3446"/>
      <c r="Q637" s="3446"/>
      <c r="R637" s="3446"/>
      <c r="S637" s="3446"/>
      <c r="T637" s="3446"/>
      <c r="U637" s="3446"/>
      <c r="V637" s="3446"/>
      <c r="W637" s="3446"/>
      <c r="X637" s="1767"/>
      <c r="Y637" s="1153" t="s">
        <v>1512</v>
      </c>
      <c r="Z637" s="1153"/>
      <c r="AA637" s="1834" t="s">
        <v>37</v>
      </c>
      <c r="AB637" s="1153" t="s">
        <v>1703</v>
      </c>
      <c r="AF637" s="109"/>
      <c r="AG637" s="109"/>
      <c r="BL637" s="2425"/>
    </row>
    <row r="638" spans="1:64">
      <c r="A638" s="1604"/>
      <c r="B638" s="1921"/>
      <c r="D638" s="3446"/>
      <c r="E638" s="3446"/>
      <c r="F638" s="3446"/>
      <c r="G638" s="3446"/>
      <c r="H638" s="3446"/>
      <c r="I638" s="3446"/>
      <c r="J638" s="3446"/>
      <c r="K638" s="3446"/>
      <c r="L638" s="3446"/>
      <c r="M638" s="3446"/>
      <c r="N638" s="3446"/>
      <c r="O638" s="3446"/>
      <c r="P638" s="3446"/>
      <c r="Q638" s="3446"/>
      <c r="R638" s="3446"/>
      <c r="S638" s="3446"/>
      <c r="T638" s="3446"/>
      <c r="U638" s="3446"/>
      <c r="V638" s="3446"/>
      <c r="W638" s="3446"/>
      <c r="X638" s="1767"/>
      <c r="Y638" s="1779" t="s">
        <v>1448</v>
      </c>
      <c r="Z638" s="1779"/>
      <c r="AA638" s="1779" t="s">
        <v>1453</v>
      </c>
      <c r="AB638" s="1779" t="s">
        <v>1452</v>
      </c>
    </row>
    <row r="639" spans="1:64">
      <c r="B639" s="1921"/>
      <c r="D639" s="3442" t="s">
        <v>1510</v>
      </c>
      <c r="E639" s="3442"/>
      <c r="F639" s="3442"/>
      <c r="G639" s="3442"/>
      <c r="H639" s="3442"/>
      <c r="I639" s="3442"/>
      <c r="J639" s="3442"/>
      <c r="K639" s="3442"/>
      <c r="L639" s="3442"/>
      <c r="M639" s="3442"/>
      <c r="N639" s="3442"/>
      <c r="O639" s="3442"/>
      <c r="P639" s="3442"/>
      <c r="Q639" s="3442"/>
      <c r="R639" s="3442"/>
      <c r="S639" s="3442"/>
      <c r="T639" s="3442"/>
      <c r="U639" s="3442"/>
      <c r="V639" s="3442"/>
      <c r="W639" s="3442"/>
      <c r="X639" s="1999"/>
      <c r="Y639" s="1779" t="s">
        <v>1449</v>
      </c>
      <c r="Z639" s="1779"/>
      <c r="AA639" s="1779" t="s">
        <v>1451</v>
      </c>
      <c r="AB639" s="1779" t="s">
        <v>1451</v>
      </c>
    </row>
    <row r="640" spans="1:64">
      <c r="B640" s="1921"/>
      <c r="D640" s="3442"/>
      <c r="E640" s="3442"/>
      <c r="F640" s="3442"/>
      <c r="G640" s="3442"/>
      <c r="H640" s="3442"/>
      <c r="I640" s="3442"/>
      <c r="J640" s="3442"/>
      <c r="K640" s="3442"/>
      <c r="L640" s="3442"/>
      <c r="M640" s="3442"/>
      <c r="N640" s="3442"/>
      <c r="O640" s="3442"/>
      <c r="P640" s="3442"/>
      <c r="Q640" s="3442"/>
      <c r="R640" s="3442"/>
      <c r="S640" s="3442"/>
      <c r="T640" s="3442"/>
      <c r="U640" s="3442"/>
      <c r="V640" s="3442"/>
      <c r="W640" s="3442"/>
      <c r="X640" s="1999"/>
      <c r="Y640" s="1779" t="s">
        <v>1450</v>
      </c>
      <c r="Z640" s="1779"/>
      <c r="AA640" s="1779" t="s">
        <v>1454</v>
      </c>
      <c r="AB640" s="1779" t="s">
        <v>1451</v>
      </c>
    </row>
    <row r="641" spans="1:64">
      <c r="B641" s="1921"/>
      <c r="D641" s="3442"/>
      <c r="E641" s="3442"/>
      <c r="F641" s="3442"/>
      <c r="G641" s="3442"/>
      <c r="H641" s="3442"/>
      <c r="I641" s="3442"/>
      <c r="J641" s="3442"/>
      <c r="K641" s="3442"/>
      <c r="L641" s="3442"/>
      <c r="M641" s="3442"/>
      <c r="N641" s="3442"/>
      <c r="O641" s="3442"/>
      <c r="P641" s="3442"/>
      <c r="Q641" s="3442"/>
      <c r="R641" s="3442"/>
      <c r="S641" s="3442"/>
      <c r="T641" s="3442"/>
      <c r="U641" s="3442"/>
      <c r="V641" s="3442"/>
      <c r="W641" s="3442"/>
      <c r="X641" s="1999"/>
    </row>
    <row r="642" spans="1:64">
      <c r="B642" s="1921"/>
      <c r="D642" s="3442" t="s">
        <v>1708</v>
      </c>
      <c r="E642" s="3442"/>
      <c r="F642" s="3442"/>
      <c r="G642" s="3442"/>
      <c r="H642" s="3442"/>
      <c r="I642" s="3442"/>
      <c r="J642" s="3442"/>
      <c r="K642" s="3442"/>
      <c r="L642" s="3442"/>
      <c r="M642" s="3442"/>
      <c r="N642" s="3442"/>
      <c r="O642" s="3442"/>
      <c r="P642" s="3442"/>
      <c r="Q642" s="3442"/>
      <c r="R642" s="3442"/>
      <c r="S642" s="3442"/>
      <c r="T642" s="3442"/>
      <c r="U642" s="3442"/>
      <c r="V642" s="3442"/>
      <c r="W642" s="3442"/>
      <c r="X642" s="1767"/>
      <c r="Y642" s="1153" t="s">
        <v>1511</v>
      </c>
    </row>
    <row r="643" spans="1:64">
      <c r="B643" s="1921"/>
      <c r="D643" s="3442"/>
      <c r="E643" s="3442"/>
      <c r="F643" s="3442"/>
      <c r="G643" s="3442"/>
      <c r="H643" s="3442"/>
      <c r="I643" s="3442"/>
      <c r="J643" s="3442"/>
      <c r="K643" s="3442"/>
      <c r="L643" s="3442"/>
      <c r="M643" s="3442"/>
      <c r="N643" s="3442"/>
      <c r="O643" s="3442"/>
      <c r="P643" s="3442"/>
      <c r="Q643" s="3442"/>
      <c r="R643" s="3442"/>
      <c r="S643" s="3442"/>
      <c r="T643" s="3442"/>
      <c r="U643" s="3442"/>
      <c r="V643" s="3442"/>
      <c r="W643" s="3442"/>
      <c r="X643" s="1767"/>
      <c r="Y643" s="1763">
        <f>CALCULATIONS!MT14</f>
        <v>3.332484459006789</v>
      </c>
    </row>
    <row r="644" spans="1:64">
      <c r="B644" s="1921"/>
      <c r="D644" s="3443"/>
      <c r="E644" s="3443"/>
      <c r="F644" s="3443"/>
      <c r="G644" s="3443"/>
      <c r="H644" s="3443"/>
      <c r="I644" s="3443"/>
      <c r="J644" s="3443"/>
      <c r="K644" s="3443"/>
      <c r="L644" s="3443"/>
      <c r="M644" s="3443"/>
      <c r="N644" s="3443"/>
      <c r="O644" s="3443"/>
      <c r="P644" s="3443"/>
      <c r="Q644" s="3443"/>
      <c r="R644" s="3443"/>
      <c r="S644" s="3443"/>
      <c r="T644" s="3443"/>
      <c r="U644" s="3443"/>
      <c r="V644" s="3443"/>
      <c r="W644" s="3443"/>
      <c r="X644" s="1767"/>
    </row>
    <row r="645" spans="1:64">
      <c r="B645" s="1921"/>
      <c r="D645" s="1921"/>
      <c r="E645" s="1921"/>
      <c r="F645" s="1921"/>
      <c r="G645" s="1921"/>
      <c r="H645" s="1921"/>
      <c r="I645" s="1921"/>
      <c r="J645" s="1921"/>
      <c r="K645" s="1921"/>
      <c r="L645" s="1921"/>
      <c r="M645" s="1921"/>
      <c r="N645" s="1921"/>
      <c r="O645" s="1921"/>
      <c r="P645" s="1921"/>
      <c r="Q645" s="1921"/>
      <c r="R645" s="1921"/>
      <c r="S645" s="1921"/>
      <c r="T645" s="1921"/>
      <c r="U645" s="1921"/>
      <c r="V645" s="1921"/>
      <c r="W645" s="1921"/>
      <c r="X645" s="1922"/>
    </row>
    <row r="646" spans="1:64">
      <c r="B646" s="2624" t="s">
        <v>99</v>
      </c>
      <c r="D646" s="1920" t="s">
        <v>1706</v>
      </c>
      <c r="E646" s="1920"/>
      <c r="F646" s="1920"/>
      <c r="G646" s="1920"/>
      <c r="H646" s="1920"/>
      <c r="I646" s="1920"/>
      <c r="J646" s="1920"/>
      <c r="K646" s="1920"/>
      <c r="L646" s="1920"/>
      <c r="M646" s="1920"/>
      <c r="N646" s="1920"/>
      <c r="O646" s="1920"/>
      <c r="P646" s="1700"/>
      <c r="Q646" s="1701"/>
      <c r="R646" s="1702"/>
      <c r="S646" s="1700"/>
      <c r="T646" s="1920"/>
      <c r="U646" s="1920"/>
      <c r="V646" s="1920"/>
      <c r="W646" s="1920"/>
      <c r="X646" s="1922"/>
    </row>
    <row r="647" spans="1:64">
      <c r="D647" s="3447" t="s">
        <v>1502</v>
      </c>
      <c r="E647" s="3447"/>
      <c r="F647" s="3447"/>
      <c r="G647" s="3447"/>
      <c r="H647" s="3447"/>
      <c r="I647" s="3447"/>
      <c r="J647" s="3447"/>
      <c r="K647" s="3447"/>
      <c r="L647" s="3447"/>
      <c r="M647" s="3447"/>
      <c r="N647" s="3447"/>
      <c r="O647" s="3447"/>
      <c r="P647" s="3447"/>
      <c r="Q647" s="3447"/>
      <c r="R647" s="3447"/>
      <c r="S647" s="3447"/>
      <c r="T647" s="3447"/>
      <c r="U647" s="3447"/>
      <c r="V647" s="3447"/>
      <c r="W647" s="3447"/>
      <c r="X647" s="1922"/>
    </row>
    <row r="648" spans="1:64">
      <c r="B648" s="1921"/>
      <c r="D648" s="3306"/>
      <c r="E648" s="3306"/>
      <c r="F648" s="3306"/>
      <c r="G648" s="3306"/>
      <c r="H648" s="3306"/>
      <c r="I648" s="3306"/>
      <c r="J648" s="3306"/>
      <c r="K648" s="3306"/>
      <c r="L648" s="3306"/>
      <c r="M648" s="3306"/>
      <c r="N648" s="3306"/>
      <c r="O648" s="3306"/>
      <c r="P648" s="3306"/>
      <c r="Q648" s="3306"/>
      <c r="R648" s="3306"/>
      <c r="S648" s="3306"/>
      <c r="T648" s="3306"/>
      <c r="U648" s="3306"/>
      <c r="V648" s="3306"/>
      <c r="W648" s="3306"/>
      <c r="X648" s="1922"/>
    </row>
    <row r="649" spans="1:64">
      <c r="B649" s="1921"/>
      <c r="D649" s="3446" t="s">
        <v>1517</v>
      </c>
      <c r="E649" s="3446"/>
      <c r="F649" s="3446"/>
      <c r="G649" s="3446"/>
      <c r="H649" s="3446"/>
      <c r="I649" s="3446"/>
      <c r="J649" s="3446"/>
      <c r="K649" s="3446"/>
      <c r="L649" s="3446"/>
      <c r="M649" s="3446"/>
      <c r="N649" s="3446"/>
      <c r="O649" s="3446"/>
      <c r="P649" s="3446"/>
      <c r="Q649" s="3446"/>
      <c r="R649" s="3446"/>
      <c r="S649" s="3446"/>
      <c r="T649" s="3446"/>
      <c r="U649" s="3446"/>
      <c r="V649" s="3446"/>
      <c r="W649" s="3446"/>
      <c r="X649" s="1922"/>
    </row>
    <row r="650" spans="1:64">
      <c r="B650" s="1921"/>
      <c r="D650" s="3443"/>
      <c r="E650" s="3443"/>
      <c r="F650" s="3443"/>
      <c r="G650" s="3443"/>
      <c r="H650" s="3443"/>
      <c r="I650" s="3443"/>
      <c r="J650" s="3443"/>
      <c r="K650" s="3443"/>
      <c r="L650" s="3443"/>
      <c r="M650" s="3443"/>
      <c r="N650" s="3443"/>
      <c r="O650" s="3443"/>
      <c r="P650" s="3443"/>
      <c r="Q650" s="3443"/>
      <c r="R650" s="3443"/>
      <c r="S650" s="3443"/>
      <c r="T650" s="3443"/>
      <c r="U650" s="3443"/>
      <c r="V650" s="3443"/>
      <c r="W650" s="3443"/>
      <c r="X650" s="1922"/>
    </row>
    <row r="651" spans="1:64">
      <c r="B651" s="1921"/>
      <c r="D651" s="1750" t="s">
        <v>1707</v>
      </c>
      <c r="E651" s="1750"/>
      <c r="F651" s="1750"/>
      <c r="G651" s="1750"/>
      <c r="H651" s="1750"/>
      <c r="I651" s="1750"/>
      <c r="J651" s="1750"/>
      <c r="K651" s="1750"/>
      <c r="L651" s="1750"/>
      <c r="M651" s="1750"/>
      <c r="N651" s="1750"/>
      <c r="O651" s="1750"/>
      <c r="P651" s="1749"/>
      <c r="Q651" s="1751"/>
      <c r="R651" s="1752"/>
      <c r="S651" s="1749"/>
      <c r="T651" s="1750"/>
      <c r="U651" s="1750"/>
      <c r="V651" s="1750"/>
      <c r="W651" s="1750"/>
      <c r="X651" s="1922"/>
    </row>
    <row r="652" spans="1:64">
      <c r="B652" s="1921"/>
      <c r="D652" s="1921"/>
      <c r="E652" s="1921"/>
      <c r="F652" s="1921"/>
      <c r="G652" s="1921"/>
      <c r="H652" s="1921"/>
      <c r="I652" s="1921"/>
      <c r="J652" s="1921"/>
      <c r="K652" s="1921"/>
      <c r="L652" s="1921"/>
      <c r="M652" s="1921"/>
      <c r="N652" s="1921"/>
      <c r="O652" s="1921"/>
      <c r="P652" s="1921"/>
      <c r="Q652" s="1921"/>
      <c r="R652" s="1921"/>
      <c r="S652" s="1921"/>
      <c r="T652" s="1921"/>
      <c r="U652" s="1921"/>
      <c r="V652" s="1921"/>
      <c r="W652" s="1921"/>
      <c r="X652" s="1922"/>
    </row>
    <row r="653" spans="1:64">
      <c r="B653" s="2624" t="s">
        <v>100</v>
      </c>
      <c r="D653" s="1920" t="s">
        <v>1440</v>
      </c>
      <c r="E653" s="1920"/>
      <c r="F653" s="1920"/>
      <c r="G653" s="1920"/>
      <c r="H653" s="1920"/>
      <c r="I653" s="1920"/>
      <c r="J653" s="1920"/>
      <c r="K653" s="1920"/>
      <c r="L653" s="1920"/>
      <c r="M653" s="1920"/>
      <c r="N653" s="1920"/>
      <c r="O653" s="1920"/>
      <c r="P653" s="1700"/>
      <c r="Q653" s="1701"/>
      <c r="R653" s="1702"/>
      <c r="S653" s="1700"/>
      <c r="T653" s="1920"/>
      <c r="U653" s="1920"/>
      <c r="V653" s="1920"/>
      <c r="W653" s="1920"/>
      <c r="X653" s="1922"/>
    </row>
    <row r="654" spans="1:64">
      <c r="B654" s="1921"/>
      <c r="D654" s="1749" t="s">
        <v>1516</v>
      </c>
      <c r="E654" s="1749"/>
      <c r="F654" s="1749"/>
      <c r="G654" s="1749"/>
      <c r="H654" s="1749"/>
      <c r="I654" s="1749"/>
      <c r="J654" s="1749"/>
      <c r="K654" s="1749"/>
      <c r="L654" s="1749"/>
      <c r="M654" s="1749"/>
      <c r="N654" s="1749"/>
      <c r="O654" s="1749"/>
      <c r="P654" s="1749"/>
      <c r="Q654" s="1751"/>
      <c r="R654" s="1752"/>
      <c r="S654" s="1749"/>
      <c r="T654" s="1749"/>
      <c r="U654" s="1749"/>
      <c r="V654" s="1749"/>
      <c r="W654" s="1749"/>
      <c r="X654" s="1922"/>
    </row>
    <row r="655" spans="1:64" s="1736" customFormat="1">
      <c r="A655" s="1155"/>
      <c r="B655" s="1921"/>
      <c r="C655" s="92"/>
      <c r="D655" s="1758"/>
      <c r="E655" s="1758"/>
      <c r="F655" s="1758"/>
      <c r="G655" s="1758"/>
      <c r="H655" s="1758"/>
      <c r="I655" s="1758"/>
      <c r="J655" s="1758"/>
      <c r="K655" s="1758"/>
      <c r="L655" s="1758"/>
      <c r="M655" s="1758"/>
      <c r="N655" s="1758"/>
      <c r="O655" s="1758"/>
      <c r="P655" s="1758"/>
      <c r="Q655" s="1759"/>
      <c r="R655" s="1760"/>
      <c r="S655" s="1758"/>
      <c r="T655" s="1758"/>
      <c r="U655" s="1758"/>
      <c r="V655" s="1758"/>
      <c r="W655" s="1758"/>
      <c r="X655" s="1809"/>
      <c r="AF655" s="1737"/>
      <c r="AG655" s="1737"/>
      <c r="BL655" s="80"/>
    </row>
    <row r="656" spans="1:64">
      <c r="B656" s="2624" t="s">
        <v>101</v>
      </c>
      <c r="D656" s="1105" t="s">
        <v>1873</v>
      </c>
      <c r="E656" s="1105"/>
      <c r="F656" s="1105"/>
      <c r="G656" s="1105"/>
      <c r="H656" s="1105"/>
      <c r="I656" s="1105"/>
      <c r="J656" s="1105"/>
      <c r="K656" s="1105"/>
      <c r="L656" s="1105"/>
      <c r="M656" s="1105"/>
      <c r="N656" s="1105"/>
      <c r="O656" s="1105"/>
      <c r="P656" s="597"/>
      <c r="Q656" s="1703"/>
      <c r="R656" s="1222"/>
      <c r="S656" s="1222"/>
      <c r="T656" s="1222"/>
      <c r="U656" s="1222"/>
      <c r="V656" s="1222"/>
      <c r="W656" s="1222"/>
    </row>
    <row r="657" spans="1:64" s="1921" customFormat="1">
      <c r="A657" s="1155"/>
      <c r="C657" s="92"/>
      <c r="D657" s="92"/>
      <c r="E657" s="1922"/>
      <c r="F657" s="1922"/>
      <c r="G657" s="1922"/>
      <c r="H657" s="1922"/>
      <c r="I657" s="1922"/>
      <c r="J657" s="1922"/>
      <c r="K657" s="1922"/>
      <c r="L657" s="1922"/>
      <c r="M657" s="1922"/>
      <c r="N657" s="1922"/>
      <c r="O657" s="1922"/>
      <c r="P657" s="109"/>
      <c r="Q657" s="1697"/>
      <c r="R657" s="77"/>
      <c r="S657" s="109"/>
      <c r="T657" s="1922"/>
      <c r="U657" s="1922"/>
      <c r="V657" s="1922"/>
      <c r="W657" s="1922"/>
      <c r="X657" s="1922"/>
      <c r="AF657" s="1922"/>
      <c r="AG657" s="1922"/>
      <c r="BL657" s="80"/>
    </row>
    <row r="658" spans="1:64" s="1921" customFormat="1">
      <c r="A658" s="1155"/>
      <c r="C658" s="92"/>
      <c r="D658" s="93"/>
      <c r="E658" s="1922"/>
      <c r="F658" s="1922"/>
      <c r="G658" s="1922"/>
      <c r="H658" s="1922"/>
      <c r="I658" s="1922"/>
      <c r="J658" s="1922"/>
      <c r="K658" s="1922"/>
      <c r="L658" s="1922"/>
      <c r="M658" s="1922"/>
      <c r="N658" s="1922"/>
      <c r="O658" s="1922"/>
      <c r="P658" s="109"/>
      <c r="Q658" s="1697"/>
      <c r="R658" s="77"/>
      <c r="S658" s="109"/>
      <c r="T658" s="1922"/>
      <c r="U658" s="1922"/>
      <c r="V658" s="1922"/>
      <c r="W658" s="1922"/>
      <c r="X658" s="1922"/>
      <c r="AF658" s="1922"/>
      <c r="AG658" s="1922"/>
      <c r="BL658" s="80"/>
    </row>
    <row r="659" spans="1:64">
      <c r="A659" s="1595" t="s">
        <v>289</v>
      </c>
      <c r="B659" s="2624" t="s">
        <v>98</v>
      </c>
      <c r="D659" s="1603" t="s">
        <v>1462</v>
      </c>
      <c r="E659" s="1920"/>
      <c r="F659" s="1603"/>
      <c r="G659" s="1603"/>
      <c r="H659" s="1603"/>
      <c r="I659" s="1603"/>
      <c r="J659" s="1603"/>
      <c r="K659" s="1603"/>
      <c r="L659" s="1603"/>
      <c r="M659" s="1603"/>
      <c r="N659" s="1603"/>
      <c r="O659" s="1603"/>
      <c r="P659" s="1700"/>
      <c r="Q659" s="1701"/>
      <c r="R659" s="1702"/>
      <c r="S659" s="1700"/>
      <c r="T659" s="1603"/>
      <c r="U659" s="1603"/>
      <c r="V659" s="1603"/>
      <c r="W659" s="1603"/>
    </row>
    <row r="660" spans="1:64" ht="12.6" customHeight="1">
      <c r="A660" s="1190"/>
      <c r="B660" s="92"/>
      <c r="D660" s="3438" t="s">
        <v>1534</v>
      </c>
      <c r="E660" s="3438"/>
      <c r="F660" s="3438"/>
      <c r="G660" s="3438"/>
      <c r="H660" s="3438"/>
      <c r="I660" s="3438"/>
      <c r="J660" s="3438"/>
      <c r="K660" s="3438"/>
      <c r="L660" s="3438"/>
      <c r="M660" s="3438"/>
      <c r="N660" s="3438"/>
      <c r="O660" s="3438"/>
      <c r="P660" s="3438"/>
      <c r="Q660" s="3438"/>
      <c r="R660" s="3438"/>
      <c r="S660" s="3438"/>
      <c r="T660" s="3438"/>
      <c r="U660" s="3438"/>
      <c r="V660" s="3438"/>
      <c r="W660" s="3438"/>
    </row>
    <row r="661" spans="1:64">
      <c r="A661" s="1190"/>
      <c r="B661" s="92"/>
      <c r="D661" s="3439"/>
      <c r="E661" s="3439"/>
      <c r="F661" s="3439"/>
      <c r="G661" s="3439"/>
      <c r="H661" s="3439"/>
      <c r="I661" s="3439"/>
      <c r="J661" s="3439"/>
      <c r="K661" s="3439"/>
      <c r="L661" s="3439"/>
      <c r="M661" s="3439"/>
      <c r="N661" s="3439"/>
      <c r="O661" s="3439"/>
      <c r="P661" s="3439"/>
      <c r="Q661" s="3439"/>
      <c r="R661" s="3439"/>
      <c r="S661" s="3439"/>
      <c r="T661" s="3439"/>
      <c r="U661" s="3439"/>
      <c r="V661" s="3439"/>
      <c r="W661" s="3439"/>
    </row>
    <row r="662" spans="1:64" s="92" customFormat="1">
      <c r="A662" s="1190"/>
      <c r="D662" s="1758" t="s">
        <v>1503</v>
      </c>
      <c r="E662" s="1758"/>
      <c r="F662" s="1758"/>
      <c r="G662" s="1758"/>
      <c r="H662" s="1758"/>
      <c r="I662" s="1758"/>
      <c r="J662" s="1758"/>
      <c r="K662" s="1758"/>
      <c r="L662" s="1758"/>
      <c r="M662" s="1758"/>
      <c r="N662" s="1758"/>
      <c r="O662" s="1758"/>
      <c r="P662" s="1759"/>
      <c r="Q662" s="1760"/>
      <c r="R662" s="1758"/>
      <c r="S662" s="1758"/>
      <c r="T662" s="1758"/>
      <c r="U662" s="1758"/>
      <c r="V662" s="1758"/>
      <c r="W662" s="1758"/>
      <c r="X662" s="109"/>
      <c r="AF662" s="109"/>
      <c r="AG662" s="109"/>
      <c r="BL662" s="2425"/>
    </row>
    <row r="663" spans="1:64" s="92" customFormat="1">
      <c r="A663" s="1190"/>
      <c r="D663" s="1758" t="s">
        <v>1504</v>
      </c>
      <c r="E663" s="1758"/>
      <c r="F663" s="1758"/>
      <c r="G663" s="1758"/>
      <c r="H663" s="1758"/>
      <c r="I663" s="1758"/>
      <c r="J663" s="1758"/>
      <c r="K663" s="1758"/>
      <c r="L663" s="1758"/>
      <c r="M663" s="1758"/>
      <c r="N663" s="1758"/>
      <c r="O663" s="1758"/>
      <c r="P663" s="1759"/>
      <c r="Q663" s="1760"/>
      <c r="R663" s="1758"/>
      <c r="S663" s="1758"/>
      <c r="T663" s="1758"/>
      <c r="U663" s="1758"/>
      <c r="V663" s="1758"/>
      <c r="W663" s="1758"/>
      <c r="X663" s="109"/>
      <c r="AF663" s="109"/>
      <c r="AG663" s="109"/>
      <c r="BL663" s="2425"/>
    </row>
    <row r="664" spans="1:64" s="92" customFormat="1">
      <c r="A664" s="1190"/>
      <c r="D664" s="1768" t="s">
        <v>1505</v>
      </c>
      <c r="E664" s="1768"/>
      <c r="F664" s="1768"/>
      <c r="G664" s="1768"/>
      <c r="H664" s="1768"/>
      <c r="I664" s="1768"/>
      <c r="J664" s="1768"/>
      <c r="K664" s="1768"/>
      <c r="L664" s="1768"/>
      <c r="M664" s="1768"/>
      <c r="N664" s="1768"/>
      <c r="O664" s="1768"/>
      <c r="P664" s="1777"/>
      <c r="Q664" s="1778"/>
      <c r="R664" s="1768"/>
      <c r="S664" s="1768"/>
      <c r="T664" s="1768"/>
      <c r="U664" s="1768"/>
      <c r="V664" s="1768"/>
      <c r="W664" s="1768"/>
      <c r="X664" s="109"/>
      <c r="AF664" s="109"/>
      <c r="AG664" s="109"/>
      <c r="BL664" s="2425"/>
    </row>
    <row r="665" spans="1:64">
      <c r="A665" s="1604"/>
      <c r="C665" s="1604"/>
      <c r="D665" s="79"/>
      <c r="P665" s="109"/>
      <c r="Q665" s="1698"/>
      <c r="R665" s="77"/>
      <c r="S665" s="109"/>
      <c r="AF665" s="1604"/>
      <c r="AG665" s="1604"/>
    </row>
    <row r="666" spans="1:64">
      <c r="A666" s="1604"/>
      <c r="B666" s="2624" t="s">
        <v>99</v>
      </c>
      <c r="C666" s="1604"/>
      <c r="D666" s="1603" t="s">
        <v>1456</v>
      </c>
      <c r="E666" s="1920"/>
      <c r="F666" s="1603"/>
      <c r="G666" s="1603"/>
      <c r="H666" s="1603"/>
      <c r="I666" s="1603"/>
      <c r="J666" s="1603"/>
      <c r="K666" s="1603"/>
      <c r="L666" s="1603"/>
      <c r="M666" s="1603"/>
      <c r="N666" s="1603"/>
      <c r="O666" s="1603"/>
      <c r="P666" s="1700"/>
      <c r="Q666" s="1701"/>
      <c r="R666" s="1702"/>
      <c r="S666" s="1700"/>
      <c r="T666" s="1603"/>
      <c r="U666" s="1603"/>
      <c r="V666" s="1603"/>
      <c r="W666" s="1603"/>
      <c r="AF666" s="1604"/>
      <c r="AG666" s="1604"/>
    </row>
    <row r="667" spans="1:64" ht="13.2" customHeight="1">
      <c r="A667" s="1604"/>
      <c r="C667" s="1604"/>
      <c r="D667" s="3447" t="s">
        <v>1506</v>
      </c>
      <c r="E667" s="3447"/>
      <c r="F667" s="3447"/>
      <c r="G667" s="3447"/>
      <c r="H667" s="3447"/>
      <c r="I667" s="3447"/>
      <c r="J667" s="3447"/>
      <c r="K667" s="3447"/>
      <c r="L667" s="3447"/>
      <c r="M667" s="3447"/>
      <c r="N667" s="3447"/>
      <c r="O667" s="3447"/>
      <c r="P667" s="3447"/>
      <c r="Q667" s="3447"/>
      <c r="R667" s="3447"/>
      <c r="S667" s="3447"/>
      <c r="T667" s="3447"/>
      <c r="U667" s="3447"/>
      <c r="V667" s="3447"/>
      <c r="W667" s="3447"/>
      <c r="X667" s="1805"/>
      <c r="AF667" s="1604"/>
      <c r="AG667" s="1604"/>
    </row>
    <row r="668" spans="1:64">
      <c r="A668" s="1604"/>
      <c r="C668" s="1604"/>
      <c r="D668" s="3609"/>
      <c r="E668" s="3609"/>
      <c r="F668" s="3609"/>
      <c r="G668" s="3609"/>
      <c r="H668" s="3609"/>
      <c r="I668" s="3609"/>
      <c r="J668" s="3609"/>
      <c r="K668" s="3609"/>
      <c r="L668" s="3609"/>
      <c r="M668" s="3609"/>
      <c r="N668" s="3609"/>
      <c r="O668" s="3609"/>
      <c r="P668" s="3609"/>
      <c r="Q668" s="3609"/>
      <c r="R668" s="3609"/>
      <c r="S668" s="3609"/>
      <c r="T668" s="3609"/>
      <c r="U668" s="3609"/>
      <c r="V668" s="3609"/>
      <c r="W668" s="3609"/>
      <c r="X668" s="1805"/>
      <c r="AF668" s="1604"/>
      <c r="AG668" s="1604"/>
    </row>
    <row r="669" spans="1:64" ht="13.2" customHeight="1">
      <c r="A669" s="1604"/>
      <c r="C669" s="1604"/>
      <c r="D669" s="3447" t="s">
        <v>1507</v>
      </c>
      <c r="E669" s="3447"/>
      <c r="F669" s="3447"/>
      <c r="G669" s="3447"/>
      <c r="H669" s="3447"/>
      <c r="I669" s="3447"/>
      <c r="J669" s="3447"/>
      <c r="K669" s="3447"/>
      <c r="L669" s="3447"/>
      <c r="M669" s="3447"/>
      <c r="N669" s="3447"/>
      <c r="O669" s="3447"/>
      <c r="P669" s="3447"/>
      <c r="Q669" s="3447"/>
      <c r="R669" s="3447"/>
      <c r="S669" s="3447"/>
      <c r="T669" s="3447"/>
      <c r="U669" s="3447"/>
      <c r="V669" s="3447"/>
      <c r="W669" s="3447"/>
      <c r="X669" s="1805"/>
      <c r="AF669" s="1604"/>
      <c r="AG669" s="1604"/>
    </row>
    <row r="670" spans="1:64">
      <c r="A670" s="1604"/>
      <c r="C670" s="1604"/>
      <c r="D670" s="3609"/>
      <c r="E670" s="3609"/>
      <c r="F670" s="3609"/>
      <c r="G670" s="3609"/>
      <c r="H670" s="3609"/>
      <c r="I670" s="3609"/>
      <c r="J670" s="3609"/>
      <c r="K670" s="3609"/>
      <c r="L670" s="3609"/>
      <c r="M670" s="3609"/>
      <c r="N670" s="3609"/>
      <c r="O670" s="3609"/>
      <c r="P670" s="3609"/>
      <c r="Q670" s="3609"/>
      <c r="R670" s="3609"/>
      <c r="S670" s="3609"/>
      <c r="T670" s="3609"/>
      <c r="U670" s="3609"/>
      <c r="V670" s="3609"/>
      <c r="W670" s="3609"/>
      <c r="X670" s="1805"/>
      <c r="AF670" s="1604"/>
      <c r="AG670" s="1604"/>
    </row>
    <row r="671" spans="1:64" ht="13.2" customHeight="1">
      <c r="A671" s="1604"/>
      <c r="C671" s="1604"/>
      <c r="D671" s="3447" t="s">
        <v>1508</v>
      </c>
      <c r="E671" s="3447"/>
      <c r="F671" s="3447"/>
      <c r="G671" s="3447"/>
      <c r="H671" s="3447"/>
      <c r="I671" s="3447"/>
      <c r="J671" s="3447"/>
      <c r="K671" s="3447"/>
      <c r="L671" s="3447"/>
      <c r="M671" s="3447"/>
      <c r="N671" s="3447"/>
      <c r="O671" s="3447"/>
      <c r="P671" s="3447"/>
      <c r="Q671" s="3447"/>
      <c r="R671" s="3447"/>
      <c r="S671" s="3447"/>
      <c r="T671" s="3447"/>
      <c r="U671" s="3447"/>
      <c r="V671" s="3447"/>
      <c r="W671" s="3447"/>
      <c r="X671" s="1805"/>
      <c r="AF671" s="1604"/>
      <c r="AG671" s="1604"/>
    </row>
    <row r="672" spans="1:64">
      <c r="A672" s="1604"/>
      <c r="C672" s="1604"/>
      <c r="D672" s="3306"/>
      <c r="E672" s="3306"/>
      <c r="F672" s="3306"/>
      <c r="G672" s="3306"/>
      <c r="H672" s="3306"/>
      <c r="I672" s="3306"/>
      <c r="J672" s="3306"/>
      <c r="K672" s="3306"/>
      <c r="L672" s="3306"/>
      <c r="M672" s="3306"/>
      <c r="N672" s="3306"/>
      <c r="O672" s="3306"/>
      <c r="P672" s="3306"/>
      <c r="Q672" s="3306"/>
      <c r="R672" s="3306"/>
      <c r="S672" s="3306"/>
      <c r="T672" s="3306"/>
      <c r="U672" s="3306"/>
      <c r="V672" s="3306"/>
      <c r="W672" s="3306"/>
      <c r="X672" s="1805"/>
      <c r="AF672" s="1604"/>
      <c r="AG672" s="1604"/>
    </row>
    <row r="673" spans="1:33">
      <c r="A673" s="1604"/>
      <c r="C673" s="1604"/>
      <c r="D673" s="3306"/>
      <c r="E673" s="3306"/>
      <c r="F673" s="3306"/>
      <c r="G673" s="3306"/>
      <c r="H673" s="3306"/>
      <c r="I673" s="3306"/>
      <c r="J673" s="3306"/>
      <c r="K673" s="3306"/>
      <c r="L673" s="3306"/>
      <c r="M673" s="3306"/>
      <c r="N673" s="3306"/>
      <c r="O673" s="3306"/>
      <c r="P673" s="3306"/>
      <c r="Q673" s="3306"/>
      <c r="R673" s="3306"/>
      <c r="S673" s="3306"/>
      <c r="T673" s="3306"/>
      <c r="U673" s="3306"/>
      <c r="V673" s="3306"/>
      <c r="W673" s="3306"/>
      <c r="X673" s="1805"/>
      <c r="AF673" s="1604"/>
      <c r="AG673" s="1604"/>
    </row>
    <row r="674" spans="1:33" ht="13.2" customHeight="1">
      <c r="A674" s="1604"/>
      <c r="C674" s="1604"/>
      <c r="D674" s="3446" t="s">
        <v>1459</v>
      </c>
      <c r="E674" s="3446"/>
      <c r="F674" s="3446"/>
      <c r="G674" s="3446"/>
      <c r="H674" s="3446"/>
      <c r="I674" s="3446"/>
      <c r="J674" s="3446"/>
      <c r="K674" s="3446"/>
      <c r="L674" s="3446"/>
      <c r="M674" s="3446"/>
      <c r="N674" s="3446"/>
      <c r="O674" s="3446"/>
      <c r="P674" s="3446"/>
      <c r="Q674" s="3446"/>
      <c r="R674" s="3446"/>
      <c r="S674" s="3446"/>
      <c r="T674" s="3446"/>
      <c r="U674" s="3446"/>
      <c r="V674" s="3446"/>
      <c r="W674" s="3446"/>
      <c r="AF674" s="1604"/>
      <c r="AG674" s="1604"/>
    </row>
    <row r="675" spans="1:33">
      <c r="A675" s="1604"/>
      <c r="C675" s="1604"/>
      <c r="D675" s="3446"/>
      <c r="E675" s="3446"/>
      <c r="F675" s="3446"/>
      <c r="G675" s="3446"/>
      <c r="H675" s="3446"/>
      <c r="I675" s="3446"/>
      <c r="J675" s="3446"/>
      <c r="K675" s="3446"/>
      <c r="L675" s="3446"/>
      <c r="M675" s="3446"/>
      <c r="N675" s="3446"/>
      <c r="O675" s="3446"/>
      <c r="P675" s="3446"/>
      <c r="Q675" s="3446"/>
      <c r="R675" s="3446"/>
      <c r="S675" s="3446"/>
      <c r="T675" s="3446"/>
      <c r="U675" s="3446"/>
      <c r="V675" s="3446"/>
      <c r="W675" s="3446"/>
      <c r="AF675" s="1604"/>
      <c r="AG675" s="1604"/>
    </row>
    <row r="676" spans="1:33" ht="13.2" customHeight="1">
      <c r="A676" s="1604"/>
      <c r="C676" s="1921"/>
      <c r="D676" s="3446" t="s">
        <v>1460</v>
      </c>
      <c r="E676" s="3446"/>
      <c r="F676" s="3446"/>
      <c r="G676" s="3446"/>
      <c r="H676" s="3446"/>
      <c r="I676" s="3446"/>
      <c r="J676" s="3446"/>
      <c r="K676" s="3446"/>
      <c r="L676" s="3446"/>
      <c r="M676" s="3446"/>
      <c r="N676" s="3446"/>
      <c r="O676" s="3446"/>
      <c r="P676" s="3446"/>
      <c r="Q676" s="3446"/>
      <c r="R676" s="3446"/>
      <c r="S676" s="3446"/>
      <c r="T676" s="3446"/>
      <c r="U676" s="3446"/>
      <c r="V676" s="3446"/>
      <c r="W676" s="3446"/>
      <c r="Y676" s="3430" t="s">
        <v>1709</v>
      </c>
      <c r="Z676" s="3430"/>
      <c r="AA676" s="3430"/>
      <c r="AB676" s="3430"/>
      <c r="AF676" s="1604"/>
      <c r="AG676" s="1604"/>
    </row>
    <row r="677" spans="1:33" ht="13.2" customHeight="1">
      <c r="A677" s="1604"/>
      <c r="C677" s="1921"/>
      <c r="D677" s="3446"/>
      <c r="E677" s="3446"/>
      <c r="F677" s="3446"/>
      <c r="G677" s="3446"/>
      <c r="H677" s="3446"/>
      <c r="I677" s="3446"/>
      <c r="J677" s="3446"/>
      <c r="K677" s="3446"/>
      <c r="L677" s="3446"/>
      <c r="M677" s="3446"/>
      <c r="N677" s="3446"/>
      <c r="O677" s="3446"/>
      <c r="P677" s="3446"/>
      <c r="Q677" s="3446"/>
      <c r="R677" s="3446"/>
      <c r="S677" s="3446"/>
      <c r="T677" s="3446"/>
      <c r="U677" s="3446"/>
      <c r="V677" s="3446"/>
      <c r="W677" s="3446"/>
      <c r="X677" s="1477" t="s">
        <v>1518</v>
      </c>
      <c r="Y677" s="3430"/>
      <c r="Z677" s="3430"/>
      <c r="AA677" s="3430"/>
      <c r="AB677" s="3430"/>
      <c r="AF677" s="1604"/>
      <c r="AG677" s="1604"/>
    </row>
    <row r="678" spans="1:33" ht="13.2" customHeight="1">
      <c r="A678" s="1604"/>
      <c r="C678" s="1604"/>
      <c r="D678" s="3446" t="s">
        <v>1461</v>
      </c>
      <c r="E678" s="3446"/>
      <c r="F678" s="3446"/>
      <c r="G678" s="3446"/>
      <c r="H678" s="3446"/>
      <c r="I678" s="3446"/>
      <c r="J678" s="3446"/>
      <c r="K678" s="3446"/>
      <c r="L678" s="3446"/>
      <c r="M678" s="3446"/>
      <c r="N678" s="3446"/>
      <c r="O678" s="3446"/>
      <c r="P678" s="3446"/>
      <c r="Q678" s="3446"/>
      <c r="R678" s="3446"/>
      <c r="S678" s="3446"/>
      <c r="T678" s="3446"/>
      <c r="U678" s="3446"/>
      <c r="V678" s="3446"/>
      <c r="W678" s="3446"/>
      <c r="Y678" s="3430"/>
      <c r="Z678" s="3430"/>
      <c r="AA678" s="3430"/>
      <c r="AB678" s="3430"/>
      <c r="AF678" s="1604"/>
      <c r="AG678" s="1604"/>
    </row>
    <row r="679" spans="1:33">
      <c r="A679" s="1604"/>
      <c r="C679" s="1604"/>
      <c r="D679" s="3446"/>
      <c r="E679" s="3446"/>
      <c r="F679" s="3446"/>
      <c r="G679" s="3446"/>
      <c r="H679" s="3446"/>
      <c r="I679" s="3446"/>
      <c r="J679" s="3446"/>
      <c r="K679" s="3446"/>
      <c r="L679" s="3446"/>
      <c r="M679" s="3446"/>
      <c r="N679" s="3446"/>
      <c r="O679" s="3446"/>
      <c r="P679" s="3446"/>
      <c r="Q679" s="3446"/>
      <c r="R679" s="3446"/>
      <c r="S679" s="3446"/>
      <c r="T679" s="3446"/>
      <c r="U679" s="3446"/>
      <c r="V679" s="3446"/>
      <c r="W679" s="3446"/>
      <c r="AF679" s="1604"/>
      <c r="AG679" s="1604"/>
    </row>
    <row r="680" spans="1:33">
      <c r="A680" s="1604"/>
      <c r="C680" s="1604"/>
      <c r="D680" s="3446"/>
      <c r="E680" s="3446"/>
      <c r="F680" s="3446"/>
      <c r="G680" s="3446"/>
      <c r="H680" s="3446"/>
      <c r="I680" s="3446"/>
      <c r="J680" s="3446"/>
      <c r="K680" s="3446"/>
      <c r="L680" s="3446"/>
      <c r="M680" s="3446"/>
      <c r="N680" s="3446"/>
      <c r="O680" s="3446"/>
      <c r="P680" s="3446"/>
      <c r="Q680" s="3446"/>
      <c r="R680" s="3446"/>
      <c r="S680" s="3446"/>
      <c r="T680" s="3446"/>
      <c r="U680" s="3446"/>
      <c r="V680" s="3446"/>
      <c r="W680" s="3446"/>
      <c r="AF680" s="1604"/>
      <c r="AG680" s="1604"/>
    </row>
    <row r="681" spans="1:33" ht="13.2" customHeight="1">
      <c r="D681" s="3446" t="s">
        <v>1519</v>
      </c>
      <c r="E681" s="3446"/>
      <c r="F681" s="3446"/>
      <c r="G681" s="3446"/>
      <c r="H681" s="3446"/>
      <c r="I681" s="3446"/>
      <c r="J681" s="3446"/>
      <c r="K681" s="3446"/>
      <c r="L681" s="3446"/>
      <c r="M681" s="3446"/>
      <c r="N681" s="3446"/>
      <c r="O681" s="3446"/>
      <c r="P681" s="3446"/>
      <c r="Q681" s="3446"/>
      <c r="R681" s="3446"/>
      <c r="S681" s="3446"/>
      <c r="T681" s="3446"/>
      <c r="U681" s="3446"/>
      <c r="V681" s="3446"/>
      <c r="W681" s="3446"/>
    </row>
    <row r="682" spans="1:33">
      <c r="D682" s="3446"/>
      <c r="E682" s="3446"/>
      <c r="F682" s="3446"/>
      <c r="G682" s="3446"/>
      <c r="H682" s="3446"/>
      <c r="I682" s="3446"/>
      <c r="J682" s="3446"/>
      <c r="K682" s="3446"/>
      <c r="L682" s="3446"/>
      <c r="M682" s="3446"/>
      <c r="N682" s="3446"/>
      <c r="O682" s="3446"/>
      <c r="P682" s="3446"/>
      <c r="Q682" s="3446"/>
      <c r="R682" s="3446"/>
      <c r="S682" s="3446"/>
      <c r="T682" s="3446"/>
      <c r="U682" s="3446"/>
      <c r="V682" s="3446"/>
      <c r="W682" s="3446"/>
    </row>
    <row r="683" spans="1:33">
      <c r="D683" s="3446"/>
      <c r="E683" s="3446"/>
      <c r="F683" s="3446"/>
      <c r="G683" s="3446"/>
      <c r="H683" s="3446"/>
      <c r="I683" s="3446"/>
      <c r="J683" s="3446"/>
      <c r="K683" s="3446"/>
      <c r="L683" s="3446"/>
      <c r="M683" s="3446"/>
      <c r="N683" s="3446"/>
      <c r="O683" s="3446"/>
      <c r="P683" s="3446"/>
      <c r="Q683" s="3446"/>
      <c r="R683" s="3446"/>
      <c r="S683" s="3446"/>
      <c r="T683" s="3446"/>
      <c r="U683" s="3446"/>
      <c r="V683" s="3446"/>
      <c r="W683" s="3446"/>
      <c r="Y683" s="3303" t="s">
        <v>1533</v>
      </c>
      <c r="Z683" s="3303"/>
      <c r="AA683" s="3303"/>
      <c r="AB683" s="3303"/>
    </row>
    <row r="684" spans="1:33" ht="13.2" customHeight="1">
      <c r="D684" s="3446" t="s">
        <v>1520</v>
      </c>
      <c r="E684" s="3446"/>
      <c r="F684" s="3446"/>
      <c r="G684" s="3446"/>
      <c r="H684" s="3446"/>
      <c r="I684" s="3446"/>
      <c r="J684" s="3446"/>
      <c r="K684" s="3446"/>
      <c r="L684" s="3446"/>
      <c r="M684" s="3446"/>
      <c r="N684" s="3446"/>
      <c r="O684" s="3446"/>
      <c r="P684" s="3446"/>
      <c r="Q684" s="3446"/>
      <c r="R684" s="3446"/>
      <c r="S684" s="3446"/>
      <c r="T684" s="3446"/>
      <c r="U684" s="3446"/>
      <c r="V684" s="3446"/>
      <c r="W684" s="3446"/>
      <c r="Y684" s="3303"/>
      <c r="Z684" s="3303"/>
      <c r="AA684" s="3303"/>
      <c r="AB684" s="3303"/>
    </row>
    <row r="685" spans="1:33">
      <c r="D685" s="3446"/>
      <c r="E685" s="3446"/>
      <c r="F685" s="3446"/>
      <c r="G685" s="3446"/>
      <c r="H685" s="3446"/>
      <c r="I685" s="3446"/>
      <c r="J685" s="3446"/>
      <c r="K685" s="3446"/>
      <c r="L685" s="3446"/>
      <c r="M685" s="3446"/>
      <c r="N685" s="3446"/>
      <c r="O685" s="3446"/>
      <c r="P685" s="3446"/>
      <c r="Q685" s="3446"/>
      <c r="R685" s="3446"/>
      <c r="S685" s="3446"/>
      <c r="T685" s="3446"/>
      <c r="U685" s="3446"/>
      <c r="V685" s="3446"/>
      <c r="W685" s="3446"/>
    </row>
    <row r="686" spans="1:33">
      <c r="D686" s="3446"/>
      <c r="E686" s="3446"/>
      <c r="F686" s="3446"/>
      <c r="G686" s="3446"/>
      <c r="H686" s="3446"/>
      <c r="I686" s="3446"/>
      <c r="J686" s="3446"/>
      <c r="K686" s="3446"/>
      <c r="L686" s="3446"/>
      <c r="M686" s="3446"/>
      <c r="N686" s="3446"/>
      <c r="O686" s="3446"/>
      <c r="P686" s="3446"/>
      <c r="Q686" s="3446"/>
      <c r="R686" s="3446"/>
      <c r="S686" s="3446"/>
      <c r="T686" s="3446"/>
      <c r="U686" s="3446"/>
      <c r="V686" s="3446"/>
      <c r="W686" s="3446"/>
    </row>
    <row r="687" spans="1:33" ht="13.2" customHeight="1">
      <c r="D687" s="3446" t="s">
        <v>1521</v>
      </c>
      <c r="E687" s="3446"/>
      <c r="F687" s="3446"/>
      <c r="G687" s="3446"/>
      <c r="H687" s="3446"/>
      <c r="I687" s="3446"/>
      <c r="J687" s="3446"/>
      <c r="K687" s="3446"/>
      <c r="L687" s="3446"/>
      <c r="M687" s="3446"/>
      <c r="N687" s="3446"/>
      <c r="O687" s="3446"/>
      <c r="P687" s="3446"/>
      <c r="Q687" s="3446"/>
      <c r="R687" s="3446"/>
      <c r="S687" s="3446"/>
      <c r="T687" s="3446"/>
      <c r="U687" s="3446"/>
      <c r="V687" s="3446"/>
      <c r="W687" s="3446"/>
      <c r="X687" s="1805"/>
    </row>
    <row r="688" spans="1:33">
      <c r="D688" s="3446"/>
      <c r="E688" s="3446"/>
      <c r="F688" s="3446"/>
      <c r="G688" s="3446"/>
      <c r="H688" s="3446"/>
      <c r="I688" s="3446"/>
      <c r="J688" s="3446"/>
      <c r="K688" s="3446"/>
      <c r="L688" s="3446"/>
      <c r="M688" s="3446"/>
      <c r="N688" s="3446"/>
      <c r="O688" s="3446"/>
      <c r="P688" s="3446"/>
      <c r="Q688" s="3446"/>
      <c r="R688" s="3446"/>
      <c r="S688" s="3446"/>
      <c r="T688" s="3446"/>
      <c r="U688" s="3446"/>
      <c r="V688" s="3446"/>
      <c r="W688" s="3446"/>
      <c r="X688" s="1805"/>
    </row>
    <row r="689" spans="1:64">
      <c r="D689" s="3446"/>
      <c r="E689" s="3446"/>
      <c r="F689" s="3446"/>
      <c r="G689" s="3446"/>
      <c r="H689" s="3446"/>
      <c r="I689" s="3446"/>
      <c r="J689" s="3446"/>
      <c r="K689" s="3446"/>
      <c r="L689" s="3446"/>
      <c r="M689" s="3446"/>
      <c r="N689" s="3446"/>
      <c r="O689" s="3446"/>
      <c r="P689" s="3446"/>
      <c r="Q689" s="3446"/>
      <c r="R689" s="3446"/>
      <c r="S689" s="3446"/>
      <c r="T689" s="3446"/>
      <c r="U689" s="3446"/>
      <c r="V689" s="3446"/>
      <c r="W689" s="3446"/>
    </row>
    <row r="690" spans="1:64" ht="13.2" customHeight="1">
      <c r="D690" s="3442" t="s">
        <v>1509</v>
      </c>
      <c r="E690" s="3442"/>
      <c r="F690" s="3442"/>
      <c r="G690" s="3442"/>
      <c r="H690" s="3442"/>
      <c r="I690" s="3442"/>
      <c r="J690" s="3442"/>
      <c r="K690" s="3442"/>
      <c r="L690" s="3442"/>
      <c r="M690" s="3442"/>
      <c r="N690" s="3442"/>
      <c r="O690" s="3442"/>
      <c r="P690" s="3442"/>
      <c r="Q690" s="3442"/>
      <c r="R690" s="3442"/>
      <c r="S690" s="3442"/>
      <c r="T690" s="3442"/>
      <c r="U690" s="3442"/>
      <c r="V690" s="3442"/>
      <c r="W690" s="3442"/>
    </row>
    <row r="691" spans="1:64">
      <c r="D691" s="3442"/>
      <c r="E691" s="3442"/>
      <c r="F691" s="3442"/>
      <c r="G691" s="3442"/>
      <c r="H691" s="3442"/>
      <c r="I691" s="3442"/>
      <c r="J691" s="3442"/>
      <c r="K691" s="3442"/>
      <c r="L691" s="3442"/>
      <c r="M691" s="3442"/>
      <c r="N691" s="3442"/>
      <c r="O691" s="3442"/>
      <c r="P691" s="3442"/>
      <c r="Q691" s="3442"/>
      <c r="R691" s="3442"/>
      <c r="S691" s="3442"/>
      <c r="T691" s="3442"/>
      <c r="U691" s="3442"/>
      <c r="V691" s="3442"/>
      <c r="W691" s="3442"/>
    </row>
    <row r="692" spans="1:64">
      <c r="D692" s="3443"/>
      <c r="E692" s="3443"/>
      <c r="F692" s="3443"/>
      <c r="G692" s="3443"/>
      <c r="H692" s="3443"/>
      <c r="I692" s="3443"/>
      <c r="J692" s="3443"/>
      <c r="K692" s="3443"/>
      <c r="L692" s="3443"/>
      <c r="M692" s="3443"/>
      <c r="N692" s="3443"/>
      <c r="O692" s="3443"/>
      <c r="P692" s="3443"/>
      <c r="Q692" s="3443"/>
      <c r="R692" s="3443"/>
      <c r="S692" s="3443"/>
      <c r="T692" s="3443"/>
      <c r="U692" s="3443"/>
      <c r="V692" s="3443"/>
      <c r="W692" s="3443"/>
    </row>
    <row r="693" spans="1:64">
      <c r="D693" s="79"/>
      <c r="E693" s="1602"/>
      <c r="F693" s="1602"/>
      <c r="G693" s="1602"/>
      <c r="H693" s="1602"/>
      <c r="I693" s="1602"/>
      <c r="J693" s="1602"/>
      <c r="K693" s="1602"/>
      <c r="L693" s="1602"/>
      <c r="M693" s="1602"/>
      <c r="N693" s="1602"/>
      <c r="O693" s="1602"/>
      <c r="P693" s="1602"/>
      <c r="Q693" s="1602"/>
      <c r="R693" s="1602"/>
      <c r="S693" s="1764"/>
      <c r="T693" s="1985"/>
      <c r="U693" s="1985"/>
      <c r="V693" s="1985"/>
      <c r="W693" s="1985"/>
    </row>
    <row r="694" spans="1:64">
      <c r="B694" s="2624" t="s">
        <v>101</v>
      </c>
      <c r="D694" s="1105" t="s">
        <v>1874</v>
      </c>
      <c r="E694" s="1105"/>
      <c r="F694" s="1105"/>
      <c r="G694" s="1105"/>
      <c r="H694" s="1105"/>
      <c r="I694" s="1105"/>
      <c r="J694" s="1105"/>
      <c r="K694" s="1105"/>
      <c r="L694" s="1105"/>
      <c r="M694" s="1105"/>
      <c r="N694" s="1105"/>
      <c r="O694" s="1105"/>
      <c r="P694" s="597"/>
      <c r="Q694" s="1703"/>
      <c r="R694" s="1222"/>
      <c r="S694" s="1222"/>
      <c r="T694" s="1222"/>
      <c r="U694" s="1222"/>
      <c r="V694" s="1222"/>
      <c r="W694" s="1222"/>
      <c r="X694" s="77"/>
    </row>
    <row r="695" spans="1:64" s="1736" customFormat="1">
      <c r="A695" s="1155"/>
      <c r="C695" s="92"/>
      <c r="D695" s="79"/>
      <c r="E695" s="1737"/>
      <c r="F695" s="1737"/>
      <c r="G695" s="1737"/>
      <c r="H695" s="1737"/>
      <c r="I695" s="1737"/>
      <c r="J695" s="1737"/>
      <c r="K695" s="1737"/>
      <c r="L695" s="1737"/>
      <c r="M695" s="1737"/>
      <c r="N695" s="1737"/>
      <c r="O695" s="1737"/>
      <c r="P695" s="109"/>
      <c r="Q695" s="1697"/>
      <c r="R695" s="77"/>
      <c r="S695" s="1737"/>
      <c r="T695" s="1737"/>
      <c r="U695" s="1737"/>
      <c r="V695" s="1737"/>
      <c r="W695" s="1737"/>
      <c r="X695" s="1809"/>
      <c r="AF695" s="1737"/>
      <c r="AG695" s="1737"/>
      <c r="BL695" s="80"/>
    </row>
    <row r="696" spans="1:64" s="2269" customFormat="1">
      <c r="A696" s="1155"/>
      <c r="C696" s="92"/>
      <c r="D696" s="79"/>
      <c r="E696" s="2273"/>
      <c r="F696" s="2273"/>
      <c r="G696" s="2273"/>
      <c r="H696" s="2273"/>
      <c r="I696" s="2273"/>
      <c r="J696" s="2273"/>
      <c r="K696" s="2273"/>
      <c r="L696" s="2273"/>
      <c r="M696" s="2273"/>
      <c r="N696" s="2273"/>
      <c r="O696" s="2273"/>
      <c r="P696" s="109"/>
      <c r="Q696" s="1697"/>
      <c r="R696" s="77"/>
      <c r="S696" s="2273"/>
      <c r="T696" s="2273"/>
      <c r="U696" s="2273"/>
      <c r="V696" s="2273"/>
      <c r="W696" s="2273"/>
      <c r="X696" s="2273"/>
      <c r="AF696" s="2273"/>
      <c r="AG696" s="2273"/>
      <c r="BL696" s="80"/>
    </row>
    <row r="697" spans="1:64" s="1736" customFormat="1">
      <c r="A697" s="1252" t="s">
        <v>773</v>
      </c>
      <c r="B697" s="2634" t="s">
        <v>1966</v>
      </c>
      <c r="C697" s="135"/>
      <c r="D697" s="107" t="s">
        <v>1962</v>
      </c>
      <c r="E697" s="107"/>
      <c r="F697" s="107"/>
      <c r="G697" s="107"/>
      <c r="H697" s="107"/>
      <c r="I697" s="107"/>
      <c r="J697" s="107"/>
      <c r="K697" s="107"/>
      <c r="L697" s="107"/>
      <c r="M697" s="107"/>
      <c r="N697" s="107"/>
      <c r="O697" s="107"/>
      <c r="P697" s="135"/>
      <c r="Q697" s="2503"/>
      <c r="R697" s="2504"/>
      <c r="S697" s="2498" t="s">
        <v>1712</v>
      </c>
      <c r="T697" s="2498"/>
      <c r="U697" s="107"/>
      <c r="V697" s="107"/>
      <c r="W697" s="107"/>
      <c r="X697" s="1616"/>
      <c r="AF697" s="1737"/>
      <c r="AG697" s="1737"/>
      <c r="BL697" s="80"/>
    </row>
    <row r="698" spans="1:64" s="1921" customFormat="1" ht="13.2" customHeight="1">
      <c r="A698" s="1155"/>
      <c r="B698" s="1079"/>
      <c r="C698" s="109"/>
      <c r="D698" s="2001" t="s">
        <v>1716</v>
      </c>
      <c r="E698" s="2002"/>
      <c r="F698" s="2002"/>
      <c r="G698" s="2002"/>
      <c r="H698" s="2002"/>
      <c r="I698" s="2002"/>
      <c r="J698" s="2002"/>
      <c r="K698" s="2002"/>
      <c r="L698" s="2002"/>
      <c r="M698" s="2002"/>
      <c r="N698" s="2002"/>
      <c r="O698" s="2002"/>
      <c r="P698" s="2002"/>
      <c r="Q698" s="2002"/>
      <c r="R698" s="2003" t="s">
        <v>1666</v>
      </c>
      <c r="S698" s="2005" t="s">
        <v>1713</v>
      </c>
      <c r="T698" s="2005"/>
      <c r="U698" s="2004"/>
      <c r="V698" s="2004"/>
      <c r="W698" s="2004"/>
      <c r="X698" s="2143"/>
      <c r="AF698" s="1922"/>
      <c r="AG698" s="1922"/>
      <c r="BL698" s="80"/>
    </row>
    <row r="699" spans="1:64" s="1736" customFormat="1">
      <c r="A699" s="1155"/>
      <c r="B699" s="1079"/>
      <c r="C699" s="109"/>
      <c r="D699" s="2001" t="s">
        <v>1535</v>
      </c>
      <c r="E699" s="2271"/>
      <c r="F699" s="2271"/>
      <c r="G699" s="2271"/>
      <c r="H699" s="2271"/>
      <c r="I699" s="2271"/>
      <c r="J699" s="2271"/>
      <c r="K699" s="2271"/>
      <c r="L699" s="2271"/>
      <c r="M699" s="2271"/>
      <c r="N699" s="2271"/>
      <c r="O699" s="2271"/>
      <c r="P699" s="1700"/>
      <c r="Q699" s="1701"/>
      <c r="R699" s="2003" t="s">
        <v>1666</v>
      </c>
      <c r="S699" s="2005" t="s">
        <v>1713</v>
      </c>
      <c r="T699" s="2005"/>
      <c r="U699" s="2271"/>
      <c r="V699" s="2271"/>
      <c r="W699" s="2271"/>
      <c r="X699" s="2143"/>
      <c r="AF699" s="1737"/>
      <c r="AG699" s="1737"/>
      <c r="BL699" s="80"/>
    </row>
    <row r="700" spans="1:64" s="1736" customFormat="1">
      <c r="A700" s="1155"/>
      <c r="B700" s="1079"/>
      <c r="C700" s="109"/>
      <c r="D700" s="3415" t="s">
        <v>2061</v>
      </c>
      <c r="E700" s="3415"/>
      <c r="F700" s="3415"/>
      <c r="G700" s="3415"/>
      <c r="H700" s="3415"/>
      <c r="I700" s="3415"/>
      <c r="J700" s="3415"/>
      <c r="K700" s="3415"/>
      <c r="L700" s="3415"/>
      <c r="M700" s="3415"/>
      <c r="N700" s="3415"/>
      <c r="O700" s="3415"/>
      <c r="P700" s="3415"/>
      <c r="Q700" s="3415"/>
      <c r="R700" s="2000" t="s">
        <v>1666</v>
      </c>
      <c r="S700" s="3632" t="s">
        <v>2062</v>
      </c>
      <c r="T700" s="3632"/>
      <c r="U700" s="3632"/>
      <c r="V700" s="3632"/>
      <c r="W700" s="3632"/>
      <c r="X700" s="2143"/>
      <c r="AF700" s="1737"/>
      <c r="AG700" s="1737"/>
      <c r="BL700" s="80"/>
    </row>
    <row r="701" spans="1:64" s="1921" customFormat="1">
      <c r="A701" s="1155"/>
      <c r="B701" s="1079"/>
      <c r="C701" s="109"/>
      <c r="D701" s="3415"/>
      <c r="E701" s="3415"/>
      <c r="F701" s="3415"/>
      <c r="G701" s="3415"/>
      <c r="H701" s="3415"/>
      <c r="I701" s="3415"/>
      <c r="J701" s="3415"/>
      <c r="K701" s="3415"/>
      <c r="L701" s="3415"/>
      <c r="M701" s="3415"/>
      <c r="N701" s="3415"/>
      <c r="O701" s="3415"/>
      <c r="P701" s="3415"/>
      <c r="Q701" s="3415"/>
      <c r="R701" s="77"/>
      <c r="S701" s="3633"/>
      <c r="T701" s="3633"/>
      <c r="U701" s="3633"/>
      <c r="V701" s="3633"/>
      <c r="W701" s="3633"/>
      <c r="X701" s="2143"/>
      <c r="Y701" s="1153"/>
      <c r="Z701" s="1153"/>
      <c r="AA701" s="1153"/>
      <c r="AB701" s="1153"/>
      <c r="AD701" s="1153"/>
      <c r="AF701" s="1922"/>
      <c r="AG701" s="1922"/>
      <c r="BL701" s="80"/>
    </row>
    <row r="702" spans="1:64" s="1921" customFormat="1">
      <c r="A702" s="1155"/>
      <c r="B702" s="1079"/>
      <c r="C702" s="109"/>
      <c r="D702" s="1837" t="s">
        <v>1717</v>
      </c>
      <c r="E702" s="2273"/>
      <c r="F702" s="2273"/>
      <c r="G702" s="2273"/>
      <c r="H702" s="2273"/>
      <c r="I702" s="2273"/>
      <c r="J702" s="2273"/>
      <c r="K702" s="2273"/>
      <c r="L702" s="2273"/>
      <c r="M702" s="2273"/>
      <c r="N702" s="2273"/>
      <c r="O702" s="2273"/>
      <c r="P702" s="109"/>
      <c r="Q702" s="1697"/>
      <c r="R702" s="77"/>
      <c r="S702" s="2273"/>
      <c r="T702" s="2273"/>
      <c r="U702" s="2273"/>
      <c r="V702" s="2273"/>
      <c r="W702" s="2273"/>
      <c r="X702" s="2143"/>
      <c r="Y702" s="1153"/>
      <c r="Z702" s="1153"/>
      <c r="AA702" s="1153"/>
      <c r="AB702" s="1153"/>
      <c r="AD702" s="1153"/>
      <c r="AF702" s="1922"/>
      <c r="AG702" s="1922"/>
      <c r="BL702" s="80"/>
    </row>
    <row r="703" spans="1:64" s="1921" customFormat="1">
      <c r="A703" s="1155"/>
      <c r="B703" s="1079"/>
      <c r="C703" s="109"/>
      <c r="D703" s="1837" t="s">
        <v>1714</v>
      </c>
      <c r="E703" s="2273"/>
      <c r="F703" s="2273"/>
      <c r="G703" s="2273"/>
      <c r="H703" s="2273"/>
      <c r="I703" s="2273"/>
      <c r="J703" s="2273"/>
      <c r="K703" s="2273"/>
      <c r="L703" s="2273"/>
      <c r="M703" s="2273"/>
      <c r="N703" s="2273"/>
      <c r="O703" s="2273"/>
      <c r="P703" s="109"/>
      <c r="Q703" s="1697"/>
      <c r="R703" s="77"/>
      <c r="S703" s="2273"/>
      <c r="T703" s="2273"/>
      <c r="U703" s="2273"/>
      <c r="V703" s="2273"/>
      <c r="W703" s="2273"/>
      <c r="X703" s="2143"/>
      <c r="Y703" s="1153"/>
      <c r="Z703" s="1153"/>
      <c r="AA703" s="1153"/>
      <c r="AB703" s="1153"/>
      <c r="AD703" s="1153"/>
      <c r="AF703" s="1922"/>
      <c r="AG703" s="1922"/>
      <c r="BL703" s="80"/>
    </row>
    <row r="704" spans="1:64" s="1921" customFormat="1">
      <c r="A704" s="1155"/>
      <c r="B704" s="1079"/>
      <c r="C704" s="109"/>
      <c r="D704" s="2006" t="s">
        <v>1715</v>
      </c>
      <c r="E704" s="1526"/>
      <c r="F704" s="1526"/>
      <c r="G704" s="1526"/>
      <c r="H704" s="1526"/>
      <c r="I704" s="1526"/>
      <c r="J704" s="1526"/>
      <c r="K704" s="1526"/>
      <c r="L704" s="1526"/>
      <c r="M704" s="1526"/>
      <c r="N704" s="1526"/>
      <c r="O704" s="1526"/>
      <c r="P704" s="1892"/>
      <c r="Q704" s="2007"/>
      <c r="R704" s="2007"/>
      <c r="S704" s="1526"/>
      <c r="T704" s="1526"/>
      <c r="U704" s="1526"/>
      <c r="V704" s="1526"/>
      <c r="W704" s="1526"/>
      <c r="X704" s="2143"/>
      <c r="Y704" s="1153"/>
      <c r="Z704" s="1153"/>
      <c r="AA704" s="1153"/>
      <c r="AB704" s="1153"/>
      <c r="AD704" s="1153"/>
      <c r="AF704" s="1922"/>
      <c r="AG704" s="1922"/>
      <c r="BL704" s="80"/>
    </row>
    <row r="705" spans="1:64" s="1921" customFormat="1">
      <c r="A705" s="1155"/>
      <c r="B705" s="1079"/>
      <c r="C705" s="109"/>
      <c r="D705" s="1836"/>
      <c r="E705" s="2273"/>
      <c r="F705" s="2273"/>
      <c r="G705" s="2273"/>
      <c r="H705" s="2273"/>
      <c r="I705" s="2273"/>
      <c r="J705" s="2273"/>
      <c r="K705" s="2273"/>
      <c r="L705" s="2273"/>
      <c r="M705" s="2273"/>
      <c r="N705" s="2273"/>
      <c r="O705" s="2273"/>
      <c r="P705" s="109"/>
      <c r="Q705" s="1697"/>
      <c r="R705" s="77"/>
      <c r="S705" s="2273"/>
      <c r="T705" s="2273"/>
      <c r="U705" s="2273"/>
      <c r="V705" s="2273"/>
      <c r="W705" s="2273"/>
      <c r="X705" s="2143"/>
      <c r="Y705" s="1153" t="s">
        <v>1710</v>
      </c>
      <c r="Z705" s="1153" t="s">
        <v>1278</v>
      </c>
      <c r="AA705" s="1153">
        <v>2012</v>
      </c>
      <c r="AB705" s="1153">
        <v>2011</v>
      </c>
      <c r="AC705" s="1604"/>
      <c r="AD705" s="1153">
        <v>2010</v>
      </c>
      <c r="AF705" s="1922"/>
      <c r="AG705" s="1922"/>
      <c r="BL705" s="80"/>
    </row>
    <row r="706" spans="1:64" s="1788" customFormat="1" ht="13.2" customHeight="1">
      <c r="A706" s="1155"/>
      <c r="B706" s="1079"/>
      <c r="C706" s="109"/>
      <c r="D706" s="1673" t="s">
        <v>1963</v>
      </c>
      <c r="E706" s="2276"/>
      <c r="F706" s="2276"/>
      <c r="G706" s="2276"/>
      <c r="H706" s="2276"/>
      <c r="I706" s="2276"/>
      <c r="J706" s="2276"/>
      <c r="K706" s="2276"/>
      <c r="L706" s="2276"/>
      <c r="M706" s="2276"/>
      <c r="N706" s="2276"/>
      <c r="O706" s="2276"/>
      <c r="P706" s="2276"/>
      <c r="Q706" s="2276"/>
      <c r="R706" s="2276"/>
      <c r="S706" s="2276"/>
      <c r="T706" s="2276"/>
      <c r="U706" s="2276"/>
      <c r="V706" s="2276"/>
      <c r="W706" s="2276"/>
      <c r="X706" s="2143"/>
      <c r="Y706" s="1779" t="s">
        <v>288</v>
      </c>
      <c r="Z706" s="1780">
        <f>('Bloom Cleaner Data'!$HJ$14-'Bloom Cleaner Data'!$HF$14)/'Bloom Cleaner Data'!$HF$14</f>
        <v>-0.15771071182204541</v>
      </c>
      <c r="AA706" s="1780">
        <f>('Bloom Cleaner Data'!$HG$14-'Bloom Cleaner Data'!$HD$14)/'Bloom Cleaner Data'!$HD$14</f>
        <v>-0.1153336975100059</v>
      </c>
      <c r="AB706" s="1780">
        <f>('Bloom Cleaner Data'!$HD$14-'Bloom Cleaner Data'!$GZ$14)/'Bloom Cleaner Data'!$GZ$14</f>
        <v>1.6034029390628896E-2</v>
      </c>
      <c r="AC706" s="1604"/>
      <c r="AD706" s="1780">
        <f>('Bloom Cleaner Data'!$GZ$14-'Bloom Cleaner Data'!$GV$14)/'Bloom Cleaner Data'!$GV$14</f>
        <v>5.352247951731131E-2</v>
      </c>
      <c r="AF706" s="1789"/>
      <c r="AG706" s="1789"/>
      <c r="BL706" s="80"/>
    </row>
    <row r="707" spans="1:64" s="1788" customFormat="1" ht="13.2" customHeight="1">
      <c r="A707" s="1155"/>
      <c r="B707" s="1079"/>
      <c r="C707" s="109"/>
      <c r="D707" s="3630" t="s">
        <v>1721</v>
      </c>
      <c r="E707" s="3630"/>
      <c r="F707" s="3630"/>
      <c r="G707" s="3630"/>
      <c r="H707" s="3630"/>
      <c r="I707" s="3630"/>
      <c r="J707" s="3630"/>
      <c r="K707" s="3630"/>
      <c r="L707" s="3630"/>
      <c r="M707" s="3630"/>
      <c r="N707" s="3630"/>
      <c r="O707" s="3630"/>
      <c r="P707" s="3630"/>
      <c r="Q707" s="2010"/>
      <c r="R707" s="2011" t="s">
        <v>1666</v>
      </c>
      <c r="S707" s="3317" t="s">
        <v>2058</v>
      </c>
      <c r="T707" s="3317"/>
      <c r="U707" s="3317"/>
      <c r="V707" s="3317"/>
      <c r="W707" s="3317"/>
      <c r="X707" s="2143"/>
      <c r="Y707" s="1105" t="s">
        <v>36</v>
      </c>
      <c r="Z707" s="932">
        <f>('Bloom Cleaner Data'!$HJ$8-'Bloom Cleaner Data'!$HF$8)/'Bloom Cleaner Data'!$HF$8</f>
        <v>-0.16502999213842798</v>
      </c>
      <c r="AA707" s="932">
        <f>('Bloom Cleaner Data'!$HH$8-'Bloom Cleaner Data'!$HD$8)/'Bloom Cleaner Data'!$HD$8</f>
        <v>-6.7982202622286436E-2</v>
      </c>
      <c r="AB707" s="932">
        <f>('Bloom Cleaner Data'!$HD$8-'Bloom Cleaner Data'!$GZ$8)/'Bloom Cleaner Data'!$GZ$8</f>
        <v>-3.3905914593728638E-2</v>
      </c>
      <c r="AC707" s="1604"/>
      <c r="AD707" s="932">
        <f>('Bloom Cleaner Data'!$GZ$8-'Bloom Cleaner Data'!$GV$8)/'Bloom Cleaner Data'!$GV$8</f>
        <v>-3.2287024293894705E-2</v>
      </c>
      <c r="AF707" s="1789"/>
      <c r="AG707" s="1789"/>
      <c r="BL707" s="80"/>
    </row>
    <row r="708" spans="1:64" s="1921" customFormat="1">
      <c r="A708" s="1155"/>
      <c r="B708" s="1079"/>
      <c r="C708" s="109"/>
      <c r="D708" s="3631"/>
      <c r="E708" s="3631"/>
      <c r="F708" s="3631"/>
      <c r="G708" s="3631"/>
      <c r="H708" s="3631"/>
      <c r="I708" s="3631"/>
      <c r="J708" s="3631"/>
      <c r="K708" s="3631"/>
      <c r="L708" s="3631"/>
      <c r="M708" s="3631"/>
      <c r="N708" s="3631"/>
      <c r="O708" s="3631"/>
      <c r="P708" s="3631"/>
      <c r="Q708" s="2013"/>
      <c r="R708" s="2014"/>
      <c r="S708" s="3319"/>
      <c r="T708" s="3319"/>
      <c r="U708" s="3319"/>
      <c r="V708" s="3319"/>
      <c r="W708" s="3319"/>
      <c r="X708" s="2143"/>
      <c r="Y708" s="1779" t="s">
        <v>289</v>
      </c>
      <c r="Z708" s="1780">
        <f>('Bloom Cleaner Data'!$HJ$19-'Bloom Cleaner Data'!$HF$19)/'Bloom Cleaner Data'!$HF$19</f>
        <v>-0.22650387204861366</v>
      </c>
      <c r="AA708" s="1780">
        <f>('Bloom Cleaner Data'!$HH$19-'Bloom Cleaner Data'!$HD$19)/'Bloom Cleaner Data'!$HD$19</f>
        <v>-0.103996008527949</v>
      </c>
      <c r="AB708" s="1780">
        <f>('Bloom Cleaner Data'!$HD$19-'Bloom Cleaner Data'!$GZ$19)/'Bloom Cleaner Data'!$GZ$19</f>
        <v>-8.4170348319584948E-2</v>
      </c>
      <c r="AC708" s="1604"/>
      <c r="AD708" s="1780">
        <f>('Bloom Cleaner Data'!$GZ$19-'Bloom Cleaner Data'!$GV$19)/'Bloom Cleaner Data'!$GV$19</f>
        <v>-6.364463597459992E-2</v>
      </c>
      <c r="AF708" s="1922"/>
      <c r="AG708" s="1922"/>
      <c r="BL708" s="80"/>
    </row>
    <row r="709" spans="1:64">
      <c r="B709" s="1079"/>
      <c r="C709" s="109"/>
      <c r="D709" s="2001" t="s">
        <v>1720</v>
      </c>
      <c r="E709" s="2271"/>
      <c r="F709" s="2008"/>
      <c r="G709" s="2008"/>
      <c r="H709" s="2008"/>
      <c r="I709" s="2008"/>
      <c r="J709" s="2008"/>
      <c r="K709" s="2008"/>
      <c r="L709" s="2008"/>
      <c r="M709" s="2008"/>
      <c r="N709" s="2008"/>
      <c r="O709" s="2008"/>
      <c r="P709" s="2008"/>
      <c r="Q709" s="2008"/>
      <c r="R709" s="2003" t="s">
        <v>1666</v>
      </c>
      <c r="S709" s="2009" t="s">
        <v>1723</v>
      </c>
      <c r="T709" s="2008"/>
      <c r="U709" s="2008"/>
      <c r="V709" s="2008"/>
      <c r="W709" s="2008"/>
      <c r="X709" s="2143"/>
    </row>
    <row r="710" spans="1:64" s="1921" customFormat="1">
      <c r="A710" s="1155"/>
      <c r="B710" s="1079"/>
      <c r="C710" s="109"/>
      <c r="D710" s="1479"/>
      <c r="E710" s="2273"/>
      <c r="F710" s="2272"/>
      <c r="G710" s="2272"/>
      <c r="H710" s="2272"/>
      <c r="I710" s="2272"/>
      <c r="J710" s="2272"/>
      <c r="K710" s="2272"/>
      <c r="L710" s="2272"/>
      <c r="M710" s="2272"/>
      <c r="N710" s="2272"/>
      <c r="O710" s="2272"/>
      <c r="P710" s="2272"/>
      <c r="Q710" s="2272"/>
      <c r="R710" s="2272"/>
      <c r="S710" s="2272"/>
      <c r="T710" s="2272"/>
      <c r="U710" s="2272"/>
      <c r="V710" s="2272"/>
      <c r="W710" s="2272"/>
      <c r="X710" s="2143"/>
      <c r="Y710" s="1153" t="s">
        <v>1711</v>
      </c>
      <c r="Z710" s="1153" t="s">
        <v>1278</v>
      </c>
      <c r="AA710" s="1153">
        <v>2012</v>
      </c>
      <c r="AB710" s="1153">
        <v>2011</v>
      </c>
      <c r="AC710" s="1604"/>
      <c r="AD710" s="1153">
        <v>2010</v>
      </c>
      <c r="AF710" s="1922"/>
      <c r="AG710" s="1922"/>
      <c r="BL710" s="80"/>
    </row>
    <row r="711" spans="1:64" s="1788" customFormat="1" ht="13.2" customHeight="1">
      <c r="A711" s="1155"/>
      <c r="B711" s="1079"/>
      <c r="C711" s="109"/>
      <c r="D711" s="1673" t="s">
        <v>1965</v>
      </c>
      <c r="E711" s="1673"/>
      <c r="F711" s="1673"/>
      <c r="G711" s="1673"/>
      <c r="H711" s="1673"/>
      <c r="I711" s="1673"/>
      <c r="J711" s="1673"/>
      <c r="K711" s="1673"/>
      <c r="L711" s="1673"/>
      <c r="M711" s="1673"/>
      <c r="N711" s="1673"/>
      <c r="O711" s="1673"/>
      <c r="P711" s="1673"/>
      <c r="Q711" s="1673"/>
      <c r="R711" s="1673"/>
      <c r="S711" s="1673"/>
      <c r="T711" s="1673"/>
      <c r="U711" s="1673"/>
      <c r="V711" s="1673"/>
      <c r="W711" s="1673"/>
      <c r="X711" s="2143"/>
      <c r="Y711" s="1779" t="s">
        <v>288</v>
      </c>
      <c r="Z711" s="1780">
        <f>(CALCULATIONS!DR14-CALCULATIONS!DN14)/CALCULATIONS!DN14</f>
        <v>-0.14379524713280636</v>
      </c>
      <c r="AA711" s="1780">
        <f>(CALCULATIONS!DP14-CALCULATIONS!DL14)/CALCULATIONS!DL14</f>
        <v>-0.15792412690982061</v>
      </c>
      <c r="AB711" s="1780">
        <f>(CALCULATIONS!DL14-CALCULATIONS!DH14)/CALCULATIONS!DH14</f>
        <v>1.1734511858918656E-2</v>
      </c>
      <c r="AC711" s="1604"/>
      <c r="AD711" s="1780">
        <f>(CALCULATIONS!DH14-CALCULATIONS!DD14)/CALCULATIONS!DD14</f>
        <v>4.2145979731534326E-2</v>
      </c>
      <c r="AF711" s="1789"/>
      <c r="AG711" s="1789"/>
      <c r="BL711" s="80"/>
    </row>
    <row r="712" spans="1:64" s="1788" customFormat="1" ht="13.2" customHeight="1">
      <c r="A712" s="1155"/>
      <c r="B712" s="1079"/>
      <c r="C712" s="109"/>
      <c r="D712" s="3627" t="s">
        <v>1722</v>
      </c>
      <c r="E712" s="3627"/>
      <c r="F712" s="3627"/>
      <c r="G712" s="3627"/>
      <c r="H712" s="3627"/>
      <c r="I712" s="3627"/>
      <c r="J712" s="3627"/>
      <c r="K712" s="3627"/>
      <c r="L712" s="3627"/>
      <c r="M712" s="3627"/>
      <c r="N712" s="3627"/>
      <c r="O712" s="3627"/>
      <c r="P712" s="3627"/>
      <c r="Q712" s="3627"/>
      <c r="R712" s="2011" t="s">
        <v>1666</v>
      </c>
      <c r="S712" s="2017" t="s">
        <v>1718</v>
      </c>
      <c r="T712" s="2016"/>
      <c r="U712" s="2016"/>
      <c r="V712" s="2016"/>
      <c r="W712" s="2019" t="s">
        <v>1666</v>
      </c>
      <c r="X712" s="2143"/>
      <c r="Y712" s="1105" t="s">
        <v>36</v>
      </c>
      <c r="Z712" s="932">
        <f>(CALCULATIONS!DR8-CALCULATIONS!DN8)/CALCULATIONS!DN8</f>
        <v>-0.14943287290779197</v>
      </c>
      <c r="AA712" s="932">
        <f>(CALCULATIONS!DP8-CALCULATIONS!DL8)/CALCULATIONS!DL8</f>
        <v>-6.2696138353186645E-2</v>
      </c>
      <c r="AB712" s="932">
        <f>(CALCULATIONS!DL8-CALCULATIONS!DH8)/CALCULATIONS!DH8</f>
        <v>-3.623003669144844E-2</v>
      </c>
      <c r="AC712" s="1604"/>
      <c r="AD712" s="932">
        <f>(CALCULATIONS!DH8-CALCULATIONS!DD8)/CALCULATIONS!DD8</f>
        <v>-3.0501566049817276E-2</v>
      </c>
      <c r="AF712" s="1789"/>
      <c r="AG712" s="1789"/>
      <c r="BL712" s="80"/>
    </row>
    <row r="713" spans="1:64" s="1788" customFormat="1">
      <c r="A713" s="1155"/>
      <c r="B713" s="1079"/>
      <c r="C713" s="109"/>
      <c r="D713" s="3628"/>
      <c r="E713" s="3628"/>
      <c r="F713" s="3628"/>
      <c r="G713" s="3628"/>
      <c r="H713" s="3628"/>
      <c r="I713" s="3628"/>
      <c r="J713" s="3628"/>
      <c r="K713" s="3628"/>
      <c r="L713" s="3628"/>
      <c r="M713" s="3628"/>
      <c r="N713" s="3628"/>
      <c r="O713" s="3628"/>
      <c r="P713" s="3628"/>
      <c r="Q713" s="3628"/>
      <c r="R713" s="2018"/>
      <c r="S713" s="2018"/>
      <c r="T713" s="2018"/>
      <c r="U713" s="2018"/>
      <c r="V713" s="2018"/>
      <c r="W713" s="2018"/>
      <c r="X713" s="2143"/>
      <c r="Y713" s="1779" t="s">
        <v>289</v>
      </c>
      <c r="Z713" s="1780">
        <f>(CALCULATIONS!DR19-CALCULATIONS!DN19)/CALCULATIONS!DN19</f>
        <v>-0.22261049441522918</v>
      </c>
      <c r="AA713" s="1780">
        <f>(CALCULATIONS!DP19-CALCULATIONS!DL19)/CALCULATIONS!DL19</f>
        <v>-0.10295602093370315</v>
      </c>
      <c r="AB713" s="1780">
        <f>(CALCULATIONS!DL19-CALCULATIONS!DH19)/CALCULATIONS!DH19</f>
        <v>-7.4412901287084096E-2</v>
      </c>
      <c r="AC713" s="1604"/>
      <c r="AD713" s="1780">
        <f>(CALCULATIONS!DH19-CALCULATIONS!DD19)/CALCULATIONS!DD19</f>
        <v>-6.6354443931599769E-2</v>
      </c>
      <c r="AG713" s="1789"/>
      <c r="BL713" s="80"/>
    </row>
    <row r="714" spans="1:64" s="1788" customFormat="1" ht="13.2" customHeight="1">
      <c r="A714" s="1155"/>
      <c r="B714" s="1079"/>
      <c r="C714" s="109"/>
      <c r="D714" s="3627" t="s">
        <v>1719</v>
      </c>
      <c r="E714" s="3627"/>
      <c r="F714" s="3627"/>
      <c r="G714" s="3627"/>
      <c r="H714" s="3627"/>
      <c r="I714" s="3627"/>
      <c r="J714" s="3627"/>
      <c r="K714" s="3627"/>
      <c r="L714" s="3627"/>
      <c r="M714" s="3627"/>
      <c r="N714" s="3627"/>
      <c r="O714" s="3627"/>
      <c r="P714" s="3627"/>
      <c r="Q714" s="3627"/>
      <c r="R714" s="2011" t="s">
        <v>1666</v>
      </c>
      <c r="S714" s="2662" t="s">
        <v>2059</v>
      </c>
      <c r="T714" s="2273"/>
      <c r="U714" s="2273"/>
      <c r="V714" s="2273"/>
      <c r="W714" s="2273"/>
      <c r="X714" s="2143"/>
      <c r="Y714" s="3629" t="s">
        <v>1795</v>
      </c>
      <c r="Z714" s="3629"/>
      <c r="AA714" s="3629"/>
      <c r="AB714" s="3629"/>
      <c r="AG714" s="1789"/>
      <c r="BL714" s="80"/>
    </row>
    <row r="715" spans="1:64" s="1921" customFormat="1">
      <c r="A715" s="1155"/>
      <c r="B715" s="1079"/>
      <c r="C715" s="109"/>
      <c r="D715" s="3628"/>
      <c r="E715" s="3628"/>
      <c r="F715" s="3628"/>
      <c r="G715" s="3628"/>
      <c r="H715" s="3628"/>
      <c r="I715" s="3628"/>
      <c r="J715" s="3628"/>
      <c r="K715" s="3628"/>
      <c r="L715" s="3628"/>
      <c r="M715" s="3628"/>
      <c r="N715" s="3628"/>
      <c r="O715" s="3628"/>
      <c r="P715" s="3628"/>
      <c r="Q715" s="3628"/>
      <c r="R715" s="1526"/>
      <c r="S715" s="1526"/>
      <c r="T715" s="1526"/>
      <c r="U715" s="1526"/>
      <c r="V715" s="1526"/>
      <c r="W715" s="1526"/>
      <c r="X715" s="2143"/>
      <c r="Y715" s="3303"/>
      <c r="Z715" s="3303"/>
      <c r="AA715" s="3303"/>
      <c r="AB715" s="3303"/>
      <c r="AG715" s="1922"/>
      <c r="BL715" s="80"/>
    </row>
    <row r="716" spans="1:64" s="1921" customFormat="1" ht="13.2" customHeight="1">
      <c r="A716" s="1155"/>
      <c r="B716" s="1079"/>
      <c r="C716" s="109"/>
      <c r="D716" s="2273"/>
      <c r="E716" s="2273"/>
      <c r="F716" s="2273"/>
      <c r="G716" s="2273"/>
      <c r="H716" s="2273"/>
      <c r="I716" s="2273"/>
      <c r="J716" s="2273"/>
      <c r="K716" s="2273"/>
      <c r="L716" s="2273"/>
      <c r="M716" s="2273"/>
      <c r="N716" s="2273"/>
      <c r="O716" s="2273"/>
      <c r="P716" s="2273"/>
      <c r="Q716" s="2273"/>
      <c r="R716" s="2273"/>
      <c r="S716" s="2273"/>
      <c r="T716" s="2273"/>
      <c r="U716" s="2273"/>
      <c r="V716" s="2273"/>
      <c r="W716" s="2273"/>
      <c r="X716" s="2143"/>
      <c r="Y716" s="2633" t="s">
        <v>1964</v>
      </c>
      <c r="Z716" s="2633"/>
      <c r="AA716" s="2633"/>
      <c r="AB716" s="2633"/>
      <c r="AD716" s="1135"/>
      <c r="AG716" s="1922"/>
      <c r="BL716" s="80"/>
    </row>
    <row r="717" spans="1:64">
      <c r="B717" s="1079"/>
      <c r="C717" s="109"/>
      <c r="D717" s="2660" t="s">
        <v>2060</v>
      </c>
      <c r="E717" s="2012"/>
      <c r="F717" s="2012"/>
      <c r="G717" s="2012"/>
      <c r="H717" s="2012"/>
      <c r="I717" s="2012"/>
      <c r="J717" s="2012"/>
      <c r="K717" s="2012"/>
      <c r="L717" s="2020" t="str">
        <f>CONCATENATE("tD*/Ebitda* moving from ",ROUND(CALCULATIONS!MG8,1),"x to ",ROUND(CALCULATIONS!MU8,1),"x by 2Q13")</f>
        <v>tD*/Ebitda* moving from 1x to 1.7x by 2Q13</v>
      </c>
      <c r="M717" s="2012"/>
      <c r="N717" s="2012"/>
      <c r="O717" s="2012"/>
      <c r="P717" s="2012"/>
      <c r="Q717" s="2012"/>
      <c r="R717" s="2011" t="s">
        <v>1666</v>
      </c>
      <c r="S717" s="2275" t="s">
        <v>1724</v>
      </c>
      <c r="T717" s="2275"/>
      <c r="U717" s="2275"/>
      <c r="V717" s="2275"/>
      <c r="W717" s="2275"/>
      <c r="X717" s="2143"/>
      <c r="Y717" s="1480"/>
      <c r="Z717" s="1480"/>
      <c r="AA717" s="1480"/>
      <c r="AB717" s="1480"/>
    </row>
    <row r="718" spans="1:64" s="1921" customFormat="1">
      <c r="A718" s="1155"/>
      <c r="B718" s="1079"/>
      <c r="C718" s="109"/>
      <c r="D718" s="2021" t="str">
        <f>CONCATENATE("vs. ",ROUND( CALCULATIONS!MZ19,1), " on average for TPS and ", ROUND(CALCULATIONS!MU19,1)," at 2Q13.")</f>
        <v>vs. 1.1 on average for TPS and 1.2 at 2Q13.</v>
      </c>
      <c r="E718" s="2015"/>
      <c r="F718" s="2015"/>
      <c r="G718" s="2015"/>
      <c r="H718" s="2015"/>
      <c r="I718" s="2015"/>
      <c r="J718" s="2015"/>
      <c r="K718" s="2015"/>
      <c r="L718" s="2015"/>
      <c r="M718" s="2015"/>
      <c r="N718" s="2015"/>
      <c r="O718" s="2015"/>
      <c r="P718" s="2015"/>
      <c r="Q718" s="2015"/>
      <c r="R718" s="1526"/>
      <c r="S718" s="1526"/>
      <c r="T718" s="1526"/>
      <c r="U718" s="1526"/>
      <c r="V718" s="1526"/>
      <c r="W718" s="1526"/>
      <c r="X718" s="2143"/>
      <c r="AG718" s="1922"/>
      <c r="BL718" s="80"/>
    </row>
    <row r="719" spans="1:64" s="1921" customFormat="1">
      <c r="A719" s="1155"/>
      <c r="B719" s="1079"/>
      <c r="C719" s="109"/>
      <c r="D719" s="2273"/>
      <c r="E719" s="2273"/>
      <c r="F719" s="2273"/>
      <c r="G719" s="2273"/>
      <c r="H719" s="2273"/>
      <c r="I719" s="2273"/>
      <c r="J719" s="2273"/>
      <c r="K719" s="2273"/>
      <c r="L719" s="2273"/>
      <c r="M719" s="2273"/>
      <c r="N719" s="2273"/>
      <c r="O719" s="2273"/>
      <c r="P719" s="2273"/>
      <c r="Q719" s="2273"/>
      <c r="R719" s="2273"/>
      <c r="S719" s="2012"/>
      <c r="T719" s="2012"/>
      <c r="U719" s="2012"/>
      <c r="V719" s="2012"/>
      <c r="W719" s="2012"/>
      <c r="X719" s="2143"/>
      <c r="AG719" s="1922"/>
      <c r="BL719" s="80"/>
    </row>
    <row r="720" spans="1:64" ht="13.2" customHeight="1">
      <c r="B720" s="3437" t="s">
        <v>2066</v>
      </c>
      <c r="C720" s="109"/>
      <c r="D720" s="3408" t="s">
        <v>2064</v>
      </c>
      <c r="E720" s="3408"/>
      <c r="F720" s="3408"/>
      <c r="G720" s="3408"/>
      <c r="H720" s="3408"/>
      <c r="I720" s="3408"/>
      <c r="J720" s="3408"/>
      <c r="K720" s="3408"/>
      <c r="L720" s="3408"/>
      <c r="M720" s="3408"/>
      <c r="N720" s="3408"/>
      <c r="O720" s="3408"/>
      <c r="P720" s="3408"/>
      <c r="Q720" s="3408"/>
      <c r="R720" s="3408"/>
      <c r="S720" s="3408"/>
      <c r="T720" s="3408"/>
      <c r="U720" s="3408"/>
      <c r="V720" s="3408"/>
      <c r="W720" s="3408"/>
      <c r="X720" s="2143"/>
    </row>
    <row r="721" spans="1:64" s="2155" customFormat="1" ht="13.2" customHeight="1">
      <c r="A721" s="1155"/>
      <c r="B721" s="3437"/>
      <c r="C721" s="109"/>
      <c r="D721" s="3408"/>
      <c r="E721" s="3408"/>
      <c r="F721" s="3408"/>
      <c r="G721" s="3408"/>
      <c r="H721" s="3408"/>
      <c r="I721" s="3408"/>
      <c r="J721" s="3408"/>
      <c r="K721" s="3408"/>
      <c r="L721" s="3408"/>
      <c r="M721" s="3408"/>
      <c r="N721" s="3408"/>
      <c r="O721" s="3408"/>
      <c r="P721" s="3408"/>
      <c r="Q721" s="3408"/>
      <c r="R721" s="3408"/>
      <c r="S721" s="3408"/>
      <c r="T721" s="3408"/>
      <c r="U721" s="3408"/>
      <c r="V721" s="3408"/>
      <c r="W721" s="3408"/>
      <c r="X721" s="2143"/>
      <c r="AG721" s="2156"/>
      <c r="BL721" s="80"/>
    </row>
    <row r="722" spans="1:64" s="2661" customFormat="1" ht="13.2" customHeight="1">
      <c r="A722" s="1155"/>
      <c r="B722" s="2664"/>
      <c r="C722" s="109"/>
      <c r="D722" s="2659"/>
      <c r="E722" s="2659"/>
      <c r="F722" s="2659"/>
      <c r="G722" s="2659"/>
      <c r="H722" s="2659"/>
      <c r="I722" s="2659"/>
      <c r="J722" s="2659"/>
      <c r="K722" s="2659"/>
      <c r="L722" s="2659"/>
      <c r="M722" s="2659"/>
      <c r="N722" s="2659"/>
      <c r="O722" s="2659"/>
      <c r="P722" s="2659"/>
      <c r="Q722" s="2659"/>
      <c r="R722" s="2659"/>
      <c r="S722" s="2659"/>
      <c r="T722" s="2659"/>
      <c r="U722" s="2659"/>
      <c r="V722" s="2659"/>
      <c r="W722" s="2659"/>
      <c r="X722" s="2143"/>
      <c r="AG722" s="2662"/>
      <c r="BL722" s="80"/>
    </row>
    <row r="723" spans="1:64" s="1921" customFormat="1" ht="13.2" customHeight="1">
      <c r="A723" s="1155"/>
      <c r="B723" s="1079"/>
      <c r="C723" s="109"/>
      <c r="D723" s="3307" t="s">
        <v>2063</v>
      </c>
      <c r="E723" s="3307"/>
      <c r="F723" s="3307"/>
      <c r="G723" s="3307"/>
      <c r="H723" s="3307"/>
      <c r="I723" s="3307"/>
      <c r="J723" s="3307"/>
      <c r="K723" s="3307"/>
      <c r="L723" s="3307"/>
      <c r="M723" s="3307"/>
      <c r="N723" s="3307"/>
      <c r="O723" s="3307"/>
      <c r="P723" s="3307"/>
      <c r="Q723" s="3307"/>
      <c r="R723" s="3307"/>
      <c r="S723" s="3307"/>
      <c r="T723" s="3307"/>
      <c r="U723" s="3307"/>
      <c r="V723" s="3307"/>
      <c r="W723" s="3307"/>
      <c r="X723" s="2143"/>
      <c r="AG723" s="1922"/>
      <c r="BL723" s="80"/>
    </row>
    <row r="724" spans="1:64" s="1921" customFormat="1" ht="13.2" customHeight="1">
      <c r="A724" s="1155"/>
      <c r="B724" s="1079"/>
      <c r="C724" s="109"/>
      <c r="D724" s="3307"/>
      <c r="E724" s="3307"/>
      <c r="F724" s="3307"/>
      <c r="G724" s="3307"/>
      <c r="H724" s="3307"/>
      <c r="I724" s="3307"/>
      <c r="J724" s="3307"/>
      <c r="K724" s="3307"/>
      <c r="L724" s="3307"/>
      <c r="M724" s="3307"/>
      <c r="N724" s="3307"/>
      <c r="O724" s="3307"/>
      <c r="P724" s="3307"/>
      <c r="Q724" s="3307"/>
      <c r="R724" s="3307"/>
      <c r="S724" s="3307"/>
      <c r="T724" s="3307"/>
      <c r="U724" s="3307"/>
      <c r="V724" s="3307"/>
      <c r="W724" s="3307"/>
      <c r="X724" s="2143"/>
      <c r="AG724" s="1922"/>
      <c r="BL724" s="80"/>
    </row>
    <row r="725" spans="1:64" s="1921" customFormat="1" ht="13.2" customHeight="1">
      <c r="A725" s="1155"/>
      <c r="B725" s="1079"/>
      <c r="C725" s="109"/>
      <c r="D725" s="2273"/>
      <c r="E725" s="2272"/>
      <c r="F725" s="2272"/>
      <c r="G725" s="2272"/>
      <c r="H725" s="2272"/>
      <c r="I725" s="2272"/>
      <c r="J725" s="2272"/>
      <c r="K725" s="2272"/>
      <c r="L725" s="2272"/>
      <c r="M725" s="2272"/>
      <c r="N725" s="2272"/>
      <c r="O725" s="2272"/>
      <c r="P725" s="2272"/>
      <c r="Q725" s="2272"/>
      <c r="R725" s="2273"/>
      <c r="S725" s="2273"/>
      <c r="T725" s="2273"/>
      <c r="U725" s="2273"/>
      <c r="V725" s="2273"/>
      <c r="W725" s="2273"/>
      <c r="X725" s="2143"/>
      <c r="AG725" s="1922"/>
      <c r="BL725" s="80"/>
    </row>
    <row r="726" spans="1:64" s="1921" customFormat="1" ht="13.2" customHeight="1">
      <c r="A726" s="1155"/>
      <c r="B726" s="3437" t="s">
        <v>2065</v>
      </c>
      <c r="C726" s="109"/>
      <c r="D726" s="3307" t="s">
        <v>2067</v>
      </c>
      <c r="E726" s="3307"/>
      <c r="F726" s="3307"/>
      <c r="G726" s="3307"/>
      <c r="H726" s="3307"/>
      <c r="I726" s="3307"/>
      <c r="J726" s="3307"/>
      <c r="K726" s="3307"/>
      <c r="L726" s="3307"/>
      <c r="M726" s="3307"/>
      <c r="N726" s="3307"/>
      <c r="O726" s="3307"/>
      <c r="P726" s="3307"/>
      <c r="Q726" s="3307"/>
      <c r="R726" s="3307"/>
      <c r="S726" s="3307"/>
      <c r="T726" s="3307"/>
      <c r="U726" s="3307"/>
      <c r="V726" s="3307"/>
      <c r="W726" s="3307"/>
      <c r="X726" s="2143"/>
      <c r="AG726" s="1922"/>
      <c r="BL726" s="80"/>
    </row>
    <row r="727" spans="1:64" s="1921" customFormat="1" ht="13.2" customHeight="1">
      <c r="A727" s="1155"/>
      <c r="B727" s="3437"/>
      <c r="C727" s="109"/>
      <c r="D727" s="3307"/>
      <c r="E727" s="3307"/>
      <c r="F727" s="3307"/>
      <c r="G727" s="3307"/>
      <c r="H727" s="3307"/>
      <c r="I727" s="3307"/>
      <c r="J727" s="3307"/>
      <c r="K727" s="3307"/>
      <c r="L727" s="3307"/>
      <c r="M727" s="3307"/>
      <c r="N727" s="3307"/>
      <c r="O727" s="3307"/>
      <c r="P727" s="3307"/>
      <c r="Q727" s="3307"/>
      <c r="R727" s="3307"/>
      <c r="S727" s="3307"/>
      <c r="T727" s="3307"/>
      <c r="U727" s="3307"/>
      <c r="V727" s="3307"/>
      <c r="W727" s="3307"/>
      <c r="X727" s="2143"/>
      <c r="AG727" s="1922"/>
      <c r="BL727" s="80"/>
    </row>
    <row r="728" spans="1:64" s="2661" customFormat="1" ht="13.2" customHeight="1">
      <c r="A728" s="1155"/>
      <c r="B728" s="2664"/>
      <c r="C728" s="109"/>
      <c r="D728" s="3440" t="s">
        <v>2069</v>
      </c>
      <c r="E728" s="3440"/>
      <c r="F728" s="3440"/>
      <c r="G728" s="3440"/>
      <c r="H728" s="3440"/>
      <c r="I728" s="3440"/>
      <c r="J728" s="3440"/>
      <c r="K728" s="3440"/>
      <c r="L728" s="3440"/>
      <c r="M728" s="3440"/>
      <c r="N728" s="3440"/>
      <c r="O728" s="3440"/>
      <c r="P728" s="3440"/>
      <c r="Q728" s="2658"/>
      <c r="R728" s="2658"/>
      <c r="S728" s="2658"/>
      <c r="T728" s="2658"/>
      <c r="U728" s="2658"/>
      <c r="V728" s="2658"/>
      <c r="W728" s="2658"/>
      <c r="X728" s="2143"/>
      <c r="AG728" s="2662"/>
      <c r="BL728" s="80"/>
    </row>
    <row r="729" spans="1:64" s="2661" customFormat="1" ht="13.2" customHeight="1">
      <c r="A729" s="1155"/>
      <c r="B729" s="2664"/>
      <c r="C729" s="109"/>
      <c r="D729" s="3440"/>
      <c r="E729" s="3440"/>
      <c r="F729" s="3440"/>
      <c r="G729" s="3440"/>
      <c r="H729" s="3440"/>
      <c r="I729" s="3440"/>
      <c r="J729" s="3440"/>
      <c r="K729" s="3440"/>
      <c r="L729" s="3440"/>
      <c r="M729" s="3440"/>
      <c r="N729" s="3440"/>
      <c r="O729" s="3440"/>
      <c r="P729" s="3440"/>
      <c r="Q729" s="2658"/>
      <c r="R729" s="2658"/>
      <c r="S729" s="2658"/>
      <c r="T729" s="1529" t="s">
        <v>36</v>
      </c>
      <c r="U729" s="1998"/>
      <c r="V729" s="1720" t="s">
        <v>1513</v>
      </c>
      <c r="W729" s="1470" t="s">
        <v>1452</v>
      </c>
      <c r="X729" s="2143"/>
      <c r="AG729" s="2662"/>
      <c r="BL729" s="80"/>
    </row>
    <row r="730" spans="1:64" s="2661" customFormat="1" ht="13.2" customHeight="1">
      <c r="A730" s="1155"/>
      <c r="B730" s="2664"/>
      <c r="C730" s="109"/>
      <c r="D730" s="3440"/>
      <c r="E730" s="3440"/>
      <c r="F730" s="3440"/>
      <c r="G730" s="3440"/>
      <c r="H730" s="3440"/>
      <c r="I730" s="3440"/>
      <c r="J730" s="3440"/>
      <c r="K730" s="3440"/>
      <c r="L730" s="3440"/>
      <c r="M730" s="3440"/>
      <c r="N730" s="3440"/>
      <c r="O730" s="3440"/>
      <c r="P730" s="3440"/>
      <c r="Q730" s="2658"/>
      <c r="R730" s="2662"/>
      <c r="S730" s="2662"/>
      <c r="T730" s="3071" t="s">
        <v>70</v>
      </c>
      <c r="U730" s="3068"/>
      <c r="V730" s="1722" t="s">
        <v>69</v>
      </c>
      <c r="W730" s="1988" t="s">
        <v>71</v>
      </c>
      <c r="X730" s="2143"/>
      <c r="AG730" s="2662"/>
      <c r="BL730" s="80"/>
    </row>
    <row r="731" spans="1:64" s="2661" customFormat="1" ht="13.2" customHeight="1">
      <c r="A731" s="1155"/>
      <c r="B731" s="2664"/>
      <c r="C731" s="109"/>
      <c r="D731" s="1869" t="s">
        <v>2068</v>
      </c>
      <c r="E731" s="2658"/>
      <c r="F731" s="2658"/>
      <c r="G731" s="2658"/>
      <c r="H731" s="2658"/>
      <c r="I731" s="2658"/>
      <c r="J731" s="2658"/>
      <c r="K731" s="2658"/>
      <c r="L731" s="2658"/>
      <c r="M731" s="2658"/>
      <c r="N731" s="2658"/>
      <c r="O731" s="2658"/>
      <c r="P731" s="2658"/>
      <c r="Q731" s="2658"/>
      <c r="R731" s="2662"/>
      <c r="S731" s="2662"/>
      <c r="T731" s="2939" t="s">
        <v>71</v>
      </c>
      <c r="X731" s="2143"/>
      <c r="AG731" s="2662"/>
      <c r="BL731" s="80"/>
    </row>
    <row r="732" spans="1:64" s="1788" customFormat="1">
      <c r="A732" s="1155"/>
      <c r="B732" s="2629"/>
      <c r="C732" s="1622"/>
      <c r="D732" s="2505"/>
      <c r="E732" s="2506"/>
      <c r="F732" s="2506"/>
      <c r="G732" s="2506"/>
      <c r="H732" s="2506"/>
      <c r="I732" s="2506"/>
      <c r="J732" s="2506"/>
      <c r="K732" s="2506"/>
      <c r="L732" s="2506"/>
      <c r="M732" s="2506"/>
      <c r="N732" s="2497"/>
      <c r="O732" s="2497"/>
      <c r="P732" s="2497"/>
      <c r="Q732" s="2497"/>
      <c r="R732" s="90"/>
      <c r="S732" s="90"/>
      <c r="T732" s="90"/>
      <c r="U732" s="90"/>
      <c r="V732" s="90"/>
      <c r="W732" s="90"/>
      <c r="X732" s="91"/>
      <c r="AG732" s="1789"/>
      <c r="BL732" s="80"/>
    </row>
    <row r="733" spans="1:64" s="2269" customFormat="1">
      <c r="A733" s="1155"/>
      <c r="C733" s="92"/>
      <c r="D733" s="2254"/>
      <c r="E733" s="2084"/>
      <c r="F733" s="2084"/>
      <c r="G733" s="2084"/>
      <c r="H733" s="2084"/>
      <c r="I733" s="2084"/>
      <c r="J733" s="2084"/>
      <c r="K733" s="2084"/>
      <c r="L733" s="2084"/>
      <c r="M733" s="2084"/>
      <c r="N733" s="2270"/>
      <c r="O733" s="2270"/>
      <c r="P733" s="2270"/>
      <c r="Q733" s="2270"/>
      <c r="X733" s="2273"/>
      <c r="AG733" s="2273"/>
      <c r="BL733" s="80"/>
    </row>
    <row r="734" spans="1:64" s="1921" customFormat="1">
      <c r="A734" s="1155"/>
      <c r="C734" s="92"/>
      <c r="D734" s="79"/>
      <c r="E734" s="1919"/>
      <c r="F734" s="1919"/>
      <c r="G734" s="1919"/>
      <c r="H734" s="1919"/>
      <c r="I734" s="1919"/>
      <c r="J734" s="1919"/>
      <c r="K734" s="1919"/>
      <c r="L734" s="1919"/>
      <c r="M734" s="1919"/>
      <c r="N734" s="1919"/>
      <c r="O734" s="1919"/>
      <c r="P734" s="1919"/>
      <c r="Q734" s="1919"/>
      <c r="S734" s="1922"/>
      <c r="T734" s="1922"/>
      <c r="U734" s="1922"/>
      <c r="V734" s="1922"/>
      <c r="W734" s="1922"/>
      <c r="X734" s="1922"/>
      <c r="AG734" s="1922"/>
      <c r="BL734" s="80"/>
    </row>
    <row r="735" spans="1:64" s="1725" customFormat="1">
      <c r="A735" s="1512" t="s">
        <v>1525</v>
      </c>
      <c r="B735" s="1513"/>
      <c r="C735" s="1847"/>
      <c r="D735" s="2022"/>
      <c r="E735" s="2022"/>
      <c r="F735" s="2022"/>
      <c r="G735" s="2022"/>
      <c r="H735" s="2022"/>
      <c r="I735" s="2022"/>
      <c r="J735" s="2022"/>
      <c r="K735" s="2022"/>
      <c r="L735" s="2022"/>
      <c r="M735" s="2022"/>
      <c r="N735" s="2022"/>
      <c r="O735" s="2022"/>
      <c r="P735" s="2022"/>
      <c r="Q735" s="2022"/>
      <c r="R735" s="2022"/>
      <c r="S735" s="2022"/>
      <c r="T735" s="2022"/>
      <c r="U735" s="2022"/>
      <c r="V735" s="2022"/>
      <c r="W735" s="2022"/>
      <c r="X735" s="1727"/>
      <c r="AG735" s="1727"/>
      <c r="BL735" s="2462"/>
    </row>
    <row r="736" spans="1:64" s="1725" customFormat="1">
      <c r="A736" s="1913"/>
      <c r="B736" s="1847"/>
      <c r="C736" s="1847"/>
      <c r="D736" s="2022"/>
      <c r="E736" s="2022"/>
      <c r="F736" s="2022"/>
      <c r="G736" s="2022"/>
      <c r="H736" s="2022"/>
      <c r="I736" s="2022"/>
      <c r="J736" s="2022"/>
      <c r="K736" s="2022"/>
      <c r="L736" s="2022"/>
      <c r="M736" s="2022"/>
      <c r="N736" s="2022"/>
      <c r="O736" s="2022"/>
      <c r="P736" s="2022"/>
      <c r="Q736" s="2022"/>
      <c r="R736" s="2022"/>
      <c r="S736" s="2022"/>
      <c r="T736" s="2022"/>
      <c r="U736" s="2022"/>
      <c r="V736" s="2022"/>
      <c r="W736" s="2022"/>
      <c r="X736" s="1727"/>
      <c r="AG736" s="1727"/>
      <c r="BL736" s="2462"/>
    </row>
    <row r="737" spans="1:64" s="1725" customFormat="1">
      <c r="A737" s="1913"/>
      <c r="B737" s="1847"/>
      <c r="C737" s="1847"/>
      <c r="D737" s="2022"/>
      <c r="E737" s="2022"/>
      <c r="F737" s="2022"/>
      <c r="G737" s="2022"/>
      <c r="H737" s="2022"/>
      <c r="I737" s="2022"/>
      <c r="J737" s="2022"/>
      <c r="K737" s="2022"/>
      <c r="L737" s="2022"/>
      <c r="M737" s="2022"/>
      <c r="N737" s="2022"/>
      <c r="O737" s="2022"/>
      <c r="P737" s="2022"/>
      <c r="Q737" s="2022"/>
      <c r="R737" s="2022"/>
      <c r="S737" s="2022"/>
      <c r="T737" s="2022"/>
      <c r="U737" s="2022"/>
      <c r="V737" s="2022"/>
      <c r="W737" s="2022"/>
      <c r="X737" s="1727"/>
      <c r="AG737" s="1727"/>
      <c r="BL737" s="2462"/>
    </row>
    <row r="738" spans="1:64" s="1788" customFormat="1">
      <c r="A738" s="1190"/>
      <c r="B738" s="92"/>
      <c r="C738" s="92"/>
      <c r="D738" s="2023"/>
      <c r="E738" s="2023"/>
      <c r="F738" s="2023"/>
      <c r="G738" s="2023"/>
      <c r="H738" s="2023"/>
      <c r="I738" s="2023"/>
      <c r="J738" s="2023"/>
      <c r="K738" s="2023"/>
      <c r="L738" s="2023"/>
      <c r="M738" s="2023"/>
      <c r="N738" s="2023"/>
      <c r="O738" s="2023"/>
      <c r="P738" s="2023"/>
      <c r="Q738" s="2023"/>
      <c r="R738" s="2023"/>
      <c r="S738" s="2023"/>
      <c r="T738" s="2023"/>
      <c r="U738" s="2023"/>
      <c r="V738" s="2023"/>
      <c r="W738" s="2023"/>
      <c r="X738" s="1809"/>
      <c r="AG738" s="1789"/>
      <c r="BL738" s="80"/>
    </row>
    <row r="739" spans="1:64">
      <c r="A739" s="1728"/>
      <c r="E739" s="1602"/>
      <c r="F739" s="1602"/>
      <c r="G739" s="1602"/>
      <c r="H739" s="1602"/>
      <c r="I739" s="1602"/>
      <c r="J739" s="1602"/>
      <c r="K739" s="1602"/>
      <c r="L739" s="1602"/>
      <c r="M739" s="1602"/>
      <c r="N739" s="1602"/>
      <c r="O739" s="1602"/>
      <c r="P739" s="1602"/>
      <c r="Q739" s="1602"/>
      <c r="R739" s="1602"/>
      <c r="S739" s="1602"/>
      <c r="T739" s="1602"/>
      <c r="U739" s="1602"/>
      <c r="V739" s="1602"/>
      <c r="W739" s="1602"/>
    </row>
    <row r="740" spans="1:64" s="2545" customFormat="1">
      <c r="A740" s="1728"/>
      <c r="C740" s="92"/>
      <c r="R740" s="2546"/>
      <c r="S740" s="2546"/>
      <c r="T740" s="2546"/>
      <c r="U740" s="2546"/>
      <c r="V740" s="2546"/>
      <c r="W740" s="2546"/>
      <c r="X740" s="2547"/>
      <c r="AF740" s="2547"/>
      <c r="AG740" s="2547"/>
      <c r="BL740" s="80"/>
    </row>
    <row r="741" spans="1:64">
      <c r="A741" s="1528" t="s">
        <v>1957</v>
      </c>
      <c r="B741" s="2630"/>
      <c r="D741" s="2661"/>
      <c r="R741" s="77"/>
      <c r="S741" s="109"/>
    </row>
    <row r="742" spans="1:64" s="2661" customFormat="1">
      <c r="A742" s="1955"/>
      <c r="B742" s="226"/>
      <c r="C742" s="92"/>
      <c r="D742" s="1744"/>
      <c r="E742" s="2663"/>
      <c r="F742" s="2663"/>
      <c r="G742" s="2663"/>
      <c r="H742" s="2663"/>
      <c r="I742" s="2663"/>
      <c r="J742" s="2663"/>
      <c r="K742" s="2663"/>
      <c r="L742" s="2663"/>
      <c r="M742" s="2663"/>
      <c r="N742" s="2663"/>
      <c r="O742" s="2663"/>
      <c r="P742" s="2663"/>
      <c r="Q742" s="1698"/>
      <c r="R742" s="77"/>
      <c r="S742" s="109"/>
      <c r="X742" s="2662"/>
      <c r="AF742" s="2662"/>
      <c r="AG742" s="2662"/>
      <c r="BL742" s="80"/>
    </row>
    <row r="743" spans="1:64" s="2661" customFormat="1">
      <c r="A743" s="1955"/>
      <c r="B743" s="226"/>
      <c r="C743" s="92"/>
      <c r="D743" s="1744"/>
      <c r="E743" s="2663"/>
      <c r="F743" s="2663"/>
      <c r="G743" s="2663"/>
      <c r="H743" s="2663"/>
      <c r="I743" s="2663"/>
      <c r="J743" s="2663"/>
      <c r="K743" s="2663"/>
      <c r="L743" s="2663"/>
      <c r="M743" s="2663"/>
      <c r="N743" s="2663"/>
      <c r="O743" s="2663"/>
      <c r="P743" s="2663"/>
      <c r="Q743" s="1698"/>
      <c r="R743" s="77"/>
      <c r="S743" s="109"/>
      <c r="X743" s="2662"/>
      <c r="AF743" s="2662"/>
      <c r="AG743" s="2662"/>
      <c r="BL743" s="80"/>
    </row>
    <row r="744" spans="1:64" s="2661" customFormat="1">
      <c r="A744" s="1955"/>
      <c r="B744" s="226"/>
      <c r="C744" s="92"/>
      <c r="D744" s="2662" t="s">
        <v>2049</v>
      </c>
      <c r="E744" s="2564"/>
      <c r="F744" s="2564"/>
      <c r="G744" s="2564"/>
      <c r="H744" s="2564"/>
      <c r="I744" s="2564"/>
      <c r="J744" s="2564"/>
      <c r="K744" s="2564"/>
      <c r="L744" s="2564"/>
      <c r="M744" s="2564"/>
      <c r="N744" s="2564"/>
      <c r="O744" s="2564"/>
      <c r="P744" s="2564"/>
      <c r="Q744" s="2546"/>
      <c r="R744" s="77"/>
      <c r="S744" s="109"/>
      <c r="X744" s="2662"/>
      <c r="AF744" s="2662"/>
      <c r="AG744" s="2662"/>
      <c r="BL744" s="80"/>
    </row>
    <row r="745" spans="1:64" s="2661" customFormat="1">
      <c r="A745" s="1955"/>
      <c r="B745" s="226"/>
      <c r="C745" s="92"/>
      <c r="D745" s="1744" t="s">
        <v>1989</v>
      </c>
      <c r="E745" s="2564"/>
      <c r="F745" s="2564"/>
      <c r="G745" s="2564"/>
      <c r="H745" s="2564"/>
      <c r="I745" s="2564"/>
      <c r="J745" s="2564"/>
      <c r="K745" s="2564"/>
      <c r="L745" s="2564"/>
      <c r="M745" s="2564"/>
      <c r="N745" s="2564"/>
      <c r="O745" s="2564"/>
      <c r="P745" s="2564"/>
      <c r="Q745" s="1698"/>
      <c r="R745" s="77"/>
      <c r="S745" s="109"/>
      <c r="X745" s="2662"/>
      <c r="AF745" s="2662"/>
      <c r="AG745" s="2662"/>
      <c r="BL745" s="80"/>
    </row>
    <row r="746" spans="1:64">
      <c r="D746" s="2661" t="s">
        <v>2057</v>
      </c>
    </row>
    <row r="747" spans="1:64" s="2896" customFormat="1">
      <c r="A747" s="1155"/>
      <c r="C747" s="92"/>
      <c r="X747" s="2891"/>
      <c r="AF747" s="2891"/>
      <c r="AG747" s="2891"/>
      <c r="BL747" s="80"/>
    </row>
    <row r="748" spans="1:64" s="2896" customFormat="1">
      <c r="A748" s="1155"/>
      <c r="C748" s="92"/>
      <c r="E748" s="1529" t="s">
        <v>1770</v>
      </c>
      <c r="F748" s="157"/>
      <c r="G748" s="1105" t="s">
        <v>1513</v>
      </c>
      <c r="H748" s="1470" t="s">
        <v>1452</v>
      </c>
      <c r="J748" s="1529" t="s">
        <v>1523</v>
      </c>
      <c r="K748" s="157"/>
      <c r="L748" s="1105" t="s">
        <v>1513</v>
      </c>
      <c r="M748" s="1470" t="s">
        <v>1452</v>
      </c>
      <c r="O748" s="1529" t="s">
        <v>38</v>
      </c>
      <c r="P748" s="157"/>
      <c r="Q748" s="1105" t="s">
        <v>1513</v>
      </c>
      <c r="R748" s="1470" t="s">
        <v>1452</v>
      </c>
      <c r="X748" s="2891"/>
      <c r="AF748" s="2891"/>
      <c r="AG748" s="2891"/>
      <c r="BL748" s="80"/>
    </row>
    <row r="749" spans="1:64" s="2896" customFormat="1">
      <c r="A749" s="1155"/>
      <c r="C749" s="92"/>
      <c r="E749" s="3071" t="str">
        <f>T555</f>
        <v>A-</v>
      </c>
      <c r="F749" s="3072"/>
      <c r="G749" s="1105" t="str">
        <f>V555</f>
        <v>A</v>
      </c>
      <c r="H749" s="1470" t="str">
        <f>W555</f>
        <v>BBB+</v>
      </c>
      <c r="J749" s="3071" t="str">
        <f>T730</f>
        <v>BBB</v>
      </c>
      <c r="K749" s="3072"/>
      <c r="L749" s="1105" t="str">
        <f>V730</f>
        <v>BBB+</v>
      </c>
      <c r="M749" s="1470" t="str">
        <f>W730</f>
        <v>BBB-</v>
      </c>
      <c r="O749" s="3071" t="str">
        <f>T620</f>
        <v>B+</v>
      </c>
      <c r="P749" s="3072"/>
      <c r="Q749" s="1105" t="str">
        <f>V620</f>
        <v>BB-</v>
      </c>
      <c r="R749" s="1470" t="str">
        <f>W620</f>
        <v>B+</v>
      </c>
      <c r="X749" s="2891"/>
      <c r="AF749" s="2891"/>
      <c r="AG749" s="2891"/>
      <c r="BL749" s="80"/>
    </row>
    <row r="750" spans="1:64" s="2896" customFormat="1">
      <c r="A750" s="1155"/>
      <c r="C750" s="92"/>
      <c r="D750" s="560" t="s">
        <v>2541</v>
      </c>
      <c r="E750" s="79" t="s">
        <v>67</v>
      </c>
      <c r="J750" s="79" t="s">
        <v>68</v>
      </c>
      <c r="X750" s="2891"/>
      <c r="AF750" s="2891"/>
      <c r="AG750" s="2891"/>
      <c r="BL750" s="80"/>
    </row>
    <row r="751" spans="1:64" s="2896" customFormat="1">
      <c r="A751" s="1155"/>
      <c r="C751" s="92"/>
      <c r="X751" s="2891"/>
      <c r="AF751" s="2891"/>
      <c r="AG751" s="2891"/>
      <c r="BL751" s="80"/>
    </row>
    <row r="752" spans="1:64" s="2896" customFormat="1">
      <c r="A752" s="1155"/>
      <c r="C752" s="92"/>
      <c r="E752" s="1529" t="s">
        <v>798</v>
      </c>
      <c r="F752" s="157"/>
      <c r="G752" s="1105" t="s">
        <v>1513</v>
      </c>
      <c r="H752" s="1470" t="s">
        <v>1452</v>
      </c>
      <c r="J752" s="1529" t="s">
        <v>799</v>
      </c>
      <c r="K752" s="157"/>
      <c r="L752" s="1105" t="s">
        <v>1513</v>
      </c>
      <c r="M752" s="1470" t="s">
        <v>1452</v>
      </c>
      <c r="X752" s="2891"/>
      <c r="AF752" s="2891"/>
      <c r="AG752" s="2891"/>
      <c r="BL752" s="80"/>
    </row>
    <row r="753" spans="1:64" s="2896" customFormat="1">
      <c r="A753" s="1155"/>
      <c r="C753" s="92"/>
      <c r="E753" s="3073" t="s">
        <v>70</v>
      </c>
      <c r="F753" s="3074"/>
      <c r="G753" s="1105" t="s">
        <v>69</v>
      </c>
      <c r="H753" s="1470" t="s">
        <v>71</v>
      </c>
      <c r="J753" s="3073" t="s">
        <v>70</v>
      </c>
      <c r="K753" s="3074"/>
      <c r="L753" s="1105" t="s">
        <v>69</v>
      </c>
      <c r="M753" s="1470" t="s">
        <v>71</v>
      </c>
      <c r="X753" s="2891"/>
      <c r="AF753" s="2891"/>
      <c r="AG753" s="2891"/>
      <c r="BL753" s="80"/>
    </row>
    <row r="754" spans="1:64" s="2896" customFormat="1">
      <c r="A754" s="1155"/>
      <c r="C754" s="92"/>
      <c r="D754" s="560" t="s">
        <v>2541</v>
      </c>
      <c r="E754" s="79" t="s">
        <v>69</v>
      </c>
      <c r="J754" s="79" t="s">
        <v>68</v>
      </c>
      <c r="X754" s="2891"/>
      <c r="AF754" s="2891"/>
      <c r="AG754" s="2891"/>
      <c r="BL754" s="80"/>
    </row>
    <row r="755" spans="1:64" s="2896" customFormat="1">
      <c r="A755" s="1155"/>
      <c r="C755" s="92"/>
      <c r="X755" s="2891"/>
      <c r="AF755" s="2891"/>
      <c r="AG755" s="2891"/>
      <c r="BL755" s="80"/>
    </row>
    <row r="756" spans="1:64" s="1725" customFormat="1">
      <c r="A756" s="1512" t="s">
        <v>1525</v>
      </c>
      <c r="B756" s="1513"/>
      <c r="C756" s="1847"/>
      <c r="D756" s="2022"/>
      <c r="E756" s="2022"/>
      <c r="F756" s="2022"/>
      <c r="G756" s="2022"/>
      <c r="H756" s="2022"/>
      <c r="I756" s="2022"/>
      <c r="J756" s="2022"/>
      <c r="K756" s="2022"/>
      <c r="L756" s="2022"/>
      <c r="M756" s="2022"/>
      <c r="N756" s="2022"/>
      <c r="O756" s="2022"/>
      <c r="P756" s="2022"/>
      <c r="Q756" s="2022"/>
      <c r="R756" s="2022"/>
      <c r="S756" s="2022"/>
      <c r="T756" s="2022"/>
      <c r="U756" s="2022"/>
      <c r="V756" s="2022"/>
      <c r="W756" s="2022"/>
      <c r="X756" s="1727"/>
      <c r="AG756" s="1727"/>
      <c r="BL756" s="2462"/>
    </row>
    <row r="757" spans="1:64" s="1725" customFormat="1">
      <c r="A757" s="1913"/>
      <c r="B757" s="1847"/>
      <c r="C757" s="1847"/>
      <c r="D757" s="2022"/>
      <c r="E757" s="2022"/>
      <c r="F757" s="2022"/>
      <c r="G757" s="2022"/>
      <c r="H757" s="2022"/>
      <c r="I757" s="2022"/>
      <c r="J757" s="2022"/>
      <c r="K757" s="2022"/>
      <c r="L757" s="2022"/>
      <c r="M757" s="2022"/>
      <c r="N757" s="2022"/>
      <c r="O757" s="2022"/>
      <c r="P757" s="2022"/>
      <c r="Q757" s="2022"/>
      <c r="R757" s="2022"/>
      <c r="S757" s="2022"/>
      <c r="T757" s="2022"/>
      <c r="U757" s="2022"/>
      <c r="V757" s="2022"/>
      <c r="W757" s="2022"/>
      <c r="X757" s="1727"/>
      <c r="AG757" s="1727"/>
      <c r="BL757" s="2462"/>
    </row>
    <row r="758" spans="1:64" s="1725" customFormat="1">
      <c r="A758" s="1913"/>
      <c r="B758" s="1847"/>
      <c r="C758" s="1847"/>
      <c r="D758" s="2022"/>
      <c r="E758" s="2022"/>
      <c r="F758" s="2022"/>
      <c r="G758" s="2022"/>
      <c r="H758" s="2022"/>
      <c r="I758" s="2022"/>
      <c r="J758" s="2022"/>
      <c r="K758" s="2022"/>
      <c r="L758" s="2022"/>
      <c r="M758" s="2022"/>
      <c r="N758" s="2022"/>
      <c r="O758" s="2022"/>
      <c r="P758" s="2022"/>
      <c r="Q758" s="2022"/>
      <c r="R758" s="2022"/>
      <c r="S758" s="2022"/>
      <c r="T758" s="2022"/>
      <c r="U758" s="2022"/>
      <c r="V758" s="2022"/>
      <c r="W758" s="2022"/>
      <c r="X758" s="1727"/>
      <c r="AG758" s="1727"/>
      <c r="BL758" s="2462"/>
    </row>
    <row r="759" spans="1:64" s="1725" customFormat="1">
      <c r="A759" s="1913"/>
      <c r="B759" s="1847"/>
      <c r="C759" s="1847"/>
      <c r="D759" s="2022"/>
      <c r="E759" s="2022"/>
      <c r="F759" s="2022"/>
      <c r="G759" s="2022"/>
      <c r="H759" s="2022"/>
      <c r="I759" s="2022"/>
      <c r="J759" s="2022"/>
      <c r="K759" s="2022"/>
      <c r="L759" s="2022"/>
      <c r="M759" s="2022"/>
      <c r="N759" s="2022"/>
      <c r="O759" s="2022"/>
      <c r="P759" s="2022"/>
      <c r="Q759" s="2022"/>
      <c r="R759" s="2022"/>
      <c r="S759" s="2022"/>
      <c r="T759" s="2022"/>
      <c r="U759" s="2022"/>
      <c r="V759" s="2022"/>
      <c r="W759" s="2022"/>
      <c r="X759" s="1727"/>
      <c r="AG759" s="1727"/>
      <c r="BL759" s="2462"/>
    </row>
    <row r="760" spans="1:64" s="1725" customFormat="1">
      <c r="A760" s="1796"/>
      <c r="B760" s="1797"/>
      <c r="C760" s="1797"/>
      <c r="D760" s="2022"/>
      <c r="E760" s="2022"/>
      <c r="F760" s="2022"/>
      <c r="G760" s="2022"/>
      <c r="H760" s="2022"/>
      <c r="I760" s="2022"/>
      <c r="J760" s="2022"/>
      <c r="K760" s="2022"/>
      <c r="L760" s="2022"/>
      <c r="M760" s="2022"/>
      <c r="N760" s="2022"/>
      <c r="O760" s="2022"/>
      <c r="P760" s="2022"/>
      <c r="Q760" s="2022"/>
      <c r="R760" s="2022"/>
      <c r="S760" s="2022"/>
      <c r="T760" s="2022"/>
      <c r="U760" s="2022"/>
      <c r="V760" s="2022"/>
      <c r="W760" s="2022"/>
      <c r="X760" s="1727"/>
      <c r="AG760" s="1727"/>
      <c r="BL760" s="2462"/>
    </row>
    <row r="761" spans="1:64" s="2545" customFormat="1">
      <c r="A761" s="1190"/>
      <c r="B761" s="92"/>
      <c r="C761" s="92"/>
      <c r="D761" s="2023"/>
      <c r="E761" s="2023"/>
      <c r="F761" s="2023"/>
      <c r="G761" s="2023"/>
      <c r="H761" s="2023"/>
      <c r="I761" s="2023"/>
      <c r="J761" s="2023"/>
      <c r="K761" s="2023"/>
      <c r="L761" s="2023"/>
      <c r="M761" s="2023"/>
      <c r="N761" s="2023"/>
      <c r="O761" s="2023"/>
      <c r="P761" s="2023"/>
      <c r="Q761" s="2023"/>
      <c r="R761" s="2023"/>
      <c r="S761" s="2023"/>
      <c r="T761" s="2023"/>
      <c r="U761" s="2023"/>
      <c r="V761" s="2023"/>
      <c r="W761" s="2023"/>
      <c r="X761" s="2547"/>
      <c r="AG761" s="2547"/>
      <c r="BL761" s="80"/>
    </row>
    <row r="762" spans="1:64" s="92" customFormat="1">
      <c r="A762" s="1190"/>
      <c r="D762" s="2631"/>
      <c r="E762" s="2631"/>
      <c r="F762" s="2631"/>
      <c r="G762" s="2631"/>
      <c r="H762" s="2631"/>
      <c r="I762" s="2631"/>
      <c r="J762" s="2631"/>
      <c r="K762" s="2631"/>
      <c r="L762" s="2631"/>
      <c r="M762" s="2631"/>
      <c r="N762" s="2631"/>
      <c r="O762" s="2631"/>
      <c r="P762" s="2631"/>
      <c r="Q762" s="2631"/>
      <c r="R762" s="2631"/>
      <c r="S762" s="2631"/>
      <c r="T762" s="2631"/>
      <c r="U762" s="2631"/>
      <c r="V762" s="2631"/>
      <c r="W762" s="2631"/>
      <c r="X762" s="109"/>
      <c r="AG762" s="109"/>
      <c r="BL762" s="2425"/>
    </row>
    <row r="763" spans="1:64" s="92" customFormat="1">
      <c r="A763" s="1190"/>
      <c r="D763" s="2631"/>
      <c r="E763" s="2631"/>
      <c r="F763" s="2631"/>
      <c r="G763" s="2631"/>
      <c r="H763" s="2631"/>
      <c r="I763" s="2631"/>
      <c r="J763" s="2631"/>
      <c r="K763" s="2631"/>
      <c r="L763" s="2631"/>
      <c r="M763" s="2631"/>
      <c r="N763" s="2631"/>
      <c r="O763" s="2631"/>
      <c r="P763" s="2631"/>
      <c r="Q763" s="2631"/>
      <c r="R763" s="2631"/>
      <c r="S763" s="2631"/>
      <c r="T763" s="2631"/>
      <c r="U763" s="2631"/>
      <c r="V763" s="2631"/>
      <c r="W763" s="2631"/>
      <c r="X763" s="109"/>
      <c r="AG763" s="109"/>
      <c r="BL763" s="2425"/>
    </row>
    <row r="764" spans="1:64">
      <c r="A764" s="1595" t="s">
        <v>41</v>
      </c>
      <c r="B764" s="1190"/>
      <c r="D764" s="2083"/>
      <c r="E764" s="2083"/>
      <c r="F764" s="2083"/>
      <c r="G764" s="2083"/>
      <c r="H764" s="2083"/>
      <c r="I764" s="2083"/>
      <c r="J764" s="2083"/>
      <c r="K764" s="2083"/>
      <c r="L764" s="2083"/>
      <c r="M764" s="2083"/>
      <c r="N764" s="2083"/>
      <c r="O764" s="2083"/>
      <c r="P764" s="2083"/>
      <c r="Q764" s="2083"/>
      <c r="X764" s="1604"/>
      <c r="AF764" s="1604"/>
      <c r="AG764" s="1604"/>
    </row>
    <row r="765" spans="1:64">
      <c r="B765" s="92"/>
      <c r="D765" s="2083"/>
      <c r="E765" s="2083"/>
      <c r="X765" s="1604"/>
      <c r="AF765" s="1604"/>
      <c r="AG765" s="1604"/>
    </row>
    <row r="766" spans="1:64">
      <c r="B766" s="92"/>
      <c r="D766" s="2083"/>
      <c r="E766" s="2083"/>
      <c r="X766" s="1604"/>
      <c r="AF766" s="1604"/>
      <c r="AG766" s="1604"/>
    </row>
    <row r="767" spans="1:64">
      <c r="A767" s="1595" t="s">
        <v>663</v>
      </c>
      <c r="B767" s="1190"/>
      <c r="D767" s="2083"/>
      <c r="E767" s="2083"/>
      <c r="X767" s="1604"/>
      <c r="AF767" s="1604"/>
      <c r="AG767" s="1604"/>
    </row>
    <row r="768" spans="1:64">
      <c r="B768" s="92"/>
      <c r="D768" s="2083"/>
      <c r="E768" s="2083"/>
      <c r="X768" s="1604"/>
      <c r="AF768" s="1604"/>
      <c r="AG768" s="1604"/>
    </row>
    <row r="769" spans="1:64">
      <c r="B769" s="92"/>
      <c r="D769" s="2083"/>
      <c r="E769" s="2083"/>
      <c r="X769" s="1604"/>
      <c r="AF769" s="1604"/>
      <c r="AG769" s="1604"/>
    </row>
    <row r="770" spans="1:64">
      <c r="A770" s="1595" t="s">
        <v>1735</v>
      </c>
      <c r="B770" s="1190"/>
      <c r="D770" s="2083"/>
      <c r="E770" s="2083"/>
      <c r="X770" s="1604"/>
      <c r="AF770" s="1604"/>
      <c r="AG770" s="1604"/>
    </row>
    <row r="771" spans="1:64">
      <c r="D771" s="2083"/>
      <c r="E771" s="2083"/>
    </row>
    <row r="772" spans="1:64">
      <c r="A772" s="2258"/>
    </row>
    <row r="773" spans="1:64" s="2155" customFormat="1">
      <c r="A773" s="1155"/>
      <c r="C773" s="92"/>
      <c r="X773" s="2156"/>
      <c r="AF773" s="2156"/>
      <c r="AG773" s="2156"/>
      <c r="BL773" s="80"/>
    </row>
    <row r="777" spans="1:64">
      <c r="A777" s="1704" t="s">
        <v>1732</v>
      </c>
      <c r="B777" s="1842"/>
      <c r="D777" s="2545" t="s">
        <v>1956</v>
      </c>
      <c r="Y777" s="3726" t="s">
        <v>1733</v>
      </c>
      <c r="Z777" s="3726"/>
      <c r="AA777" s="3726"/>
      <c r="AB777" s="3726"/>
    </row>
    <row r="778" spans="1:64">
      <c r="A778" s="1604"/>
      <c r="D778" s="1748" t="s">
        <v>1737</v>
      </c>
      <c r="Y778" s="3726"/>
      <c r="Z778" s="3726"/>
      <c r="AA778" s="3726"/>
      <c r="AB778" s="3726"/>
    </row>
    <row r="779" spans="1:64" s="1983" customFormat="1">
      <c r="A779" s="1190"/>
      <c r="B779" s="93"/>
      <c r="C779" s="92"/>
      <c r="D779" s="1748" t="s">
        <v>1738</v>
      </c>
      <c r="X779" s="1985"/>
      <c r="Y779" s="3726"/>
      <c r="Z779" s="3726"/>
      <c r="AA779" s="3726"/>
      <c r="AB779" s="3726"/>
      <c r="AF779" s="1985"/>
      <c r="AG779" s="1985"/>
      <c r="BL779" s="80"/>
    </row>
    <row r="780" spans="1:64">
      <c r="Y780" s="1480"/>
      <c r="Z780" s="1480"/>
      <c r="AA780" s="1480"/>
      <c r="AB780" s="1480"/>
    </row>
    <row r="781" spans="1:64">
      <c r="A781" s="2111" t="s">
        <v>1739</v>
      </c>
      <c r="D781" s="1610" t="str">
        <f>CONCATENATE(D806,"Q ",D807)</f>
        <v>4Q 2009</v>
      </c>
      <c r="E781" s="1610" t="str">
        <f t="shared" ref="E781:R781" si="2">CONCATENATE(E806,"Q ",E807)</f>
        <v>1Q 2010</v>
      </c>
      <c r="F781" s="1610" t="str">
        <f t="shared" si="2"/>
        <v>2Q 2010</v>
      </c>
      <c r="G781" s="1610" t="str">
        <f t="shared" si="2"/>
        <v>3Q 2010</v>
      </c>
      <c r="H781" s="1610" t="str">
        <f t="shared" si="2"/>
        <v>4Q 2010</v>
      </c>
      <c r="I781" s="1610" t="str">
        <f t="shared" si="2"/>
        <v>1Q 2011</v>
      </c>
      <c r="J781" s="1610" t="str">
        <f t="shared" si="2"/>
        <v>2Q 2011</v>
      </c>
      <c r="K781" s="1610" t="str">
        <f t="shared" si="2"/>
        <v>3Q 2011</v>
      </c>
      <c r="L781" s="1610" t="str">
        <f t="shared" si="2"/>
        <v>4Q 2011</v>
      </c>
      <c r="M781" s="1610" t="str">
        <f t="shared" si="2"/>
        <v>1Q 2012</v>
      </c>
      <c r="N781" s="1610" t="str">
        <f t="shared" si="2"/>
        <v>2Q 2012</v>
      </c>
      <c r="O781" s="1610" t="str">
        <f t="shared" si="2"/>
        <v>3Q 2012</v>
      </c>
      <c r="P781" s="1610" t="str">
        <f t="shared" si="2"/>
        <v>4Q 2012</v>
      </c>
      <c r="Q781" s="1610" t="str">
        <f t="shared" si="2"/>
        <v>1Q 2013</v>
      </c>
      <c r="R781" s="1610" t="str">
        <f t="shared" si="2"/>
        <v>2Q 2013</v>
      </c>
      <c r="Y781" s="1480"/>
      <c r="Z781" s="1480"/>
      <c r="AA781" s="1480"/>
      <c r="AB781" s="1480"/>
    </row>
    <row r="782" spans="1:64">
      <c r="A782" s="1191" t="s">
        <v>502</v>
      </c>
      <c r="B782" s="82" t="s">
        <v>52</v>
      </c>
      <c r="D782" s="2089" t="str">
        <f>$R782</f>
        <v>BBB+</v>
      </c>
      <c r="E782" s="2089" t="str">
        <f t="shared" ref="E782:Q797" si="3">$R782</f>
        <v>BBB+</v>
      </c>
      <c r="F782" s="2090" t="str">
        <f t="shared" si="3"/>
        <v>BBB+</v>
      </c>
      <c r="G782" s="2090" t="str">
        <f t="shared" si="3"/>
        <v>BBB+</v>
      </c>
      <c r="H782" s="2124" t="str">
        <f t="shared" si="3"/>
        <v>BBB+</v>
      </c>
      <c r="I782" s="2089" t="str">
        <f t="shared" si="3"/>
        <v>BBB+</v>
      </c>
      <c r="J782" s="2090" t="str">
        <f t="shared" si="3"/>
        <v>BBB+</v>
      </c>
      <c r="K782" s="2090" t="str">
        <f t="shared" si="3"/>
        <v>BBB+</v>
      </c>
      <c r="L782" s="2124" t="str">
        <f t="shared" si="3"/>
        <v>BBB+</v>
      </c>
      <c r="M782" s="2089" t="str">
        <f t="shared" si="3"/>
        <v>BBB+</v>
      </c>
      <c r="N782" s="2090" t="str">
        <f t="shared" si="3"/>
        <v>BBB+</v>
      </c>
      <c r="O782" s="2090" t="str">
        <f t="shared" si="3"/>
        <v>BBB+</v>
      </c>
      <c r="P782" s="2124" t="str">
        <f t="shared" si="3"/>
        <v>BBB+</v>
      </c>
      <c r="Q782" s="2090" t="str">
        <f t="shared" si="3"/>
        <v>BBB+</v>
      </c>
      <c r="R782" s="107" t="str">
        <f>VLOOKUP($B782,$B$91:$L$114,11,FALSE)</f>
        <v>BBB+</v>
      </c>
    </row>
    <row r="783" spans="1:64">
      <c r="A783" s="1183" t="s">
        <v>389</v>
      </c>
      <c r="B783" s="83" t="s">
        <v>278</v>
      </c>
      <c r="D783" s="2091" t="str">
        <f t="shared" ref="D783:D804" si="4">$R783</f>
        <v>BBB</v>
      </c>
      <c r="E783" s="2091" t="str">
        <f t="shared" si="3"/>
        <v>BBB</v>
      </c>
      <c r="F783" s="2092" t="str">
        <f t="shared" si="3"/>
        <v>BBB</v>
      </c>
      <c r="G783" s="2092" t="str">
        <f t="shared" si="3"/>
        <v>BBB</v>
      </c>
      <c r="H783" s="2125" t="str">
        <f t="shared" si="3"/>
        <v>BBB</v>
      </c>
      <c r="I783" s="2091" t="str">
        <f t="shared" si="3"/>
        <v>BBB</v>
      </c>
      <c r="J783" s="2092" t="str">
        <f t="shared" si="3"/>
        <v>BBB</v>
      </c>
      <c r="K783" s="2092" t="str">
        <f t="shared" si="3"/>
        <v>BBB</v>
      </c>
      <c r="L783" s="2125" t="str">
        <f t="shared" si="3"/>
        <v>BBB</v>
      </c>
      <c r="M783" s="2091" t="str">
        <f t="shared" si="3"/>
        <v>BBB</v>
      </c>
      <c r="N783" s="2092" t="str">
        <f t="shared" si="3"/>
        <v>BBB</v>
      </c>
      <c r="O783" s="2092" t="str">
        <f t="shared" si="3"/>
        <v>BBB</v>
      </c>
      <c r="P783" s="2125" t="str">
        <f t="shared" si="3"/>
        <v>BBB</v>
      </c>
      <c r="Q783" s="2092" t="str">
        <f t="shared" si="3"/>
        <v>BBB</v>
      </c>
      <c r="R783" s="1985" t="str">
        <f t="shared" ref="R783:R804" si="5">VLOOKUP($B783,$B$91:$L$114,11,FALSE)</f>
        <v>BBB</v>
      </c>
    </row>
    <row r="784" spans="1:64">
      <c r="A784" s="1185" t="s">
        <v>323</v>
      </c>
      <c r="B784" s="1476" t="s">
        <v>772</v>
      </c>
      <c r="D784" s="2102" t="str">
        <f t="shared" si="4"/>
        <v>A</v>
      </c>
      <c r="E784" s="2102" t="str">
        <f t="shared" si="3"/>
        <v>A</v>
      </c>
      <c r="F784" s="2103" t="str">
        <f t="shared" si="3"/>
        <v>A</v>
      </c>
      <c r="G784" s="2103" t="str">
        <f t="shared" si="3"/>
        <v>A</v>
      </c>
      <c r="H784" s="2126" t="str">
        <f t="shared" si="3"/>
        <v>A</v>
      </c>
      <c r="I784" s="2102" t="str">
        <f t="shared" si="3"/>
        <v>A</v>
      </c>
      <c r="J784" s="2103" t="str">
        <f t="shared" si="3"/>
        <v>A</v>
      </c>
      <c r="K784" s="2103" t="str">
        <f t="shared" si="3"/>
        <v>A</v>
      </c>
      <c r="L784" s="1911" t="str">
        <f t="shared" si="3"/>
        <v>A</v>
      </c>
      <c r="M784" s="1079" t="str">
        <f t="shared" si="3"/>
        <v>A</v>
      </c>
      <c r="N784" s="2101" t="str">
        <f t="shared" si="3"/>
        <v>A</v>
      </c>
      <c r="O784" s="2101" t="str">
        <f t="shared" si="3"/>
        <v>A</v>
      </c>
      <c r="P784" s="1911" t="str">
        <f t="shared" si="3"/>
        <v>A</v>
      </c>
      <c r="Q784" s="2101" t="str">
        <f t="shared" si="3"/>
        <v>A</v>
      </c>
      <c r="R784" s="2101" t="str">
        <f t="shared" si="5"/>
        <v>A</v>
      </c>
    </row>
    <row r="785" spans="1:64" s="1814" customFormat="1">
      <c r="A785" s="2109" t="s">
        <v>323</v>
      </c>
      <c r="B785" s="2110" t="s">
        <v>773</v>
      </c>
      <c r="C785" s="2107"/>
      <c r="D785" s="2102" t="s">
        <v>71</v>
      </c>
      <c r="E785" s="2102" t="s">
        <v>71</v>
      </c>
      <c r="F785" s="2103" t="s">
        <v>71</v>
      </c>
      <c r="G785" s="2103" t="s">
        <v>71</v>
      </c>
      <c r="H785" s="2126" t="s">
        <v>71</v>
      </c>
      <c r="I785" s="2102" t="s">
        <v>71</v>
      </c>
      <c r="J785" s="2103" t="s">
        <v>71</v>
      </c>
      <c r="K785" s="2103" t="s">
        <v>71</v>
      </c>
      <c r="L785" s="2126" t="s">
        <v>71</v>
      </c>
      <c r="M785" s="2102" t="s">
        <v>71</v>
      </c>
      <c r="N785" s="2103" t="s">
        <v>334</v>
      </c>
      <c r="O785" s="2103" t="s">
        <v>334</v>
      </c>
      <c r="P785" s="2126" t="s">
        <v>334</v>
      </c>
      <c r="Q785" s="2103" t="s">
        <v>334</v>
      </c>
      <c r="R785" s="2103" t="s">
        <v>334</v>
      </c>
      <c r="X785" s="1830"/>
      <c r="AF785" s="1830"/>
      <c r="AG785" s="1830"/>
      <c r="BL785" s="2108"/>
    </row>
    <row r="786" spans="1:64">
      <c r="A786" s="1185" t="s">
        <v>323</v>
      </c>
      <c r="B786" s="1476" t="s">
        <v>774</v>
      </c>
      <c r="D786" s="1079" t="s">
        <v>333</v>
      </c>
      <c r="E786" s="1079" t="s">
        <v>333</v>
      </c>
      <c r="F786" s="2101" t="s">
        <v>333</v>
      </c>
      <c r="G786" s="2101" t="s">
        <v>333</v>
      </c>
      <c r="H786" s="1911" t="s">
        <v>333</v>
      </c>
      <c r="I786" s="1079" t="s">
        <v>333</v>
      </c>
      <c r="J786" s="2101" t="s">
        <v>333</v>
      </c>
      <c r="K786" s="2101" t="s">
        <v>333</v>
      </c>
      <c r="L786" s="1911" t="s">
        <v>333</v>
      </c>
      <c r="M786" s="1079" t="s">
        <v>333</v>
      </c>
      <c r="N786" s="2101" t="s">
        <v>333</v>
      </c>
      <c r="O786" s="2101" t="str">
        <f t="shared" si="3"/>
        <v>B+</v>
      </c>
      <c r="P786" s="1911" t="str">
        <f t="shared" si="3"/>
        <v>B+</v>
      </c>
      <c r="Q786" s="2101" t="str">
        <f t="shared" si="3"/>
        <v>B+</v>
      </c>
      <c r="R786" s="2101" t="str">
        <f t="shared" si="5"/>
        <v>B+</v>
      </c>
    </row>
    <row r="787" spans="1:64">
      <c r="A787" s="1183" t="s">
        <v>545</v>
      </c>
      <c r="B787" s="83" t="s">
        <v>39</v>
      </c>
      <c r="D787" s="2091" t="str">
        <f t="shared" si="4"/>
        <v>BBB</v>
      </c>
      <c r="E787" s="2091" t="str">
        <f t="shared" si="3"/>
        <v>BBB</v>
      </c>
      <c r="F787" s="2092" t="str">
        <f t="shared" si="3"/>
        <v>BBB</v>
      </c>
      <c r="G787" s="2092" t="str">
        <f t="shared" si="3"/>
        <v>BBB</v>
      </c>
      <c r="H787" s="2125" t="str">
        <f t="shared" si="3"/>
        <v>BBB</v>
      </c>
      <c r="I787" s="2091" t="str">
        <f t="shared" si="3"/>
        <v>BBB</v>
      </c>
      <c r="J787" s="2092" t="str">
        <f t="shared" si="3"/>
        <v>BBB</v>
      </c>
      <c r="K787" s="2092" t="str">
        <f t="shared" si="3"/>
        <v>BBB</v>
      </c>
      <c r="L787" s="2125" t="str">
        <f t="shared" si="3"/>
        <v>BBB</v>
      </c>
      <c r="M787" s="2091" t="str">
        <f t="shared" si="3"/>
        <v>BBB</v>
      </c>
      <c r="N787" s="2092" t="str">
        <f t="shared" si="3"/>
        <v>BBB</v>
      </c>
      <c r="O787" s="2092" t="str">
        <f t="shared" si="3"/>
        <v>BBB</v>
      </c>
      <c r="P787" s="2125" t="str">
        <f t="shared" si="3"/>
        <v>BBB</v>
      </c>
      <c r="Q787" s="2092" t="str">
        <f t="shared" si="3"/>
        <v>BBB</v>
      </c>
      <c r="R787" s="1985" t="str">
        <f t="shared" si="5"/>
        <v>BBB</v>
      </c>
    </row>
    <row r="788" spans="1:64">
      <c r="A788" s="1183" t="s">
        <v>219</v>
      </c>
      <c r="B788" s="83" t="s">
        <v>53</v>
      </c>
      <c r="D788" s="2091" t="str">
        <f t="shared" si="4"/>
        <v>BBB</v>
      </c>
      <c r="E788" s="2091" t="str">
        <f t="shared" si="3"/>
        <v>BBB</v>
      </c>
      <c r="F788" s="2092" t="str">
        <f t="shared" si="3"/>
        <v>BBB</v>
      </c>
      <c r="G788" s="2092" t="str">
        <f t="shared" si="3"/>
        <v>BBB</v>
      </c>
      <c r="H788" s="2125" t="str">
        <f t="shared" si="3"/>
        <v>BBB</v>
      </c>
      <c r="I788" s="2091" t="str">
        <f t="shared" si="3"/>
        <v>BBB</v>
      </c>
      <c r="J788" s="2092" t="str">
        <f t="shared" si="3"/>
        <v>BBB</v>
      </c>
      <c r="K788" s="2092" t="str">
        <f t="shared" si="3"/>
        <v>BBB</v>
      </c>
      <c r="L788" s="2125" t="str">
        <f t="shared" si="3"/>
        <v>BBB</v>
      </c>
      <c r="M788" s="2091" t="str">
        <f t="shared" si="3"/>
        <v>BBB</v>
      </c>
      <c r="N788" s="2092" t="str">
        <f t="shared" si="3"/>
        <v>BBB</v>
      </c>
      <c r="O788" s="2092" t="str">
        <f t="shared" si="3"/>
        <v>BBB</v>
      </c>
      <c r="P788" s="2125" t="str">
        <f t="shared" si="3"/>
        <v>BBB</v>
      </c>
      <c r="Q788" s="2092" t="str">
        <f t="shared" si="3"/>
        <v>BBB</v>
      </c>
      <c r="R788" s="1985" t="str">
        <f t="shared" si="5"/>
        <v>BBB</v>
      </c>
    </row>
    <row r="789" spans="1:64">
      <c r="A789" s="1183" t="s">
        <v>73</v>
      </c>
      <c r="B789" s="83" t="s">
        <v>285</v>
      </c>
      <c r="D789" s="2091" t="str">
        <f t="shared" si="4"/>
        <v>BBB</v>
      </c>
      <c r="E789" s="2091" t="str">
        <f t="shared" si="3"/>
        <v>BBB</v>
      </c>
      <c r="F789" s="2092" t="str">
        <f t="shared" si="3"/>
        <v>BBB</v>
      </c>
      <c r="G789" s="2092" t="str">
        <f t="shared" si="3"/>
        <v>BBB</v>
      </c>
      <c r="H789" s="2125" t="str">
        <f t="shared" si="3"/>
        <v>BBB</v>
      </c>
      <c r="I789" s="2091" t="str">
        <f t="shared" si="3"/>
        <v>BBB</v>
      </c>
      <c r="J789" s="2092" t="str">
        <f t="shared" si="3"/>
        <v>BBB</v>
      </c>
      <c r="K789" s="2092" t="str">
        <f t="shared" si="3"/>
        <v>BBB</v>
      </c>
      <c r="L789" s="2125" t="str">
        <f t="shared" si="3"/>
        <v>BBB</v>
      </c>
      <c r="M789" s="2091" t="str">
        <f t="shared" si="3"/>
        <v>BBB</v>
      </c>
      <c r="N789" s="2092" t="str">
        <f t="shared" si="3"/>
        <v>BBB</v>
      </c>
      <c r="O789" s="2092" t="str">
        <f t="shared" si="3"/>
        <v>BBB</v>
      </c>
      <c r="P789" s="2125" t="str">
        <f t="shared" si="3"/>
        <v>BBB</v>
      </c>
      <c r="Q789" s="2092" t="str">
        <f t="shared" si="3"/>
        <v>BBB</v>
      </c>
      <c r="R789" s="1985" t="str">
        <f t="shared" si="5"/>
        <v>BBB</v>
      </c>
    </row>
    <row r="790" spans="1:64" s="1814" customFormat="1">
      <c r="A790" s="2105" t="s">
        <v>19</v>
      </c>
      <c r="B790" s="2106" t="s">
        <v>287</v>
      </c>
      <c r="C790" s="2107"/>
      <c r="D790" s="2108" t="s">
        <v>68</v>
      </c>
      <c r="E790" s="2108" t="s">
        <v>68</v>
      </c>
      <c r="F790" s="1830" t="s">
        <v>68</v>
      </c>
      <c r="G790" s="1830" t="s">
        <v>68</v>
      </c>
      <c r="H790" s="2127" t="s">
        <v>68</v>
      </c>
      <c r="I790" s="2108" t="s">
        <v>68</v>
      </c>
      <c r="J790" s="1830" t="s">
        <v>68</v>
      </c>
      <c r="K790" s="1830" t="s">
        <v>68</v>
      </c>
      <c r="L790" s="2127" t="s">
        <v>68</v>
      </c>
      <c r="M790" s="2108" t="s">
        <v>68</v>
      </c>
      <c r="N790" s="1830" t="s">
        <v>68</v>
      </c>
      <c r="O790" s="1830" t="s">
        <v>68</v>
      </c>
      <c r="P790" s="2127" t="s">
        <v>68</v>
      </c>
      <c r="Q790" s="1830" t="s">
        <v>68</v>
      </c>
      <c r="R790" s="1830" t="s">
        <v>68</v>
      </c>
      <c r="X790" s="1830"/>
      <c r="AF790" s="1830"/>
      <c r="AG790" s="1830"/>
      <c r="BL790" s="2108"/>
    </row>
    <row r="791" spans="1:64">
      <c r="A791" s="1183" t="s">
        <v>19</v>
      </c>
      <c r="B791" s="1424" t="s">
        <v>288</v>
      </c>
      <c r="D791" s="80" t="s">
        <v>68</v>
      </c>
      <c r="E791" s="80" t="s">
        <v>68</v>
      </c>
      <c r="F791" s="1985" t="s">
        <v>68</v>
      </c>
      <c r="G791" s="1985" t="s">
        <v>68</v>
      </c>
      <c r="H791" s="1984" t="s">
        <v>68</v>
      </c>
      <c r="I791" s="80" t="s">
        <v>68</v>
      </c>
      <c r="J791" s="1985" t="s">
        <v>68</v>
      </c>
      <c r="K791" s="1985" t="s">
        <v>68</v>
      </c>
      <c r="L791" s="1984" t="s">
        <v>68</v>
      </c>
      <c r="M791" s="80" t="s">
        <v>68</v>
      </c>
      <c r="N791" s="1985" t="s">
        <v>68</v>
      </c>
      <c r="O791" s="1985" t="s">
        <v>68</v>
      </c>
      <c r="P791" s="1984" t="s">
        <v>68</v>
      </c>
      <c r="Q791" s="1985" t="s">
        <v>68</v>
      </c>
      <c r="R791" s="1985" t="str">
        <f t="shared" si="5"/>
        <v>BBB+</v>
      </c>
    </row>
    <row r="792" spans="1:64">
      <c r="A792" s="1183" t="s">
        <v>378</v>
      </c>
      <c r="B792" s="83" t="s">
        <v>42</v>
      </c>
      <c r="D792" s="2091" t="str">
        <f t="shared" si="4"/>
        <v>B-</v>
      </c>
      <c r="E792" s="2091" t="str">
        <f t="shared" si="3"/>
        <v>B-</v>
      </c>
      <c r="F792" s="2092" t="str">
        <f t="shared" si="3"/>
        <v>B-</v>
      </c>
      <c r="G792" s="2092" t="str">
        <f t="shared" si="3"/>
        <v>B-</v>
      </c>
      <c r="H792" s="2125" t="str">
        <f t="shared" si="3"/>
        <v>B-</v>
      </c>
      <c r="I792" s="2091" t="str">
        <f t="shared" si="3"/>
        <v>B-</v>
      </c>
      <c r="J792" s="2092" t="str">
        <f t="shared" si="3"/>
        <v>B-</v>
      </c>
      <c r="K792" s="2092" t="str">
        <f t="shared" si="3"/>
        <v>B-</v>
      </c>
      <c r="L792" s="2125" t="str">
        <f t="shared" si="3"/>
        <v>B-</v>
      </c>
      <c r="M792" s="2091" t="str">
        <f t="shared" si="3"/>
        <v>B-</v>
      </c>
      <c r="N792" s="2092" t="str">
        <f t="shared" si="3"/>
        <v>B-</v>
      </c>
      <c r="O792" s="2092" t="str">
        <f t="shared" si="3"/>
        <v>B-</v>
      </c>
      <c r="P792" s="2125" t="str">
        <f t="shared" si="3"/>
        <v>B-</v>
      </c>
      <c r="Q792" s="2092" t="str">
        <f t="shared" si="3"/>
        <v>B-</v>
      </c>
      <c r="R792" s="1985" t="str">
        <f t="shared" si="5"/>
        <v>B-</v>
      </c>
    </row>
    <row r="793" spans="1:64">
      <c r="A793" s="1183" t="s">
        <v>503</v>
      </c>
      <c r="B793" s="83" t="s">
        <v>286</v>
      </c>
      <c r="D793" s="2091" t="str">
        <f t="shared" si="4"/>
        <v>BBB-</v>
      </c>
      <c r="E793" s="2091" t="str">
        <f t="shared" si="3"/>
        <v>BBB-</v>
      </c>
      <c r="F793" s="2092" t="str">
        <f t="shared" si="3"/>
        <v>BBB-</v>
      </c>
      <c r="G793" s="2092" t="str">
        <f t="shared" si="3"/>
        <v>BBB-</v>
      </c>
      <c r="H793" s="2125" t="str">
        <f t="shared" si="3"/>
        <v>BBB-</v>
      </c>
      <c r="I793" s="2091" t="str">
        <f t="shared" si="3"/>
        <v>BBB-</v>
      </c>
      <c r="J793" s="2092" t="str">
        <f t="shared" si="3"/>
        <v>BBB-</v>
      </c>
      <c r="K793" s="2092" t="str">
        <f t="shared" si="3"/>
        <v>BBB-</v>
      </c>
      <c r="L793" s="2125" t="str">
        <f t="shared" si="3"/>
        <v>BBB-</v>
      </c>
      <c r="M793" s="2091" t="str">
        <f t="shared" si="3"/>
        <v>BBB-</v>
      </c>
      <c r="N793" s="2092" t="str">
        <f t="shared" si="3"/>
        <v>BBB-</v>
      </c>
      <c r="O793" s="2092" t="str">
        <f t="shared" si="3"/>
        <v>BBB-</v>
      </c>
      <c r="P793" s="2125" t="str">
        <f t="shared" si="3"/>
        <v>BBB-</v>
      </c>
      <c r="Q793" s="2092" t="str">
        <f t="shared" si="3"/>
        <v>BBB-</v>
      </c>
      <c r="R793" s="1985" t="str">
        <f t="shared" si="5"/>
        <v>BBB-</v>
      </c>
    </row>
    <row r="794" spans="1:64">
      <c r="A794" s="1183" t="s">
        <v>504</v>
      </c>
      <c r="B794" s="83" t="s">
        <v>281</v>
      </c>
      <c r="D794" s="2091" t="str">
        <f t="shared" si="4"/>
        <v>A-</v>
      </c>
      <c r="E794" s="2091" t="str">
        <f t="shared" si="3"/>
        <v>A-</v>
      </c>
      <c r="F794" s="2092" t="str">
        <f t="shared" si="3"/>
        <v>A-</v>
      </c>
      <c r="G794" s="2092" t="str">
        <f t="shared" si="3"/>
        <v>A-</v>
      </c>
      <c r="H794" s="2125" t="str">
        <f t="shared" si="3"/>
        <v>A-</v>
      </c>
      <c r="I794" s="2091" t="str">
        <f t="shared" si="3"/>
        <v>A-</v>
      </c>
      <c r="J794" s="2092" t="str">
        <f t="shared" si="3"/>
        <v>A-</v>
      </c>
      <c r="K794" s="2092" t="str">
        <f t="shared" si="3"/>
        <v>A-</v>
      </c>
      <c r="L794" s="2125" t="str">
        <f t="shared" si="3"/>
        <v>A-</v>
      </c>
      <c r="M794" s="2091" t="str">
        <f t="shared" si="3"/>
        <v>A-</v>
      </c>
      <c r="N794" s="2092" t="str">
        <f t="shared" si="3"/>
        <v>A-</v>
      </c>
      <c r="O794" s="2092" t="str">
        <f t="shared" si="3"/>
        <v>A-</v>
      </c>
      <c r="P794" s="2125" t="str">
        <f t="shared" si="3"/>
        <v>A-</v>
      </c>
      <c r="Q794" s="2092" t="str">
        <f t="shared" si="3"/>
        <v>A-</v>
      </c>
      <c r="R794" s="1985" t="str">
        <f t="shared" si="5"/>
        <v>A-</v>
      </c>
    </row>
    <row r="795" spans="1:64">
      <c r="A795" s="1183" t="s">
        <v>505</v>
      </c>
      <c r="B795" s="83" t="s">
        <v>44</v>
      </c>
      <c r="D795" s="2091" t="str">
        <f t="shared" si="4"/>
        <v>BBB-</v>
      </c>
      <c r="E795" s="2091" t="str">
        <f t="shared" si="3"/>
        <v>BBB-</v>
      </c>
      <c r="F795" s="2092" t="str">
        <f t="shared" si="3"/>
        <v>BBB-</v>
      </c>
      <c r="G795" s="2092" t="str">
        <f t="shared" si="3"/>
        <v>BBB-</v>
      </c>
      <c r="H795" s="2125" t="str">
        <f t="shared" si="3"/>
        <v>BBB-</v>
      </c>
      <c r="I795" s="2091" t="str">
        <f t="shared" si="3"/>
        <v>BBB-</v>
      </c>
      <c r="J795" s="2092" t="str">
        <f t="shared" si="3"/>
        <v>BBB-</v>
      </c>
      <c r="K795" s="2092" t="str">
        <f t="shared" si="3"/>
        <v>BBB-</v>
      </c>
      <c r="L795" s="2125" t="str">
        <f t="shared" si="3"/>
        <v>BBB-</v>
      </c>
      <c r="M795" s="2091" t="str">
        <f t="shared" si="3"/>
        <v>BBB-</v>
      </c>
      <c r="N795" s="2092" t="str">
        <f t="shared" si="3"/>
        <v>BBB-</v>
      </c>
      <c r="O795" s="2092" t="str">
        <f t="shared" si="3"/>
        <v>BBB-</v>
      </c>
      <c r="P795" s="2125" t="str">
        <f t="shared" si="3"/>
        <v>BBB-</v>
      </c>
      <c r="Q795" s="2092" t="str">
        <f t="shared" si="3"/>
        <v>BBB-</v>
      </c>
      <c r="R795" s="1985" t="str">
        <f t="shared" si="5"/>
        <v>BBB-</v>
      </c>
    </row>
    <row r="796" spans="1:64">
      <c r="A796" s="1183" t="s">
        <v>506</v>
      </c>
      <c r="B796" s="83" t="s">
        <v>289</v>
      </c>
      <c r="D796" s="80" t="s">
        <v>69</v>
      </c>
      <c r="E796" s="80" t="s">
        <v>69</v>
      </c>
      <c r="F796" s="1985" t="s">
        <v>69</v>
      </c>
      <c r="G796" s="1985" t="s">
        <v>69</v>
      </c>
      <c r="H796" s="1984" t="s">
        <v>69</v>
      </c>
      <c r="I796" s="80" t="s">
        <v>69</v>
      </c>
      <c r="J796" s="1985" t="s">
        <v>69</v>
      </c>
      <c r="K796" s="1985" t="s">
        <v>69</v>
      </c>
      <c r="L796" s="1984" t="s">
        <v>69</v>
      </c>
      <c r="M796" s="80" t="s">
        <v>69</v>
      </c>
      <c r="N796" s="1985" t="s">
        <v>69</v>
      </c>
      <c r="O796" s="1985" t="s">
        <v>69</v>
      </c>
      <c r="P796" s="1984" t="s">
        <v>69</v>
      </c>
      <c r="Q796" s="1985" t="s">
        <v>69</v>
      </c>
      <c r="R796" s="1985" t="s">
        <v>69</v>
      </c>
    </row>
    <row r="797" spans="1:64">
      <c r="A797" s="1183" t="s">
        <v>27</v>
      </c>
      <c r="B797" s="83" t="s">
        <v>54</v>
      </c>
      <c r="D797" s="2091" t="str">
        <f t="shared" si="4"/>
        <v>BBB-</v>
      </c>
      <c r="E797" s="2091" t="str">
        <f t="shared" si="3"/>
        <v>BBB-</v>
      </c>
      <c r="F797" s="2092" t="str">
        <f t="shared" si="3"/>
        <v>BBB-</v>
      </c>
      <c r="G797" s="2092" t="str">
        <f t="shared" si="3"/>
        <v>BBB-</v>
      </c>
      <c r="H797" s="2125" t="str">
        <f t="shared" si="3"/>
        <v>BBB-</v>
      </c>
      <c r="I797" s="2091" t="str">
        <f t="shared" si="3"/>
        <v>BBB-</v>
      </c>
      <c r="J797" s="2092" t="str">
        <f t="shared" si="3"/>
        <v>BBB-</v>
      </c>
      <c r="K797" s="2092" t="str">
        <f t="shared" si="3"/>
        <v>BBB-</v>
      </c>
      <c r="L797" s="2125" t="str">
        <f t="shared" si="3"/>
        <v>BBB-</v>
      </c>
      <c r="M797" s="2091" t="str">
        <f t="shared" si="3"/>
        <v>BBB-</v>
      </c>
      <c r="N797" s="2092" t="str">
        <f t="shared" si="3"/>
        <v>BBB-</v>
      </c>
      <c r="O797" s="2092" t="str">
        <f t="shared" si="3"/>
        <v>BBB-</v>
      </c>
      <c r="P797" s="2125" t="str">
        <f t="shared" si="3"/>
        <v>BBB-</v>
      </c>
      <c r="Q797" s="2092" t="str">
        <f t="shared" si="3"/>
        <v>BBB-</v>
      </c>
      <c r="R797" s="1985" t="str">
        <f t="shared" si="5"/>
        <v>BBB-</v>
      </c>
    </row>
    <row r="798" spans="1:64">
      <c r="A798" s="1183" t="s">
        <v>32</v>
      </c>
      <c r="B798" s="83" t="s">
        <v>50</v>
      </c>
      <c r="D798" s="2091" t="str">
        <f t="shared" si="4"/>
        <v>BBB</v>
      </c>
      <c r="E798" s="2091" t="str">
        <f t="shared" ref="E798:Q804" si="6">$R798</f>
        <v>BBB</v>
      </c>
      <c r="F798" s="2092" t="str">
        <f t="shared" si="6"/>
        <v>BBB</v>
      </c>
      <c r="G798" s="2092" t="str">
        <f t="shared" si="6"/>
        <v>BBB</v>
      </c>
      <c r="H798" s="2125" t="str">
        <f t="shared" si="6"/>
        <v>BBB</v>
      </c>
      <c r="I798" s="2091" t="str">
        <f t="shared" si="6"/>
        <v>BBB</v>
      </c>
      <c r="J798" s="2092" t="str">
        <f t="shared" si="6"/>
        <v>BBB</v>
      </c>
      <c r="K798" s="2092" t="str">
        <f t="shared" si="6"/>
        <v>BBB</v>
      </c>
      <c r="L798" s="2125" t="str">
        <f t="shared" si="6"/>
        <v>BBB</v>
      </c>
      <c r="M798" s="2091" t="str">
        <f t="shared" si="6"/>
        <v>BBB</v>
      </c>
      <c r="N798" s="2092" t="str">
        <f t="shared" si="6"/>
        <v>BBB</v>
      </c>
      <c r="O798" s="2092" t="str">
        <f t="shared" si="6"/>
        <v>BBB</v>
      </c>
      <c r="P798" s="2125" t="str">
        <f t="shared" si="6"/>
        <v>BBB</v>
      </c>
      <c r="Q798" s="2092" t="str">
        <f t="shared" si="6"/>
        <v>BBB</v>
      </c>
      <c r="R798" s="1985" t="str">
        <f t="shared" si="5"/>
        <v>BBB</v>
      </c>
    </row>
    <row r="799" spans="1:64">
      <c r="A799" s="1183" t="s">
        <v>32</v>
      </c>
      <c r="B799" s="83" t="s">
        <v>279</v>
      </c>
      <c r="D799" s="2091" t="str">
        <f t="shared" si="4"/>
        <v>A-</v>
      </c>
      <c r="E799" s="2091" t="str">
        <f t="shared" si="6"/>
        <v>A-</v>
      </c>
      <c r="F799" s="2092" t="str">
        <f t="shared" si="6"/>
        <v>A-</v>
      </c>
      <c r="G799" s="2092" t="str">
        <f t="shared" si="6"/>
        <v>A-</v>
      </c>
      <c r="H799" s="2125" t="str">
        <f t="shared" si="6"/>
        <v>A-</v>
      </c>
      <c r="I799" s="2091" t="str">
        <f t="shared" si="6"/>
        <v>A-</v>
      </c>
      <c r="J799" s="2092" t="str">
        <f t="shared" si="6"/>
        <v>A-</v>
      </c>
      <c r="K799" s="2092" t="str">
        <f t="shared" si="6"/>
        <v>A-</v>
      </c>
      <c r="L799" s="2125" t="str">
        <f t="shared" si="6"/>
        <v>A-</v>
      </c>
      <c r="M799" s="2091" t="str">
        <f t="shared" si="6"/>
        <v>A-</v>
      </c>
      <c r="N799" s="2092" t="str">
        <f t="shared" si="6"/>
        <v>A-</v>
      </c>
      <c r="O799" s="2092" t="str">
        <f t="shared" si="6"/>
        <v>A-</v>
      </c>
      <c r="P799" s="2125" t="str">
        <f t="shared" si="6"/>
        <v>A-</v>
      </c>
      <c r="Q799" s="2092" t="str">
        <f t="shared" si="6"/>
        <v>A-</v>
      </c>
      <c r="R799" s="1985" t="str">
        <f t="shared" si="5"/>
        <v>A-</v>
      </c>
    </row>
    <row r="800" spans="1:64">
      <c r="A800" s="1183" t="s">
        <v>507</v>
      </c>
      <c r="B800" s="83" t="s">
        <v>284</v>
      </c>
      <c r="D800" s="2091" t="str">
        <f t="shared" si="4"/>
        <v>A-</v>
      </c>
      <c r="E800" s="2091" t="str">
        <f t="shared" si="6"/>
        <v>A-</v>
      </c>
      <c r="F800" s="2092" t="str">
        <f t="shared" si="6"/>
        <v>A-</v>
      </c>
      <c r="G800" s="2092" t="str">
        <f t="shared" si="6"/>
        <v>A-</v>
      </c>
      <c r="H800" s="2125" t="str">
        <f t="shared" si="6"/>
        <v>A-</v>
      </c>
      <c r="I800" s="2091" t="str">
        <f t="shared" si="6"/>
        <v>A-</v>
      </c>
      <c r="J800" s="2092" t="str">
        <f t="shared" si="6"/>
        <v>A-</v>
      </c>
      <c r="K800" s="2092" t="str">
        <f t="shared" si="6"/>
        <v>A-</v>
      </c>
      <c r="L800" s="2125" t="str">
        <f t="shared" si="6"/>
        <v>A-</v>
      </c>
      <c r="M800" s="2091" t="str">
        <f t="shared" si="6"/>
        <v>A-</v>
      </c>
      <c r="N800" s="2092" t="str">
        <f t="shared" si="6"/>
        <v>A-</v>
      </c>
      <c r="O800" s="2092" t="str">
        <f t="shared" si="6"/>
        <v>A-</v>
      </c>
      <c r="P800" s="2125" t="str">
        <f t="shared" si="6"/>
        <v>A-</v>
      </c>
      <c r="Q800" s="2092" t="str">
        <f t="shared" si="6"/>
        <v>A-</v>
      </c>
      <c r="R800" s="1985" t="str">
        <f t="shared" si="5"/>
        <v>A-</v>
      </c>
    </row>
    <row r="801" spans="1:64" s="1814" customFormat="1">
      <c r="A801" s="2105" t="s">
        <v>507</v>
      </c>
      <c r="B801" s="2106" t="s">
        <v>282</v>
      </c>
      <c r="C801" s="2107"/>
      <c r="D801" s="2108" t="s">
        <v>68</v>
      </c>
      <c r="E801" s="2108" t="s">
        <v>68</v>
      </c>
      <c r="F801" s="1830" t="s">
        <v>68</v>
      </c>
      <c r="G801" s="1830" t="s">
        <v>68</v>
      </c>
      <c r="H801" s="2127" t="s">
        <v>68</v>
      </c>
      <c r="I801" s="2108" t="s">
        <v>68</v>
      </c>
      <c r="J801" s="1830" t="s">
        <v>69</v>
      </c>
      <c r="K801" s="1830" t="s">
        <v>69</v>
      </c>
      <c r="L801" s="2127" t="s">
        <v>69</v>
      </c>
      <c r="M801" s="2108" t="s">
        <v>69</v>
      </c>
      <c r="N801" s="1830" t="s">
        <v>70</v>
      </c>
      <c r="O801" s="1830" t="s">
        <v>70</v>
      </c>
      <c r="P801" s="2127" t="s">
        <v>70</v>
      </c>
      <c r="Q801" s="1830" t="s">
        <v>70</v>
      </c>
      <c r="R801" s="1830" t="s">
        <v>70</v>
      </c>
      <c r="X801" s="1830"/>
      <c r="AF801" s="1830"/>
      <c r="AG801" s="1830"/>
      <c r="BL801" s="2108"/>
    </row>
    <row r="802" spans="1:64">
      <c r="A802" s="1183" t="s">
        <v>508</v>
      </c>
      <c r="B802" s="83" t="s">
        <v>290</v>
      </c>
      <c r="D802" s="2091" t="str">
        <f t="shared" si="4"/>
        <v>A</v>
      </c>
      <c r="E802" s="2091" t="str">
        <f t="shared" si="6"/>
        <v>A</v>
      </c>
      <c r="F802" s="2092" t="str">
        <f t="shared" si="6"/>
        <v>A</v>
      </c>
      <c r="G802" s="2092" t="str">
        <f t="shared" si="6"/>
        <v>A</v>
      </c>
      <c r="H802" s="2125" t="str">
        <f t="shared" si="6"/>
        <v>A</v>
      </c>
      <c r="I802" s="2091" t="str">
        <f t="shared" si="6"/>
        <v>A</v>
      </c>
      <c r="J802" s="2092" t="str">
        <f t="shared" si="6"/>
        <v>A</v>
      </c>
      <c r="K802" s="2092" t="str">
        <f t="shared" si="6"/>
        <v>A</v>
      </c>
      <c r="L802" s="2125" t="str">
        <f t="shared" si="6"/>
        <v>A</v>
      </c>
      <c r="M802" s="2091" t="str">
        <f t="shared" si="6"/>
        <v>A</v>
      </c>
      <c r="N802" s="2092" t="str">
        <f t="shared" si="6"/>
        <v>A</v>
      </c>
      <c r="O802" s="2092" t="str">
        <f t="shared" si="6"/>
        <v>A</v>
      </c>
      <c r="P802" s="2125" t="str">
        <f t="shared" si="6"/>
        <v>A</v>
      </c>
      <c r="Q802" s="2092" t="str">
        <f t="shared" si="6"/>
        <v>A</v>
      </c>
      <c r="R802" s="1985" t="str">
        <f t="shared" si="5"/>
        <v>A</v>
      </c>
    </row>
    <row r="803" spans="1:64" s="1814" customFormat="1">
      <c r="A803" s="2105" t="s">
        <v>27</v>
      </c>
      <c r="B803" s="2106" t="s">
        <v>357</v>
      </c>
      <c r="C803" s="2107"/>
      <c r="D803" s="2108" t="s">
        <v>119</v>
      </c>
      <c r="E803" s="2108" t="s">
        <v>119</v>
      </c>
      <c r="F803" s="1830" t="s">
        <v>119</v>
      </c>
      <c r="G803" s="1830" t="s">
        <v>119</v>
      </c>
      <c r="H803" s="2127" t="s">
        <v>119</v>
      </c>
      <c r="I803" s="2108" t="s">
        <v>119</v>
      </c>
      <c r="J803" s="1830" t="s">
        <v>119</v>
      </c>
      <c r="K803" s="1830" t="s">
        <v>119</v>
      </c>
      <c r="L803" s="2127" t="s">
        <v>119</v>
      </c>
      <c r="M803" s="2108" t="s">
        <v>119</v>
      </c>
      <c r="N803" s="1830" t="s">
        <v>119</v>
      </c>
      <c r="O803" s="1830" t="s">
        <v>119</v>
      </c>
      <c r="P803" s="2127" t="s">
        <v>119</v>
      </c>
      <c r="Q803" s="1830" t="s">
        <v>119</v>
      </c>
      <c r="R803" s="1830" t="s">
        <v>119</v>
      </c>
      <c r="X803" s="1830"/>
      <c r="AF803" s="1830"/>
      <c r="AG803" s="1830"/>
      <c r="BL803" s="2108"/>
    </row>
    <row r="804" spans="1:64">
      <c r="A804" s="1184" t="s">
        <v>727</v>
      </c>
      <c r="B804" s="1612" t="s">
        <v>358</v>
      </c>
      <c r="D804" s="2093" t="str">
        <f t="shared" si="4"/>
        <v>BB+</v>
      </c>
      <c r="E804" s="2093" t="str">
        <f t="shared" si="6"/>
        <v>BB+</v>
      </c>
      <c r="F804" s="2094" t="str">
        <f t="shared" si="6"/>
        <v>BB+</v>
      </c>
      <c r="G804" s="2094" t="str">
        <f t="shared" si="6"/>
        <v>BB+</v>
      </c>
      <c r="H804" s="2128" t="str">
        <f t="shared" si="6"/>
        <v>BB+</v>
      </c>
      <c r="I804" s="2093" t="str">
        <f t="shared" si="6"/>
        <v>BB+</v>
      </c>
      <c r="J804" s="2094" t="str">
        <f t="shared" si="6"/>
        <v>BB+</v>
      </c>
      <c r="K804" s="2094" t="str">
        <f t="shared" si="6"/>
        <v>BB+</v>
      </c>
      <c r="L804" s="2128" t="str">
        <f t="shared" si="6"/>
        <v>BB+</v>
      </c>
      <c r="M804" s="2093" t="str">
        <f t="shared" si="6"/>
        <v>BB+</v>
      </c>
      <c r="N804" s="2094" t="str">
        <f t="shared" si="6"/>
        <v>BB+</v>
      </c>
      <c r="O804" s="2094" t="str">
        <f t="shared" si="6"/>
        <v>BB+</v>
      </c>
      <c r="P804" s="2128" t="str">
        <f t="shared" si="6"/>
        <v>BB+</v>
      </c>
      <c r="Q804" s="2094" t="str">
        <f t="shared" si="6"/>
        <v>BB+</v>
      </c>
      <c r="R804" s="90" t="str">
        <f t="shared" si="5"/>
        <v>BB+</v>
      </c>
    </row>
    <row r="806" spans="1:64">
      <c r="C806" s="1604">
        <v>1</v>
      </c>
      <c r="D806" s="2129">
        <v>4</v>
      </c>
      <c r="E806" s="2129">
        <v>1</v>
      </c>
      <c r="F806" s="2129">
        <v>2</v>
      </c>
      <c r="G806" s="2129">
        <v>3</v>
      </c>
      <c r="H806" s="2129">
        <v>4</v>
      </c>
      <c r="I806" s="2129">
        <v>1</v>
      </c>
      <c r="J806" s="2129">
        <v>2</v>
      </c>
      <c r="K806" s="2129">
        <v>3</v>
      </c>
      <c r="L806" s="2129">
        <v>4</v>
      </c>
      <c r="M806" s="2129">
        <v>1</v>
      </c>
      <c r="N806" s="2129">
        <v>2</v>
      </c>
      <c r="O806" s="2129">
        <v>3</v>
      </c>
      <c r="P806" s="2129">
        <v>4</v>
      </c>
      <c r="Q806" s="2129">
        <v>1</v>
      </c>
      <c r="R806" s="2129">
        <v>2</v>
      </c>
      <c r="S806" s="2129">
        <v>3</v>
      </c>
      <c r="T806" s="2129">
        <v>4</v>
      </c>
    </row>
    <row r="807" spans="1:64">
      <c r="C807" s="1604">
        <v>2009</v>
      </c>
      <c r="D807" s="2129">
        <v>2009</v>
      </c>
      <c r="E807" s="2129">
        <v>2010</v>
      </c>
      <c r="F807" s="2129">
        <v>2010</v>
      </c>
      <c r="G807" s="2129">
        <v>2010</v>
      </c>
      <c r="H807" s="2129">
        <v>2010</v>
      </c>
      <c r="I807" s="2129">
        <v>2011</v>
      </c>
      <c r="J807" s="2129">
        <v>2011</v>
      </c>
      <c r="K807" s="2129">
        <v>2011</v>
      </c>
      <c r="L807" s="2129">
        <v>2011</v>
      </c>
      <c r="M807" s="2129">
        <v>2012</v>
      </c>
      <c r="N807" s="2129">
        <v>2012</v>
      </c>
      <c r="O807" s="2129">
        <v>2012</v>
      </c>
      <c r="P807" s="2129">
        <v>2012</v>
      </c>
      <c r="Q807" s="2129">
        <v>2013</v>
      </c>
      <c r="R807" s="2129">
        <v>2013</v>
      </c>
      <c r="S807" s="2129">
        <v>2013</v>
      </c>
      <c r="T807" s="2129">
        <v>2013</v>
      </c>
    </row>
    <row r="809" spans="1:64" s="107" customFormat="1">
      <c r="A809" s="1455" t="s">
        <v>1787</v>
      </c>
      <c r="B809" s="2179"/>
      <c r="C809" s="135"/>
      <c r="BL809" s="1593"/>
    </row>
  </sheetData>
  <mergeCells count="310">
    <mergeCell ref="D726:W727"/>
    <mergeCell ref="D728:P730"/>
    <mergeCell ref="B324:B327"/>
    <mergeCell ref="D723:W724"/>
    <mergeCell ref="D720:W721"/>
    <mergeCell ref="B404:B406"/>
    <mergeCell ref="D415:W416"/>
    <mergeCell ref="D341:W341"/>
    <mergeCell ref="D357:W358"/>
    <mergeCell ref="D359:W360"/>
    <mergeCell ref="B412:B413"/>
    <mergeCell ref="B367:B368"/>
    <mergeCell ref="D667:W668"/>
    <mergeCell ref="D669:W670"/>
    <mergeCell ref="D595:W596"/>
    <mergeCell ref="D599:W600"/>
    <mergeCell ref="D601:W603"/>
    <mergeCell ref="D605:W606"/>
    <mergeCell ref="D607:W608"/>
    <mergeCell ref="D619:R620"/>
    <mergeCell ref="D625:W626"/>
    <mergeCell ref="D339:W340"/>
    <mergeCell ref="D355:W356"/>
    <mergeCell ref="V564:W564"/>
    <mergeCell ref="Y676:AB678"/>
    <mergeCell ref="Y683:AB684"/>
    <mergeCell ref="D700:Q701"/>
    <mergeCell ref="S707:W708"/>
    <mergeCell ref="D712:Q713"/>
    <mergeCell ref="D714:Q715"/>
    <mergeCell ref="Y714:AB715"/>
    <mergeCell ref="D671:W673"/>
    <mergeCell ref="D674:W675"/>
    <mergeCell ref="D676:W677"/>
    <mergeCell ref="D678:W680"/>
    <mergeCell ref="D681:W683"/>
    <mergeCell ref="D684:W686"/>
    <mergeCell ref="D687:W689"/>
    <mergeCell ref="D690:W692"/>
    <mergeCell ref="D707:P708"/>
    <mergeCell ref="S700:W701"/>
    <mergeCell ref="D6:W7"/>
    <mergeCell ref="D30:W31"/>
    <mergeCell ref="D60:W61"/>
    <mergeCell ref="D10:W12"/>
    <mergeCell ref="Q66:W69"/>
    <mergeCell ref="Q72:W74"/>
    <mergeCell ref="Q75:W80"/>
    <mergeCell ref="E86:O87"/>
    <mergeCell ref="D45:W46"/>
    <mergeCell ref="D48:W49"/>
    <mergeCell ref="Q81:W82"/>
    <mergeCell ref="D58:W59"/>
    <mergeCell ref="D53:Q54"/>
    <mergeCell ref="D32:W35"/>
    <mergeCell ref="D42:W43"/>
    <mergeCell ref="Y777:AB779"/>
    <mergeCell ref="Y489:AB490"/>
    <mergeCell ref="AC287:AI288"/>
    <mergeCell ref="Y282:AB284"/>
    <mergeCell ref="Y459:AB460"/>
    <mergeCell ref="Y451:AB453"/>
    <mergeCell ref="Y465:AB466"/>
    <mergeCell ref="Y472:AB473"/>
    <mergeCell ref="P302:W303"/>
    <mergeCell ref="P304:W305"/>
    <mergeCell ref="P306:W307"/>
    <mergeCell ref="P311:W312"/>
    <mergeCell ref="Y378:AB379"/>
    <mergeCell ref="D389:W391"/>
    <mergeCell ref="Y384:AB385"/>
    <mergeCell ref="D532:W533"/>
    <mergeCell ref="D554:R555"/>
    <mergeCell ref="D538:W539"/>
    <mergeCell ref="AB523:AB524"/>
    <mergeCell ref="Y534:AB536"/>
    <mergeCell ref="D505:W507"/>
    <mergeCell ref="D508:W510"/>
    <mergeCell ref="S464:T464"/>
    <mergeCell ref="Q439:W446"/>
    <mergeCell ref="D194:W195"/>
    <mergeCell ref="Y158:AB158"/>
    <mergeCell ref="D511:W513"/>
    <mergeCell ref="Y430:AB432"/>
    <mergeCell ref="Y446:AB448"/>
    <mergeCell ref="Y469:AB470"/>
    <mergeCell ref="Y142:AB143"/>
    <mergeCell ref="D309:I310"/>
    <mergeCell ref="D397:W398"/>
    <mergeCell ref="D399:W400"/>
    <mergeCell ref="D401:W402"/>
    <mergeCell ref="D144:V145"/>
    <mergeCell ref="D151:N152"/>
    <mergeCell ref="P150:U151"/>
    <mergeCell ref="Q447:W453"/>
    <mergeCell ref="Q455:W457"/>
    <mergeCell ref="D143:W143"/>
    <mergeCell ref="O209:P209"/>
    <mergeCell ref="O210:P210"/>
    <mergeCell ref="O211:P211"/>
    <mergeCell ref="O212:P212"/>
    <mergeCell ref="O213:P213"/>
    <mergeCell ref="O224:P224"/>
    <mergeCell ref="D127:W127"/>
    <mergeCell ref="O430:W431"/>
    <mergeCell ref="D459:W461"/>
    <mergeCell ref="D489:W490"/>
    <mergeCell ref="D130:W132"/>
    <mergeCell ref="Y160:AB161"/>
    <mergeCell ref="D134:W135"/>
    <mergeCell ref="D136:W137"/>
    <mergeCell ref="D173:W175"/>
    <mergeCell ref="D177:W179"/>
    <mergeCell ref="D188:W189"/>
    <mergeCell ref="O215:P215"/>
    <mergeCell ref="O216:P216"/>
    <mergeCell ref="O217:P217"/>
    <mergeCell ref="O218:P218"/>
    <mergeCell ref="O219:P219"/>
    <mergeCell ref="O220:P220"/>
    <mergeCell ref="O221:P221"/>
    <mergeCell ref="O222:P222"/>
    <mergeCell ref="Y188:AB189"/>
    <mergeCell ref="O206:S206"/>
    <mergeCell ref="O207:P207"/>
    <mergeCell ref="O208:P208"/>
    <mergeCell ref="D192:W193"/>
    <mergeCell ref="Y541:AB542"/>
    <mergeCell ref="Y529:AB532"/>
    <mergeCell ref="D517:W518"/>
    <mergeCell ref="D522:W523"/>
    <mergeCell ref="D527:W528"/>
    <mergeCell ref="D529:W531"/>
    <mergeCell ref="D524:W526"/>
    <mergeCell ref="D324:W325"/>
    <mergeCell ref="D329:W330"/>
    <mergeCell ref="D331:W332"/>
    <mergeCell ref="D333:W335"/>
    <mergeCell ref="D342:W344"/>
    <mergeCell ref="D337:V338"/>
    <mergeCell ref="D346:W348"/>
    <mergeCell ref="O226:P226"/>
    <mergeCell ref="O227:P227"/>
    <mergeCell ref="O228:P228"/>
    <mergeCell ref="O229:P229"/>
    <mergeCell ref="Q207:R207"/>
    <mergeCell ref="Q208:R208"/>
    <mergeCell ref="Q209:R209"/>
    <mergeCell ref="Q210:R210"/>
    <mergeCell ref="Q211:R211"/>
    <mergeCell ref="Q212:R212"/>
    <mergeCell ref="Q213:R213"/>
    <mergeCell ref="Q214:R214"/>
    <mergeCell ref="Q215:R215"/>
    <mergeCell ref="Q216:R216"/>
    <mergeCell ref="Q217:R217"/>
    <mergeCell ref="Q218:R218"/>
    <mergeCell ref="Q219:R219"/>
    <mergeCell ref="Q220:R220"/>
    <mergeCell ref="Q221:R221"/>
    <mergeCell ref="Q222:R222"/>
    <mergeCell ref="Q223:R223"/>
    <mergeCell ref="O214:P214"/>
    <mergeCell ref="Q224:R224"/>
    <mergeCell ref="Q226:R226"/>
    <mergeCell ref="Q227:R227"/>
    <mergeCell ref="Q228:R228"/>
    <mergeCell ref="Q229:R229"/>
    <mergeCell ref="U207:V207"/>
    <mergeCell ref="D196:W197"/>
    <mergeCell ref="D227:E227"/>
    <mergeCell ref="D228:E228"/>
    <mergeCell ref="D229:E229"/>
    <mergeCell ref="F208:G208"/>
    <mergeCell ref="F209:G209"/>
    <mergeCell ref="F210:G210"/>
    <mergeCell ref="F211:G211"/>
    <mergeCell ref="F212:G212"/>
    <mergeCell ref="F213:G213"/>
    <mergeCell ref="F214:G214"/>
    <mergeCell ref="F215:G215"/>
    <mergeCell ref="F216:G216"/>
    <mergeCell ref="F217:G217"/>
    <mergeCell ref="F218:G218"/>
    <mergeCell ref="F219:G219"/>
    <mergeCell ref="O223:P223"/>
    <mergeCell ref="F220:G220"/>
    <mergeCell ref="O225:P225"/>
    <mergeCell ref="D233:W234"/>
    <mergeCell ref="D206:H206"/>
    <mergeCell ref="F207:G207"/>
    <mergeCell ref="D207:E207"/>
    <mergeCell ref="D208:E208"/>
    <mergeCell ref="D209:E209"/>
    <mergeCell ref="D210:E210"/>
    <mergeCell ref="D211:E211"/>
    <mergeCell ref="D212:E212"/>
    <mergeCell ref="D213:E213"/>
    <mergeCell ref="D214:E214"/>
    <mergeCell ref="D215:E215"/>
    <mergeCell ref="D216:E216"/>
    <mergeCell ref="D217:E217"/>
    <mergeCell ref="D218:E218"/>
    <mergeCell ref="D219:E219"/>
    <mergeCell ref="D220:E220"/>
    <mergeCell ref="D221:E221"/>
    <mergeCell ref="D222:E222"/>
    <mergeCell ref="D223:E223"/>
    <mergeCell ref="D224:E224"/>
    <mergeCell ref="D225:E225"/>
    <mergeCell ref="D226:E226"/>
    <mergeCell ref="Q225:R225"/>
    <mergeCell ref="F221:G221"/>
    <mergeCell ref="F222:G222"/>
    <mergeCell ref="F223:G223"/>
    <mergeCell ref="F224:G224"/>
    <mergeCell ref="F225:G225"/>
    <mergeCell ref="F226:G226"/>
    <mergeCell ref="F227:G227"/>
    <mergeCell ref="F228:G228"/>
    <mergeCell ref="F229:G229"/>
    <mergeCell ref="I206:M206"/>
    <mergeCell ref="I207:J207"/>
    <mergeCell ref="K207:L207"/>
    <mergeCell ref="I208:J208"/>
    <mergeCell ref="I209:J209"/>
    <mergeCell ref="I210:J210"/>
    <mergeCell ref="I211:J211"/>
    <mergeCell ref="I212:J212"/>
    <mergeCell ref="I213:J213"/>
    <mergeCell ref="I214:J214"/>
    <mergeCell ref="I215:J215"/>
    <mergeCell ref="I216:J216"/>
    <mergeCell ref="I217:J217"/>
    <mergeCell ref="I218:J218"/>
    <mergeCell ref="I219:J219"/>
    <mergeCell ref="I220:J220"/>
    <mergeCell ref="I221:J221"/>
    <mergeCell ref="I222:J222"/>
    <mergeCell ref="I223:J223"/>
    <mergeCell ref="I224:J224"/>
    <mergeCell ref="I225:J225"/>
    <mergeCell ref="I226:J226"/>
    <mergeCell ref="I227:J227"/>
    <mergeCell ref="K221:L221"/>
    <mergeCell ref="K222:L222"/>
    <mergeCell ref="K223:L223"/>
    <mergeCell ref="K224:L224"/>
    <mergeCell ref="K225:L225"/>
    <mergeCell ref="K226:L226"/>
    <mergeCell ref="K227:L227"/>
    <mergeCell ref="K228:L228"/>
    <mergeCell ref="K229:L229"/>
    <mergeCell ref="K212:L212"/>
    <mergeCell ref="K213:L213"/>
    <mergeCell ref="K214:L214"/>
    <mergeCell ref="K215:L215"/>
    <mergeCell ref="K216:L216"/>
    <mergeCell ref="K217:L217"/>
    <mergeCell ref="K218:L218"/>
    <mergeCell ref="K219:L219"/>
    <mergeCell ref="K220:L220"/>
    <mergeCell ref="B563:B564"/>
    <mergeCell ref="B726:B727"/>
    <mergeCell ref="Y475:AB476"/>
    <mergeCell ref="D185:W186"/>
    <mergeCell ref="Y190:AB191"/>
    <mergeCell ref="D514:W516"/>
    <mergeCell ref="D181:W182"/>
    <mergeCell ref="D418:W418"/>
    <mergeCell ref="D428:W429"/>
    <mergeCell ref="Q475:W476"/>
    <mergeCell ref="Q477:W478"/>
    <mergeCell ref="D291:P292"/>
    <mergeCell ref="D293:P294"/>
    <mergeCell ref="R292:W294"/>
    <mergeCell ref="I228:J228"/>
    <mergeCell ref="I229:J229"/>
    <mergeCell ref="K208:L208"/>
    <mergeCell ref="K209:L209"/>
    <mergeCell ref="K210:L210"/>
    <mergeCell ref="K211:L211"/>
    <mergeCell ref="D549:R550"/>
    <mergeCell ref="R551:W552"/>
    <mergeCell ref="B561:B562"/>
    <mergeCell ref="B538:B539"/>
    <mergeCell ref="Y38:AB39"/>
    <mergeCell ref="D123:W124"/>
    <mergeCell ref="Y267:AB269"/>
    <mergeCell ref="Y279:AB280"/>
    <mergeCell ref="D321:W322"/>
    <mergeCell ref="B352:B353"/>
    <mergeCell ref="D417:W417"/>
    <mergeCell ref="B616:B617"/>
    <mergeCell ref="B720:B721"/>
    <mergeCell ref="D660:W661"/>
    <mergeCell ref="D558:W559"/>
    <mergeCell ref="D575:W577"/>
    <mergeCell ref="D579:X580"/>
    <mergeCell ref="D581:W582"/>
    <mergeCell ref="D583:W584"/>
    <mergeCell ref="D587:W590"/>
    <mergeCell ref="D591:W592"/>
    <mergeCell ref="D593:W594"/>
    <mergeCell ref="D637:W638"/>
    <mergeCell ref="D642:W644"/>
    <mergeCell ref="D639:W641"/>
    <mergeCell ref="D647:W648"/>
    <mergeCell ref="D649:W650"/>
    <mergeCell ref="D609:W610"/>
  </mergeCells>
  <hyperlinks>
    <hyperlink ref="Y88" r:id="rId1"/>
    <hyperlink ref="Y60" r:id="rId2"/>
    <hyperlink ref="D296" r:id="rId3"/>
    <hyperlink ref="Z297" r:id="rId4"/>
    <hyperlink ref="D611" r:id="rId5" display="Fitch 2014 Outlook: European Telecoms and Cable "/>
    <hyperlink ref="D481" r:id="rId6" display="Corporate Rating Methodology "/>
    <hyperlink ref="Y292" r:id="rId7"/>
    <hyperlink ref="D371" r:id="rId8"/>
    <hyperlink ref="Y81" r:id="rId9"/>
    <hyperlink ref="H427" r:id="rId10" display="Rating Methodology : Global Telecommunications Industry (pdf, Dec. 2010)"/>
    <hyperlink ref="D475" r:id="rId11" display="Rating Methodology : GRIs (pdf, July 2010)"/>
    <hyperlink ref="Y469" r:id="rId12" display="Rating Methodology : Global Pay TV - Cable and Direct to Home Satellite Operators (pdf, April 2013)"/>
    <hyperlink ref="Y155" r:id="rId13" display="Ebitda vs. CFO vs. FCF"/>
    <hyperlink ref="Y128" r:id="rId14"/>
    <hyperlink ref="Y472" r:id="rId15" display="Loss Given Default for Speculative-Grade Non-Financial Companies in the U.S., Canada and EMEA"/>
    <hyperlink ref="D280" r:id="rId16" display="General: Methodology: Business Risk/Financial Risk Matrix Expanded"/>
    <hyperlink ref="Y137" r:id="rId17" display="S&amp;P's Ratios And Adjustments"/>
    <hyperlink ref="D314" r:id="rId18" display="In Key Credit Factors For The Telecommunications And Cable Industry"/>
    <hyperlink ref="Y549" location="RATINGS!R347" display="GRE - Moderate support"/>
    <hyperlink ref="Y188:AB189" location="'(Bloom Data Not Used or NA)'!A1" display="'(Bloom Data Not Used or NA)'!A1"/>
  </hyperlinks>
  <pageMargins left="0.7" right="0.7" top="0.75" bottom="0.75" header="0.3" footer="0.3"/>
  <pageSetup paperSize="9" orientation="portrait" r:id="rId19"/>
  <drawing r:id="rId20"/>
  <legacyDrawing r:id="rId21"/>
</worksheet>
</file>

<file path=xl/worksheets/sheet6.xml><?xml version="1.0" encoding="utf-8"?>
<worksheet xmlns="http://schemas.openxmlformats.org/spreadsheetml/2006/main" xmlns:r="http://schemas.openxmlformats.org/officeDocument/2006/relationships">
  <sheetPr>
    <tabColor theme="2"/>
  </sheetPr>
  <dimension ref="A1:AH516"/>
  <sheetViews>
    <sheetView showGridLines="0" zoomScale="80" zoomScaleNormal="80" workbookViewId="0">
      <pane xSplit="2" ySplit="1" topLeftCell="C2" activePane="bottomRight" state="frozen"/>
      <selection pane="topRight" activeCell="C1" sqref="C1"/>
      <selection pane="bottomLeft" activeCell="A2" sqref="A2"/>
      <selection pane="bottomRight" activeCell="L25" sqref="L25"/>
    </sheetView>
  </sheetViews>
  <sheetFormatPr baseColWidth="10" defaultRowHeight="13.2"/>
  <cols>
    <col min="1" max="1" width="11" customWidth="1"/>
    <col min="2" max="2" width="9" customWidth="1"/>
    <col min="3" max="3" width="14.33203125" customWidth="1"/>
    <col min="4" max="4" width="12.21875" customWidth="1"/>
    <col min="5" max="5" width="11.21875" bestFit="1" customWidth="1"/>
    <col min="6" max="6" width="10.21875" bestFit="1" customWidth="1"/>
    <col min="7" max="7" width="8.88671875" bestFit="1" customWidth="1"/>
    <col min="8" max="8" width="8.77734375" customWidth="1"/>
    <col min="9" max="9" width="11.44140625" customWidth="1"/>
    <col min="10" max="26" width="8.77734375" customWidth="1"/>
    <col min="27" max="27" width="11.5546875" style="34"/>
  </cols>
  <sheetData>
    <row r="1" spans="1:27" ht="13.8" thickBot="1">
      <c r="A1" s="110" t="s">
        <v>801</v>
      </c>
      <c r="B1" s="110"/>
      <c r="C1" s="2"/>
      <c r="I1" s="105"/>
      <c r="J1" s="3"/>
      <c r="K1" s="2"/>
      <c r="L1" s="2"/>
      <c r="AA1" s="2306" t="s">
        <v>1816</v>
      </c>
    </row>
    <row r="2" spans="1:27" ht="13.8" thickBot="1">
      <c r="A2" s="2130" t="s">
        <v>1741</v>
      </c>
      <c r="B2" s="2131"/>
    </row>
    <row r="3" spans="1:27">
      <c r="A3" s="460"/>
      <c r="B3" s="460"/>
    </row>
    <row r="4" spans="1:27" s="595" customFormat="1">
      <c r="A4" s="593" t="s">
        <v>2096</v>
      </c>
      <c r="B4" s="593"/>
      <c r="C4" s="594"/>
      <c r="D4" s="594"/>
      <c r="E4" s="594"/>
      <c r="F4" s="599"/>
      <c r="G4" s="600"/>
      <c r="H4" s="601"/>
      <c r="I4" s="594"/>
      <c r="J4" s="594"/>
      <c r="K4" s="594"/>
      <c r="L4" s="594"/>
      <c r="M4" s="594"/>
      <c r="N4" s="594"/>
      <c r="O4" s="594"/>
      <c r="P4" s="602"/>
      <c r="Q4" s="602"/>
      <c r="S4" s="1620" t="s">
        <v>1399</v>
      </c>
      <c r="T4" s="602"/>
      <c r="U4" s="602"/>
      <c r="V4" s="602"/>
      <c r="W4" s="602"/>
      <c r="X4" s="3058"/>
      <c r="Y4" s="3058"/>
      <c r="AA4" s="3054"/>
    </row>
    <row r="5" spans="1:27" s="1" customFormat="1" ht="13.8" thickBot="1">
      <c r="A5" s="480"/>
      <c r="B5" s="480"/>
      <c r="C5" s="584"/>
      <c r="D5" s="584"/>
      <c r="AA5" s="2323"/>
    </row>
    <row r="6" spans="1:27" s="1" customFormat="1" ht="13.8" thickBot="1">
      <c r="A6" s="592"/>
      <c r="B6" s="109"/>
      <c r="C6" s="134" t="s">
        <v>37</v>
      </c>
      <c r="D6" s="135" t="s">
        <v>796</v>
      </c>
      <c r="E6" s="591" t="s">
        <v>797</v>
      </c>
      <c r="F6" s="134" t="s">
        <v>38</v>
      </c>
      <c r="G6" s="135" t="s">
        <v>796</v>
      </c>
      <c r="H6" s="591" t="s">
        <v>797</v>
      </c>
      <c r="I6" s="134" t="s">
        <v>798</v>
      </c>
      <c r="J6" s="135" t="s">
        <v>796</v>
      </c>
      <c r="K6" s="591" t="s">
        <v>797</v>
      </c>
      <c r="L6" s="134" t="s">
        <v>36</v>
      </c>
      <c r="M6" s="135" t="s">
        <v>796</v>
      </c>
      <c r="N6" s="591" t="s">
        <v>797</v>
      </c>
      <c r="O6" s="134" t="s">
        <v>799</v>
      </c>
      <c r="P6" s="135" t="s">
        <v>796</v>
      </c>
      <c r="Q6" s="660" t="s">
        <v>797</v>
      </c>
      <c r="S6" s="2678" t="s">
        <v>2098</v>
      </c>
      <c r="T6" s="2679"/>
      <c r="U6" s="2679"/>
      <c r="V6" s="2681" t="s">
        <v>2071</v>
      </c>
      <c r="W6" s="2682" t="s">
        <v>2070</v>
      </c>
      <c r="AA6" s="2323"/>
    </row>
    <row r="7" spans="1:27" s="1" customFormat="1">
      <c r="A7" s="2742" t="s">
        <v>802</v>
      </c>
      <c r="B7" s="596" t="s">
        <v>803</v>
      </c>
      <c r="C7" s="587">
        <f>'GEARINGS, E&amp;Enot'!X323</f>
        <v>0.4</v>
      </c>
      <c r="D7" s="588">
        <f>'GEARINGS, E&amp;Enot'!Y323</f>
        <v>0.2</v>
      </c>
      <c r="E7" s="589">
        <f>'GEARINGS, E&amp;Enot'!Z323</f>
        <v>0.5</v>
      </c>
      <c r="F7" s="590">
        <f>'GEARINGS, E&amp;Enot'!AD323</f>
        <v>0.44444444444444442</v>
      </c>
      <c r="G7" s="588">
        <f>'GEARINGS, E&amp;Enot'!AE323</f>
        <v>0.3888888888888889</v>
      </c>
      <c r="H7" s="589">
        <f>'GEARINGS, E&amp;Enot'!AF323</f>
        <v>0.5</v>
      </c>
      <c r="I7" s="2958">
        <f>'GEARINGS, E&amp;Enot'!T323</f>
        <v>0.4729330941660323</v>
      </c>
      <c r="J7" s="588">
        <f>'GEARINGS, E&amp;Enot'!U323</f>
        <v>0.42293309416603231</v>
      </c>
      <c r="K7" s="588">
        <f>'GEARINGS, E&amp;Enot'!V323</f>
        <v>0.52293309416603229</v>
      </c>
      <c r="L7" s="590">
        <f>'GEARINGS, E&amp;Enot'!AA323</f>
        <v>0.28041293785321875</v>
      </c>
      <c r="M7" s="588">
        <f>'GEARINGS, E&amp;Enot'!AB323</f>
        <v>0.2</v>
      </c>
      <c r="N7" s="589">
        <f>'GEARINGS, E&amp;Enot'!AC323</f>
        <v>0.4561905930983241</v>
      </c>
      <c r="O7" s="2958">
        <f>'GEARINGS, E&amp;Enot'!T327</f>
        <v>0.27500000000000002</v>
      </c>
      <c r="P7" s="588">
        <f>'GEARINGS, E&amp;Enot'!U327</f>
        <v>0.25</v>
      </c>
      <c r="Q7" s="1541">
        <f>'GEARINGS, E&amp;Enot'!V327</f>
        <v>0.3</v>
      </c>
      <c r="S7" s="1927" t="s">
        <v>772</v>
      </c>
      <c r="T7" s="3"/>
      <c r="U7" s="3"/>
      <c r="V7" s="2683">
        <f>Ranking!C9/Ranking!C$9</f>
        <v>1</v>
      </c>
      <c r="W7" s="2684">
        <f>Ranking!G9/Ranking!G$9</f>
        <v>1</v>
      </c>
      <c r="AA7" s="2323"/>
    </row>
    <row r="8" spans="1:27" s="1" customFormat="1">
      <c r="A8" s="2743" t="s">
        <v>804</v>
      </c>
      <c r="B8" s="2731" t="s">
        <v>803</v>
      </c>
      <c r="C8" s="2732">
        <f>'GEARINGS, E&amp;Enot'!X348</f>
        <v>0.374</v>
      </c>
      <c r="D8" s="2733">
        <f>'GEARINGS, E&amp;Enot'!Y348</f>
        <v>0.17</v>
      </c>
      <c r="E8" s="2734">
        <f>'GEARINGS, E&amp;Enot'!Z348</f>
        <v>0.47400000000000003</v>
      </c>
      <c r="F8" s="2735">
        <f>'GEARINGS, E&amp;Enot'!AD348</f>
        <v>0.44444444444444442</v>
      </c>
      <c r="G8" s="2733">
        <f>'GEARINGS, E&amp;Enot'!AE348</f>
        <v>0.3888888888888889</v>
      </c>
      <c r="H8" s="2734">
        <f>'GEARINGS, E&amp;Enot'!AF348</f>
        <v>0.5</v>
      </c>
      <c r="I8" s="2959">
        <f>'GEARINGS, E&amp;Enot'!T348</f>
        <v>0.48681573444260695</v>
      </c>
      <c r="J8" s="2733">
        <f>'GEARINGS, E&amp;Enot'!U348</f>
        <v>0.43681573444260696</v>
      </c>
      <c r="K8" s="2733">
        <f>'GEARINGS, E&amp;Enot'!V348</f>
        <v>0.536815734442607</v>
      </c>
      <c r="L8" s="2735">
        <f>'GEARINGS, E&amp;Enot'!AA348</f>
        <v>0.1914853784153166</v>
      </c>
      <c r="M8" s="2733">
        <f>'GEARINGS, E&amp;Enot'!AB348</f>
        <v>0.1</v>
      </c>
      <c r="N8" s="2734">
        <f>'GEARINGS, E&amp;Enot'!AC348</f>
        <v>0.33</v>
      </c>
      <c r="O8" s="2959">
        <f>'GEARINGS, E&amp;Enot'!T351</f>
        <v>0.18333333333333335</v>
      </c>
      <c r="P8" s="2733">
        <f>'GEARINGS, E&amp;Enot'!U351</f>
        <v>0.16666666666666666</v>
      </c>
      <c r="Q8" s="2736">
        <f>'GEARINGS, E&amp;Enot'!V351</f>
        <v>0.2</v>
      </c>
      <c r="S8" s="614" t="s">
        <v>773</v>
      </c>
      <c r="T8" s="3"/>
      <c r="U8" s="3"/>
      <c r="V8" s="2685">
        <f>Ranking!C10/Ranking!C$9</f>
        <v>0.27851966650768767</v>
      </c>
      <c r="W8" s="2686">
        <f>Ranking!G10/Ranking!G$9</f>
        <v>0.16482203014996988</v>
      </c>
      <c r="AA8" s="2323"/>
    </row>
    <row r="9" spans="1:27" s="1" customFormat="1">
      <c r="A9" s="2742" t="s">
        <v>805</v>
      </c>
      <c r="B9" s="596" t="s">
        <v>803</v>
      </c>
      <c r="C9" s="2730" t="str">
        <f>RATINGS!E749</f>
        <v>A-</v>
      </c>
      <c r="D9" s="135" t="str">
        <f>RATINGS!G749</f>
        <v>A</v>
      </c>
      <c r="E9" s="591" t="str">
        <f>RATINGS!H749</f>
        <v>BBB+</v>
      </c>
      <c r="F9" s="134" t="str">
        <f>RATINGS!O749</f>
        <v>B+</v>
      </c>
      <c r="G9" s="135" t="str">
        <f>RATINGS!Q749</f>
        <v>BB-</v>
      </c>
      <c r="H9" s="591" t="str">
        <f>RATINGS!R749</f>
        <v>B+</v>
      </c>
      <c r="I9" s="2728" t="str">
        <f>RATINGS!E753</f>
        <v>BBB</v>
      </c>
      <c r="J9" s="135" t="str">
        <f>RATINGS!G753</f>
        <v>BBB+</v>
      </c>
      <c r="K9" s="135" t="str">
        <f>RATINGS!H753</f>
        <v>BBB-</v>
      </c>
      <c r="L9" s="134" t="str">
        <f>RATINGS!J749</f>
        <v>BBB</v>
      </c>
      <c r="M9" s="135" t="str">
        <f>RATINGS!L749</f>
        <v>BBB+</v>
      </c>
      <c r="N9" s="591" t="str">
        <f>RATINGS!M749</f>
        <v>BBB-</v>
      </c>
      <c r="O9" s="2728" t="str">
        <f>RATINGS!J753</f>
        <v>BBB</v>
      </c>
      <c r="P9" s="135" t="str">
        <f>RATINGS!L753</f>
        <v>BBB+</v>
      </c>
      <c r="Q9" s="2729" t="str">
        <f>RATINGS!M753</f>
        <v>BBB-</v>
      </c>
      <c r="S9" s="2314" t="s">
        <v>288</v>
      </c>
      <c r="V9" s="2685">
        <f>Ranking!C16/Ranking!C9</f>
        <v>4.092853292601391</v>
      </c>
      <c r="W9" s="2686">
        <f>Ranking!G16/Ranking!G9</f>
        <v>3.2827054881755546</v>
      </c>
      <c r="AA9" s="2323"/>
    </row>
    <row r="10" spans="1:27" s="1" customFormat="1">
      <c r="A10" s="2743"/>
      <c r="B10" s="2731" t="s">
        <v>803</v>
      </c>
      <c r="C10" s="2737" t="str">
        <f>C9</f>
        <v>A-</v>
      </c>
      <c r="D10" s="2738" t="str">
        <f t="shared" ref="D10:Q10" si="0">D9</f>
        <v>A</v>
      </c>
      <c r="E10" s="2739" t="str">
        <f t="shared" si="0"/>
        <v>BBB+</v>
      </c>
      <c r="F10" s="2740" t="str">
        <f t="shared" si="0"/>
        <v>B+</v>
      </c>
      <c r="G10" s="2738" t="str">
        <f t="shared" si="0"/>
        <v>BB-</v>
      </c>
      <c r="H10" s="2739" t="str">
        <f t="shared" si="0"/>
        <v>B+</v>
      </c>
      <c r="I10" s="2740" t="str">
        <f t="shared" si="0"/>
        <v>BBB</v>
      </c>
      <c r="J10" s="2738" t="str">
        <f t="shared" si="0"/>
        <v>BBB+</v>
      </c>
      <c r="K10" s="2738" t="str">
        <f t="shared" si="0"/>
        <v>BBB-</v>
      </c>
      <c r="L10" s="2740" t="str">
        <f t="shared" si="0"/>
        <v>BBB</v>
      </c>
      <c r="M10" s="2738" t="str">
        <f t="shared" si="0"/>
        <v>BBB+</v>
      </c>
      <c r="N10" s="2739" t="str">
        <f t="shared" si="0"/>
        <v>BBB-</v>
      </c>
      <c r="O10" s="2740" t="str">
        <f t="shared" si="0"/>
        <v>BBB</v>
      </c>
      <c r="P10" s="2738" t="str">
        <f t="shared" si="0"/>
        <v>BBB+</v>
      </c>
      <c r="Q10" s="2741" t="str">
        <f t="shared" si="0"/>
        <v>BBB-</v>
      </c>
      <c r="S10" s="2314" t="s">
        <v>774</v>
      </c>
      <c r="V10" s="2685">
        <f>Ranking!C11/Ranking!C$9</f>
        <v>0.46496875967683954</v>
      </c>
      <c r="W10" s="2686">
        <f>Ranking!G11/Ranking!G$9</f>
        <v>0.69500255344135098</v>
      </c>
      <c r="AA10" s="2323"/>
    </row>
    <row r="11" spans="1:27" s="1" customFormat="1" ht="13.8" thickBot="1">
      <c r="A11" s="2744" t="s">
        <v>1065</v>
      </c>
      <c r="B11" s="597"/>
      <c r="C11" s="2241">
        <f>'GEARINGS, E&amp;Enot'!U494</f>
        <v>0.55555555555555558</v>
      </c>
      <c r="D11" s="2242">
        <f>'GEARINGS, E&amp;Enot'!V494</f>
        <v>0.2857142857142857</v>
      </c>
      <c r="E11" s="2243">
        <f>'GEARINGS, E&amp;Enot'!W494</f>
        <v>0.66666666666666663</v>
      </c>
      <c r="F11" s="2244">
        <f>'GEARINGS, E&amp;Enot'!AA494</f>
        <v>0.69618557805635917</v>
      </c>
      <c r="G11" s="2242">
        <f>'GEARINGS, E&amp;Enot'!AB494</f>
        <v>0.33907333425173347</v>
      </c>
      <c r="H11" s="2243">
        <f>'GEARINGS, E&amp;Enot'!AC494</f>
        <v>0.83831565413050457</v>
      </c>
      <c r="I11" s="2246">
        <f>'GEARINGS, E&amp;Enot'!AD494</f>
        <v>0.81672559734276229</v>
      </c>
      <c r="J11" s="2242">
        <f>'GEARINGS, E&amp;Enot'!AE494</f>
        <v>0.38480966156954588</v>
      </c>
      <c r="K11" s="2243">
        <f>'GEARINGS, E&amp;Enot'!AF494</f>
        <v>0.98544335767093716</v>
      </c>
      <c r="L11" s="2244">
        <f>'GEARINGS, E&amp;Enot'!X494</f>
        <v>0.14705882352941177</v>
      </c>
      <c r="M11" s="2242">
        <f>'GEARINGS, E&amp;Enot'!Y494</f>
        <v>0.13071895424836602</v>
      </c>
      <c r="N11" s="2243">
        <f>'GEARINGS, E&amp;Enot'!Z494</f>
        <v>0.16806722689075629</v>
      </c>
      <c r="O11" s="2246">
        <f>'GEARINGS, E&amp;Enot'!X494</f>
        <v>0.14705882352941177</v>
      </c>
      <c r="P11" s="2242">
        <f>'GEARINGS, E&amp;Enot'!Y494</f>
        <v>0.13071895424836602</v>
      </c>
      <c r="Q11" s="2245">
        <f>'GEARINGS, E&amp;Enot'!Z494</f>
        <v>0.16806722689075629</v>
      </c>
      <c r="S11" s="2676" t="s">
        <v>44</v>
      </c>
      <c r="T11" s="2677"/>
      <c r="U11" s="2677"/>
      <c r="V11" s="2687">
        <f>Ranking!C20/Ranking!C9</f>
        <v>1.6062286079161434</v>
      </c>
      <c r="W11" s="2688">
        <f>Ranking!G20/Ranking!G9</f>
        <v>1.1705727487730917</v>
      </c>
      <c r="AA11" s="2323"/>
    </row>
    <row r="12" spans="1:27" s="1" customFormat="1">
      <c r="A12" s="109"/>
      <c r="B12" s="109"/>
      <c r="C12" s="109"/>
      <c r="D12" s="598"/>
      <c r="E12" s="598"/>
      <c r="F12" s="109"/>
      <c r="G12" s="598"/>
      <c r="H12" s="598"/>
      <c r="I12" s="109"/>
      <c r="J12" s="598"/>
      <c r="K12" s="598"/>
      <c r="L12" s="109"/>
      <c r="M12" s="598"/>
      <c r="N12" s="598"/>
      <c r="O12" s="109"/>
      <c r="P12" s="598"/>
      <c r="Q12" s="598"/>
      <c r="AA12" s="2323"/>
    </row>
    <row r="13" spans="1:27" s="1" customFormat="1">
      <c r="A13" s="109"/>
      <c r="B13" s="109"/>
      <c r="C13" s="109"/>
      <c r="D13" s="598"/>
      <c r="E13" s="598"/>
      <c r="F13" s="109"/>
      <c r="G13" s="598"/>
      <c r="H13" s="598"/>
      <c r="I13" s="109"/>
      <c r="J13" s="598"/>
      <c r="K13" s="598"/>
      <c r="L13" s="109"/>
      <c r="M13" s="598"/>
      <c r="N13" s="598"/>
      <c r="O13" s="109"/>
      <c r="P13" s="598"/>
      <c r="Q13" s="598"/>
      <c r="S13" s="2680" t="s">
        <v>2072</v>
      </c>
      <c r="AA13" s="2323"/>
    </row>
    <row r="14" spans="1:27" s="1" customFormat="1">
      <c r="C14" s="584"/>
      <c r="D14" s="584"/>
      <c r="E14" s="148"/>
      <c r="AA14" s="2323"/>
    </row>
    <row r="15" spans="1:27" s="1" customFormat="1">
      <c r="A15" s="593" t="s">
        <v>808</v>
      </c>
      <c r="B15" s="593"/>
      <c r="C15" s="594"/>
      <c r="D15" s="594"/>
      <c r="E15" s="583"/>
      <c r="F15" s="583"/>
      <c r="G15" s="583"/>
      <c r="H15" s="583"/>
      <c r="I15" s="583"/>
      <c r="J15" s="583"/>
      <c r="K15" s="583"/>
      <c r="L15" s="583"/>
      <c r="M15" s="583"/>
      <c r="N15" s="583"/>
      <c r="O15" s="583"/>
      <c r="P15" s="583"/>
      <c r="Q15" s="583"/>
      <c r="R15" s="583"/>
      <c r="S15" s="583"/>
      <c r="T15" s="583"/>
      <c r="U15" s="583"/>
      <c r="V15" s="583"/>
      <c r="W15" s="583"/>
      <c r="X15" s="583"/>
      <c r="Y15" s="583"/>
      <c r="AA15" s="2323"/>
    </row>
    <row r="16" spans="1:27" s="1" customFormat="1" ht="13.8" thickBot="1">
      <c r="A16" s="77"/>
      <c r="B16" s="77"/>
      <c r="C16" s="586"/>
      <c r="D16" s="586"/>
      <c r="E16" s="585"/>
      <c r="AA16" s="2323"/>
    </row>
    <row r="17" spans="1:13" ht="13.8" thickBot="1">
      <c r="A17" s="617" t="s">
        <v>1318</v>
      </c>
      <c r="B17" s="618"/>
      <c r="C17" s="603" t="s">
        <v>2459</v>
      </c>
      <c r="D17" s="603" t="s">
        <v>795</v>
      </c>
      <c r="E17" s="4"/>
      <c r="F17" s="2472" t="str">
        <f>PROFILES!H433</f>
        <v>TDC, KPN, TIT, TPS, SCM &amp; TKA among closest peers for Belgacom for the period.</v>
      </c>
      <c r="G17" s="2473"/>
      <c r="H17" s="2473"/>
      <c r="I17" s="2473"/>
      <c r="J17" s="2473"/>
      <c r="K17" s="2473"/>
      <c r="L17" s="2473"/>
      <c r="M17" s="2474"/>
    </row>
    <row r="18" spans="1:13">
      <c r="A18" s="459" t="s">
        <v>52</v>
      </c>
      <c r="B18" s="612"/>
      <c r="C18" s="604">
        <f>PROFILES!E378</f>
        <v>0.61</v>
      </c>
      <c r="D18" s="605">
        <f>PROFILES!G378</f>
        <v>0.62983042679437373</v>
      </c>
    </row>
    <row r="19" spans="1:13">
      <c r="A19" s="34" t="s">
        <v>278</v>
      </c>
      <c r="B19" s="613"/>
      <c r="C19" s="606">
        <f>PROFILES!E379</f>
        <v>0.60910298289809772</v>
      </c>
      <c r="D19" s="607">
        <f>PROFILES!G379</f>
        <v>0.6207941242005639</v>
      </c>
    </row>
    <row r="20" spans="1:13">
      <c r="A20" s="614" t="s">
        <v>772</v>
      </c>
      <c r="B20" s="615"/>
      <c r="C20" s="608">
        <f>PROFILES!E380</f>
        <v>0.37158673775730477</v>
      </c>
      <c r="D20" s="609">
        <f>PROFILES!G380</f>
        <v>0.36037883142173305</v>
      </c>
    </row>
    <row r="21" spans="1:13">
      <c r="A21" s="614" t="s">
        <v>773</v>
      </c>
      <c r="B21" s="615"/>
      <c r="C21" s="608">
        <f>PROFILES!E381</f>
        <v>0.95644485424869818</v>
      </c>
      <c r="D21" s="609">
        <f>PROFILES!G381</f>
        <v>0.97265268915223335</v>
      </c>
      <c r="I21" s="2717"/>
    </row>
    <row r="22" spans="1:13">
      <c r="A22" s="614" t="s">
        <v>774</v>
      </c>
      <c r="B22" s="615"/>
      <c r="C22" s="608">
        <f>PROFILES!E382</f>
        <v>6.4385445236561381E-2</v>
      </c>
      <c r="D22" s="609">
        <f>PROFILES!G382</f>
        <v>0.15462918080465343</v>
      </c>
    </row>
    <row r="23" spans="1:13">
      <c r="A23" s="34" t="s">
        <v>39</v>
      </c>
      <c r="B23" s="613"/>
      <c r="C23" s="606">
        <f>PROFILES!E383</f>
        <v>0.31054928118178421</v>
      </c>
      <c r="D23" s="607">
        <f>PROFILES!G383</f>
        <v>0.28165979767703259</v>
      </c>
    </row>
    <row r="24" spans="1:13">
      <c r="A24" s="34" t="s">
        <v>53</v>
      </c>
      <c r="B24" s="613"/>
      <c r="C24" s="606">
        <f>PROFILES!E384</f>
        <v>0.6158872479982318</v>
      </c>
      <c r="D24" s="607">
        <f>PROFILES!G384</f>
        <v>0.66127040038880336</v>
      </c>
    </row>
    <row r="25" spans="1:13">
      <c r="A25" s="34" t="s">
        <v>285</v>
      </c>
      <c r="B25" s="613"/>
      <c r="C25" s="606">
        <f>PROFILES!E385</f>
        <v>0.62657499999999999</v>
      </c>
      <c r="D25" s="607">
        <f>PROFILES!G385</f>
        <v>0.64439999999999997</v>
      </c>
    </row>
    <row r="26" spans="1:13">
      <c r="A26" s="34" t="s">
        <v>287</v>
      </c>
      <c r="B26" s="613"/>
      <c r="C26" s="606">
        <f>PROFILES!E386</f>
        <v>9.1630231095150338E-2</v>
      </c>
      <c r="D26" s="607">
        <f>PROFILES!G386</f>
        <v>0.34976819018989347</v>
      </c>
    </row>
    <row r="27" spans="1:13">
      <c r="A27" s="34" t="s">
        <v>288</v>
      </c>
      <c r="B27" s="613"/>
      <c r="C27" s="606">
        <f>PROFILES!E387</f>
        <v>0.60741568747204655</v>
      </c>
      <c r="D27" s="607">
        <f>PROFILES!G387</f>
        <v>0.62738172243152124</v>
      </c>
    </row>
    <row r="28" spans="1:13">
      <c r="A28" s="34" t="s">
        <v>42</v>
      </c>
      <c r="B28" s="613"/>
      <c r="C28" s="606">
        <f>PROFILES!E388</f>
        <v>0.56323171407839789</v>
      </c>
      <c r="D28" s="607">
        <f>PROFILES!G388</f>
        <v>0.53987730061349704</v>
      </c>
    </row>
    <row r="29" spans="1:13">
      <c r="A29" s="34" t="s">
        <v>286</v>
      </c>
      <c r="B29" s="613"/>
      <c r="C29" s="606">
        <f>PROFILES!E389</f>
        <v>0.34534166666666666</v>
      </c>
      <c r="D29" s="607">
        <f>PROFILES!G389</f>
        <v>0.3626280111015483</v>
      </c>
    </row>
    <row r="30" spans="1:13">
      <c r="A30" s="34" t="s">
        <v>281</v>
      </c>
      <c r="B30" s="613"/>
      <c r="C30" s="606">
        <f>PROFILES!E390</f>
        <v>0.7344324868237998</v>
      </c>
      <c r="D30" s="607">
        <f>PROFILES!G390</f>
        <v>0.74956908795771016</v>
      </c>
    </row>
    <row r="31" spans="1:13">
      <c r="A31" s="34" t="s">
        <v>44</v>
      </c>
      <c r="B31" s="613"/>
      <c r="C31" s="606">
        <f>PROFILES!E391</f>
        <v>0.5805147103617575</v>
      </c>
      <c r="D31" s="607">
        <f>PROFILES!G391</f>
        <v>0.6264024463118032</v>
      </c>
    </row>
    <row r="32" spans="1:13">
      <c r="A32" s="34" t="s">
        <v>289</v>
      </c>
      <c r="B32" s="613"/>
      <c r="C32" s="606">
        <f>PROFILES!E392</f>
        <v>0.42290073595624156</v>
      </c>
      <c r="D32" s="607">
        <f>PROFILES!G392</f>
        <v>0.44946685046944856</v>
      </c>
    </row>
    <row r="33" spans="1:25">
      <c r="A33" s="34" t="s">
        <v>54</v>
      </c>
      <c r="B33" s="613"/>
      <c r="C33" s="606">
        <f>PROFILES!E393</f>
        <v>0.48460704112825509</v>
      </c>
      <c r="D33" s="607">
        <f>PROFILES!G393</f>
        <v>0.49497857034449522</v>
      </c>
    </row>
    <row r="34" spans="1:25">
      <c r="A34" s="34" t="s">
        <v>50</v>
      </c>
      <c r="B34" s="613"/>
      <c r="C34" s="606">
        <f>PROFILES!E394</f>
        <v>0</v>
      </c>
      <c r="D34" s="607">
        <f>PROFILES!G394</f>
        <v>0</v>
      </c>
    </row>
    <row r="35" spans="1:25">
      <c r="A35" s="34" t="s">
        <v>279</v>
      </c>
      <c r="B35" s="613"/>
      <c r="C35" s="606">
        <f>PROFILES!E395</f>
        <v>0.91487499999999988</v>
      </c>
      <c r="D35" s="607">
        <f>PROFILES!G395</f>
        <v>0.89481420237931208</v>
      </c>
    </row>
    <row r="36" spans="1:25">
      <c r="A36" s="34" t="s">
        <v>284</v>
      </c>
      <c r="B36" s="613"/>
      <c r="C36" s="606">
        <f>PROFILES!E396</f>
        <v>0.67984865616162071</v>
      </c>
      <c r="D36" s="607">
        <f>PROFILES!G396</f>
        <v>0.7167630057803468</v>
      </c>
    </row>
    <row r="37" spans="1:25">
      <c r="A37" s="34" t="s">
        <v>282</v>
      </c>
      <c r="B37" s="613"/>
      <c r="C37" s="606">
        <f>PROFILES!E397</f>
        <v>0.67083419702973635</v>
      </c>
      <c r="D37" s="607">
        <f>PROFILES!G397</f>
        <v>0.63639387890884902</v>
      </c>
    </row>
    <row r="38" spans="1:25">
      <c r="A38" s="34" t="s">
        <v>290</v>
      </c>
      <c r="B38" s="613"/>
      <c r="C38" s="606">
        <f>PROFILES!E398</f>
        <v>0.32615050588405037</v>
      </c>
      <c r="D38" s="607">
        <f>PROFILES!G398</f>
        <v>0.30985103942866765</v>
      </c>
    </row>
    <row r="39" spans="1:25">
      <c r="A39" s="34" t="s">
        <v>357</v>
      </c>
      <c r="B39" s="613"/>
      <c r="C39" s="606">
        <f>PROFILES!E399</f>
        <v>0.90539538726018864</v>
      </c>
      <c r="D39" s="607">
        <f>PROFILES!G399</f>
        <v>0.90138346931536006</v>
      </c>
    </row>
    <row r="40" spans="1:25" ht="13.8" thickBot="1">
      <c r="A40" s="100" t="s">
        <v>358</v>
      </c>
      <c r="B40" s="616"/>
      <c r="C40" s="610"/>
      <c r="D40" s="611"/>
    </row>
    <row r="42" spans="1:25">
      <c r="G42" s="4"/>
    </row>
    <row r="43" spans="1:25">
      <c r="A43" s="3057" t="s">
        <v>1814</v>
      </c>
      <c r="C43" s="492" t="s">
        <v>2461</v>
      </c>
      <c r="D43" s="492"/>
    </row>
    <row r="44" spans="1:25" ht="13.8" thickBot="1">
      <c r="A44" s="619" t="s">
        <v>761</v>
      </c>
      <c r="B44" s="620"/>
      <c r="C44" s="621" t="s">
        <v>52</v>
      </c>
      <c r="D44" s="621" t="s">
        <v>278</v>
      </c>
      <c r="E44" s="622" t="s">
        <v>772</v>
      </c>
      <c r="F44" s="622" t="s">
        <v>773</v>
      </c>
      <c r="G44" s="622" t="s">
        <v>774</v>
      </c>
      <c r="H44" s="621" t="s">
        <v>39</v>
      </c>
      <c r="I44" s="621" t="s">
        <v>53</v>
      </c>
      <c r="J44" s="621" t="s">
        <v>285</v>
      </c>
      <c r="K44" s="621" t="s">
        <v>287</v>
      </c>
      <c r="L44" s="621" t="s">
        <v>288</v>
      </c>
      <c r="M44" s="621" t="s">
        <v>42</v>
      </c>
      <c r="N44" s="621" t="s">
        <v>286</v>
      </c>
      <c r="O44" s="621" t="s">
        <v>281</v>
      </c>
      <c r="P44" s="621" t="s">
        <v>44</v>
      </c>
      <c r="Q44" s="623" t="s">
        <v>289</v>
      </c>
      <c r="R44" s="623" t="s">
        <v>54</v>
      </c>
      <c r="S44" s="623" t="s">
        <v>50</v>
      </c>
      <c r="T44" s="623" t="s">
        <v>279</v>
      </c>
      <c r="U44" s="623" t="s">
        <v>284</v>
      </c>
      <c r="V44" s="623" t="s">
        <v>282</v>
      </c>
      <c r="W44" s="623" t="s">
        <v>290</v>
      </c>
      <c r="X44" s="623" t="s">
        <v>357</v>
      </c>
      <c r="Y44" s="623" t="s">
        <v>358</v>
      </c>
    </row>
    <row r="45" spans="1:25">
      <c r="A45" s="634">
        <v>40178</v>
      </c>
      <c r="B45" s="635"/>
      <c r="C45" s="624">
        <v>1.4353308911517835</v>
      </c>
      <c r="D45" s="625">
        <v>0.73689138072732419</v>
      </c>
      <c r="E45" s="626">
        <v>0.25024787449025654</v>
      </c>
      <c r="F45" s="626">
        <v>0.21883295946711381</v>
      </c>
      <c r="G45" s="626">
        <v>1.0098047498524676</v>
      </c>
      <c r="H45" s="625">
        <v>0.84211656566631876</v>
      </c>
      <c r="I45" s="625">
        <v>0.57418004488236885</v>
      </c>
      <c r="J45" s="625">
        <v>0.31133239398826085</v>
      </c>
      <c r="K45" s="625">
        <v>0.14863555209046622</v>
      </c>
      <c r="L45" s="625">
        <v>0.83289615160295183</v>
      </c>
      <c r="M45" s="625">
        <v>0.89572080523073827</v>
      </c>
      <c r="N45" s="625">
        <v>1.779020485748499</v>
      </c>
      <c r="O45" s="625">
        <v>0.27543615187457104</v>
      </c>
      <c r="P45" s="627">
        <v>0.63924570752732102</v>
      </c>
      <c r="Q45" s="625">
        <v>0.21935078084741494</v>
      </c>
      <c r="R45" s="625">
        <v>0.84757726526954613</v>
      </c>
      <c r="S45" s="625">
        <v>1.6861629756165972</v>
      </c>
      <c r="T45" s="625">
        <v>0.46986139658463089</v>
      </c>
      <c r="U45" s="625">
        <v>0.24380186972871457</v>
      </c>
      <c r="V45" s="625">
        <v>0.14720104649067936</v>
      </c>
      <c r="W45" s="625">
        <v>0.49889703568332833</v>
      </c>
      <c r="X45" s="625">
        <v>0.64925467304296247</v>
      </c>
      <c r="Y45" s="628">
        <v>0.75430043765296584</v>
      </c>
    </row>
    <row r="46" spans="1:25">
      <c r="A46" s="636">
        <v>40268</v>
      </c>
      <c r="B46" s="637"/>
      <c r="C46" s="629">
        <v>1.4221954816967486</v>
      </c>
      <c r="D46" s="630">
        <v>0.66852485832347264</v>
      </c>
      <c r="E46" s="631">
        <v>0.18536213944248128</v>
      </c>
      <c r="F46" s="631">
        <v>0.23935620659762077</v>
      </c>
      <c r="G46" s="631">
        <v>0.86093965744904821</v>
      </c>
      <c r="H46" s="630">
        <v>0.84365299503780822</v>
      </c>
      <c r="I46" s="630">
        <v>0.67688934910942067</v>
      </c>
      <c r="J46" s="630">
        <v>0.36611424508641549</v>
      </c>
      <c r="K46" s="630">
        <v>0.17419045125508262</v>
      </c>
      <c r="L46" s="630">
        <v>0.93929749757154979</v>
      </c>
      <c r="M46" s="630">
        <v>1.0004479538280329</v>
      </c>
      <c r="N46" s="630">
        <v>1.7947428499486509</v>
      </c>
      <c r="O46" s="630">
        <v>0.2393498207647701</v>
      </c>
      <c r="P46" s="630">
        <v>0.67152373511206342</v>
      </c>
      <c r="Q46" s="632">
        <v>0.18326979763172466</v>
      </c>
      <c r="R46" s="632">
        <v>0.84460120306580977</v>
      </c>
      <c r="S46" s="632">
        <v>1.6899659366714743</v>
      </c>
      <c r="T46" s="632">
        <v>0.47056247246458643</v>
      </c>
      <c r="U46" s="632">
        <v>0.23904685338721751</v>
      </c>
      <c r="V46" s="632">
        <v>0.15937996144495589</v>
      </c>
      <c r="W46" s="632">
        <v>0.48200093186542042</v>
      </c>
      <c r="X46" s="632">
        <v>0.7343691718843578</v>
      </c>
      <c r="Y46" s="633">
        <v>0.82754839580874084</v>
      </c>
    </row>
    <row r="47" spans="1:25">
      <c r="A47" s="636">
        <v>40359</v>
      </c>
      <c r="B47" s="637"/>
      <c r="C47" s="629">
        <v>1.550426839718283</v>
      </c>
      <c r="D47" s="630">
        <v>0.79172574046909439</v>
      </c>
      <c r="E47" s="631">
        <v>0.2371104056528387</v>
      </c>
      <c r="F47" s="631">
        <v>0.26188359291879809</v>
      </c>
      <c r="G47" s="631">
        <v>0.86515817365505865</v>
      </c>
      <c r="H47" s="630">
        <v>0.92019308863673865</v>
      </c>
      <c r="I47" s="630">
        <v>0.84939578108193037</v>
      </c>
      <c r="J47" s="630">
        <v>0.3633695245287486</v>
      </c>
      <c r="K47" s="630">
        <v>0.20758691368354032</v>
      </c>
      <c r="L47" s="630">
        <v>1.0691220524860043</v>
      </c>
      <c r="M47" s="630">
        <v>1.5041795928070005</v>
      </c>
      <c r="N47" s="630">
        <v>2.1713531077652202</v>
      </c>
      <c r="O47" s="630">
        <v>0.26606410995527491</v>
      </c>
      <c r="P47" s="630">
        <v>0.81904644794922177</v>
      </c>
      <c r="Q47" s="632">
        <v>0.1790678070627382</v>
      </c>
      <c r="R47" s="632">
        <v>0.8937124663376893</v>
      </c>
      <c r="S47" s="632">
        <v>1.5335791069962126</v>
      </c>
      <c r="T47" s="632">
        <v>0.464611186908781</v>
      </c>
      <c r="U47" s="632">
        <v>0.27297034325266872</v>
      </c>
      <c r="V47" s="632">
        <v>0.17959900907117443</v>
      </c>
      <c r="W47" s="632">
        <v>0.54081379509239258</v>
      </c>
      <c r="X47" s="632">
        <v>0.85078007086064289</v>
      </c>
      <c r="Y47" s="633">
        <v>0.95456745725127423</v>
      </c>
    </row>
    <row r="48" spans="1:25">
      <c r="A48" s="636">
        <v>40451</v>
      </c>
      <c r="B48" s="637"/>
      <c r="C48" s="629">
        <v>1.4260181999869967</v>
      </c>
      <c r="D48" s="630">
        <v>0.59663638423951515</v>
      </c>
      <c r="E48" s="631">
        <v>0.18635433819491123</v>
      </c>
      <c r="F48" s="631">
        <v>0.24559297310315117</v>
      </c>
      <c r="G48" s="631">
        <v>0.82486414807442265</v>
      </c>
      <c r="H48" s="630">
        <v>0.84326022748323548</v>
      </c>
      <c r="I48" s="630">
        <v>0.73829600587505961</v>
      </c>
      <c r="J48" s="630">
        <v>0.29565234455552819</v>
      </c>
      <c r="K48" s="630">
        <v>0.17837503420209674</v>
      </c>
      <c r="L48" s="630">
        <v>0.97186675462975647</v>
      </c>
      <c r="M48" s="630">
        <v>1.7490379904652795</v>
      </c>
      <c r="N48" s="630">
        <v>1.8939654521625124</v>
      </c>
      <c r="O48" s="630">
        <v>0.2037002844825555</v>
      </c>
      <c r="P48" s="630">
        <v>0.76663255115342976</v>
      </c>
      <c r="Q48" s="632">
        <v>0.1834006552881324</v>
      </c>
      <c r="R48" s="632">
        <v>0.12483216148034813</v>
      </c>
      <c r="S48" s="632">
        <v>1.4768715312865321</v>
      </c>
      <c r="T48" s="632">
        <v>0.45883343291602746</v>
      </c>
      <c r="U48" s="632">
        <v>0.23045993001985984</v>
      </c>
      <c r="V48" s="632">
        <v>0.11385997465250111</v>
      </c>
      <c r="W48" s="632">
        <v>0.48523855211489203</v>
      </c>
      <c r="X48" s="632">
        <v>0.87459280939629513</v>
      </c>
      <c r="Y48" s="633">
        <v>0.47206472657884763</v>
      </c>
    </row>
    <row r="49" spans="1:27">
      <c r="A49" s="636">
        <v>40543</v>
      </c>
      <c r="B49" s="637"/>
      <c r="C49" s="629">
        <v>1.4364998128787911</v>
      </c>
      <c r="D49" s="630">
        <v>0.73870303716282781</v>
      </c>
      <c r="E49" s="631">
        <v>0.22752002270317084</v>
      </c>
      <c r="F49" s="631">
        <v>0.23093979632607184</v>
      </c>
      <c r="G49" s="631">
        <v>0.68510588352209834</v>
      </c>
      <c r="H49" s="630">
        <v>0.75303478530892609</v>
      </c>
      <c r="I49" s="630">
        <v>0.81679234077970664</v>
      </c>
      <c r="J49" s="630">
        <v>0.30539498201739218</v>
      </c>
      <c r="K49" s="630">
        <v>0.15548910473671795</v>
      </c>
      <c r="L49" s="630">
        <v>0.88285306016742993</v>
      </c>
      <c r="M49" s="630">
        <v>1.4254705392382319</v>
      </c>
      <c r="N49" s="630">
        <v>1.8823935019704841</v>
      </c>
      <c r="O49" s="630">
        <v>0.19840919953062697</v>
      </c>
      <c r="P49" s="630">
        <v>0.76623620329556186</v>
      </c>
      <c r="Q49" s="632">
        <v>0.17952930608143089</v>
      </c>
      <c r="R49" s="632">
        <v>0.30884526275740237</v>
      </c>
      <c r="S49" s="632">
        <v>1.0958352783266365</v>
      </c>
      <c r="T49" s="632">
        <v>0.43071280772424281</v>
      </c>
      <c r="U49" s="632">
        <v>0.23702861084558635</v>
      </c>
      <c r="V49" s="632">
        <v>0.10065897651607288</v>
      </c>
      <c r="W49" s="632">
        <v>0.4593032902275383</v>
      </c>
      <c r="X49" s="632">
        <v>0.94860987213186798</v>
      </c>
      <c r="Y49" s="633">
        <v>1.0250669336559239</v>
      </c>
    </row>
    <row r="50" spans="1:27">
      <c r="A50" s="636">
        <v>40633</v>
      </c>
      <c r="B50" s="637"/>
      <c r="C50" s="629">
        <v>1.2445867991012294</v>
      </c>
      <c r="D50" s="630">
        <v>0.74795395221043892</v>
      </c>
      <c r="E50" s="631">
        <v>0.17796577272913486</v>
      </c>
      <c r="F50" s="631">
        <v>0.22595461999898547</v>
      </c>
      <c r="G50" s="631">
        <v>0.59128071894987022</v>
      </c>
      <c r="H50" s="630">
        <v>0.81593895839497443</v>
      </c>
      <c r="I50" s="630">
        <v>0.75056920725616838</v>
      </c>
      <c r="J50" s="630">
        <v>0.34125306951835449</v>
      </c>
      <c r="K50" s="630">
        <v>0.16201250273483445</v>
      </c>
      <c r="L50" s="630">
        <v>0.91748215422313695</v>
      </c>
      <c r="M50" s="630">
        <v>1.1451338238289197</v>
      </c>
      <c r="N50" s="630">
        <v>1.6022747261460433</v>
      </c>
      <c r="O50" s="630">
        <v>0.19582324816515739</v>
      </c>
      <c r="P50" s="630">
        <v>0.7172325713083969</v>
      </c>
      <c r="Q50" s="632">
        <v>0.16060351302013395</v>
      </c>
      <c r="R50" s="632">
        <v>1.0391760575044549</v>
      </c>
      <c r="S50" s="632">
        <v>1.0179860313393303</v>
      </c>
      <c r="T50" s="632">
        <v>0.40377740470171375</v>
      </c>
      <c r="U50" s="632">
        <v>0.22437017285769875</v>
      </c>
      <c r="V50" s="632">
        <v>7.7961342222613195E-2</v>
      </c>
      <c r="W50" s="632">
        <v>0.4460639750558138</v>
      </c>
      <c r="X50" s="632">
        <v>0.86942119826730524</v>
      </c>
      <c r="Y50" s="633">
        <v>1.0176955449522307</v>
      </c>
    </row>
    <row r="51" spans="1:27">
      <c r="A51" s="636">
        <v>40724</v>
      </c>
      <c r="B51" s="637"/>
      <c r="C51" s="629">
        <v>1.2928749206954782</v>
      </c>
      <c r="D51" s="630">
        <v>0.93091011042245375</v>
      </c>
      <c r="E51" s="631">
        <v>0.23950220847699055</v>
      </c>
      <c r="F51" s="631">
        <v>0.22133776428852209</v>
      </c>
      <c r="G51" s="631">
        <v>0.58154688981992608</v>
      </c>
      <c r="H51" s="630">
        <v>0.72866916673781523</v>
      </c>
      <c r="I51" s="630">
        <v>0.80751082962001197</v>
      </c>
      <c r="J51" s="630">
        <v>0.40829334944564682</v>
      </c>
      <c r="K51" s="630">
        <v>0.16774273081083288</v>
      </c>
      <c r="L51" s="630">
        <v>0.9543270939176981</v>
      </c>
      <c r="M51" s="630">
        <v>1.3834252277685712</v>
      </c>
      <c r="N51" s="630">
        <v>1.8476720796595707</v>
      </c>
      <c r="O51" s="630">
        <v>0.23954078383616867</v>
      </c>
      <c r="P51" s="630">
        <v>0.90531706278664803</v>
      </c>
      <c r="Q51" s="632">
        <v>6.2789344717267603E-2</v>
      </c>
      <c r="R51" s="632">
        <v>1.4724286918436673</v>
      </c>
      <c r="S51" s="632">
        <v>0.92866686589324365</v>
      </c>
      <c r="T51" s="632">
        <v>0.40215697181336374</v>
      </c>
      <c r="U51" s="632">
        <v>0.37924054007576063</v>
      </c>
      <c r="V51" s="632">
        <v>0.31892676228435574</v>
      </c>
      <c r="W51" s="632">
        <v>0.51115030080250168</v>
      </c>
      <c r="X51" s="632">
        <v>0.84603223093113578</v>
      </c>
      <c r="Y51" s="633">
        <v>1.1156600687446578</v>
      </c>
    </row>
    <row r="52" spans="1:27">
      <c r="A52" s="636">
        <v>40816</v>
      </c>
      <c r="B52" s="637"/>
      <c r="C52" s="629">
        <v>1.5685774273678457</v>
      </c>
      <c r="D52" s="630">
        <v>1.0514828387176673</v>
      </c>
      <c r="E52" s="631">
        <v>0.22512331350756351</v>
      </c>
      <c r="F52" s="631">
        <v>0.24447618655799022</v>
      </c>
      <c r="G52" s="631">
        <v>0.87010921054006918</v>
      </c>
      <c r="H52" s="630">
        <v>0.7624833965425023</v>
      </c>
      <c r="I52" s="630">
        <v>0.96010021367625598</v>
      </c>
      <c r="J52" s="630">
        <v>0.26609032366825586</v>
      </c>
      <c r="K52" s="630">
        <v>0.20479139995154541</v>
      </c>
      <c r="L52" s="630">
        <v>1.0255734018413571</v>
      </c>
      <c r="M52" s="630">
        <v>2.7897328039306646</v>
      </c>
      <c r="N52" s="630">
        <v>2.1715293848767288</v>
      </c>
      <c r="O52" s="630">
        <v>0.20641666965742314</v>
      </c>
      <c r="P52" s="630">
        <v>0.99656876067303668</v>
      </c>
      <c r="Q52" s="632">
        <v>0.13407711127170796</v>
      </c>
      <c r="R52" s="632">
        <v>1.7608953504538458</v>
      </c>
      <c r="S52" s="632">
        <v>1.1186846577180489</v>
      </c>
      <c r="T52" s="632">
        <v>0.40039767908666435</v>
      </c>
      <c r="U52" s="632">
        <v>0.37708437982469101</v>
      </c>
      <c r="V52" s="632">
        <v>0.289470990715534</v>
      </c>
      <c r="W52" s="632">
        <v>0.50179150923075688</v>
      </c>
      <c r="X52" s="632">
        <v>1.0139256415952984</v>
      </c>
      <c r="Y52" s="633">
        <v>1.1628251709809074</v>
      </c>
    </row>
    <row r="53" spans="1:27">
      <c r="A53" s="636">
        <v>40908</v>
      </c>
      <c r="B53" s="637"/>
      <c r="C53" s="629">
        <v>1.4776082032995426</v>
      </c>
      <c r="D53" s="630">
        <v>0.83457400918330871</v>
      </c>
      <c r="E53" s="631">
        <v>0.24579504761808413</v>
      </c>
      <c r="F53" s="631">
        <v>0.27440927047563379</v>
      </c>
      <c r="G53" s="631">
        <v>0.78956322841910731</v>
      </c>
      <c r="H53" s="630">
        <v>0.7596911319495665</v>
      </c>
      <c r="I53" s="630">
        <v>1.1231815193292525</v>
      </c>
      <c r="J53" s="630">
        <v>0.37151849906725343</v>
      </c>
      <c r="K53" s="630">
        <v>0.23929564659966665</v>
      </c>
      <c r="L53" s="630">
        <v>1.1121314776947089</v>
      </c>
      <c r="M53" s="630">
        <v>2.8078764054564718</v>
      </c>
      <c r="N53" s="630">
        <v>2.155860414664124</v>
      </c>
      <c r="O53" s="630">
        <v>0.18906892063005462</v>
      </c>
      <c r="P53" s="630">
        <v>1.048217559030429</v>
      </c>
      <c r="Q53" s="632">
        <v>0.11402249017231224</v>
      </c>
      <c r="R53" s="632">
        <v>1.8686623201076022</v>
      </c>
      <c r="S53" s="632">
        <v>0.97835550473189536</v>
      </c>
      <c r="T53" s="632">
        <v>0.38293690434666139</v>
      </c>
      <c r="U53" s="632">
        <v>0.36390427600390368</v>
      </c>
      <c r="V53" s="632">
        <v>0.28313582081174365</v>
      </c>
      <c r="W53" s="632">
        <v>0.48651634645809033</v>
      </c>
      <c r="X53" s="632">
        <v>0.98677367603129529</v>
      </c>
      <c r="Y53" s="633">
        <v>1.1708408256574923</v>
      </c>
    </row>
    <row r="54" spans="1:27">
      <c r="A54" s="636">
        <v>40999</v>
      </c>
      <c r="B54" s="637"/>
      <c r="C54" s="629">
        <v>1.3948879257405247</v>
      </c>
      <c r="D54" s="630">
        <v>0.87140411540149809</v>
      </c>
      <c r="E54" s="631">
        <v>0.205223966234448</v>
      </c>
      <c r="F54" s="631">
        <v>0.35430780101575221</v>
      </c>
      <c r="G54" s="631">
        <v>0.74121796052753874</v>
      </c>
      <c r="H54" s="630">
        <v>0.87530292585387726</v>
      </c>
      <c r="I54" s="630">
        <v>1.2266714669222101</v>
      </c>
      <c r="J54" s="630">
        <v>0.3143008819077201</v>
      </c>
      <c r="K54" s="630">
        <v>0.23225611380902522</v>
      </c>
      <c r="L54" s="630">
        <v>1.2312001906450707</v>
      </c>
      <c r="M54" s="630">
        <v>2.4607456288218645</v>
      </c>
      <c r="N54" s="630">
        <v>1.9865869392769591</v>
      </c>
      <c r="O54" s="630">
        <v>0.20248387132507051</v>
      </c>
      <c r="P54" s="630">
        <v>1.1888971233612622</v>
      </c>
      <c r="Q54" s="632">
        <v>0.21135717162352624</v>
      </c>
      <c r="R54" s="632">
        <v>1.9696005033190365</v>
      </c>
      <c r="S54" s="632">
        <v>0.89184271137647719</v>
      </c>
      <c r="T54" s="632">
        <v>0.36792898780122263</v>
      </c>
      <c r="U54" s="632">
        <v>0.41353921054532566</v>
      </c>
      <c r="V54" s="632">
        <v>0.28273314392136306</v>
      </c>
      <c r="W54" s="632">
        <v>0.47526600771354283</v>
      </c>
      <c r="X54" s="632">
        <v>1.0992775819758946</v>
      </c>
      <c r="Y54" s="633">
        <v>0.98980816537504868</v>
      </c>
    </row>
    <row r="55" spans="1:27">
      <c r="A55" s="636">
        <v>41090</v>
      </c>
      <c r="B55" s="637"/>
      <c r="C55" s="629">
        <v>1.5319740331339313</v>
      </c>
      <c r="D55" s="630">
        <v>1.0071088002139288</v>
      </c>
      <c r="E55" s="631">
        <v>0.27897852816700225</v>
      </c>
      <c r="F55" s="631">
        <v>0.47394875443842399</v>
      </c>
      <c r="G55" s="631">
        <v>0.68759105219561656</v>
      </c>
      <c r="H55" s="630">
        <v>0.88290409683143534</v>
      </c>
      <c r="I55" s="630">
        <v>1.4934602377581869</v>
      </c>
      <c r="J55" s="630">
        <v>0.40997992303340675</v>
      </c>
      <c r="K55" s="630">
        <v>0.2263894909997336</v>
      </c>
      <c r="L55" s="630">
        <v>1.3706234847094692</v>
      </c>
      <c r="M55" s="630">
        <v>3.7898087500569511</v>
      </c>
      <c r="N55" s="630">
        <v>2.3080644395535086</v>
      </c>
      <c r="O55" s="630">
        <v>0.26118526466193287</v>
      </c>
      <c r="P55" s="630">
        <v>1.3709068594661011</v>
      </c>
      <c r="Q55" s="632">
        <v>0.21442432533481823</v>
      </c>
      <c r="R55" s="632">
        <v>2.6056275899263981</v>
      </c>
      <c r="S55" s="632">
        <v>0.95082877535150412</v>
      </c>
      <c r="T55" s="632">
        <v>0.33671146793778922</v>
      </c>
      <c r="U55" s="632">
        <v>0.42902256786451315</v>
      </c>
      <c r="V55" s="632">
        <v>0.46289671381835562</v>
      </c>
      <c r="W55" s="632">
        <v>0.47997287707435426</v>
      </c>
      <c r="X55" s="632">
        <v>1.0333395586021583</v>
      </c>
      <c r="Y55" s="633">
        <v>1.0400764622941663</v>
      </c>
    </row>
    <row r="56" spans="1:27">
      <c r="A56" s="636">
        <v>41182</v>
      </c>
      <c r="B56" s="637"/>
      <c r="C56" s="629">
        <v>1.3358112038257617</v>
      </c>
      <c r="D56" s="630">
        <v>1.354386624000776</v>
      </c>
      <c r="E56" s="631">
        <v>0.23257945623174781</v>
      </c>
      <c r="F56" s="631">
        <v>0.54579341187515817</v>
      </c>
      <c r="G56" s="631">
        <v>0.77399917833630816</v>
      </c>
      <c r="H56" s="630">
        <v>0.86988985344672065</v>
      </c>
      <c r="I56" s="630">
        <v>1.4305436735474375</v>
      </c>
      <c r="J56" s="630">
        <v>0.35068127578958003</v>
      </c>
      <c r="K56" s="630">
        <v>0.20767238350493314</v>
      </c>
      <c r="L56" s="630">
        <v>1.5102308078471314</v>
      </c>
      <c r="M56" s="630">
        <v>2.4432036195119964</v>
      </c>
      <c r="N56" s="630">
        <v>2.2398034580332675</v>
      </c>
      <c r="O56" s="630">
        <v>0.23342813473712049</v>
      </c>
      <c r="P56" s="630">
        <v>1.754676769573092</v>
      </c>
      <c r="Q56" s="632">
        <v>0.27430491945727442</v>
      </c>
      <c r="R56" s="632">
        <v>2.2899328783409052</v>
      </c>
      <c r="S56" s="632">
        <v>0.84340939371429458</v>
      </c>
      <c r="T56" s="632">
        <v>0.30583401265956645</v>
      </c>
      <c r="U56" s="632">
        <v>0.38800936651370022</v>
      </c>
      <c r="V56" s="632">
        <v>0.3930518257608947</v>
      </c>
      <c r="W56" s="632">
        <v>0.47628622826617545</v>
      </c>
      <c r="X56" s="632">
        <v>0.92537121281834678</v>
      </c>
      <c r="Y56" s="633">
        <v>0.88227196376112038</v>
      </c>
    </row>
    <row r="57" spans="1:27">
      <c r="A57" s="636">
        <v>41274</v>
      </c>
      <c r="B57" s="637"/>
      <c r="C57" s="629">
        <v>1.4277167320230617</v>
      </c>
      <c r="D57" s="630">
        <v>1.2916837543454758</v>
      </c>
      <c r="E57" s="631">
        <v>0.27694187325350006</v>
      </c>
      <c r="F57" s="631">
        <v>0.64598317827804319</v>
      </c>
      <c r="G57" s="631">
        <v>0.73307452108119331</v>
      </c>
      <c r="H57" s="630">
        <v>0.89129045777374927</v>
      </c>
      <c r="I57" s="630">
        <v>1.3805295920506238</v>
      </c>
      <c r="J57" s="630">
        <v>0.34748385931355136</v>
      </c>
      <c r="K57" s="630">
        <v>0.19137417374896731</v>
      </c>
      <c r="L57" s="630">
        <v>1.6841274181523569</v>
      </c>
      <c r="M57" s="630">
        <v>1.3479311569455394</v>
      </c>
      <c r="N57" s="630">
        <v>2.4478814124011592</v>
      </c>
      <c r="O57" s="630">
        <v>0.27983713025357004</v>
      </c>
      <c r="P57" s="630">
        <v>2.7411219764621686</v>
      </c>
      <c r="Q57" s="632">
        <v>0.33551054573496281</v>
      </c>
      <c r="R57" s="632">
        <v>2.5931648819886353</v>
      </c>
      <c r="S57" s="632">
        <v>0.78815939722149586</v>
      </c>
      <c r="T57" s="632">
        <v>0.34107630970847519</v>
      </c>
      <c r="U57" s="632">
        <v>0.35703095280027208</v>
      </c>
      <c r="V57" s="632">
        <v>0.38704176290213793</v>
      </c>
      <c r="W57" s="632">
        <v>0.43077100342297192</v>
      </c>
      <c r="X57" s="632">
        <v>0.87017109987581576</v>
      </c>
      <c r="Y57" s="633">
        <v>0.72010766569285256</v>
      </c>
    </row>
    <row r="58" spans="1:27">
      <c r="A58" s="636">
        <v>41364</v>
      </c>
      <c r="B58" s="637"/>
      <c r="C58" s="629">
        <v>1.4766695542410482</v>
      </c>
      <c r="D58" s="630">
        <v>1.5867531491598423</v>
      </c>
      <c r="E58" s="631">
        <v>0.28258934408196806</v>
      </c>
      <c r="F58" s="631">
        <v>0.74493301944089252</v>
      </c>
      <c r="G58" s="631">
        <v>0.67978028832308623</v>
      </c>
      <c r="H58" s="630">
        <v>0.81626281227961672</v>
      </c>
      <c r="I58" s="630">
        <v>1.3316619996241057</v>
      </c>
      <c r="J58" s="630">
        <v>0.38746124209036659</v>
      </c>
      <c r="K58" s="630">
        <v>0.1665590744809394</v>
      </c>
      <c r="L58" s="630">
        <v>1.7840396628007362</v>
      </c>
      <c r="M58" s="630">
        <v>1.4044953794465365</v>
      </c>
      <c r="N58" s="630">
        <v>3.0645221972696159</v>
      </c>
      <c r="O58" s="630">
        <v>0.22557279458743068</v>
      </c>
      <c r="P58" s="630">
        <v>3.9588003524370663</v>
      </c>
      <c r="Q58" s="632">
        <v>0.60654334008047517</v>
      </c>
      <c r="R58" s="632">
        <v>2.39418667106326</v>
      </c>
      <c r="S58" s="632">
        <v>0.65656354100523684</v>
      </c>
      <c r="T58" s="632">
        <v>0.37330976921347186</v>
      </c>
      <c r="U58" s="632">
        <v>0.31789255218062606</v>
      </c>
      <c r="V58" s="632">
        <v>0.31765630472387318</v>
      </c>
      <c r="W58" s="632">
        <v>0.38030528314215301</v>
      </c>
      <c r="X58" s="632">
        <v>0.78576962198583256</v>
      </c>
      <c r="Y58" s="633">
        <v>0.89720817843128697</v>
      </c>
    </row>
    <row r="59" spans="1:27">
      <c r="A59" s="636">
        <v>41455</v>
      </c>
      <c r="B59" s="637"/>
      <c r="C59" s="629">
        <v>1.4434918027375232</v>
      </c>
      <c r="D59" s="630">
        <v>1.6538669622140025</v>
      </c>
      <c r="E59" s="631">
        <v>0.40363413803173109</v>
      </c>
      <c r="F59" s="631">
        <v>0.86484786248949364</v>
      </c>
      <c r="G59" s="631">
        <v>0.93513368981490552</v>
      </c>
      <c r="H59" s="630">
        <v>0.78306978260100069</v>
      </c>
      <c r="I59" s="630">
        <v>1.3769796566718662</v>
      </c>
      <c r="J59" s="630">
        <v>0.47192627579013768</v>
      </c>
      <c r="K59" s="630">
        <v>0.14713563987481829</v>
      </c>
      <c r="L59" s="630">
        <v>1.8985032535055446</v>
      </c>
      <c r="M59" s="630">
        <v>0.79183651371359054</v>
      </c>
      <c r="N59" s="630">
        <v>3.1105080681940231</v>
      </c>
      <c r="O59" s="630">
        <v>0.24706563852497943</v>
      </c>
      <c r="P59" s="630">
        <v>1.7265685441288092</v>
      </c>
      <c r="Q59" s="632">
        <v>0.51970143304537764</v>
      </c>
      <c r="R59" s="632">
        <v>3.0107048010789441</v>
      </c>
      <c r="S59" s="632">
        <v>0.59780233808783556</v>
      </c>
      <c r="T59" s="632">
        <v>0.37330976921347186</v>
      </c>
      <c r="U59" s="632">
        <v>0.39445897122605489</v>
      </c>
      <c r="V59" s="632">
        <v>0.3940718629057372</v>
      </c>
      <c r="W59" s="632">
        <v>0.43600227654944312</v>
      </c>
      <c r="X59" s="632">
        <v>0.86941660922216346</v>
      </c>
      <c r="Y59" s="633">
        <v>0.66808457644130204</v>
      </c>
    </row>
    <row r="60" spans="1:27" s="1" customFormat="1">
      <c r="A60" s="2088"/>
      <c r="B60" s="2088"/>
      <c r="C60" s="630"/>
      <c r="D60" s="630"/>
      <c r="E60" s="630"/>
      <c r="F60" s="630"/>
      <c r="G60" s="630"/>
      <c r="H60" s="630"/>
      <c r="I60" s="630"/>
      <c r="J60" s="630"/>
      <c r="K60" s="630"/>
      <c r="L60" s="630"/>
      <c r="M60" s="630"/>
      <c r="N60" s="630"/>
      <c r="O60" s="630"/>
      <c r="P60" s="630"/>
      <c r="Q60" s="632"/>
      <c r="R60" s="632"/>
      <c r="S60" s="632"/>
      <c r="T60" s="632"/>
      <c r="U60" s="632"/>
      <c r="V60" s="632"/>
      <c r="W60" s="632"/>
      <c r="X60" s="632"/>
      <c r="Y60" s="632"/>
      <c r="AA60" s="2323"/>
    </row>
    <row r="61" spans="1:27" s="1" customFormat="1">
      <c r="A61" s="2088"/>
      <c r="B61" s="2088"/>
      <c r="C61" s="630"/>
      <c r="D61" s="630"/>
      <c r="E61" s="630"/>
      <c r="F61" s="630"/>
      <c r="G61" s="630"/>
      <c r="H61" s="630"/>
      <c r="I61" s="630"/>
      <c r="J61" s="630"/>
      <c r="K61" s="630"/>
      <c r="L61" s="630"/>
      <c r="M61" s="630"/>
      <c r="N61" s="630"/>
      <c r="O61" s="630"/>
      <c r="P61" s="630"/>
      <c r="Q61" s="632"/>
      <c r="R61" s="632"/>
      <c r="S61" s="632"/>
      <c r="T61" s="632"/>
      <c r="U61" s="632"/>
      <c r="V61" s="632"/>
      <c r="W61" s="632"/>
      <c r="X61" s="632"/>
      <c r="Y61" s="632"/>
      <c r="AA61" s="2323"/>
    </row>
    <row r="63" spans="1:27">
      <c r="A63" s="3057" t="s">
        <v>1814</v>
      </c>
      <c r="C63" s="492" t="s">
        <v>2461</v>
      </c>
      <c r="D63" s="492"/>
    </row>
    <row r="64" spans="1:27" ht="13.8" thickBot="1">
      <c r="A64" s="619" t="s">
        <v>760</v>
      </c>
      <c r="B64" s="620"/>
      <c r="C64" s="621" t="s">
        <v>52</v>
      </c>
      <c r="D64" s="621" t="s">
        <v>278</v>
      </c>
      <c r="E64" s="622" t="s">
        <v>772</v>
      </c>
      <c r="F64" s="622" t="s">
        <v>773</v>
      </c>
      <c r="G64" s="622" t="s">
        <v>774</v>
      </c>
      <c r="H64" s="621" t="s">
        <v>39</v>
      </c>
      <c r="I64" s="621" t="s">
        <v>53</v>
      </c>
      <c r="J64" s="621" t="s">
        <v>285</v>
      </c>
      <c r="K64" s="621" t="s">
        <v>287</v>
      </c>
      <c r="L64" s="621" t="s">
        <v>288</v>
      </c>
      <c r="M64" s="621" t="s">
        <v>42</v>
      </c>
      <c r="N64" s="621" t="s">
        <v>286</v>
      </c>
      <c r="O64" s="621" t="s">
        <v>281</v>
      </c>
      <c r="P64" s="621" t="s">
        <v>44</v>
      </c>
      <c r="Q64" s="623" t="s">
        <v>289</v>
      </c>
      <c r="R64" s="623" t="s">
        <v>54</v>
      </c>
      <c r="S64" s="623" t="s">
        <v>50</v>
      </c>
      <c r="T64" s="623" t="s">
        <v>279</v>
      </c>
      <c r="U64" s="623" t="s">
        <v>284</v>
      </c>
      <c r="V64" s="623" t="s">
        <v>282</v>
      </c>
      <c r="W64" s="623" t="s">
        <v>290</v>
      </c>
      <c r="X64" s="623" t="s">
        <v>357</v>
      </c>
      <c r="Y64" s="623" t="s">
        <v>358</v>
      </c>
    </row>
    <row r="65" spans="1:25">
      <c r="A65" s="634">
        <v>40178</v>
      </c>
      <c r="B65" s="635"/>
      <c r="C65" s="624">
        <v>0.98417970782768804</v>
      </c>
      <c r="D65" s="625">
        <v>0.71427314314950685</v>
      </c>
      <c r="E65" s="626">
        <v>0.21701981100538817</v>
      </c>
      <c r="F65" s="626">
        <v>0.10016976121267313</v>
      </c>
      <c r="G65" s="626">
        <v>0.99840846543743611</v>
      </c>
      <c r="H65" s="625">
        <v>0.69445969306698496</v>
      </c>
      <c r="I65" s="625">
        <v>0.51449065307322694</v>
      </c>
      <c r="J65" s="625">
        <v>0.289288638232016</v>
      </c>
      <c r="K65" s="625">
        <v>0.14600621526193461</v>
      </c>
      <c r="L65" s="625">
        <v>0.7133751988263215</v>
      </c>
      <c r="M65" s="625">
        <v>0.89572080523073827</v>
      </c>
      <c r="N65" s="625">
        <v>1.7380066722148264</v>
      </c>
      <c r="O65" s="625">
        <v>0.20759023926951711</v>
      </c>
      <c r="P65" s="627">
        <v>0.55372785782089662</v>
      </c>
      <c r="Q65" s="625">
        <v>0.19620494360994459</v>
      </c>
      <c r="R65" s="625">
        <v>0.74636029262142722</v>
      </c>
      <c r="S65" s="625">
        <v>1.0904136047156092</v>
      </c>
      <c r="T65" s="625">
        <v>0.40501966742075035</v>
      </c>
      <c r="U65" s="625">
        <v>0.21193555914318188</v>
      </c>
      <c r="V65" s="625">
        <v>3.7564374194783277E-2</v>
      </c>
      <c r="W65" s="625">
        <v>0.46404985655227776</v>
      </c>
      <c r="X65" s="625">
        <v>0.43031850817305062</v>
      </c>
      <c r="Y65" s="628">
        <v>0.70318404034434789</v>
      </c>
    </row>
    <row r="66" spans="1:25">
      <c r="A66" s="636">
        <v>40268</v>
      </c>
      <c r="B66" s="637"/>
      <c r="C66" s="629">
        <v>0.99348131071492929</v>
      </c>
      <c r="D66" s="630">
        <v>0.64734766584468884</v>
      </c>
      <c r="E66" s="631">
        <v>0.15586972011562419</v>
      </c>
      <c r="F66" s="631">
        <v>0.11121793475511355</v>
      </c>
      <c r="G66" s="631">
        <v>0.85005897139022013</v>
      </c>
      <c r="H66" s="630">
        <v>0.69655580473514778</v>
      </c>
      <c r="I66" s="630">
        <v>0.60474071600956003</v>
      </c>
      <c r="J66" s="630">
        <v>0.34359200490454145</v>
      </c>
      <c r="K66" s="630">
        <v>0.1719401824063467</v>
      </c>
      <c r="L66" s="630">
        <v>0.80792532848108778</v>
      </c>
      <c r="M66" s="630">
        <v>1.0004479538280329</v>
      </c>
      <c r="N66" s="630">
        <v>1.7549137096421026</v>
      </c>
      <c r="O66" s="630">
        <v>0.16981733500923554</v>
      </c>
      <c r="P66" s="630">
        <v>0.58732957201813563</v>
      </c>
      <c r="Q66" s="632">
        <v>0.16151775439459695</v>
      </c>
      <c r="R66" s="632">
        <v>0.76263996099996301</v>
      </c>
      <c r="S66" s="632">
        <v>1.0825427403132248</v>
      </c>
      <c r="T66" s="632">
        <v>0.40501966742075035</v>
      </c>
      <c r="U66" s="632">
        <v>0.20765554429768196</v>
      </c>
      <c r="V66" s="632">
        <v>6.171507381665127E-2</v>
      </c>
      <c r="W66" s="632">
        <v>0.44743975962847821</v>
      </c>
      <c r="X66" s="632">
        <v>0.4678241070206593</v>
      </c>
      <c r="Y66" s="633">
        <v>0.77035570393339703</v>
      </c>
    </row>
    <row r="67" spans="1:25">
      <c r="A67" s="636">
        <v>40359</v>
      </c>
      <c r="B67" s="637"/>
      <c r="C67" s="629">
        <v>1.1398511266263349</v>
      </c>
      <c r="D67" s="630">
        <v>0.76837418932553025</v>
      </c>
      <c r="E67" s="631">
        <v>0.20576422101268799</v>
      </c>
      <c r="F67" s="631">
        <v>0.12334498618860748</v>
      </c>
      <c r="G67" s="631">
        <v>0.85318003045124824</v>
      </c>
      <c r="H67" s="630">
        <v>0.75770607919864474</v>
      </c>
      <c r="I67" s="630">
        <v>0.75975601365693057</v>
      </c>
      <c r="J67" s="630">
        <v>0.33971481020686578</v>
      </c>
      <c r="K67" s="630">
        <v>0.20583203045395818</v>
      </c>
      <c r="L67" s="630">
        <v>0.92328973846850082</v>
      </c>
      <c r="M67" s="630">
        <v>1.5041795928070005</v>
      </c>
      <c r="N67" s="630">
        <v>2.1270754174229194</v>
      </c>
      <c r="O67" s="630">
        <v>0.19690623673630128</v>
      </c>
      <c r="P67" s="630">
        <v>0.727785249074413</v>
      </c>
      <c r="Q67" s="632">
        <v>0.15544680852623388</v>
      </c>
      <c r="R67" s="632">
        <v>0.83082294206938134</v>
      </c>
      <c r="S67" s="632">
        <v>0.96456809188760995</v>
      </c>
      <c r="T67" s="632">
        <v>0.39934738659190844</v>
      </c>
      <c r="U67" s="632">
        <v>0.24188114961305343</v>
      </c>
      <c r="V67" s="632">
        <v>8.3351647264722759E-2</v>
      </c>
      <c r="W67" s="632">
        <v>0.50588933848820972</v>
      </c>
      <c r="X67" s="632">
        <v>0.53421686713638994</v>
      </c>
      <c r="Y67" s="633">
        <v>0.88025036358685516</v>
      </c>
    </row>
    <row r="68" spans="1:25">
      <c r="A68" s="636">
        <v>40451</v>
      </c>
      <c r="B68" s="637"/>
      <c r="C68" s="629">
        <v>1.0615964839260699</v>
      </c>
      <c r="D68" s="630">
        <v>0.57784572286713165</v>
      </c>
      <c r="E68" s="631">
        <v>0.15792404693122084</v>
      </c>
      <c r="F68" s="631">
        <v>0.11046080226067022</v>
      </c>
      <c r="G68" s="631">
        <v>0.81369377131115672</v>
      </c>
      <c r="H68" s="630">
        <v>0.68835156696035926</v>
      </c>
      <c r="I68" s="630">
        <v>0.65740315239153302</v>
      </c>
      <c r="J68" s="630">
        <v>0.27613780739570803</v>
      </c>
      <c r="K68" s="630">
        <v>0.17757179808801998</v>
      </c>
      <c r="L68" s="630">
        <v>0.83248689455635583</v>
      </c>
      <c r="M68" s="630">
        <v>1.7490379904652795</v>
      </c>
      <c r="N68" s="630">
        <v>1.8568200815808145</v>
      </c>
      <c r="O68" s="630">
        <v>0.14042686856291156</v>
      </c>
      <c r="P68" s="630">
        <v>0.68279934346113491</v>
      </c>
      <c r="Q68" s="632">
        <v>0.16543847855163205</v>
      </c>
      <c r="R68" s="632">
        <v>8.9041031508732771E-2</v>
      </c>
      <c r="S68" s="632">
        <v>0.93064803480457947</v>
      </c>
      <c r="T68" s="632">
        <v>0.39384050191975684</v>
      </c>
      <c r="U68" s="632">
        <v>0.20258672106357095</v>
      </c>
      <c r="V68" s="632">
        <v>3.7852566371270921E-2</v>
      </c>
      <c r="W68" s="632">
        <v>0.45354472722716388</v>
      </c>
      <c r="X68" s="632">
        <v>0.54205409343477728</v>
      </c>
      <c r="Y68" s="633">
        <v>0.39082281746010195</v>
      </c>
    </row>
    <row r="69" spans="1:25">
      <c r="A69" s="636">
        <v>40543</v>
      </c>
      <c r="B69" s="637"/>
      <c r="C69" s="629">
        <v>1.0873312323979629</v>
      </c>
      <c r="D69" s="630">
        <v>0.71954130925197612</v>
      </c>
      <c r="E69" s="631">
        <v>0.19338261527925202</v>
      </c>
      <c r="F69" s="631">
        <v>9.887166526889439E-2</v>
      </c>
      <c r="G69" s="631">
        <v>0.67527439381849741</v>
      </c>
      <c r="H69" s="630">
        <v>0.57649431208493929</v>
      </c>
      <c r="I69" s="630">
        <v>0.72303318185121868</v>
      </c>
      <c r="J69" s="630">
        <v>0.28689962290235832</v>
      </c>
      <c r="K69" s="630">
        <v>0.15543143272697152</v>
      </c>
      <c r="L69" s="630">
        <v>0.74937886052151093</v>
      </c>
      <c r="M69" s="630">
        <v>1.4254705392382319</v>
      </c>
      <c r="N69" s="630">
        <v>1.8452560882276241</v>
      </c>
      <c r="O69" s="630">
        <v>0.13475814866302402</v>
      </c>
      <c r="P69" s="630">
        <v>0.68212125314956273</v>
      </c>
      <c r="Q69" s="632">
        <v>0.16068779871449765</v>
      </c>
      <c r="R69" s="632">
        <v>0.2860831468753231</v>
      </c>
      <c r="S69" s="632">
        <v>0.68007423057978789</v>
      </c>
      <c r="T69" s="632">
        <v>0.36828803748329153</v>
      </c>
      <c r="U69" s="632">
        <v>0.20929102271222691</v>
      </c>
      <c r="V69" s="632">
        <v>2.7378167484697791E-2</v>
      </c>
      <c r="W69" s="632">
        <v>0.43049296591540598</v>
      </c>
      <c r="X69" s="632">
        <v>0.59930505468347339</v>
      </c>
      <c r="Y69" s="633">
        <v>0.9359339561954142</v>
      </c>
    </row>
    <row r="70" spans="1:25">
      <c r="A70" s="636">
        <v>40633</v>
      </c>
      <c r="B70" s="637"/>
      <c r="C70" s="629">
        <v>0.93527108256100222</v>
      </c>
      <c r="D70" s="630">
        <v>0.7284454693428678</v>
      </c>
      <c r="E70" s="631">
        <v>0.14656511342922196</v>
      </c>
      <c r="F70" s="631">
        <v>0.10078607673162469</v>
      </c>
      <c r="G70" s="631">
        <v>0.58272418044850716</v>
      </c>
      <c r="H70" s="630">
        <v>0.61844890536873665</v>
      </c>
      <c r="I70" s="630">
        <v>0.65967536631639123</v>
      </c>
      <c r="J70" s="630">
        <v>0.31045504878555741</v>
      </c>
      <c r="K70" s="630">
        <v>0.14454162102314691</v>
      </c>
      <c r="L70" s="630">
        <v>0.78208288407858195</v>
      </c>
      <c r="M70" s="630">
        <v>1.1141561207866091</v>
      </c>
      <c r="N70" s="630">
        <v>1.5681988273530354</v>
      </c>
      <c r="O70" s="630">
        <v>0.13302357909056786</v>
      </c>
      <c r="P70" s="630">
        <v>0.63425504529311028</v>
      </c>
      <c r="Q70" s="632">
        <v>0.13940277621585975</v>
      </c>
      <c r="R70" s="632">
        <v>1.0174363679736369</v>
      </c>
      <c r="S70" s="632">
        <v>0.62702110364254304</v>
      </c>
      <c r="T70" s="632">
        <v>0.34514450680366437</v>
      </c>
      <c r="U70" s="632">
        <v>0.19642588735502564</v>
      </c>
      <c r="V70" s="632">
        <v>1.2069537848385698E-2</v>
      </c>
      <c r="W70" s="632">
        <v>0.41817500112217443</v>
      </c>
      <c r="X70" s="632">
        <v>0.5621953887381983</v>
      </c>
      <c r="Y70" s="633">
        <v>0.90870049305077549</v>
      </c>
    </row>
    <row r="71" spans="1:25">
      <c r="A71" s="636">
        <v>40724</v>
      </c>
      <c r="B71" s="637"/>
      <c r="C71" s="629">
        <v>0.98197533860413877</v>
      </c>
      <c r="D71" s="630">
        <v>0.90806082500298058</v>
      </c>
      <c r="E71" s="631">
        <v>0.20628539200280735</v>
      </c>
      <c r="F71" s="631">
        <v>0.10255904541196192</v>
      </c>
      <c r="G71" s="631">
        <v>0.57305706934646394</v>
      </c>
      <c r="H71" s="630">
        <v>0.55010264554363408</v>
      </c>
      <c r="I71" s="630">
        <v>0.71024541528446594</v>
      </c>
      <c r="J71" s="630">
        <v>0.36546297899793978</v>
      </c>
      <c r="K71" s="630">
        <v>0.13497588476336175</v>
      </c>
      <c r="L71" s="630">
        <v>0.81687957190966931</v>
      </c>
      <c r="M71" s="630">
        <v>1.3074985396617089</v>
      </c>
      <c r="N71" s="630">
        <v>1.8080339124062212</v>
      </c>
      <c r="O71" s="630">
        <v>0.17739607388339207</v>
      </c>
      <c r="P71" s="630">
        <v>0.80067265636530915</v>
      </c>
      <c r="Q71" s="632">
        <v>3.6491245087439159E-2</v>
      </c>
      <c r="R71" s="632">
        <v>1.4478944081873544</v>
      </c>
      <c r="S71" s="632">
        <v>0.56360160727220798</v>
      </c>
      <c r="T71" s="632">
        <v>0.3419993269560746</v>
      </c>
      <c r="U71" s="632">
        <v>0.346577770851277</v>
      </c>
      <c r="V71" s="632">
        <v>0.2447457882491324</v>
      </c>
      <c r="W71" s="632">
        <v>0.4826324188271911</v>
      </c>
      <c r="X71" s="632">
        <v>0.54454672102361634</v>
      </c>
      <c r="Y71" s="633">
        <v>0.97292062624139886</v>
      </c>
    </row>
    <row r="72" spans="1:25">
      <c r="A72" s="636">
        <v>40816</v>
      </c>
      <c r="B72" s="637"/>
      <c r="C72" s="629">
        <v>1.1896936765215209</v>
      </c>
      <c r="D72" s="630">
        <v>1.0249859556352805</v>
      </c>
      <c r="E72" s="631">
        <v>0.18904266665570013</v>
      </c>
      <c r="F72" s="631">
        <v>0.1124824003192514</v>
      </c>
      <c r="G72" s="631">
        <v>0.86024458086098921</v>
      </c>
      <c r="H72" s="630">
        <v>0.5793316428062748</v>
      </c>
      <c r="I72" s="630">
        <v>0.84404128309081594</v>
      </c>
      <c r="J72" s="630">
        <v>0.21774833127410506</v>
      </c>
      <c r="K72" s="630">
        <v>0.15741334415156744</v>
      </c>
      <c r="L72" s="630">
        <v>0.87729463864571344</v>
      </c>
      <c r="M72" s="630">
        <v>2.5608850141142909</v>
      </c>
      <c r="N72" s="630">
        <v>2.123847511470061</v>
      </c>
      <c r="O72" s="630">
        <v>0.14695414710916649</v>
      </c>
      <c r="P72" s="630">
        <v>0.88146905749329474</v>
      </c>
      <c r="Q72" s="632">
        <v>0.10516218534766321</v>
      </c>
      <c r="R72" s="632">
        <v>1.7320892120087228</v>
      </c>
      <c r="S72" s="632">
        <v>0.66860057729675504</v>
      </c>
      <c r="T72" s="632">
        <v>0.33858462705100117</v>
      </c>
      <c r="U72" s="632">
        <v>0.34407070300208065</v>
      </c>
      <c r="V72" s="632">
        <v>0.21890144756687505</v>
      </c>
      <c r="W72" s="632">
        <v>0.47328842342815702</v>
      </c>
      <c r="X72" s="632">
        <v>0.62450590206488754</v>
      </c>
      <c r="Y72" s="633">
        <v>0.98144428122990279</v>
      </c>
    </row>
    <row r="73" spans="1:25">
      <c r="A73" s="636">
        <v>40908</v>
      </c>
      <c r="B73" s="637"/>
      <c r="C73" s="629">
        <v>1.1014789335967334</v>
      </c>
      <c r="D73" s="630">
        <v>0.81286302810589328</v>
      </c>
      <c r="E73" s="631">
        <v>0.20987537948027113</v>
      </c>
      <c r="F73" s="631">
        <v>0.12531977582070922</v>
      </c>
      <c r="G73" s="631">
        <v>0.78053726714633409</v>
      </c>
      <c r="H73" s="630">
        <v>0.57773531711652559</v>
      </c>
      <c r="I73" s="630">
        <v>0.99314647712611281</v>
      </c>
      <c r="J73" s="630">
        <v>0.31274437494657636</v>
      </c>
      <c r="K73" s="630">
        <v>0.17830984734166727</v>
      </c>
      <c r="L73" s="630">
        <v>0.95069369723029618</v>
      </c>
      <c r="M73" s="630">
        <v>2.4688426475689753</v>
      </c>
      <c r="N73" s="630">
        <v>2.1075628477263368</v>
      </c>
      <c r="O73" s="630">
        <v>0.13528397106724918</v>
      </c>
      <c r="P73" s="630">
        <v>0.91496228400639334</v>
      </c>
      <c r="Q73" s="632">
        <v>8.0768496776793555E-2</v>
      </c>
      <c r="R73" s="632">
        <v>1.8316316292194814</v>
      </c>
      <c r="S73" s="632">
        <v>0.56340233183749167</v>
      </c>
      <c r="T73" s="632">
        <v>0.32263615309142452</v>
      </c>
      <c r="U73" s="632">
        <v>0.33187656584426029</v>
      </c>
      <c r="V73" s="632">
        <v>0.22025609685362935</v>
      </c>
      <c r="W73" s="632">
        <v>0.45801303044901975</v>
      </c>
      <c r="X73" s="632">
        <v>0.62181543778801851</v>
      </c>
      <c r="Y73" s="633">
        <v>0.97525352989273062</v>
      </c>
    </row>
    <row r="74" spans="1:25">
      <c r="A74" s="636">
        <v>40999</v>
      </c>
      <c r="B74" s="637"/>
      <c r="C74" s="629">
        <v>1.0268209219818318</v>
      </c>
      <c r="D74" s="630">
        <v>0.84862896802939491</v>
      </c>
      <c r="E74" s="631">
        <v>0.17158658678930566</v>
      </c>
      <c r="F74" s="631">
        <v>0.17608312371967302</v>
      </c>
      <c r="G74" s="631">
        <v>0.73287377398698939</v>
      </c>
      <c r="H74" s="630">
        <v>0.67365622713084516</v>
      </c>
      <c r="I74" s="630">
        <v>1.0828776757683531</v>
      </c>
      <c r="J74" s="630">
        <v>0.26824206152244484</v>
      </c>
      <c r="K74" s="630">
        <v>0.17522662929665092</v>
      </c>
      <c r="L74" s="630">
        <v>1.0487116289695591</v>
      </c>
      <c r="M74" s="630">
        <v>2.1429032367202003</v>
      </c>
      <c r="N74" s="630">
        <v>1.942836790714038</v>
      </c>
      <c r="O74" s="630">
        <v>0.15351740357157201</v>
      </c>
      <c r="P74" s="630">
        <v>1.0351313343842294</v>
      </c>
      <c r="Q74" s="632">
        <v>0.17856640772113438</v>
      </c>
      <c r="R74" s="632">
        <v>1.9331141942182588</v>
      </c>
      <c r="S74" s="632">
        <v>0.54711070281765983</v>
      </c>
      <c r="T74" s="632">
        <v>0.30699386055558647</v>
      </c>
      <c r="U74" s="632">
        <v>0.3812650959696921</v>
      </c>
      <c r="V74" s="632">
        <v>0.21469472329641573</v>
      </c>
      <c r="W74" s="632">
        <v>0.44671222080314266</v>
      </c>
      <c r="X74" s="632">
        <v>0.75873225637403452</v>
      </c>
      <c r="Y74" s="633">
        <v>0.79471045773516025</v>
      </c>
    </row>
    <row r="75" spans="1:25">
      <c r="A75" s="636">
        <v>41090</v>
      </c>
      <c r="B75" s="637"/>
      <c r="C75" s="629">
        <v>1.1453992887330953</v>
      </c>
      <c r="D75" s="630">
        <v>0.98169584272923904</v>
      </c>
      <c r="E75" s="631">
        <v>0.24320340035769611</v>
      </c>
      <c r="F75" s="631">
        <v>0.25209672873221167</v>
      </c>
      <c r="G75" s="631">
        <v>0.68027867031394018</v>
      </c>
      <c r="H75" s="630">
        <v>0.68511586452762929</v>
      </c>
      <c r="I75" s="630">
        <v>1.3228068111185858</v>
      </c>
      <c r="J75" s="630">
        <v>0.36545609753107089</v>
      </c>
      <c r="K75" s="630">
        <v>0.17265712960869448</v>
      </c>
      <c r="L75" s="630">
        <v>1.1634855488502982</v>
      </c>
      <c r="M75" s="630">
        <v>3.264100161909488</v>
      </c>
      <c r="N75" s="630">
        <v>2.2595426754202665</v>
      </c>
      <c r="O75" s="630">
        <v>0.21231007809445962</v>
      </c>
      <c r="P75" s="630">
        <v>1.1982526202195876</v>
      </c>
      <c r="Q75" s="632">
        <v>0.17892816432354844</v>
      </c>
      <c r="R75" s="632">
        <v>2.5625912302655864</v>
      </c>
      <c r="S75" s="632">
        <v>0.58696432749500382</v>
      </c>
      <c r="T75" s="632">
        <v>0.27490348964840822</v>
      </c>
      <c r="U75" s="632">
        <v>0.39547045171112166</v>
      </c>
      <c r="V75" s="632">
        <v>0.371595449368048</v>
      </c>
      <c r="W75" s="632">
        <v>0.4519185227567411</v>
      </c>
      <c r="X75" s="632">
        <v>0.73412731786116003</v>
      </c>
      <c r="Y75" s="633">
        <v>0.80000413270831994</v>
      </c>
    </row>
    <row r="76" spans="1:25">
      <c r="A76" s="636">
        <v>41182</v>
      </c>
      <c r="B76" s="637"/>
      <c r="C76" s="629">
        <v>0.98699543403104284</v>
      </c>
      <c r="D76" s="630">
        <v>1.3188437722695081</v>
      </c>
      <c r="E76" s="631">
        <v>0.19906571161631889</v>
      </c>
      <c r="F76" s="631">
        <v>0.28820127320261524</v>
      </c>
      <c r="G76" s="631">
        <v>0.76693704142263075</v>
      </c>
      <c r="H76" s="630">
        <v>0.68161023390554865</v>
      </c>
      <c r="I76" s="630">
        <v>1.2587727310031156</v>
      </c>
      <c r="J76" s="630">
        <v>0.31726346578726161</v>
      </c>
      <c r="K76" s="630">
        <v>0.15629841939681782</v>
      </c>
      <c r="L76" s="630">
        <v>1.2703959834341092</v>
      </c>
      <c r="M76" s="630">
        <v>2.0690052621483157</v>
      </c>
      <c r="N76" s="630">
        <v>2.1927018986660003</v>
      </c>
      <c r="O76" s="630">
        <v>0.19049483776493628</v>
      </c>
      <c r="P76" s="630">
        <v>1.5291653934880558</v>
      </c>
      <c r="Q76" s="632">
        <v>0.24117687689134285</v>
      </c>
      <c r="R76" s="632">
        <v>2.2513384555927218</v>
      </c>
      <c r="S76" s="632">
        <v>0.51819730040506795</v>
      </c>
      <c r="T76" s="632">
        <v>0.24316269163233536</v>
      </c>
      <c r="U76" s="632">
        <v>0.35688603565804183</v>
      </c>
      <c r="V76" s="632">
        <v>0.30480501879459238</v>
      </c>
      <c r="W76" s="632">
        <v>0.44726674972611419</v>
      </c>
      <c r="X76" s="632">
        <v>0.65970757270813196</v>
      </c>
      <c r="Y76" s="633">
        <v>0.67566397399736122</v>
      </c>
    </row>
    <row r="77" spans="1:25">
      <c r="A77" s="636">
        <v>41274</v>
      </c>
      <c r="B77" s="637"/>
      <c r="C77" s="629">
        <v>1.0388813185461867</v>
      </c>
      <c r="D77" s="630">
        <v>1.2579220421764652</v>
      </c>
      <c r="E77" s="631">
        <v>0.23923605405891624</v>
      </c>
      <c r="F77" s="631">
        <v>0.33855026233597824</v>
      </c>
      <c r="G77" s="631">
        <v>0.72637190523911832</v>
      </c>
      <c r="H77" s="630">
        <v>0.69539551357733187</v>
      </c>
      <c r="I77" s="630">
        <v>1.2015070473213181</v>
      </c>
      <c r="J77" s="630">
        <v>0.31951574428498886</v>
      </c>
      <c r="K77" s="630">
        <v>0.14205382041461442</v>
      </c>
      <c r="L77" s="630">
        <v>1.4035649445068108</v>
      </c>
      <c r="M77" s="630">
        <v>1.1270650424619579</v>
      </c>
      <c r="N77" s="630">
        <v>2.395747890351823</v>
      </c>
      <c r="O77" s="630">
        <v>0.23834832776972428</v>
      </c>
      <c r="P77" s="630">
        <v>2.3705068344757425</v>
      </c>
      <c r="Q77" s="632">
        <v>0.29158271470976027</v>
      </c>
      <c r="R77" s="632">
        <v>2.5492258480629086</v>
      </c>
      <c r="S77" s="632">
        <v>0.46799231292260113</v>
      </c>
      <c r="T77" s="632">
        <v>0.27894821838525097</v>
      </c>
      <c r="U77" s="632">
        <v>0.32383297561859048</v>
      </c>
      <c r="V77" s="632">
        <v>0.29231900014080708</v>
      </c>
      <c r="W77" s="632">
        <v>0.40221713063103065</v>
      </c>
      <c r="X77" s="632">
        <v>0.64131040300948361</v>
      </c>
      <c r="Y77" s="633">
        <v>0.54249657013274155</v>
      </c>
    </row>
    <row r="78" spans="1:25">
      <c r="A78" s="636">
        <v>41364</v>
      </c>
      <c r="B78" s="637"/>
      <c r="C78" s="629">
        <v>1.0741222129550052</v>
      </c>
      <c r="D78" s="630">
        <v>1.5488957110729042</v>
      </c>
      <c r="E78" s="631">
        <v>0.24193388462529991</v>
      </c>
      <c r="F78" s="631">
        <v>0.40805116939742408</v>
      </c>
      <c r="G78" s="631">
        <v>0.67360343876926054</v>
      </c>
      <c r="H78" s="630">
        <v>0.64075076113563456</v>
      </c>
      <c r="I78" s="630">
        <v>1.1595876107714975</v>
      </c>
      <c r="J78" s="630">
        <v>0.35517077890262694</v>
      </c>
      <c r="K78" s="630">
        <v>0.12324974327815348</v>
      </c>
      <c r="L78" s="630">
        <v>1.4844332440307897</v>
      </c>
      <c r="M78" s="630">
        <v>1.1658476657414634</v>
      </c>
      <c r="N78" s="630">
        <v>2.9998993381753292</v>
      </c>
      <c r="O78" s="630">
        <v>0.18948787359835673</v>
      </c>
      <c r="P78" s="630">
        <v>3.4339505605893024</v>
      </c>
      <c r="Q78" s="632">
        <v>0.525998007134311</v>
      </c>
      <c r="R78" s="632">
        <v>2.3555377207062596</v>
      </c>
      <c r="S78" s="632">
        <v>0.39065083538407908</v>
      </c>
      <c r="T78" s="632">
        <v>0.3128322730279135</v>
      </c>
      <c r="U78" s="632">
        <v>0.28645685906520724</v>
      </c>
      <c r="V78" s="632">
        <v>0.21892769985274577</v>
      </c>
      <c r="W78" s="632">
        <v>0.35470323790960606</v>
      </c>
      <c r="X78" s="632">
        <v>0.5840646457604376</v>
      </c>
      <c r="Y78" s="633">
        <v>0.69274144664357951</v>
      </c>
    </row>
    <row r="79" spans="1:25">
      <c r="A79" s="636">
        <v>41455</v>
      </c>
      <c r="B79" s="637"/>
      <c r="C79" s="629">
        <v>1.0807213722175895</v>
      </c>
      <c r="D79" s="630">
        <v>1.6140248089884051</v>
      </c>
      <c r="E79" s="631">
        <v>0.35788687932116231</v>
      </c>
      <c r="F79" s="631">
        <v>0.49227758415530598</v>
      </c>
      <c r="G79" s="631">
        <v>0.92844096569470225</v>
      </c>
      <c r="H79" s="630">
        <v>0.61146752205292698</v>
      </c>
      <c r="I79" s="630">
        <v>1.1920869196003601</v>
      </c>
      <c r="J79" s="630">
        <v>0.44087984797596647</v>
      </c>
      <c r="K79" s="630">
        <v>0.1085312946979745</v>
      </c>
      <c r="L79" s="630">
        <v>1.5770793052846708</v>
      </c>
      <c r="M79" s="630">
        <v>0.60410031302297929</v>
      </c>
      <c r="N79" s="630">
        <v>3.0438279267031016</v>
      </c>
      <c r="O79" s="630">
        <v>0.20879284441945831</v>
      </c>
      <c r="P79" s="630">
        <v>1.4374750342641225</v>
      </c>
      <c r="Q79" s="632">
        <v>0.44822794426917006</v>
      </c>
      <c r="R79" s="632">
        <v>2.961121288870987</v>
      </c>
      <c r="S79" s="632">
        <v>0.35876286630922755</v>
      </c>
      <c r="T79" s="632">
        <v>0.3128322730279135</v>
      </c>
      <c r="U79" s="632">
        <v>0.36101047361258143</v>
      </c>
      <c r="V79" s="632">
        <v>0.25348505609678729</v>
      </c>
      <c r="W79" s="632">
        <v>0.40881560848751802</v>
      </c>
      <c r="X79" s="632">
        <v>0.65138868424995489</v>
      </c>
      <c r="Y79" s="633">
        <v>0.5049043823954501</v>
      </c>
    </row>
    <row r="80" spans="1:25">
      <c r="A80" s="2088"/>
      <c r="B80" s="2088"/>
      <c r="C80" s="630"/>
      <c r="D80" s="630"/>
      <c r="E80" s="630"/>
      <c r="F80" s="630"/>
      <c r="G80" s="630"/>
      <c r="H80" s="630"/>
      <c r="I80" s="630"/>
      <c r="J80" s="630"/>
      <c r="K80" s="630"/>
      <c r="L80" s="630"/>
      <c r="M80" s="630"/>
      <c r="N80" s="630"/>
      <c r="O80" s="630"/>
      <c r="P80" s="630"/>
      <c r="Q80" s="632"/>
      <c r="R80" s="632"/>
      <c r="S80" s="632"/>
      <c r="T80" s="632"/>
      <c r="U80" s="632"/>
      <c r="V80" s="632"/>
      <c r="W80" s="632"/>
      <c r="X80" s="632"/>
      <c r="Y80" s="632"/>
    </row>
    <row r="83" spans="1:25" ht="13.8" thickBot="1"/>
    <row r="84" spans="1:25">
      <c r="A84" s="2111" t="s">
        <v>1740</v>
      </c>
      <c r="C84" s="2253" t="s">
        <v>1794</v>
      </c>
      <c r="D84" s="2099"/>
      <c r="E84" s="2099"/>
      <c r="F84" s="2099"/>
      <c r="G84" s="2099"/>
      <c r="H84" s="2099"/>
      <c r="I84" s="2099"/>
      <c r="J84" s="2099"/>
      <c r="K84" s="2099"/>
      <c r="L84" s="2099"/>
      <c r="M84" s="2099"/>
      <c r="N84" s="2099"/>
      <c r="O84" s="2099"/>
      <c r="P84" s="2099"/>
      <c r="Q84" s="2099"/>
      <c r="R84" s="2099"/>
      <c r="S84" s="2099"/>
      <c r="T84" s="2099"/>
      <c r="U84" s="2099"/>
      <c r="V84" s="2099"/>
      <c r="W84" s="2099"/>
      <c r="X84" s="2099"/>
      <c r="Y84" s="2100"/>
    </row>
    <row r="85" spans="1:25">
      <c r="A85" s="619" t="s">
        <v>1731</v>
      </c>
      <c r="B85" s="2096"/>
      <c r="C85" s="2144" t="s">
        <v>52</v>
      </c>
      <c r="D85" s="2145" t="s">
        <v>278</v>
      </c>
      <c r="E85" s="2146" t="s">
        <v>772</v>
      </c>
      <c r="F85" s="2147" t="s">
        <v>773</v>
      </c>
      <c r="G85" s="2146" t="s">
        <v>774</v>
      </c>
      <c r="H85" s="2145" t="s">
        <v>39</v>
      </c>
      <c r="I85" s="2145" t="s">
        <v>53</v>
      </c>
      <c r="J85" s="2145" t="s">
        <v>285</v>
      </c>
      <c r="K85" s="2148" t="s">
        <v>287</v>
      </c>
      <c r="L85" s="2145" t="s">
        <v>288</v>
      </c>
      <c r="M85" s="2145" t="s">
        <v>42</v>
      </c>
      <c r="N85" s="2145" t="s">
        <v>286</v>
      </c>
      <c r="O85" s="2145" t="s">
        <v>281</v>
      </c>
      <c r="P85" s="2145" t="s">
        <v>44</v>
      </c>
      <c r="Q85" s="2149" t="s">
        <v>289</v>
      </c>
      <c r="R85" s="2149" t="s">
        <v>54</v>
      </c>
      <c r="S85" s="2149" t="s">
        <v>50</v>
      </c>
      <c r="T85" s="2149" t="s">
        <v>279</v>
      </c>
      <c r="U85" s="2149" t="s">
        <v>284</v>
      </c>
      <c r="V85" s="2148" t="s">
        <v>282</v>
      </c>
      <c r="W85" s="2149" t="s">
        <v>290</v>
      </c>
      <c r="X85" s="2148" t="s">
        <v>357</v>
      </c>
      <c r="Y85" s="2150" t="s">
        <v>358</v>
      </c>
    </row>
    <row r="86" spans="1:25">
      <c r="C86" s="2152">
        <v>1</v>
      </c>
      <c r="D86" s="2153">
        <v>2</v>
      </c>
      <c r="E86" s="2153">
        <v>3</v>
      </c>
      <c r="F86" s="2153">
        <v>4</v>
      </c>
      <c r="G86" s="2153">
        <v>5</v>
      </c>
      <c r="H86" s="2153">
        <v>6</v>
      </c>
      <c r="I86" s="2153">
        <v>7</v>
      </c>
      <c r="J86" s="2153">
        <v>8</v>
      </c>
      <c r="K86" s="2153">
        <v>9</v>
      </c>
      <c r="L86" s="2153">
        <v>10</v>
      </c>
      <c r="M86" s="2153">
        <v>11</v>
      </c>
      <c r="N86" s="2153">
        <v>12</v>
      </c>
      <c r="O86" s="2153">
        <v>13</v>
      </c>
      <c r="P86" s="2153">
        <v>14</v>
      </c>
      <c r="Q86" s="2153">
        <v>15</v>
      </c>
      <c r="R86" s="2153">
        <v>16</v>
      </c>
      <c r="S86" s="2153">
        <v>17</v>
      </c>
      <c r="T86" s="2153">
        <v>18</v>
      </c>
      <c r="U86" s="2153">
        <v>19</v>
      </c>
      <c r="V86" s="2153">
        <v>20</v>
      </c>
      <c r="W86" s="2153">
        <v>21</v>
      </c>
      <c r="X86" s="2153">
        <v>22</v>
      </c>
      <c r="Y86" s="2154">
        <v>23</v>
      </c>
    </row>
    <row r="87" spans="1:25">
      <c r="A87" s="634">
        <v>40178</v>
      </c>
      <c r="B87" s="2097">
        <v>1</v>
      </c>
      <c r="C87" s="2114" t="str">
        <f>VLOOKUP(C$85,RATINGS!$B$782:$T$804,2+'OUTPUTS &amp; Inputs'!$B87,FALSE)</f>
        <v>BBB+</v>
      </c>
      <c r="D87" s="2115" t="str">
        <f>VLOOKUP(D$85,RATINGS!$B$782:$T$804,2+'OUTPUTS &amp; Inputs'!$B87,FALSE)</f>
        <v>BBB</v>
      </c>
      <c r="E87" s="2118" t="str">
        <f>VLOOKUP(E$85,RATINGS!$B$782:$T$804,2+'OUTPUTS &amp; Inputs'!$B87,FALSE)</f>
        <v>A</v>
      </c>
      <c r="F87" s="2112" t="str">
        <f>VLOOKUP(F$85,RATINGS!$B$782:$T$804,2+'OUTPUTS &amp; Inputs'!$B87,FALSE)</f>
        <v>BBB-</v>
      </c>
      <c r="G87" s="632" t="str">
        <f>VLOOKUP(G$85,RATINGS!$B$782:$T$804,2+'OUTPUTS &amp; Inputs'!$B87,FALSE)</f>
        <v>BB-</v>
      </c>
      <c r="H87" s="2115" t="str">
        <f>VLOOKUP(H$85,RATINGS!$B$782:$T$804,2+'OUTPUTS &amp; Inputs'!$B87,FALSE)</f>
        <v>BBB</v>
      </c>
      <c r="I87" s="2115" t="str">
        <f>VLOOKUP(I$85,RATINGS!$B$782:$T$804,2+'OUTPUTS &amp; Inputs'!$B87,FALSE)</f>
        <v>BBB</v>
      </c>
      <c r="J87" s="2115" t="str">
        <f>VLOOKUP(J$85,RATINGS!$B$782:$T$804,2+'OUTPUTS &amp; Inputs'!$B87,FALSE)</f>
        <v>BBB</v>
      </c>
      <c r="K87" s="2112" t="str">
        <f>VLOOKUP(K$85,RATINGS!$B$782:$T$804,2+'OUTPUTS &amp; Inputs'!$B87,FALSE)</f>
        <v>A-</v>
      </c>
      <c r="L87" s="632" t="str">
        <f>VLOOKUP(L$85,RATINGS!$B$782:$T$804,2+'OUTPUTS &amp; Inputs'!$B87,FALSE)</f>
        <v>A-</v>
      </c>
      <c r="M87" s="632" t="str">
        <f>VLOOKUP(M$85,RATINGS!$B$782:$T$804,2+'OUTPUTS &amp; Inputs'!$B87,FALSE)</f>
        <v>B-</v>
      </c>
      <c r="N87" s="2115" t="str">
        <f>VLOOKUP(N$85,RATINGS!$B$782:$T$804,2+'OUTPUTS &amp; Inputs'!$B87,FALSE)</f>
        <v>BBB-</v>
      </c>
      <c r="O87" s="2115" t="str">
        <f>VLOOKUP(O$85,RATINGS!$B$782:$T$804,2+'OUTPUTS &amp; Inputs'!$B87,FALSE)</f>
        <v>A-</v>
      </c>
      <c r="P87" s="2115" t="str">
        <f>VLOOKUP(P$85,RATINGS!$B$782:$T$804,2+'OUTPUTS &amp; Inputs'!$B87,FALSE)</f>
        <v>BBB-</v>
      </c>
      <c r="Q87" s="632" t="str">
        <f>VLOOKUP(Q$85,RATINGS!$B$782:$T$804,2+'OUTPUTS &amp; Inputs'!$B87,FALSE)</f>
        <v>BBB+</v>
      </c>
      <c r="R87" s="2115" t="str">
        <f>VLOOKUP(R$85,RATINGS!$B$782:$T$804,2+'OUTPUTS &amp; Inputs'!$B87,FALSE)</f>
        <v>BBB-</v>
      </c>
      <c r="S87" s="2115" t="str">
        <f>VLOOKUP(S$85,RATINGS!$B$782:$T$804,2+'OUTPUTS &amp; Inputs'!$B87,FALSE)</f>
        <v>BBB</v>
      </c>
      <c r="T87" s="2115" t="str">
        <f>VLOOKUP(T$85,RATINGS!$B$782:$T$804,2+'OUTPUTS &amp; Inputs'!$B87,FALSE)</f>
        <v>A-</v>
      </c>
      <c r="U87" s="2115" t="str">
        <f>VLOOKUP(U$85,RATINGS!$B$782:$T$804,2+'OUTPUTS &amp; Inputs'!$B87,FALSE)</f>
        <v>A-</v>
      </c>
      <c r="V87" s="2112" t="str">
        <f>VLOOKUP(V$85,RATINGS!$B$782:$T$804,2+'OUTPUTS &amp; Inputs'!$B87,FALSE)</f>
        <v>A-</v>
      </c>
      <c r="W87" s="2115" t="str">
        <f>VLOOKUP(W$85,RATINGS!$B$782:$T$804,2+'OUTPUTS &amp; Inputs'!$B87,FALSE)</f>
        <v>A</v>
      </c>
      <c r="X87" s="2112" t="str">
        <f>VLOOKUP(X$85,RATINGS!$B$782:$T$804,2+'OUTPUTS &amp; Inputs'!$B87,FALSE)</f>
        <v>BB</v>
      </c>
      <c r="Y87" s="2151" t="str">
        <f>VLOOKUP(Y$85,RATINGS!$B$782:$T$804,2+'OUTPUTS &amp; Inputs'!$B87,FALSE)</f>
        <v>BB+</v>
      </c>
    </row>
    <row r="88" spans="1:25">
      <c r="A88" s="636">
        <v>40268</v>
      </c>
      <c r="B88" s="2098">
        <v>2</v>
      </c>
      <c r="C88" s="2116" t="str">
        <f>VLOOKUP(C$85,RATINGS!$B$782:$T$804,2+'OUTPUTS &amp; Inputs'!$B88,FALSE)</f>
        <v>BBB+</v>
      </c>
      <c r="D88" s="2117" t="str">
        <f>VLOOKUP(D$85,RATINGS!$B$782:$T$804,2+'OUTPUTS &amp; Inputs'!$B88,FALSE)</f>
        <v>BBB</v>
      </c>
      <c r="E88" s="2119" t="str">
        <f>VLOOKUP(E$85,RATINGS!$B$782:$T$804,2+'OUTPUTS &amp; Inputs'!$B88,FALSE)</f>
        <v>A</v>
      </c>
      <c r="F88" s="2113" t="str">
        <f>VLOOKUP(F$85,RATINGS!$B$782:$T$804,2+'OUTPUTS &amp; Inputs'!$B88,FALSE)</f>
        <v>BBB-</v>
      </c>
      <c r="G88" s="630" t="str">
        <f>VLOOKUP(G$85,RATINGS!$B$782:$T$804,2+'OUTPUTS &amp; Inputs'!$B88,FALSE)</f>
        <v>BB-</v>
      </c>
      <c r="H88" s="2117" t="str">
        <f>VLOOKUP(H$85,RATINGS!$B$782:$T$804,2+'OUTPUTS &amp; Inputs'!$B88,FALSE)</f>
        <v>BBB</v>
      </c>
      <c r="I88" s="2117" t="str">
        <f>VLOOKUP(I$85,RATINGS!$B$782:$T$804,2+'OUTPUTS &amp; Inputs'!$B88,FALSE)</f>
        <v>BBB</v>
      </c>
      <c r="J88" s="2117" t="str">
        <f>VLOOKUP(J$85,RATINGS!$B$782:$T$804,2+'OUTPUTS &amp; Inputs'!$B88,FALSE)</f>
        <v>BBB</v>
      </c>
      <c r="K88" s="2113" t="str">
        <f>VLOOKUP(K$85,RATINGS!$B$782:$T$804,2+'OUTPUTS &amp; Inputs'!$B88,FALSE)</f>
        <v>A-</v>
      </c>
      <c r="L88" s="630" t="str">
        <f>VLOOKUP(L$85,RATINGS!$B$782:$T$804,2+'OUTPUTS &amp; Inputs'!$B88,FALSE)</f>
        <v>A-</v>
      </c>
      <c r="M88" s="630" t="str">
        <f>VLOOKUP(M$85,RATINGS!$B$782:$T$804,2+'OUTPUTS &amp; Inputs'!$B88,FALSE)</f>
        <v>B-</v>
      </c>
      <c r="N88" s="2117" t="str">
        <f>VLOOKUP(N$85,RATINGS!$B$782:$T$804,2+'OUTPUTS &amp; Inputs'!$B88,FALSE)</f>
        <v>BBB-</v>
      </c>
      <c r="O88" s="2117" t="str">
        <f>VLOOKUP(O$85,RATINGS!$B$782:$T$804,2+'OUTPUTS &amp; Inputs'!$B88,FALSE)</f>
        <v>A-</v>
      </c>
      <c r="P88" s="2117" t="str">
        <f>VLOOKUP(P$85,RATINGS!$B$782:$T$804,2+'OUTPUTS &amp; Inputs'!$B88,FALSE)</f>
        <v>BBB-</v>
      </c>
      <c r="Q88" s="630" t="str">
        <f>VLOOKUP(Q$85,RATINGS!$B$782:$T$804,2+'OUTPUTS &amp; Inputs'!$B88,FALSE)</f>
        <v>BBB+</v>
      </c>
      <c r="R88" s="2117" t="str">
        <f>VLOOKUP(R$85,RATINGS!$B$782:$T$804,2+'OUTPUTS &amp; Inputs'!$B88,FALSE)</f>
        <v>BBB-</v>
      </c>
      <c r="S88" s="2117" t="str">
        <f>VLOOKUP(S$85,RATINGS!$B$782:$T$804,2+'OUTPUTS &amp; Inputs'!$B88,FALSE)</f>
        <v>BBB</v>
      </c>
      <c r="T88" s="2117" t="str">
        <f>VLOOKUP(T$85,RATINGS!$B$782:$T$804,2+'OUTPUTS &amp; Inputs'!$B88,FALSE)</f>
        <v>A-</v>
      </c>
      <c r="U88" s="2117" t="str">
        <f>VLOOKUP(U$85,RATINGS!$B$782:$T$804,2+'OUTPUTS &amp; Inputs'!$B88,FALSE)</f>
        <v>A-</v>
      </c>
      <c r="V88" s="2113" t="str">
        <f>VLOOKUP(V$85,RATINGS!$B$782:$T$804,2+'OUTPUTS &amp; Inputs'!$B88,FALSE)</f>
        <v>A-</v>
      </c>
      <c r="W88" s="2117" t="str">
        <f>VLOOKUP(W$85,RATINGS!$B$782:$T$804,2+'OUTPUTS &amp; Inputs'!$B88,FALSE)</f>
        <v>A</v>
      </c>
      <c r="X88" s="2113" t="str">
        <f>VLOOKUP(X$85,RATINGS!$B$782:$T$804,2+'OUTPUTS &amp; Inputs'!$B88,FALSE)</f>
        <v>BB</v>
      </c>
      <c r="Y88" s="2120" t="str">
        <f>VLOOKUP(Y$85,RATINGS!$B$782:$T$804,2+'OUTPUTS &amp; Inputs'!$B88,FALSE)</f>
        <v>BB+</v>
      </c>
    </row>
    <row r="89" spans="1:25">
      <c r="A89" s="636">
        <v>40359</v>
      </c>
      <c r="B89" s="2098">
        <v>3</v>
      </c>
      <c r="C89" s="2116" t="str">
        <f>VLOOKUP(C$85,RATINGS!$B$782:$T$804,2+'OUTPUTS &amp; Inputs'!$B89,FALSE)</f>
        <v>BBB+</v>
      </c>
      <c r="D89" s="2117" t="str">
        <f>VLOOKUP(D$85,RATINGS!$B$782:$T$804,2+'OUTPUTS &amp; Inputs'!$B89,FALSE)</f>
        <v>BBB</v>
      </c>
      <c r="E89" s="2119" t="str">
        <f>VLOOKUP(E$85,RATINGS!$B$782:$T$804,2+'OUTPUTS &amp; Inputs'!$B89,FALSE)</f>
        <v>A</v>
      </c>
      <c r="F89" s="2113" t="str">
        <f>VLOOKUP(F$85,RATINGS!$B$782:$T$804,2+'OUTPUTS &amp; Inputs'!$B89,FALSE)</f>
        <v>BBB-</v>
      </c>
      <c r="G89" s="630" t="str">
        <f>VLOOKUP(G$85,RATINGS!$B$782:$T$804,2+'OUTPUTS &amp; Inputs'!$B89,FALSE)</f>
        <v>BB-</v>
      </c>
      <c r="H89" s="2117" t="str">
        <f>VLOOKUP(H$85,RATINGS!$B$782:$T$804,2+'OUTPUTS &amp; Inputs'!$B89,FALSE)</f>
        <v>BBB</v>
      </c>
      <c r="I89" s="2117" t="str">
        <f>VLOOKUP(I$85,RATINGS!$B$782:$T$804,2+'OUTPUTS &amp; Inputs'!$B89,FALSE)</f>
        <v>BBB</v>
      </c>
      <c r="J89" s="2117" t="str">
        <f>VLOOKUP(J$85,RATINGS!$B$782:$T$804,2+'OUTPUTS &amp; Inputs'!$B89,FALSE)</f>
        <v>BBB</v>
      </c>
      <c r="K89" s="2113" t="str">
        <f>VLOOKUP(K$85,RATINGS!$B$782:$T$804,2+'OUTPUTS &amp; Inputs'!$B89,FALSE)</f>
        <v>A-</v>
      </c>
      <c r="L89" s="630" t="str">
        <f>VLOOKUP(L$85,RATINGS!$B$782:$T$804,2+'OUTPUTS &amp; Inputs'!$B89,FALSE)</f>
        <v>A-</v>
      </c>
      <c r="M89" s="630" t="str">
        <f>VLOOKUP(M$85,RATINGS!$B$782:$T$804,2+'OUTPUTS &amp; Inputs'!$B89,FALSE)</f>
        <v>B-</v>
      </c>
      <c r="N89" s="2117" t="str">
        <f>VLOOKUP(N$85,RATINGS!$B$782:$T$804,2+'OUTPUTS &amp; Inputs'!$B89,FALSE)</f>
        <v>BBB-</v>
      </c>
      <c r="O89" s="2117" t="str">
        <f>VLOOKUP(O$85,RATINGS!$B$782:$T$804,2+'OUTPUTS &amp; Inputs'!$B89,FALSE)</f>
        <v>A-</v>
      </c>
      <c r="P89" s="2117" t="str">
        <f>VLOOKUP(P$85,RATINGS!$B$782:$T$804,2+'OUTPUTS &amp; Inputs'!$B89,FALSE)</f>
        <v>BBB-</v>
      </c>
      <c r="Q89" s="630" t="str">
        <f>VLOOKUP(Q$85,RATINGS!$B$782:$T$804,2+'OUTPUTS &amp; Inputs'!$B89,FALSE)</f>
        <v>BBB+</v>
      </c>
      <c r="R89" s="2117" t="str">
        <f>VLOOKUP(R$85,RATINGS!$B$782:$T$804,2+'OUTPUTS &amp; Inputs'!$B89,FALSE)</f>
        <v>BBB-</v>
      </c>
      <c r="S89" s="2117" t="str">
        <f>VLOOKUP(S$85,RATINGS!$B$782:$T$804,2+'OUTPUTS &amp; Inputs'!$B89,FALSE)</f>
        <v>BBB</v>
      </c>
      <c r="T89" s="2117" t="str">
        <f>VLOOKUP(T$85,RATINGS!$B$782:$T$804,2+'OUTPUTS &amp; Inputs'!$B89,FALSE)</f>
        <v>A-</v>
      </c>
      <c r="U89" s="2117" t="str">
        <f>VLOOKUP(U$85,RATINGS!$B$782:$T$804,2+'OUTPUTS &amp; Inputs'!$B89,FALSE)</f>
        <v>A-</v>
      </c>
      <c r="V89" s="2113" t="str">
        <f>VLOOKUP(V$85,RATINGS!$B$782:$T$804,2+'OUTPUTS &amp; Inputs'!$B89,FALSE)</f>
        <v>A-</v>
      </c>
      <c r="W89" s="2117" t="str">
        <f>VLOOKUP(W$85,RATINGS!$B$782:$T$804,2+'OUTPUTS &amp; Inputs'!$B89,FALSE)</f>
        <v>A</v>
      </c>
      <c r="X89" s="2113" t="str">
        <f>VLOOKUP(X$85,RATINGS!$B$782:$T$804,2+'OUTPUTS &amp; Inputs'!$B89,FALSE)</f>
        <v>BB</v>
      </c>
      <c r="Y89" s="2120" t="str">
        <f>VLOOKUP(Y$85,RATINGS!$B$782:$T$804,2+'OUTPUTS &amp; Inputs'!$B89,FALSE)</f>
        <v>BB+</v>
      </c>
    </row>
    <row r="90" spans="1:25">
      <c r="A90" s="636">
        <v>40451</v>
      </c>
      <c r="B90" s="2098">
        <v>4</v>
      </c>
      <c r="C90" s="2116" t="str">
        <f>VLOOKUP(C$85,RATINGS!$B$782:$T$804,2+'OUTPUTS &amp; Inputs'!$B90,FALSE)</f>
        <v>BBB+</v>
      </c>
      <c r="D90" s="2117" t="str">
        <f>VLOOKUP(D$85,RATINGS!$B$782:$T$804,2+'OUTPUTS &amp; Inputs'!$B90,FALSE)</f>
        <v>BBB</v>
      </c>
      <c r="E90" s="2119" t="str">
        <f>VLOOKUP(E$85,RATINGS!$B$782:$T$804,2+'OUTPUTS &amp; Inputs'!$B90,FALSE)</f>
        <v>A</v>
      </c>
      <c r="F90" s="2113" t="str">
        <f>VLOOKUP(F$85,RATINGS!$B$782:$T$804,2+'OUTPUTS &amp; Inputs'!$B90,FALSE)</f>
        <v>BBB-</v>
      </c>
      <c r="G90" s="630" t="str">
        <f>VLOOKUP(G$85,RATINGS!$B$782:$T$804,2+'OUTPUTS &amp; Inputs'!$B90,FALSE)</f>
        <v>BB-</v>
      </c>
      <c r="H90" s="2117" t="str">
        <f>VLOOKUP(H$85,RATINGS!$B$782:$T$804,2+'OUTPUTS &amp; Inputs'!$B90,FALSE)</f>
        <v>BBB</v>
      </c>
      <c r="I90" s="2117" t="str">
        <f>VLOOKUP(I$85,RATINGS!$B$782:$T$804,2+'OUTPUTS &amp; Inputs'!$B90,FALSE)</f>
        <v>BBB</v>
      </c>
      <c r="J90" s="2117" t="str">
        <f>VLOOKUP(J$85,RATINGS!$B$782:$T$804,2+'OUTPUTS &amp; Inputs'!$B90,FALSE)</f>
        <v>BBB</v>
      </c>
      <c r="K90" s="2113" t="str">
        <f>VLOOKUP(K$85,RATINGS!$B$782:$T$804,2+'OUTPUTS &amp; Inputs'!$B90,FALSE)</f>
        <v>A-</v>
      </c>
      <c r="L90" s="630" t="str">
        <f>VLOOKUP(L$85,RATINGS!$B$782:$T$804,2+'OUTPUTS &amp; Inputs'!$B90,FALSE)</f>
        <v>A-</v>
      </c>
      <c r="M90" s="630" t="str">
        <f>VLOOKUP(M$85,RATINGS!$B$782:$T$804,2+'OUTPUTS &amp; Inputs'!$B90,FALSE)</f>
        <v>B-</v>
      </c>
      <c r="N90" s="2117" t="str">
        <f>VLOOKUP(N$85,RATINGS!$B$782:$T$804,2+'OUTPUTS &amp; Inputs'!$B90,FALSE)</f>
        <v>BBB-</v>
      </c>
      <c r="O90" s="2117" t="str">
        <f>VLOOKUP(O$85,RATINGS!$B$782:$T$804,2+'OUTPUTS &amp; Inputs'!$B90,FALSE)</f>
        <v>A-</v>
      </c>
      <c r="P90" s="2117" t="str">
        <f>VLOOKUP(P$85,RATINGS!$B$782:$T$804,2+'OUTPUTS &amp; Inputs'!$B90,FALSE)</f>
        <v>BBB-</v>
      </c>
      <c r="Q90" s="630" t="str">
        <f>VLOOKUP(Q$85,RATINGS!$B$782:$T$804,2+'OUTPUTS &amp; Inputs'!$B90,FALSE)</f>
        <v>BBB+</v>
      </c>
      <c r="R90" s="2117" t="str">
        <f>VLOOKUP(R$85,RATINGS!$B$782:$T$804,2+'OUTPUTS &amp; Inputs'!$B90,FALSE)</f>
        <v>BBB-</v>
      </c>
      <c r="S90" s="2117" t="str">
        <f>VLOOKUP(S$85,RATINGS!$B$782:$T$804,2+'OUTPUTS &amp; Inputs'!$B90,FALSE)</f>
        <v>BBB</v>
      </c>
      <c r="T90" s="2117" t="str">
        <f>VLOOKUP(T$85,RATINGS!$B$782:$T$804,2+'OUTPUTS &amp; Inputs'!$B90,FALSE)</f>
        <v>A-</v>
      </c>
      <c r="U90" s="2117" t="str">
        <f>VLOOKUP(U$85,RATINGS!$B$782:$T$804,2+'OUTPUTS &amp; Inputs'!$B90,FALSE)</f>
        <v>A-</v>
      </c>
      <c r="V90" s="2113" t="str">
        <f>VLOOKUP(V$85,RATINGS!$B$782:$T$804,2+'OUTPUTS &amp; Inputs'!$B90,FALSE)</f>
        <v>A-</v>
      </c>
      <c r="W90" s="2117" t="str">
        <f>VLOOKUP(W$85,RATINGS!$B$782:$T$804,2+'OUTPUTS &amp; Inputs'!$B90,FALSE)</f>
        <v>A</v>
      </c>
      <c r="X90" s="2113" t="str">
        <f>VLOOKUP(X$85,RATINGS!$B$782:$T$804,2+'OUTPUTS &amp; Inputs'!$B90,FALSE)</f>
        <v>BB</v>
      </c>
      <c r="Y90" s="2120" t="str">
        <f>VLOOKUP(Y$85,RATINGS!$B$782:$T$804,2+'OUTPUTS &amp; Inputs'!$B90,FALSE)</f>
        <v>BB+</v>
      </c>
    </row>
    <row r="91" spans="1:25">
      <c r="A91" s="636">
        <v>40543</v>
      </c>
      <c r="B91" s="2098">
        <v>5</v>
      </c>
      <c r="C91" s="2116" t="str">
        <f>VLOOKUP(C$85,RATINGS!$B$782:$T$804,2+'OUTPUTS &amp; Inputs'!$B91,FALSE)</f>
        <v>BBB+</v>
      </c>
      <c r="D91" s="2117" t="str">
        <f>VLOOKUP(D$85,RATINGS!$B$782:$T$804,2+'OUTPUTS &amp; Inputs'!$B91,FALSE)</f>
        <v>BBB</v>
      </c>
      <c r="E91" s="2119" t="str">
        <f>VLOOKUP(E$85,RATINGS!$B$782:$T$804,2+'OUTPUTS &amp; Inputs'!$B91,FALSE)</f>
        <v>A</v>
      </c>
      <c r="F91" s="2113" t="str">
        <f>VLOOKUP(F$85,RATINGS!$B$782:$T$804,2+'OUTPUTS &amp; Inputs'!$B91,FALSE)</f>
        <v>BBB-</v>
      </c>
      <c r="G91" s="630" t="str">
        <f>VLOOKUP(G$85,RATINGS!$B$782:$T$804,2+'OUTPUTS &amp; Inputs'!$B91,FALSE)</f>
        <v>BB-</v>
      </c>
      <c r="H91" s="2117" t="str">
        <f>VLOOKUP(H$85,RATINGS!$B$782:$T$804,2+'OUTPUTS &amp; Inputs'!$B91,FALSE)</f>
        <v>BBB</v>
      </c>
      <c r="I91" s="2117" t="str">
        <f>VLOOKUP(I$85,RATINGS!$B$782:$T$804,2+'OUTPUTS &amp; Inputs'!$B91,FALSE)</f>
        <v>BBB</v>
      </c>
      <c r="J91" s="2117" t="str">
        <f>VLOOKUP(J$85,RATINGS!$B$782:$T$804,2+'OUTPUTS &amp; Inputs'!$B91,FALSE)</f>
        <v>BBB</v>
      </c>
      <c r="K91" s="2113" t="str">
        <f>VLOOKUP(K$85,RATINGS!$B$782:$T$804,2+'OUTPUTS &amp; Inputs'!$B91,FALSE)</f>
        <v>A-</v>
      </c>
      <c r="L91" s="630" t="str">
        <f>VLOOKUP(L$85,RATINGS!$B$782:$T$804,2+'OUTPUTS &amp; Inputs'!$B91,FALSE)</f>
        <v>A-</v>
      </c>
      <c r="M91" s="630" t="str">
        <f>VLOOKUP(M$85,RATINGS!$B$782:$T$804,2+'OUTPUTS &amp; Inputs'!$B91,FALSE)</f>
        <v>B-</v>
      </c>
      <c r="N91" s="2117" t="str">
        <f>VLOOKUP(N$85,RATINGS!$B$782:$T$804,2+'OUTPUTS &amp; Inputs'!$B91,FALSE)</f>
        <v>BBB-</v>
      </c>
      <c r="O91" s="2117" t="str">
        <f>VLOOKUP(O$85,RATINGS!$B$782:$T$804,2+'OUTPUTS &amp; Inputs'!$B91,FALSE)</f>
        <v>A-</v>
      </c>
      <c r="P91" s="2117" t="str">
        <f>VLOOKUP(P$85,RATINGS!$B$782:$T$804,2+'OUTPUTS &amp; Inputs'!$B91,FALSE)</f>
        <v>BBB-</v>
      </c>
      <c r="Q91" s="630" t="str">
        <f>VLOOKUP(Q$85,RATINGS!$B$782:$T$804,2+'OUTPUTS &amp; Inputs'!$B91,FALSE)</f>
        <v>BBB+</v>
      </c>
      <c r="R91" s="2117" t="str">
        <f>VLOOKUP(R$85,RATINGS!$B$782:$T$804,2+'OUTPUTS &amp; Inputs'!$B91,FALSE)</f>
        <v>BBB-</v>
      </c>
      <c r="S91" s="2117" t="str">
        <f>VLOOKUP(S$85,RATINGS!$B$782:$T$804,2+'OUTPUTS &amp; Inputs'!$B91,FALSE)</f>
        <v>BBB</v>
      </c>
      <c r="T91" s="2117" t="str">
        <f>VLOOKUP(T$85,RATINGS!$B$782:$T$804,2+'OUTPUTS &amp; Inputs'!$B91,FALSE)</f>
        <v>A-</v>
      </c>
      <c r="U91" s="2117" t="str">
        <f>VLOOKUP(U$85,RATINGS!$B$782:$T$804,2+'OUTPUTS &amp; Inputs'!$B91,FALSE)</f>
        <v>A-</v>
      </c>
      <c r="V91" s="2113" t="str">
        <f>VLOOKUP(V$85,RATINGS!$B$782:$T$804,2+'OUTPUTS &amp; Inputs'!$B91,FALSE)</f>
        <v>A-</v>
      </c>
      <c r="W91" s="2117" t="str">
        <f>VLOOKUP(W$85,RATINGS!$B$782:$T$804,2+'OUTPUTS &amp; Inputs'!$B91,FALSE)</f>
        <v>A</v>
      </c>
      <c r="X91" s="2113" t="str">
        <f>VLOOKUP(X$85,RATINGS!$B$782:$T$804,2+'OUTPUTS &amp; Inputs'!$B91,FALSE)</f>
        <v>BB</v>
      </c>
      <c r="Y91" s="2120" t="str">
        <f>VLOOKUP(Y$85,RATINGS!$B$782:$T$804,2+'OUTPUTS &amp; Inputs'!$B91,FALSE)</f>
        <v>BB+</v>
      </c>
    </row>
    <row r="92" spans="1:25">
      <c r="A92" s="636">
        <v>40633</v>
      </c>
      <c r="B92" s="2098">
        <v>6</v>
      </c>
      <c r="C92" s="2116" t="str">
        <f>VLOOKUP(C$85,RATINGS!$B$782:$T$804,2+'OUTPUTS &amp; Inputs'!$B92,FALSE)</f>
        <v>BBB+</v>
      </c>
      <c r="D92" s="2117" t="str">
        <f>VLOOKUP(D$85,RATINGS!$B$782:$T$804,2+'OUTPUTS &amp; Inputs'!$B92,FALSE)</f>
        <v>BBB</v>
      </c>
      <c r="E92" s="2119" t="str">
        <f>VLOOKUP(E$85,RATINGS!$B$782:$T$804,2+'OUTPUTS &amp; Inputs'!$B92,FALSE)</f>
        <v>A</v>
      </c>
      <c r="F92" s="2113" t="str">
        <f>VLOOKUP(F$85,RATINGS!$B$782:$T$804,2+'OUTPUTS &amp; Inputs'!$B92,FALSE)</f>
        <v>BBB-</v>
      </c>
      <c r="G92" s="630" t="str">
        <f>VLOOKUP(G$85,RATINGS!$B$782:$T$804,2+'OUTPUTS &amp; Inputs'!$B92,FALSE)</f>
        <v>BB-</v>
      </c>
      <c r="H92" s="2117" t="str">
        <f>VLOOKUP(H$85,RATINGS!$B$782:$T$804,2+'OUTPUTS &amp; Inputs'!$B92,FALSE)</f>
        <v>BBB</v>
      </c>
      <c r="I92" s="2117" t="str">
        <f>VLOOKUP(I$85,RATINGS!$B$782:$T$804,2+'OUTPUTS &amp; Inputs'!$B92,FALSE)</f>
        <v>BBB</v>
      </c>
      <c r="J92" s="2117" t="str">
        <f>VLOOKUP(J$85,RATINGS!$B$782:$T$804,2+'OUTPUTS &amp; Inputs'!$B92,FALSE)</f>
        <v>BBB</v>
      </c>
      <c r="K92" s="2113" t="str">
        <f>VLOOKUP(K$85,RATINGS!$B$782:$T$804,2+'OUTPUTS &amp; Inputs'!$B92,FALSE)</f>
        <v>A-</v>
      </c>
      <c r="L92" s="630" t="str">
        <f>VLOOKUP(L$85,RATINGS!$B$782:$T$804,2+'OUTPUTS &amp; Inputs'!$B92,FALSE)</f>
        <v>A-</v>
      </c>
      <c r="M92" s="630" t="str">
        <f>VLOOKUP(M$85,RATINGS!$B$782:$T$804,2+'OUTPUTS &amp; Inputs'!$B92,FALSE)</f>
        <v>B-</v>
      </c>
      <c r="N92" s="2117" t="str">
        <f>VLOOKUP(N$85,RATINGS!$B$782:$T$804,2+'OUTPUTS &amp; Inputs'!$B92,FALSE)</f>
        <v>BBB-</v>
      </c>
      <c r="O92" s="2117" t="str">
        <f>VLOOKUP(O$85,RATINGS!$B$782:$T$804,2+'OUTPUTS &amp; Inputs'!$B92,FALSE)</f>
        <v>A-</v>
      </c>
      <c r="P92" s="2117" t="str">
        <f>VLOOKUP(P$85,RATINGS!$B$782:$T$804,2+'OUTPUTS &amp; Inputs'!$B92,FALSE)</f>
        <v>BBB-</v>
      </c>
      <c r="Q92" s="630" t="str">
        <f>VLOOKUP(Q$85,RATINGS!$B$782:$T$804,2+'OUTPUTS &amp; Inputs'!$B92,FALSE)</f>
        <v>BBB+</v>
      </c>
      <c r="R92" s="2117" t="str">
        <f>VLOOKUP(R$85,RATINGS!$B$782:$T$804,2+'OUTPUTS &amp; Inputs'!$B92,FALSE)</f>
        <v>BBB-</v>
      </c>
      <c r="S92" s="2117" t="str">
        <f>VLOOKUP(S$85,RATINGS!$B$782:$T$804,2+'OUTPUTS &amp; Inputs'!$B92,FALSE)</f>
        <v>BBB</v>
      </c>
      <c r="T92" s="2117" t="str">
        <f>VLOOKUP(T$85,RATINGS!$B$782:$T$804,2+'OUTPUTS &amp; Inputs'!$B92,FALSE)</f>
        <v>A-</v>
      </c>
      <c r="U92" s="2117" t="str">
        <f>VLOOKUP(U$85,RATINGS!$B$782:$T$804,2+'OUTPUTS &amp; Inputs'!$B92,FALSE)</f>
        <v>A-</v>
      </c>
      <c r="V92" s="2113" t="str">
        <f>VLOOKUP(V$85,RATINGS!$B$782:$T$804,2+'OUTPUTS &amp; Inputs'!$B92,FALSE)</f>
        <v>A-</v>
      </c>
      <c r="W92" s="2117" t="str">
        <f>VLOOKUP(W$85,RATINGS!$B$782:$T$804,2+'OUTPUTS &amp; Inputs'!$B92,FALSE)</f>
        <v>A</v>
      </c>
      <c r="X92" s="2113" t="str">
        <f>VLOOKUP(X$85,RATINGS!$B$782:$T$804,2+'OUTPUTS &amp; Inputs'!$B92,FALSE)</f>
        <v>BB</v>
      </c>
      <c r="Y92" s="2120" t="str">
        <f>VLOOKUP(Y$85,RATINGS!$B$782:$T$804,2+'OUTPUTS &amp; Inputs'!$B92,FALSE)</f>
        <v>BB+</v>
      </c>
    </row>
    <row r="93" spans="1:25">
      <c r="A93" s="636">
        <v>40724</v>
      </c>
      <c r="B93" s="2098">
        <v>7</v>
      </c>
      <c r="C93" s="2116" t="str">
        <f>VLOOKUP(C$85,RATINGS!$B$782:$T$804,2+'OUTPUTS &amp; Inputs'!$B93,FALSE)</f>
        <v>BBB+</v>
      </c>
      <c r="D93" s="2117" t="str">
        <f>VLOOKUP(D$85,RATINGS!$B$782:$T$804,2+'OUTPUTS &amp; Inputs'!$B93,FALSE)</f>
        <v>BBB</v>
      </c>
      <c r="E93" s="2119" t="str">
        <f>VLOOKUP(E$85,RATINGS!$B$782:$T$804,2+'OUTPUTS &amp; Inputs'!$B93,FALSE)</f>
        <v>A</v>
      </c>
      <c r="F93" s="2113" t="str">
        <f>VLOOKUP(F$85,RATINGS!$B$782:$T$804,2+'OUTPUTS &amp; Inputs'!$B93,FALSE)</f>
        <v>BBB-</v>
      </c>
      <c r="G93" s="630" t="str">
        <f>VLOOKUP(G$85,RATINGS!$B$782:$T$804,2+'OUTPUTS &amp; Inputs'!$B93,FALSE)</f>
        <v>BB-</v>
      </c>
      <c r="H93" s="2117" t="str">
        <f>VLOOKUP(H$85,RATINGS!$B$782:$T$804,2+'OUTPUTS &amp; Inputs'!$B93,FALSE)</f>
        <v>BBB</v>
      </c>
      <c r="I93" s="2117" t="str">
        <f>VLOOKUP(I$85,RATINGS!$B$782:$T$804,2+'OUTPUTS &amp; Inputs'!$B93,FALSE)</f>
        <v>BBB</v>
      </c>
      <c r="J93" s="2117" t="str">
        <f>VLOOKUP(J$85,RATINGS!$B$782:$T$804,2+'OUTPUTS &amp; Inputs'!$B93,FALSE)</f>
        <v>BBB</v>
      </c>
      <c r="K93" s="2113" t="str">
        <f>VLOOKUP(K$85,RATINGS!$B$782:$T$804,2+'OUTPUTS &amp; Inputs'!$B93,FALSE)</f>
        <v>A-</v>
      </c>
      <c r="L93" s="630" t="str">
        <f>VLOOKUP(L$85,RATINGS!$B$782:$T$804,2+'OUTPUTS &amp; Inputs'!$B93,FALSE)</f>
        <v>A-</v>
      </c>
      <c r="M93" s="630" t="str">
        <f>VLOOKUP(M$85,RATINGS!$B$782:$T$804,2+'OUTPUTS &amp; Inputs'!$B93,FALSE)</f>
        <v>B-</v>
      </c>
      <c r="N93" s="2117" t="str">
        <f>VLOOKUP(N$85,RATINGS!$B$782:$T$804,2+'OUTPUTS &amp; Inputs'!$B93,FALSE)</f>
        <v>BBB-</v>
      </c>
      <c r="O93" s="2117" t="str">
        <f>VLOOKUP(O$85,RATINGS!$B$782:$T$804,2+'OUTPUTS &amp; Inputs'!$B93,FALSE)</f>
        <v>A-</v>
      </c>
      <c r="P93" s="2117" t="str">
        <f>VLOOKUP(P$85,RATINGS!$B$782:$T$804,2+'OUTPUTS &amp; Inputs'!$B93,FALSE)</f>
        <v>BBB-</v>
      </c>
      <c r="Q93" s="630" t="str">
        <f>VLOOKUP(Q$85,RATINGS!$B$782:$T$804,2+'OUTPUTS &amp; Inputs'!$B93,FALSE)</f>
        <v>BBB+</v>
      </c>
      <c r="R93" s="2117" t="str">
        <f>VLOOKUP(R$85,RATINGS!$B$782:$T$804,2+'OUTPUTS &amp; Inputs'!$B93,FALSE)</f>
        <v>BBB-</v>
      </c>
      <c r="S93" s="2117" t="str">
        <f>VLOOKUP(S$85,RATINGS!$B$782:$T$804,2+'OUTPUTS &amp; Inputs'!$B93,FALSE)</f>
        <v>BBB</v>
      </c>
      <c r="T93" s="2117" t="str">
        <f>VLOOKUP(T$85,RATINGS!$B$782:$T$804,2+'OUTPUTS &amp; Inputs'!$B93,FALSE)</f>
        <v>A-</v>
      </c>
      <c r="U93" s="2117" t="str">
        <f>VLOOKUP(U$85,RATINGS!$B$782:$T$804,2+'OUTPUTS &amp; Inputs'!$B93,FALSE)</f>
        <v>A-</v>
      </c>
      <c r="V93" s="2113" t="str">
        <f>VLOOKUP(V$85,RATINGS!$B$782:$T$804,2+'OUTPUTS &amp; Inputs'!$B93,FALSE)</f>
        <v>BBB+</v>
      </c>
      <c r="W93" s="2117" t="str">
        <f>VLOOKUP(W$85,RATINGS!$B$782:$T$804,2+'OUTPUTS &amp; Inputs'!$B93,FALSE)</f>
        <v>A</v>
      </c>
      <c r="X93" s="2113" t="str">
        <f>VLOOKUP(X$85,RATINGS!$B$782:$T$804,2+'OUTPUTS &amp; Inputs'!$B93,FALSE)</f>
        <v>BB</v>
      </c>
      <c r="Y93" s="2120" t="str">
        <f>VLOOKUP(Y$85,RATINGS!$B$782:$T$804,2+'OUTPUTS &amp; Inputs'!$B93,FALSE)</f>
        <v>BB+</v>
      </c>
    </row>
    <row r="94" spans="1:25">
      <c r="A94" s="636">
        <v>40816</v>
      </c>
      <c r="B94" s="2098">
        <v>8</v>
      </c>
      <c r="C94" s="2116" t="str">
        <f>VLOOKUP(C$85,RATINGS!$B$782:$T$804,2+'OUTPUTS &amp; Inputs'!$B94,FALSE)</f>
        <v>BBB+</v>
      </c>
      <c r="D94" s="2117" t="str">
        <f>VLOOKUP(D$85,RATINGS!$B$782:$T$804,2+'OUTPUTS &amp; Inputs'!$B94,FALSE)</f>
        <v>BBB</v>
      </c>
      <c r="E94" s="2119" t="str">
        <f>VLOOKUP(E$85,RATINGS!$B$782:$T$804,2+'OUTPUTS &amp; Inputs'!$B94,FALSE)</f>
        <v>A</v>
      </c>
      <c r="F94" s="2113" t="str">
        <f>VLOOKUP(F$85,RATINGS!$B$782:$T$804,2+'OUTPUTS &amp; Inputs'!$B94,FALSE)</f>
        <v>BBB-</v>
      </c>
      <c r="G94" s="630" t="str">
        <f>VLOOKUP(G$85,RATINGS!$B$782:$T$804,2+'OUTPUTS &amp; Inputs'!$B94,FALSE)</f>
        <v>BB-</v>
      </c>
      <c r="H94" s="2117" t="str">
        <f>VLOOKUP(H$85,RATINGS!$B$782:$T$804,2+'OUTPUTS &amp; Inputs'!$B94,FALSE)</f>
        <v>BBB</v>
      </c>
      <c r="I94" s="2117" t="str">
        <f>VLOOKUP(I$85,RATINGS!$B$782:$T$804,2+'OUTPUTS &amp; Inputs'!$B94,FALSE)</f>
        <v>BBB</v>
      </c>
      <c r="J94" s="2117" t="str">
        <f>VLOOKUP(J$85,RATINGS!$B$782:$T$804,2+'OUTPUTS &amp; Inputs'!$B94,FALSE)</f>
        <v>BBB</v>
      </c>
      <c r="K94" s="2113" t="str">
        <f>VLOOKUP(K$85,RATINGS!$B$782:$T$804,2+'OUTPUTS &amp; Inputs'!$B94,FALSE)</f>
        <v>A-</v>
      </c>
      <c r="L94" s="630" t="str">
        <f>VLOOKUP(L$85,RATINGS!$B$782:$T$804,2+'OUTPUTS &amp; Inputs'!$B94,FALSE)</f>
        <v>A-</v>
      </c>
      <c r="M94" s="630" t="str">
        <f>VLOOKUP(M$85,RATINGS!$B$782:$T$804,2+'OUTPUTS &amp; Inputs'!$B94,FALSE)</f>
        <v>B-</v>
      </c>
      <c r="N94" s="2117" t="str">
        <f>VLOOKUP(N$85,RATINGS!$B$782:$T$804,2+'OUTPUTS &amp; Inputs'!$B94,FALSE)</f>
        <v>BBB-</v>
      </c>
      <c r="O94" s="2117" t="str">
        <f>VLOOKUP(O$85,RATINGS!$B$782:$T$804,2+'OUTPUTS &amp; Inputs'!$B94,FALSE)</f>
        <v>A-</v>
      </c>
      <c r="P94" s="2117" t="str">
        <f>VLOOKUP(P$85,RATINGS!$B$782:$T$804,2+'OUTPUTS &amp; Inputs'!$B94,FALSE)</f>
        <v>BBB-</v>
      </c>
      <c r="Q94" s="630" t="str">
        <f>VLOOKUP(Q$85,RATINGS!$B$782:$T$804,2+'OUTPUTS &amp; Inputs'!$B94,FALSE)</f>
        <v>BBB+</v>
      </c>
      <c r="R94" s="2117" t="str">
        <f>VLOOKUP(R$85,RATINGS!$B$782:$T$804,2+'OUTPUTS &amp; Inputs'!$B94,FALSE)</f>
        <v>BBB-</v>
      </c>
      <c r="S94" s="2117" t="str">
        <f>VLOOKUP(S$85,RATINGS!$B$782:$T$804,2+'OUTPUTS &amp; Inputs'!$B94,FALSE)</f>
        <v>BBB</v>
      </c>
      <c r="T94" s="2117" t="str">
        <f>VLOOKUP(T$85,RATINGS!$B$782:$T$804,2+'OUTPUTS &amp; Inputs'!$B94,FALSE)</f>
        <v>A-</v>
      </c>
      <c r="U94" s="2117" t="str">
        <f>VLOOKUP(U$85,RATINGS!$B$782:$T$804,2+'OUTPUTS &amp; Inputs'!$B94,FALSE)</f>
        <v>A-</v>
      </c>
      <c r="V94" s="2113" t="str">
        <f>VLOOKUP(V$85,RATINGS!$B$782:$T$804,2+'OUTPUTS &amp; Inputs'!$B94,FALSE)</f>
        <v>BBB+</v>
      </c>
      <c r="W94" s="2117" t="str">
        <f>VLOOKUP(W$85,RATINGS!$B$782:$T$804,2+'OUTPUTS &amp; Inputs'!$B94,FALSE)</f>
        <v>A</v>
      </c>
      <c r="X94" s="2113" t="str">
        <f>VLOOKUP(X$85,RATINGS!$B$782:$T$804,2+'OUTPUTS &amp; Inputs'!$B94,FALSE)</f>
        <v>BB</v>
      </c>
      <c r="Y94" s="2120" t="str">
        <f>VLOOKUP(Y$85,RATINGS!$B$782:$T$804,2+'OUTPUTS &amp; Inputs'!$B94,FALSE)</f>
        <v>BB+</v>
      </c>
    </row>
    <row r="95" spans="1:25">
      <c r="A95" s="636">
        <v>40908</v>
      </c>
      <c r="B95" s="2098">
        <v>9</v>
      </c>
      <c r="C95" s="2116" t="str">
        <f>VLOOKUP(C$85,RATINGS!$B$782:$T$804,2+'OUTPUTS &amp; Inputs'!$B95,FALSE)</f>
        <v>BBB+</v>
      </c>
      <c r="D95" s="2117" t="str">
        <f>VLOOKUP(D$85,RATINGS!$B$782:$T$804,2+'OUTPUTS &amp; Inputs'!$B95,FALSE)</f>
        <v>BBB</v>
      </c>
      <c r="E95" s="630" t="str">
        <f>VLOOKUP(E$85,RATINGS!$B$782:$T$804,2+'OUTPUTS &amp; Inputs'!$B95,FALSE)</f>
        <v>A</v>
      </c>
      <c r="F95" s="2113" t="str">
        <f>VLOOKUP(F$85,RATINGS!$B$782:$T$804,2+'OUTPUTS &amp; Inputs'!$B95,FALSE)</f>
        <v>BBB-</v>
      </c>
      <c r="G95" s="630" t="str">
        <f>VLOOKUP(G$85,RATINGS!$B$782:$T$804,2+'OUTPUTS &amp; Inputs'!$B95,FALSE)</f>
        <v>BB-</v>
      </c>
      <c r="H95" s="2117" t="str">
        <f>VLOOKUP(H$85,RATINGS!$B$782:$T$804,2+'OUTPUTS &amp; Inputs'!$B95,FALSE)</f>
        <v>BBB</v>
      </c>
      <c r="I95" s="2117" t="str">
        <f>VLOOKUP(I$85,RATINGS!$B$782:$T$804,2+'OUTPUTS &amp; Inputs'!$B95,FALSE)</f>
        <v>BBB</v>
      </c>
      <c r="J95" s="2117" t="str">
        <f>VLOOKUP(J$85,RATINGS!$B$782:$T$804,2+'OUTPUTS &amp; Inputs'!$B95,FALSE)</f>
        <v>BBB</v>
      </c>
      <c r="K95" s="2113" t="str">
        <f>VLOOKUP(K$85,RATINGS!$B$782:$T$804,2+'OUTPUTS &amp; Inputs'!$B95,FALSE)</f>
        <v>A-</v>
      </c>
      <c r="L95" s="630" t="str">
        <f>VLOOKUP(L$85,RATINGS!$B$782:$T$804,2+'OUTPUTS &amp; Inputs'!$B95,FALSE)</f>
        <v>A-</v>
      </c>
      <c r="M95" s="630" t="str">
        <f>VLOOKUP(M$85,RATINGS!$B$782:$T$804,2+'OUTPUTS &amp; Inputs'!$B95,FALSE)</f>
        <v>B-</v>
      </c>
      <c r="N95" s="2117" t="str">
        <f>VLOOKUP(N$85,RATINGS!$B$782:$T$804,2+'OUTPUTS &amp; Inputs'!$B95,FALSE)</f>
        <v>BBB-</v>
      </c>
      <c r="O95" s="2117" t="str">
        <f>VLOOKUP(O$85,RATINGS!$B$782:$T$804,2+'OUTPUTS &amp; Inputs'!$B95,FALSE)</f>
        <v>A-</v>
      </c>
      <c r="P95" s="2117" t="str">
        <f>VLOOKUP(P$85,RATINGS!$B$782:$T$804,2+'OUTPUTS &amp; Inputs'!$B95,FALSE)</f>
        <v>BBB-</v>
      </c>
      <c r="Q95" s="630" t="str">
        <f>VLOOKUP(Q$85,RATINGS!$B$782:$T$804,2+'OUTPUTS &amp; Inputs'!$B95,FALSE)</f>
        <v>BBB+</v>
      </c>
      <c r="R95" s="2117" t="str">
        <f>VLOOKUP(R$85,RATINGS!$B$782:$T$804,2+'OUTPUTS &amp; Inputs'!$B95,FALSE)</f>
        <v>BBB-</v>
      </c>
      <c r="S95" s="2117" t="str">
        <f>VLOOKUP(S$85,RATINGS!$B$782:$T$804,2+'OUTPUTS &amp; Inputs'!$B95,FALSE)</f>
        <v>BBB</v>
      </c>
      <c r="T95" s="2117" t="str">
        <f>VLOOKUP(T$85,RATINGS!$B$782:$T$804,2+'OUTPUTS &amp; Inputs'!$B95,FALSE)</f>
        <v>A-</v>
      </c>
      <c r="U95" s="2117" t="str">
        <f>VLOOKUP(U$85,RATINGS!$B$782:$T$804,2+'OUTPUTS &amp; Inputs'!$B95,FALSE)</f>
        <v>A-</v>
      </c>
      <c r="V95" s="2113" t="str">
        <f>VLOOKUP(V$85,RATINGS!$B$782:$T$804,2+'OUTPUTS &amp; Inputs'!$B95,FALSE)</f>
        <v>BBB+</v>
      </c>
      <c r="W95" s="2117" t="str">
        <f>VLOOKUP(W$85,RATINGS!$B$782:$T$804,2+'OUTPUTS &amp; Inputs'!$B95,FALSE)</f>
        <v>A</v>
      </c>
      <c r="X95" s="2113" t="str">
        <f>VLOOKUP(X$85,RATINGS!$B$782:$T$804,2+'OUTPUTS &amp; Inputs'!$B95,FALSE)</f>
        <v>BB</v>
      </c>
      <c r="Y95" s="2120" t="str">
        <f>VLOOKUP(Y$85,RATINGS!$B$782:$T$804,2+'OUTPUTS &amp; Inputs'!$B95,FALSE)</f>
        <v>BB+</v>
      </c>
    </row>
    <row r="96" spans="1:25">
      <c r="A96" s="636">
        <v>40999</v>
      </c>
      <c r="B96" s="2098">
        <v>10</v>
      </c>
      <c r="C96" s="2116" t="str">
        <f>VLOOKUP(C$85,RATINGS!$B$782:$T$804,2+'OUTPUTS &amp; Inputs'!$B96,FALSE)</f>
        <v>BBB+</v>
      </c>
      <c r="D96" s="2117" t="str">
        <f>VLOOKUP(D$85,RATINGS!$B$782:$T$804,2+'OUTPUTS &amp; Inputs'!$B96,FALSE)</f>
        <v>BBB</v>
      </c>
      <c r="E96" s="630" t="str">
        <f>VLOOKUP(E$85,RATINGS!$B$782:$T$804,2+'OUTPUTS &amp; Inputs'!$B96,FALSE)</f>
        <v>A</v>
      </c>
      <c r="F96" s="2113" t="str">
        <f>VLOOKUP(F$85,RATINGS!$B$782:$T$804,2+'OUTPUTS &amp; Inputs'!$B96,FALSE)</f>
        <v>BBB-</v>
      </c>
      <c r="G96" s="630" t="str">
        <f>VLOOKUP(G$85,RATINGS!$B$782:$T$804,2+'OUTPUTS &amp; Inputs'!$B96,FALSE)</f>
        <v>BB-</v>
      </c>
      <c r="H96" s="2117" t="str">
        <f>VLOOKUP(H$85,RATINGS!$B$782:$T$804,2+'OUTPUTS &amp; Inputs'!$B96,FALSE)</f>
        <v>BBB</v>
      </c>
      <c r="I96" s="2117" t="str">
        <f>VLOOKUP(I$85,RATINGS!$B$782:$T$804,2+'OUTPUTS &amp; Inputs'!$B96,FALSE)</f>
        <v>BBB</v>
      </c>
      <c r="J96" s="2117" t="str">
        <f>VLOOKUP(J$85,RATINGS!$B$782:$T$804,2+'OUTPUTS &amp; Inputs'!$B96,FALSE)</f>
        <v>BBB</v>
      </c>
      <c r="K96" s="2113" t="str">
        <f>VLOOKUP(K$85,RATINGS!$B$782:$T$804,2+'OUTPUTS &amp; Inputs'!$B96,FALSE)</f>
        <v>A-</v>
      </c>
      <c r="L96" s="630" t="str">
        <f>VLOOKUP(L$85,RATINGS!$B$782:$T$804,2+'OUTPUTS &amp; Inputs'!$B96,FALSE)</f>
        <v>A-</v>
      </c>
      <c r="M96" s="630" t="str">
        <f>VLOOKUP(M$85,RATINGS!$B$782:$T$804,2+'OUTPUTS &amp; Inputs'!$B96,FALSE)</f>
        <v>B-</v>
      </c>
      <c r="N96" s="2117" t="str">
        <f>VLOOKUP(N$85,RATINGS!$B$782:$T$804,2+'OUTPUTS &amp; Inputs'!$B96,FALSE)</f>
        <v>BBB-</v>
      </c>
      <c r="O96" s="2117" t="str">
        <f>VLOOKUP(O$85,RATINGS!$B$782:$T$804,2+'OUTPUTS &amp; Inputs'!$B96,FALSE)</f>
        <v>A-</v>
      </c>
      <c r="P96" s="2117" t="str">
        <f>VLOOKUP(P$85,RATINGS!$B$782:$T$804,2+'OUTPUTS &amp; Inputs'!$B96,FALSE)</f>
        <v>BBB-</v>
      </c>
      <c r="Q96" s="630" t="str">
        <f>VLOOKUP(Q$85,RATINGS!$B$782:$T$804,2+'OUTPUTS &amp; Inputs'!$B96,FALSE)</f>
        <v>BBB+</v>
      </c>
      <c r="R96" s="2117" t="str">
        <f>VLOOKUP(R$85,RATINGS!$B$782:$T$804,2+'OUTPUTS &amp; Inputs'!$B96,FALSE)</f>
        <v>BBB-</v>
      </c>
      <c r="S96" s="2117" t="str">
        <f>VLOOKUP(S$85,RATINGS!$B$782:$T$804,2+'OUTPUTS &amp; Inputs'!$B96,FALSE)</f>
        <v>BBB</v>
      </c>
      <c r="T96" s="2117" t="str">
        <f>VLOOKUP(T$85,RATINGS!$B$782:$T$804,2+'OUTPUTS &amp; Inputs'!$B96,FALSE)</f>
        <v>A-</v>
      </c>
      <c r="U96" s="2117" t="str">
        <f>VLOOKUP(U$85,RATINGS!$B$782:$T$804,2+'OUTPUTS &amp; Inputs'!$B96,FALSE)</f>
        <v>A-</v>
      </c>
      <c r="V96" s="2113" t="str">
        <f>VLOOKUP(V$85,RATINGS!$B$782:$T$804,2+'OUTPUTS &amp; Inputs'!$B96,FALSE)</f>
        <v>BBB+</v>
      </c>
      <c r="W96" s="2117" t="str">
        <f>VLOOKUP(W$85,RATINGS!$B$782:$T$804,2+'OUTPUTS &amp; Inputs'!$B96,FALSE)</f>
        <v>A</v>
      </c>
      <c r="X96" s="2113" t="str">
        <f>VLOOKUP(X$85,RATINGS!$B$782:$T$804,2+'OUTPUTS &amp; Inputs'!$B96,FALSE)</f>
        <v>BB</v>
      </c>
      <c r="Y96" s="2120" t="str">
        <f>VLOOKUP(Y$85,RATINGS!$B$782:$T$804,2+'OUTPUTS &amp; Inputs'!$B96,FALSE)</f>
        <v>BB+</v>
      </c>
    </row>
    <row r="97" spans="1:25">
      <c r="A97" s="636">
        <v>41090</v>
      </c>
      <c r="B97" s="2098">
        <v>11</v>
      </c>
      <c r="C97" s="2116" t="str">
        <f>VLOOKUP(C$85,RATINGS!$B$782:$T$804,2+'OUTPUTS &amp; Inputs'!$B97,FALSE)</f>
        <v>BBB+</v>
      </c>
      <c r="D97" s="2117" t="str">
        <f>VLOOKUP(D$85,RATINGS!$B$782:$T$804,2+'OUTPUTS &amp; Inputs'!$B97,FALSE)</f>
        <v>BBB</v>
      </c>
      <c r="E97" s="630" t="str">
        <f>VLOOKUP(E$85,RATINGS!$B$782:$T$804,2+'OUTPUTS &amp; Inputs'!$B97,FALSE)</f>
        <v>A</v>
      </c>
      <c r="F97" s="2113" t="str">
        <f>VLOOKUP(F$85,RATINGS!$B$782:$T$804,2+'OUTPUTS &amp; Inputs'!$B97,FALSE)</f>
        <v>BB+</v>
      </c>
      <c r="G97" s="630" t="str">
        <f>VLOOKUP(G$85,RATINGS!$B$782:$T$804,2+'OUTPUTS &amp; Inputs'!$B97,FALSE)</f>
        <v>BB-</v>
      </c>
      <c r="H97" s="2117" t="str">
        <f>VLOOKUP(H$85,RATINGS!$B$782:$T$804,2+'OUTPUTS &amp; Inputs'!$B97,FALSE)</f>
        <v>BBB</v>
      </c>
      <c r="I97" s="2117" t="str">
        <f>VLOOKUP(I$85,RATINGS!$B$782:$T$804,2+'OUTPUTS &amp; Inputs'!$B97,FALSE)</f>
        <v>BBB</v>
      </c>
      <c r="J97" s="2117" t="str">
        <f>VLOOKUP(J$85,RATINGS!$B$782:$T$804,2+'OUTPUTS &amp; Inputs'!$B97,FALSE)</f>
        <v>BBB</v>
      </c>
      <c r="K97" s="2113" t="str">
        <f>VLOOKUP(K$85,RATINGS!$B$782:$T$804,2+'OUTPUTS &amp; Inputs'!$B97,FALSE)</f>
        <v>A-</v>
      </c>
      <c r="L97" s="630" t="str">
        <f>VLOOKUP(L$85,RATINGS!$B$782:$T$804,2+'OUTPUTS &amp; Inputs'!$B97,FALSE)</f>
        <v>A-</v>
      </c>
      <c r="M97" s="630" t="str">
        <f>VLOOKUP(M$85,RATINGS!$B$782:$T$804,2+'OUTPUTS &amp; Inputs'!$B97,FALSE)</f>
        <v>B-</v>
      </c>
      <c r="N97" s="2117" t="str">
        <f>VLOOKUP(N$85,RATINGS!$B$782:$T$804,2+'OUTPUTS &amp; Inputs'!$B97,FALSE)</f>
        <v>BBB-</v>
      </c>
      <c r="O97" s="2117" t="str">
        <f>VLOOKUP(O$85,RATINGS!$B$782:$T$804,2+'OUTPUTS &amp; Inputs'!$B97,FALSE)</f>
        <v>A-</v>
      </c>
      <c r="P97" s="2117" t="str">
        <f>VLOOKUP(P$85,RATINGS!$B$782:$T$804,2+'OUTPUTS &amp; Inputs'!$B97,FALSE)</f>
        <v>BBB-</v>
      </c>
      <c r="Q97" s="630" t="str">
        <f>VLOOKUP(Q$85,RATINGS!$B$782:$T$804,2+'OUTPUTS &amp; Inputs'!$B97,FALSE)</f>
        <v>BBB+</v>
      </c>
      <c r="R97" s="2117" t="str">
        <f>VLOOKUP(R$85,RATINGS!$B$782:$T$804,2+'OUTPUTS &amp; Inputs'!$B97,FALSE)</f>
        <v>BBB-</v>
      </c>
      <c r="S97" s="2117" t="str">
        <f>VLOOKUP(S$85,RATINGS!$B$782:$T$804,2+'OUTPUTS &amp; Inputs'!$B97,FALSE)</f>
        <v>BBB</v>
      </c>
      <c r="T97" s="2117" t="str">
        <f>VLOOKUP(T$85,RATINGS!$B$782:$T$804,2+'OUTPUTS &amp; Inputs'!$B97,FALSE)</f>
        <v>A-</v>
      </c>
      <c r="U97" s="2117" t="str">
        <f>VLOOKUP(U$85,RATINGS!$B$782:$T$804,2+'OUTPUTS &amp; Inputs'!$B97,FALSE)</f>
        <v>A-</v>
      </c>
      <c r="V97" s="2113" t="str">
        <f>VLOOKUP(V$85,RATINGS!$B$782:$T$804,2+'OUTPUTS &amp; Inputs'!$B97,FALSE)</f>
        <v>BBB</v>
      </c>
      <c r="W97" s="2117" t="str">
        <f>VLOOKUP(W$85,RATINGS!$B$782:$T$804,2+'OUTPUTS &amp; Inputs'!$B97,FALSE)</f>
        <v>A</v>
      </c>
      <c r="X97" s="2113" t="str">
        <f>VLOOKUP(X$85,RATINGS!$B$782:$T$804,2+'OUTPUTS &amp; Inputs'!$B97,FALSE)</f>
        <v>BB</v>
      </c>
      <c r="Y97" s="2120" t="str">
        <f>VLOOKUP(Y$85,RATINGS!$B$782:$T$804,2+'OUTPUTS &amp; Inputs'!$B97,FALSE)</f>
        <v>BB+</v>
      </c>
    </row>
    <row r="98" spans="1:25">
      <c r="A98" s="636">
        <v>41182</v>
      </c>
      <c r="B98" s="2098">
        <v>12</v>
      </c>
      <c r="C98" s="2116" t="str">
        <f>VLOOKUP(C$85,RATINGS!$B$782:$T$804,2+'OUTPUTS &amp; Inputs'!$B98,FALSE)</f>
        <v>BBB+</v>
      </c>
      <c r="D98" s="2117" t="str">
        <f>VLOOKUP(D$85,RATINGS!$B$782:$T$804,2+'OUTPUTS &amp; Inputs'!$B98,FALSE)</f>
        <v>BBB</v>
      </c>
      <c r="E98" s="630" t="str">
        <f>VLOOKUP(E$85,RATINGS!$B$782:$T$804,2+'OUTPUTS &amp; Inputs'!$B98,FALSE)</f>
        <v>A</v>
      </c>
      <c r="F98" s="2113" t="str">
        <f>VLOOKUP(F$85,RATINGS!$B$782:$T$804,2+'OUTPUTS &amp; Inputs'!$B98,FALSE)</f>
        <v>BB+</v>
      </c>
      <c r="G98" s="630" t="str">
        <f>VLOOKUP(G$85,RATINGS!$B$782:$T$804,2+'OUTPUTS &amp; Inputs'!$B98,FALSE)</f>
        <v>B+</v>
      </c>
      <c r="H98" s="2117" t="str">
        <f>VLOOKUP(H$85,RATINGS!$B$782:$T$804,2+'OUTPUTS &amp; Inputs'!$B98,FALSE)</f>
        <v>BBB</v>
      </c>
      <c r="I98" s="2117" t="str">
        <f>VLOOKUP(I$85,RATINGS!$B$782:$T$804,2+'OUTPUTS &amp; Inputs'!$B98,FALSE)</f>
        <v>BBB</v>
      </c>
      <c r="J98" s="2117" t="str">
        <f>VLOOKUP(J$85,RATINGS!$B$782:$T$804,2+'OUTPUTS &amp; Inputs'!$B98,FALSE)</f>
        <v>BBB</v>
      </c>
      <c r="K98" s="2113" t="str">
        <f>VLOOKUP(K$85,RATINGS!$B$782:$T$804,2+'OUTPUTS &amp; Inputs'!$B98,FALSE)</f>
        <v>A-</v>
      </c>
      <c r="L98" s="630" t="str">
        <f>VLOOKUP(L$85,RATINGS!$B$782:$T$804,2+'OUTPUTS &amp; Inputs'!$B98,FALSE)</f>
        <v>A-</v>
      </c>
      <c r="M98" s="630" t="str">
        <f>VLOOKUP(M$85,RATINGS!$B$782:$T$804,2+'OUTPUTS &amp; Inputs'!$B98,FALSE)</f>
        <v>B-</v>
      </c>
      <c r="N98" s="2117" t="str">
        <f>VLOOKUP(N$85,RATINGS!$B$782:$T$804,2+'OUTPUTS &amp; Inputs'!$B98,FALSE)</f>
        <v>BBB-</v>
      </c>
      <c r="O98" s="2117" t="str">
        <f>VLOOKUP(O$85,RATINGS!$B$782:$T$804,2+'OUTPUTS &amp; Inputs'!$B98,FALSE)</f>
        <v>A-</v>
      </c>
      <c r="P98" s="2117" t="str">
        <f>VLOOKUP(P$85,RATINGS!$B$782:$T$804,2+'OUTPUTS &amp; Inputs'!$B98,FALSE)</f>
        <v>BBB-</v>
      </c>
      <c r="Q98" s="630" t="str">
        <f>VLOOKUP(Q$85,RATINGS!$B$782:$T$804,2+'OUTPUTS &amp; Inputs'!$B98,FALSE)</f>
        <v>BBB+</v>
      </c>
      <c r="R98" s="2117" t="str">
        <f>VLOOKUP(R$85,RATINGS!$B$782:$T$804,2+'OUTPUTS &amp; Inputs'!$B98,FALSE)</f>
        <v>BBB-</v>
      </c>
      <c r="S98" s="2117" t="str">
        <f>VLOOKUP(S$85,RATINGS!$B$782:$T$804,2+'OUTPUTS &amp; Inputs'!$B98,FALSE)</f>
        <v>BBB</v>
      </c>
      <c r="T98" s="2117" t="str">
        <f>VLOOKUP(T$85,RATINGS!$B$782:$T$804,2+'OUTPUTS &amp; Inputs'!$B98,FALSE)</f>
        <v>A-</v>
      </c>
      <c r="U98" s="2117" t="str">
        <f>VLOOKUP(U$85,RATINGS!$B$782:$T$804,2+'OUTPUTS &amp; Inputs'!$B98,FALSE)</f>
        <v>A-</v>
      </c>
      <c r="V98" s="2113" t="str">
        <f>VLOOKUP(V$85,RATINGS!$B$782:$T$804,2+'OUTPUTS &amp; Inputs'!$B98,FALSE)</f>
        <v>BBB</v>
      </c>
      <c r="W98" s="2117" t="str">
        <f>VLOOKUP(W$85,RATINGS!$B$782:$T$804,2+'OUTPUTS &amp; Inputs'!$B98,FALSE)</f>
        <v>A</v>
      </c>
      <c r="X98" s="2113" t="str">
        <f>VLOOKUP(X$85,RATINGS!$B$782:$T$804,2+'OUTPUTS &amp; Inputs'!$B98,FALSE)</f>
        <v>BB</v>
      </c>
      <c r="Y98" s="2120" t="str">
        <f>VLOOKUP(Y$85,RATINGS!$B$782:$T$804,2+'OUTPUTS &amp; Inputs'!$B98,FALSE)</f>
        <v>BB+</v>
      </c>
    </row>
    <row r="99" spans="1:25">
      <c r="A99" s="636">
        <v>41274</v>
      </c>
      <c r="B99" s="2098">
        <v>13</v>
      </c>
      <c r="C99" s="2116" t="str">
        <f>VLOOKUP(C$85,RATINGS!$B$782:$T$804,2+'OUTPUTS &amp; Inputs'!$B99,FALSE)</f>
        <v>BBB+</v>
      </c>
      <c r="D99" s="2117" t="str">
        <f>VLOOKUP(D$85,RATINGS!$B$782:$T$804,2+'OUTPUTS &amp; Inputs'!$B99,FALSE)</f>
        <v>BBB</v>
      </c>
      <c r="E99" s="630" t="str">
        <f>VLOOKUP(E$85,RATINGS!$B$782:$T$804,2+'OUTPUTS &amp; Inputs'!$B99,FALSE)</f>
        <v>A</v>
      </c>
      <c r="F99" s="2113" t="str">
        <f>VLOOKUP(F$85,RATINGS!$B$782:$T$804,2+'OUTPUTS &amp; Inputs'!$B99,FALSE)</f>
        <v>BB+</v>
      </c>
      <c r="G99" s="630" t="str">
        <f>VLOOKUP(G$85,RATINGS!$B$782:$T$804,2+'OUTPUTS &amp; Inputs'!$B99,FALSE)</f>
        <v>B+</v>
      </c>
      <c r="H99" s="2117" t="str">
        <f>VLOOKUP(H$85,RATINGS!$B$782:$T$804,2+'OUTPUTS &amp; Inputs'!$B99,FALSE)</f>
        <v>BBB</v>
      </c>
      <c r="I99" s="2117" t="str">
        <f>VLOOKUP(I$85,RATINGS!$B$782:$T$804,2+'OUTPUTS &amp; Inputs'!$B99,FALSE)</f>
        <v>BBB</v>
      </c>
      <c r="J99" s="2117" t="str">
        <f>VLOOKUP(J$85,RATINGS!$B$782:$T$804,2+'OUTPUTS &amp; Inputs'!$B99,FALSE)</f>
        <v>BBB</v>
      </c>
      <c r="K99" s="2113" t="str">
        <f>VLOOKUP(K$85,RATINGS!$B$782:$T$804,2+'OUTPUTS &amp; Inputs'!$B99,FALSE)</f>
        <v>A-</v>
      </c>
      <c r="L99" s="630" t="str">
        <f>VLOOKUP(L$85,RATINGS!$B$782:$T$804,2+'OUTPUTS &amp; Inputs'!$B99,FALSE)</f>
        <v>A-</v>
      </c>
      <c r="M99" s="630" t="str">
        <f>VLOOKUP(M$85,RATINGS!$B$782:$T$804,2+'OUTPUTS &amp; Inputs'!$B99,FALSE)</f>
        <v>B-</v>
      </c>
      <c r="N99" s="2117" t="str">
        <f>VLOOKUP(N$85,RATINGS!$B$782:$T$804,2+'OUTPUTS &amp; Inputs'!$B99,FALSE)</f>
        <v>BBB-</v>
      </c>
      <c r="O99" s="2117" t="str">
        <f>VLOOKUP(O$85,RATINGS!$B$782:$T$804,2+'OUTPUTS &amp; Inputs'!$B99,FALSE)</f>
        <v>A-</v>
      </c>
      <c r="P99" s="2117" t="str">
        <f>VLOOKUP(P$85,RATINGS!$B$782:$T$804,2+'OUTPUTS &amp; Inputs'!$B99,FALSE)</f>
        <v>BBB-</v>
      </c>
      <c r="Q99" s="630" t="str">
        <f>VLOOKUP(Q$85,RATINGS!$B$782:$T$804,2+'OUTPUTS &amp; Inputs'!$B99,FALSE)</f>
        <v>BBB+</v>
      </c>
      <c r="R99" s="2117" t="str">
        <f>VLOOKUP(R$85,RATINGS!$B$782:$T$804,2+'OUTPUTS &amp; Inputs'!$B99,FALSE)</f>
        <v>BBB-</v>
      </c>
      <c r="S99" s="2117" t="str">
        <f>VLOOKUP(S$85,RATINGS!$B$782:$T$804,2+'OUTPUTS &amp; Inputs'!$B99,FALSE)</f>
        <v>BBB</v>
      </c>
      <c r="T99" s="2117" t="str">
        <f>VLOOKUP(T$85,RATINGS!$B$782:$T$804,2+'OUTPUTS &amp; Inputs'!$B99,FALSE)</f>
        <v>A-</v>
      </c>
      <c r="U99" s="2117" t="str">
        <f>VLOOKUP(U$85,RATINGS!$B$782:$T$804,2+'OUTPUTS &amp; Inputs'!$B99,FALSE)</f>
        <v>A-</v>
      </c>
      <c r="V99" s="2113" t="str">
        <f>VLOOKUP(V$85,RATINGS!$B$782:$T$804,2+'OUTPUTS &amp; Inputs'!$B99,FALSE)</f>
        <v>BBB</v>
      </c>
      <c r="W99" s="2117" t="str">
        <f>VLOOKUP(W$85,RATINGS!$B$782:$T$804,2+'OUTPUTS &amp; Inputs'!$B99,FALSE)</f>
        <v>A</v>
      </c>
      <c r="X99" s="2113" t="str">
        <f>VLOOKUP(X$85,RATINGS!$B$782:$T$804,2+'OUTPUTS &amp; Inputs'!$B99,FALSE)</f>
        <v>BB</v>
      </c>
      <c r="Y99" s="2120" t="str">
        <f>VLOOKUP(Y$85,RATINGS!$B$782:$T$804,2+'OUTPUTS &amp; Inputs'!$B99,FALSE)</f>
        <v>BB+</v>
      </c>
    </row>
    <row r="100" spans="1:25">
      <c r="A100" s="636">
        <v>41364</v>
      </c>
      <c r="B100" s="2098">
        <v>14</v>
      </c>
      <c r="C100" s="2116" t="str">
        <f>VLOOKUP(C$85,RATINGS!$B$782:$T$804,2+'OUTPUTS &amp; Inputs'!$B100,FALSE)</f>
        <v>BBB+</v>
      </c>
      <c r="D100" s="2117" t="str">
        <f>VLOOKUP(D$85,RATINGS!$B$782:$T$804,2+'OUTPUTS &amp; Inputs'!$B100,FALSE)</f>
        <v>BBB</v>
      </c>
      <c r="E100" s="630" t="str">
        <f>VLOOKUP(E$85,RATINGS!$B$782:$T$804,2+'OUTPUTS &amp; Inputs'!$B100,FALSE)</f>
        <v>A</v>
      </c>
      <c r="F100" s="2113" t="str">
        <f>VLOOKUP(F$85,RATINGS!$B$782:$T$804,2+'OUTPUTS &amp; Inputs'!$B100,FALSE)</f>
        <v>BB+</v>
      </c>
      <c r="G100" s="630" t="str">
        <f>VLOOKUP(G$85,RATINGS!$B$782:$T$804,2+'OUTPUTS &amp; Inputs'!$B100,FALSE)</f>
        <v>B+</v>
      </c>
      <c r="H100" s="2117" t="str">
        <f>VLOOKUP(H$85,RATINGS!$B$782:$T$804,2+'OUTPUTS &amp; Inputs'!$B100,FALSE)</f>
        <v>BBB</v>
      </c>
      <c r="I100" s="2117" t="str">
        <f>VLOOKUP(I$85,RATINGS!$B$782:$T$804,2+'OUTPUTS &amp; Inputs'!$B100,FALSE)</f>
        <v>BBB</v>
      </c>
      <c r="J100" s="2117" t="str">
        <f>VLOOKUP(J$85,RATINGS!$B$782:$T$804,2+'OUTPUTS &amp; Inputs'!$B100,FALSE)</f>
        <v>BBB</v>
      </c>
      <c r="K100" s="2113" t="str">
        <f>VLOOKUP(K$85,RATINGS!$B$782:$T$804,2+'OUTPUTS &amp; Inputs'!$B100,FALSE)</f>
        <v>A-</v>
      </c>
      <c r="L100" s="630" t="str">
        <f>VLOOKUP(L$85,RATINGS!$B$782:$T$804,2+'OUTPUTS &amp; Inputs'!$B100,FALSE)</f>
        <v>A-</v>
      </c>
      <c r="M100" s="630" t="str">
        <f>VLOOKUP(M$85,RATINGS!$B$782:$T$804,2+'OUTPUTS &amp; Inputs'!$B100,FALSE)</f>
        <v>B-</v>
      </c>
      <c r="N100" s="2117" t="str">
        <f>VLOOKUP(N$85,RATINGS!$B$782:$T$804,2+'OUTPUTS &amp; Inputs'!$B100,FALSE)</f>
        <v>BBB-</v>
      </c>
      <c r="O100" s="2117" t="str">
        <f>VLOOKUP(O$85,RATINGS!$B$782:$T$804,2+'OUTPUTS &amp; Inputs'!$B100,FALSE)</f>
        <v>A-</v>
      </c>
      <c r="P100" s="2117" t="str">
        <f>VLOOKUP(P$85,RATINGS!$B$782:$T$804,2+'OUTPUTS &amp; Inputs'!$B100,FALSE)</f>
        <v>BBB-</v>
      </c>
      <c r="Q100" s="630" t="str">
        <f>VLOOKUP(Q$85,RATINGS!$B$782:$T$804,2+'OUTPUTS &amp; Inputs'!$B100,FALSE)</f>
        <v>BBB+</v>
      </c>
      <c r="R100" s="2117" t="str">
        <f>VLOOKUP(R$85,RATINGS!$B$782:$T$804,2+'OUTPUTS &amp; Inputs'!$B100,FALSE)</f>
        <v>BBB-</v>
      </c>
      <c r="S100" s="2117" t="str">
        <f>VLOOKUP(S$85,RATINGS!$B$782:$T$804,2+'OUTPUTS &amp; Inputs'!$B100,FALSE)</f>
        <v>BBB</v>
      </c>
      <c r="T100" s="2117" t="str">
        <f>VLOOKUP(T$85,RATINGS!$B$782:$T$804,2+'OUTPUTS &amp; Inputs'!$B100,FALSE)</f>
        <v>A-</v>
      </c>
      <c r="U100" s="2117" t="str">
        <f>VLOOKUP(U$85,RATINGS!$B$782:$T$804,2+'OUTPUTS &amp; Inputs'!$B100,FALSE)</f>
        <v>A-</v>
      </c>
      <c r="V100" s="2113" t="str">
        <f>VLOOKUP(V$85,RATINGS!$B$782:$T$804,2+'OUTPUTS &amp; Inputs'!$B100,FALSE)</f>
        <v>BBB</v>
      </c>
      <c r="W100" s="2117" t="str">
        <f>VLOOKUP(W$85,RATINGS!$B$782:$T$804,2+'OUTPUTS &amp; Inputs'!$B100,FALSE)</f>
        <v>A</v>
      </c>
      <c r="X100" s="2113" t="str">
        <f>VLOOKUP(X$85,RATINGS!$B$782:$T$804,2+'OUTPUTS &amp; Inputs'!$B100,FALSE)</f>
        <v>BB</v>
      </c>
      <c r="Y100" s="2120" t="str">
        <f>VLOOKUP(Y$85,RATINGS!$B$782:$T$804,2+'OUTPUTS &amp; Inputs'!$B100,FALSE)</f>
        <v>BB+</v>
      </c>
    </row>
    <row r="101" spans="1:25">
      <c r="A101" s="636">
        <v>41455</v>
      </c>
      <c r="B101" s="2098">
        <v>15</v>
      </c>
      <c r="C101" s="629" t="str">
        <f>VLOOKUP(C$85,RATINGS!$B$782:$T$804,2+'OUTPUTS &amp; Inputs'!$B101,FALSE)</f>
        <v>BBB+</v>
      </c>
      <c r="D101" s="630" t="str">
        <f>VLOOKUP(D$85,RATINGS!$B$782:$T$804,2+'OUTPUTS &amp; Inputs'!$B101,FALSE)</f>
        <v>BBB</v>
      </c>
      <c r="E101" s="630" t="str">
        <f>VLOOKUP(E$85,RATINGS!$B$782:$T$804,2+'OUTPUTS &amp; Inputs'!$B101,FALSE)</f>
        <v>A</v>
      </c>
      <c r="F101" s="2113" t="str">
        <f>VLOOKUP(F$85,RATINGS!$B$782:$T$804,2+'OUTPUTS &amp; Inputs'!$B101,FALSE)</f>
        <v>BB+</v>
      </c>
      <c r="G101" s="630" t="str">
        <f>VLOOKUP(G$85,RATINGS!$B$782:$T$804,2+'OUTPUTS &amp; Inputs'!$B101,FALSE)</f>
        <v>B+</v>
      </c>
      <c r="H101" s="630" t="str">
        <f>VLOOKUP(H$85,RATINGS!$B$782:$T$804,2+'OUTPUTS &amp; Inputs'!$B101,FALSE)</f>
        <v>BBB</v>
      </c>
      <c r="I101" s="630" t="str">
        <f>VLOOKUP(I$85,RATINGS!$B$782:$T$804,2+'OUTPUTS &amp; Inputs'!$B101,FALSE)</f>
        <v>BBB</v>
      </c>
      <c r="J101" s="630" t="str">
        <f>VLOOKUP(J$85,RATINGS!$B$782:$T$804,2+'OUTPUTS &amp; Inputs'!$B101,FALSE)</f>
        <v>BBB</v>
      </c>
      <c r="K101" s="2113" t="str">
        <f>VLOOKUP(K$85,RATINGS!$B$782:$T$804,2+'OUTPUTS &amp; Inputs'!$B101,FALSE)</f>
        <v>A-</v>
      </c>
      <c r="L101" s="630" t="str">
        <f>VLOOKUP(L$85,RATINGS!$B$782:$T$804,2+'OUTPUTS &amp; Inputs'!$B101,FALSE)</f>
        <v>BBB+</v>
      </c>
      <c r="M101" s="630" t="str">
        <f>VLOOKUP(M$85,RATINGS!$B$782:$T$804,2+'OUTPUTS &amp; Inputs'!$B101,FALSE)</f>
        <v>B-</v>
      </c>
      <c r="N101" s="630" t="str">
        <f>VLOOKUP(N$85,RATINGS!$B$782:$T$804,2+'OUTPUTS &amp; Inputs'!$B101,FALSE)</f>
        <v>BBB-</v>
      </c>
      <c r="O101" s="630" t="str">
        <f>VLOOKUP(O$85,RATINGS!$B$782:$T$804,2+'OUTPUTS &amp; Inputs'!$B101,FALSE)</f>
        <v>A-</v>
      </c>
      <c r="P101" s="630" t="str">
        <f>VLOOKUP(P$85,RATINGS!$B$782:$T$804,2+'OUTPUTS &amp; Inputs'!$B101,FALSE)</f>
        <v>BBB-</v>
      </c>
      <c r="Q101" s="630" t="str">
        <f>VLOOKUP(Q$85,RATINGS!$B$782:$T$804,2+'OUTPUTS &amp; Inputs'!$B101,FALSE)</f>
        <v>BBB+</v>
      </c>
      <c r="R101" s="630" t="str">
        <f>VLOOKUP(R$85,RATINGS!$B$782:$T$804,2+'OUTPUTS &amp; Inputs'!$B101,FALSE)</f>
        <v>BBB-</v>
      </c>
      <c r="S101" s="630" t="str">
        <f>VLOOKUP(S$85,RATINGS!$B$782:$T$804,2+'OUTPUTS &amp; Inputs'!$B101,FALSE)</f>
        <v>BBB</v>
      </c>
      <c r="T101" s="630" t="str">
        <f>VLOOKUP(T$85,RATINGS!$B$782:$T$804,2+'OUTPUTS &amp; Inputs'!$B101,FALSE)</f>
        <v>A-</v>
      </c>
      <c r="U101" s="630" t="str">
        <f>VLOOKUP(U$85,RATINGS!$B$782:$T$804,2+'OUTPUTS &amp; Inputs'!$B101,FALSE)</f>
        <v>A-</v>
      </c>
      <c r="V101" s="2113" t="str">
        <f>VLOOKUP(V$85,RATINGS!$B$782:$T$804,2+'OUTPUTS &amp; Inputs'!$B101,FALSE)</f>
        <v>BBB</v>
      </c>
      <c r="W101" s="630" t="str">
        <f>VLOOKUP(W$85,RATINGS!$B$782:$T$804,2+'OUTPUTS &amp; Inputs'!$B101,FALSE)</f>
        <v>A</v>
      </c>
      <c r="X101" s="2113" t="str">
        <f>VLOOKUP(X$85,RATINGS!$B$782:$T$804,2+'OUTPUTS &amp; Inputs'!$B101,FALSE)</f>
        <v>BB</v>
      </c>
      <c r="Y101" s="2095" t="str">
        <f>VLOOKUP(Y$85,RATINGS!$B$782:$T$804,2+'OUTPUTS &amp; Inputs'!$B101,FALSE)</f>
        <v>BB+</v>
      </c>
    </row>
    <row r="106" spans="1:25">
      <c r="A106" s="1016" t="s">
        <v>1032</v>
      </c>
      <c r="B106" s="1016"/>
      <c r="C106" s="1016"/>
      <c r="D106" s="1"/>
      <c r="E106" s="1"/>
      <c r="F106" s="1"/>
      <c r="G106" s="1"/>
      <c r="H106" s="1"/>
      <c r="I106" s="1"/>
      <c r="J106" s="1"/>
    </row>
    <row r="108" spans="1:25" ht="13.8" thickBot="1">
      <c r="A108" s="642"/>
      <c r="B108" s="653" t="s">
        <v>806</v>
      </c>
      <c r="C108" s="643" t="s">
        <v>807</v>
      </c>
    </row>
    <row r="109" spans="1:25">
      <c r="A109" s="644" t="s">
        <v>485</v>
      </c>
      <c r="B109" s="645"/>
      <c r="C109" s="639">
        <v>-4.470625286303239E-2</v>
      </c>
    </row>
    <row r="110" spans="1:25">
      <c r="A110" s="646" t="s">
        <v>489</v>
      </c>
      <c r="B110" s="647"/>
      <c r="C110" s="640">
        <v>-0.3727157311583888</v>
      </c>
    </row>
    <row r="111" spans="1:25">
      <c r="A111" s="646" t="s">
        <v>491</v>
      </c>
      <c r="B111" s="647"/>
      <c r="C111" s="640">
        <v>-0.27415919560156515</v>
      </c>
    </row>
    <row r="112" spans="1:25">
      <c r="A112" s="646" t="s">
        <v>493</v>
      </c>
      <c r="B112" s="647"/>
      <c r="C112" s="640">
        <v>0.2084448816446475</v>
      </c>
    </row>
    <row r="113" spans="1:27">
      <c r="A113" s="648" t="s">
        <v>497</v>
      </c>
      <c r="B113" s="649"/>
      <c r="C113" s="640">
        <v>-0.3106488614963191</v>
      </c>
    </row>
    <row r="114" spans="1:27">
      <c r="A114" s="650" t="s">
        <v>323</v>
      </c>
      <c r="B114" s="645"/>
      <c r="C114" s="640">
        <v>5.8721709974853362E-2</v>
      </c>
    </row>
    <row r="115" spans="1:27">
      <c r="A115" s="651" t="s">
        <v>729</v>
      </c>
      <c r="B115" s="647"/>
      <c r="C115" s="640">
        <v>6.7822063479178421E-2</v>
      </c>
    </row>
    <row r="116" spans="1:27">
      <c r="A116" s="651" t="s">
        <v>65</v>
      </c>
      <c r="B116" s="647"/>
      <c r="C116" s="640">
        <v>0.1597197757400679</v>
      </c>
    </row>
    <row r="117" spans="1:27" ht="13.8" thickBot="1">
      <c r="A117" s="652" t="s">
        <v>730</v>
      </c>
      <c r="B117" s="649"/>
      <c r="C117" s="641">
        <v>0.35356636626584159</v>
      </c>
    </row>
    <row r="120" spans="1:27">
      <c r="A120" s="1016" t="s">
        <v>1033</v>
      </c>
      <c r="B120" s="1016"/>
      <c r="C120" s="1016"/>
      <c r="D120" s="1017"/>
      <c r="E120" s="1017"/>
      <c r="F120" s="1017"/>
      <c r="G120" s="1017"/>
      <c r="H120" s="1017"/>
      <c r="I120" s="1017"/>
      <c r="J120" s="1017"/>
      <c r="K120" s="1017"/>
      <c r="L120" s="1017"/>
      <c r="M120" s="1017"/>
    </row>
    <row r="121" spans="1:27" s="638" customFormat="1" ht="13.8" thickBot="1">
      <c r="A121"/>
      <c r="B121"/>
      <c r="C121"/>
      <c r="D121"/>
      <c r="E121"/>
      <c r="F121"/>
      <c r="G121"/>
      <c r="H121"/>
      <c r="I121"/>
      <c r="J121"/>
      <c r="K121" s="1018"/>
      <c r="L121" s="1018"/>
      <c r="M121" s="1018"/>
      <c r="N121" s="1018"/>
      <c r="O121" s="1018"/>
      <c r="P121" s="1018"/>
      <c r="Q121" s="1018"/>
      <c r="R121" s="1018"/>
      <c r="AA121" s="3055"/>
    </row>
    <row r="122" spans="1:27" ht="13.8" thickBot="1">
      <c r="A122" s="1011" t="s">
        <v>1027</v>
      </c>
      <c r="B122" s="1012"/>
      <c r="C122" s="546">
        <v>3</v>
      </c>
      <c r="D122" s="547">
        <v>4</v>
      </c>
      <c r="E122" s="548">
        <v>5</v>
      </c>
      <c r="F122" s="547">
        <v>6</v>
      </c>
      <c r="G122" s="547">
        <v>7</v>
      </c>
      <c r="H122" s="548">
        <v>8</v>
      </c>
      <c r="I122" s="547">
        <v>9</v>
      </c>
      <c r="J122" s="549">
        <v>10</v>
      </c>
      <c r="L122" s="2219" t="s">
        <v>1778</v>
      </c>
      <c r="M122" s="2220"/>
    </row>
    <row r="123" spans="1:27">
      <c r="A123" s="1003" t="s">
        <v>67</v>
      </c>
      <c r="B123" s="613"/>
      <c r="C123" s="550">
        <v>2.6006999999999998</v>
      </c>
      <c r="D123" s="551">
        <v>3.0310999999999999</v>
      </c>
      <c r="E123" s="552">
        <v>3.4615</v>
      </c>
      <c r="F123" s="551">
        <v>3.6745666666666668</v>
      </c>
      <c r="G123" s="551">
        <v>3.8876333333333331</v>
      </c>
      <c r="H123" s="553">
        <v>4.1006999999999998</v>
      </c>
      <c r="I123" s="551">
        <v>4.3128500000000001</v>
      </c>
      <c r="J123" s="554">
        <v>4.5250000000000004</v>
      </c>
      <c r="L123" s="2211">
        <v>2014</v>
      </c>
      <c r="M123" s="2212">
        <v>2.6680071428571432</v>
      </c>
    </row>
    <row r="124" spans="1:27">
      <c r="A124" s="1004" t="s">
        <v>68</v>
      </c>
      <c r="B124" s="613"/>
      <c r="C124" s="555">
        <v>2.7525499999999998</v>
      </c>
      <c r="D124" s="556">
        <v>3.1616749999999998</v>
      </c>
      <c r="E124" s="556">
        <v>3.5708000000000002</v>
      </c>
      <c r="F124" s="556">
        <v>3.8125166666666668</v>
      </c>
      <c r="G124" s="556">
        <v>4.0542333333333334</v>
      </c>
      <c r="H124" s="557">
        <v>4.2959499999999995</v>
      </c>
      <c r="I124" s="556">
        <v>4.4652250000000002</v>
      </c>
      <c r="J124" s="558">
        <v>4.6345000000000001</v>
      </c>
      <c r="L124" s="2213">
        <v>2015</v>
      </c>
      <c r="M124" s="2214">
        <v>2.7015615384615383</v>
      </c>
    </row>
    <row r="125" spans="1:27">
      <c r="A125" s="1003" t="s">
        <v>69</v>
      </c>
      <c r="B125" s="613"/>
      <c r="C125" s="559">
        <v>2.9043999999999999</v>
      </c>
      <c r="D125" s="556">
        <v>3.2922500000000001</v>
      </c>
      <c r="E125" s="560">
        <v>3.6800999999999999</v>
      </c>
      <c r="F125" s="556">
        <v>3.9504666666666668</v>
      </c>
      <c r="G125" s="556">
        <v>4.2208333333333332</v>
      </c>
      <c r="H125" s="561">
        <v>4.4912000000000001</v>
      </c>
      <c r="I125" s="556">
        <v>4.6175999999999995</v>
      </c>
      <c r="J125" s="562">
        <v>4.7439999999999998</v>
      </c>
      <c r="L125" s="2215">
        <v>2016</v>
      </c>
      <c r="M125" s="2216">
        <v>3</v>
      </c>
    </row>
    <row r="126" spans="1:27" ht="13.8" thickBot="1">
      <c r="A126" s="1003" t="s">
        <v>70</v>
      </c>
      <c r="B126" s="613"/>
      <c r="C126" s="559">
        <v>3.2193999999999998</v>
      </c>
      <c r="D126" s="556">
        <v>3.6592500000000001</v>
      </c>
      <c r="E126" s="560">
        <v>4.0991</v>
      </c>
      <c r="F126" s="556">
        <v>4.3667999999999996</v>
      </c>
      <c r="G126" s="556">
        <v>4.6345000000000001</v>
      </c>
      <c r="H126" s="561">
        <v>4.9021999999999997</v>
      </c>
      <c r="I126" s="556">
        <v>4.9926499999999994</v>
      </c>
      <c r="J126" s="562">
        <v>5.0831</v>
      </c>
      <c r="L126" s="2217" t="s">
        <v>509</v>
      </c>
      <c r="M126" s="2218">
        <v>2.7898562271062275</v>
      </c>
    </row>
    <row r="127" spans="1:27">
      <c r="A127" s="1005" t="s">
        <v>71</v>
      </c>
      <c r="B127" s="613"/>
      <c r="C127" s="559">
        <v>3.3774999999999999</v>
      </c>
      <c r="D127" s="556">
        <v>3.8537499999999998</v>
      </c>
      <c r="E127" s="560">
        <v>4.33</v>
      </c>
      <c r="F127" s="556">
        <v>4.7004666666666663</v>
      </c>
      <c r="G127" s="556">
        <v>5.0709333333333335</v>
      </c>
      <c r="H127" s="561">
        <v>5.4413999999999998</v>
      </c>
      <c r="I127" s="556">
        <v>5.5159000000000002</v>
      </c>
      <c r="J127" s="562">
        <v>5.5903999999999998</v>
      </c>
    </row>
    <row r="128" spans="1:27">
      <c r="A128" s="1004" t="s">
        <v>334</v>
      </c>
      <c r="B128" s="613"/>
      <c r="C128" s="555">
        <v>4.2245499999999998</v>
      </c>
      <c r="D128" s="556">
        <v>4.8033000000000001</v>
      </c>
      <c r="E128" s="556">
        <v>5.3820499999999996</v>
      </c>
      <c r="F128" s="556">
        <v>5.8281333333333336</v>
      </c>
      <c r="G128" s="556">
        <v>6.2742166666666668</v>
      </c>
      <c r="H128" s="557">
        <v>6.7202999999999999</v>
      </c>
      <c r="I128" s="556">
        <v>6.7680499999999997</v>
      </c>
      <c r="J128" s="558">
        <v>6.8157999999999994</v>
      </c>
    </row>
    <row r="129" spans="1:10">
      <c r="A129" s="1003" t="s">
        <v>119</v>
      </c>
      <c r="B129" s="613"/>
      <c r="C129" s="559">
        <v>5.0716000000000001</v>
      </c>
      <c r="D129" s="556">
        <v>5.7528500000000005</v>
      </c>
      <c r="E129" s="560">
        <v>6.4340999999999999</v>
      </c>
      <c r="F129" s="556">
        <v>6.9558</v>
      </c>
      <c r="G129" s="556">
        <v>7.4775</v>
      </c>
      <c r="H129" s="561">
        <v>7.9992000000000001</v>
      </c>
      <c r="I129" s="556">
        <v>8.0201999999999991</v>
      </c>
      <c r="J129" s="562">
        <v>8.0411999999999999</v>
      </c>
    </row>
    <row r="130" spans="1:10">
      <c r="A130" s="1006" t="s">
        <v>333</v>
      </c>
      <c r="B130" s="613"/>
      <c r="C130" s="563">
        <v>5.9186500000000004</v>
      </c>
      <c r="D130" s="556">
        <v>6.7024000000000008</v>
      </c>
      <c r="E130" s="564">
        <v>7.4861500000000003</v>
      </c>
      <c r="F130" s="556">
        <v>8.0834666666666664</v>
      </c>
      <c r="G130" s="556">
        <v>8.6807833333333342</v>
      </c>
      <c r="H130" s="565">
        <v>9.2781000000000002</v>
      </c>
      <c r="I130" s="556">
        <v>8.3239575902335456</v>
      </c>
      <c r="J130" s="566">
        <v>9.2666000000000004</v>
      </c>
    </row>
    <row r="131" spans="1:10">
      <c r="A131" s="1006" t="s">
        <v>111</v>
      </c>
      <c r="B131" s="613"/>
      <c r="C131" s="563">
        <v>6.7657000000000007</v>
      </c>
      <c r="D131" s="556">
        <v>7.6519500000000003</v>
      </c>
      <c r="E131" s="564">
        <v>8.5381999999999998</v>
      </c>
      <c r="F131" s="556">
        <v>9.2111333333333327</v>
      </c>
      <c r="G131" s="556">
        <v>9.8840666666666674</v>
      </c>
      <c r="H131" s="565">
        <v>10.557</v>
      </c>
      <c r="I131" s="556">
        <v>8.6277151804670922</v>
      </c>
      <c r="J131" s="566">
        <v>10.492000000000001</v>
      </c>
    </row>
    <row r="132" spans="1:10">
      <c r="A132" s="1007" t="s">
        <v>335</v>
      </c>
      <c r="B132" s="613"/>
      <c r="C132" s="563">
        <v>7.443340000000001</v>
      </c>
      <c r="D132" s="556">
        <v>8.4115900000000003</v>
      </c>
      <c r="E132" s="564">
        <v>9.3798399999999997</v>
      </c>
      <c r="F132" s="556">
        <v>10.113266666666666</v>
      </c>
      <c r="G132" s="556">
        <v>10.846693333333334</v>
      </c>
      <c r="H132" s="565">
        <v>11.580120000000001</v>
      </c>
      <c r="I132" s="556">
        <v>11.526220000000002</v>
      </c>
      <c r="J132" s="566">
        <v>11.472320000000002</v>
      </c>
    </row>
    <row r="133" spans="1:10">
      <c r="A133" s="1008" t="s">
        <v>114</v>
      </c>
      <c r="B133" s="613"/>
      <c r="C133" s="567">
        <v>7.9854520000000013</v>
      </c>
      <c r="D133" s="568">
        <v>9.0193019999999997</v>
      </c>
      <c r="E133" s="569">
        <v>10.053151999999999</v>
      </c>
      <c r="F133" s="568">
        <v>10.834973333333332</v>
      </c>
      <c r="G133" s="568">
        <v>11.616794666666667</v>
      </c>
      <c r="H133" s="570">
        <v>12.398616000000001</v>
      </c>
      <c r="I133" s="568">
        <v>12.327596000000002</v>
      </c>
      <c r="J133" s="571">
        <v>12.256576000000003</v>
      </c>
    </row>
    <row r="134" spans="1:10">
      <c r="A134" s="1011" t="s">
        <v>1028</v>
      </c>
      <c r="B134" s="1012"/>
      <c r="C134" s="572">
        <v>3</v>
      </c>
      <c r="D134" s="196">
        <v>4</v>
      </c>
      <c r="E134" s="195">
        <v>5</v>
      </c>
      <c r="F134" s="196">
        <v>6</v>
      </c>
      <c r="G134" s="196">
        <v>7</v>
      </c>
      <c r="H134" s="195">
        <v>8</v>
      </c>
      <c r="I134" s="196">
        <v>9</v>
      </c>
      <c r="J134" s="573">
        <v>10</v>
      </c>
    </row>
    <row r="135" spans="1:10">
      <c r="A135" s="1003" t="s">
        <v>67</v>
      </c>
      <c r="B135" s="613"/>
      <c r="C135" s="550">
        <v>2.2086999999999999</v>
      </c>
      <c r="D135" s="551">
        <v>2.6264500000000002</v>
      </c>
      <c r="E135" s="552">
        <v>3.0442</v>
      </c>
      <c r="F135" s="551">
        <v>3.2697666666666665</v>
      </c>
      <c r="G135" s="551">
        <v>3.4953333333333334</v>
      </c>
      <c r="H135" s="553">
        <v>3.7208999999999999</v>
      </c>
      <c r="I135" s="551">
        <v>3.8762999999999996</v>
      </c>
      <c r="J135" s="554">
        <v>4.0316999999999998</v>
      </c>
    </row>
    <row r="136" spans="1:10">
      <c r="A136" s="1004" t="s">
        <v>68</v>
      </c>
      <c r="B136" s="613"/>
      <c r="C136" s="555">
        <v>2.3807</v>
      </c>
      <c r="D136" s="556">
        <v>2.8003749999999998</v>
      </c>
      <c r="E136" s="556">
        <v>3.2200500000000001</v>
      </c>
      <c r="F136" s="556">
        <v>3.4429333333333334</v>
      </c>
      <c r="G136" s="556">
        <v>3.6658166666666667</v>
      </c>
      <c r="H136" s="557">
        <v>3.8887</v>
      </c>
      <c r="I136" s="556">
        <v>4.0272249999999996</v>
      </c>
      <c r="J136" s="558">
        <v>4.1657500000000001</v>
      </c>
    </row>
    <row r="137" spans="1:10">
      <c r="A137" s="1003" t="s">
        <v>69</v>
      </c>
      <c r="B137" s="613"/>
      <c r="C137" s="559">
        <v>2.5526999999999997</v>
      </c>
      <c r="D137" s="556">
        <v>2.9742999999999999</v>
      </c>
      <c r="E137" s="560">
        <v>3.3959000000000001</v>
      </c>
      <c r="F137" s="556">
        <v>3.6160999999999999</v>
      </c>
      <c r="G137" s="556">
        <v>3.8363</v>
      </c>
      <c r="H137" s="561">
        <v>4.0564999999999998</v>
      </c>
      <c r="I137" s="556">
        <v>4.1781500000000005</v>
      </c>
      <c r="J137" s="562">
        <v>4.2998000000000003</v>
      </c>
    </row>
    <row r="138" spans="1:10">
      <c r="A138" s="1003" t="s">
        <v>70</v>
      </c>
      <c r="B138" s="613"/>
      <c r="C138" s="559">
        <v>2.6638999999999999</v>
      </c>
      <c r="D138" s="556">
        <v>3.0922499999999999</v>
      </c>
      <c r="E138" s="560">
        <v>3.5206</v>
      </c>
      <c r="F138" s="556">
        <v>3.7473000000000001</v>
      </c>
      <c r="G138" s="556">
        <v>3.9740000000000002</v>
      </c>
      <c r="H138" s="561">
        <v>4.2007000000000003</v>
      </c>
      <c r="I138" s="556">
        <v>4.2973499999999998</v>
      </c>
      <c r="J138" s="562">
        <v>4.3940000000000001</v>
      </c>
    </row>
    <row r="139" spans="1:10">
      <c r="A139" s="1005" t="s">
        <v>71</v>
      </c>
      <c r="B139" s="613"/>
      <c r="C139" s="559">
        <v>3.1474000000000002</v>
      </c>
      <c r="D139" s="556">
        <v>3.6794000000000002</v>
      </c>
      <c r="E139" s="560">
        <v>4.2114000000000003</v>
      </c>
      <c r="F139" s="556">
        <v>4.4847333333333337</v>
      </c>
      <c r="G139" s="556">
        <v>4.7580666666666662</v>
      </c>
      <c r="H139" s="561">
        <v>5.0313999999999997</v>
      </c>
      <c r="I139" s="556">
        <v>5.0970999999999993</v>
      </c>
      <c r="J139" s="562">
        <v>5.1627999999999998</v>
      </c>
    </row>
    <row r="140" spans="1:10">
      <c r="A140" s="1004" t="s">
        <v>334</v>
      </c>
      <c r="B140" s="613"/>
      <c r="C140" s="555">
        <v>3.2775500000000002</v>
      </c>
      <c r="D140" s="556">
        <v>3.9935749999999999</v>
      </c>
      <c r="E140" s="556">
        <v>4.7096</v>
      </c>
      <c r="F140" s="556">
        <v>5.0823666666666671</v>
      </c>
      <c r="G140" s="556">
        <v>5.4551333333333325</v>
      </c>
      <c r="H140" s="557">
        <v>5.8278999999999996</v>
      </c>
      <c r="I140" s="556">
        <v>5.9238749999999998</v>
      </c>
      <c r="J140" s="558">
        <v>6.0198499999999999</v>
      </c>
    </row>
    <row r="141" spans="1:10">
      <c r="A141" s="1003" t="s">
        <v>119</v>
      </c>
      <c r="B141" s="613"/>
      <c r="C141" s="559">
        <v>3.4077000000000002</v>
      </c>
      <c r="D141" s="556">
        <v>4.3077500000000004</v>
      </c>
      <c r="E141" s="560">
        <v>5.2077999999999998</v>
      </c>
      <c r="F141" s="556">
        <v>5.68</v>
      </c>
      <c r="G141" s="556">
        <v>6.1521999999999997</v>
      </c>
      <c r="H141" s="561">
        <v>6.6243999999999996</v>
      </c>
      <c r="I141" s="556">
        <v>6.7506500000000003</v>
      </c>
      <c r="J141" s="562">
        <v>6.8769</v>
      </c>
    </row>
    <row r="142" spans="1:10">
      <c r="A142" s="1006" t="s">
        <v>333</v>
      </c>
      <c r="B142" s="613"/>
      <c r="C142" s="563">
        <v>3.5378500000000002</v>
      </c>
      <c r="D142" s="556">
        <v>4.6219250000000001</v>
      </c>
      <c r="E142" s="564">
        <v>5.7059999999999995</v>
      </c>
      <c r="F142" s="556">
        <v>6.2776333333333332</v>
      </c>
      <c r="G142" s="556">
        <v>6.8492666666666659</v>
      </c>
      <c r="H142" s="565">
        <v>7.4208999999999996</v>
      </c>
      <c r="I142" s="556">
        <v>7.0544075902335459</v>
      </c>
      <c r="J142" s="566">
        <v>7.7339500000000001</v>
      </c>
    </row>
    <row r="143" spans="1:10">
      <c r="A143" s="1006" t="s">
        <v>111</v>
      </c>
      <c r="B143" s="613"/>
      <c r="C143" s="563">
        <v>3.6680000000000001</v>
      </c>
      <c r="D143" s="556">
        <v>4.9360999999999997</v>
      </c>
      <c r="E143" s="564">
        <v>6.2041999999999993</v>
      </c>
      <c r="F143" s="556">
        <v>6.8752666666666657</v>
      </c>
      <c r="G143" s="556">
        <v>7.5463333333333331</v>
      </c>
      <c r="H143" s="565">
        <v>8.2173999999999996</v>
      </c>
      <c r="I143" s="556">
        <v>7.3581651804670916</v>
      </c>
      <c r="J143" s="566">
        <v>8.5910000000000011</v>
      </c>
    </row>
    <row r="144" spans="1:10">
      <c r="A144" s="1007" t="s">
        <v>335</v>
      </c>
      <c r="B144" s="613"/>
      <c r="C144" s="563">
        <v>3.7721200000000001</v>
      </c>
      <c r="D144" s="556">
        <v>5.1874399999999996</v>
      </c>
      <c r="E144" s="564">
        <v>6.6027599999999991</v>
      </c>
      <c r="F144" s="556">
        <v>7.3533733333333329</v>
      </c>
      <c r="G144" s="556">
        <v>8.1039866666666658</v>
      </c>
      <c r="H144" s="565">
        <v>8.8545999999999996</v>
      </c>
      <c r="I144" s="556">
        <v>9.0656200000000009</v>
      </c>
      <c r="J144" s="566">
        <v>9.2766400000000022</v>
      </c>
    </row>
    <row r="145" spans="1:10">
      <c r="A145" s="1008" t="s">
        <v>114</v>
      </c>
      <c r="B145" s="613"/>
      <c r="C145" s="567">
        <v>3.855416</v>
      </c>
      <c r="D145" s="568">
        <v>5.3885119999999995</v>
      </c>
      <c r="E145" s="569">
        <v>6.9216079999999991</v>
      </c>
      <c r="F145" s="568">
        <v>7.7358586666666662</v>
      </c>
      <c r="G145" s="568">
        <v>8.5501093333333333</v>
      </c>
      <c r="H145" s="570">
        <v>9.3643599999999996</v>
      </c>
      <c r="I145" s="568">
        <v>9.5947560000000003</v>
      </c>
      <c r="J145" s="571">
        <v>9.8251520000000028</v>
      </c>
    </row>
    <row r="146" spans="1:10">
      <c r="A146" s="1011" t="s">
        <v>1029</v>
      </c>
      <c r="B146" s="1012"/>
      <c r="C146" s="572">
        <v>3</v>
      </c>
      <c r="D146" s="196">
        <v>4</v>
      </c>
      <c r="E146" s="195">
        <v>5</v>
      </c>
      <c r="F146" s="196">
        <v>6</v>
      </c>
      <c r="G146" s="196">
        <v>7</v>
      </c>
      <c r="H146" s="195">
        <v>8</v>
      </c>
      <c r="I146" s="196">
        <v>9</v>
      </c>
      <c r="J146" s="573">
        <v>10</v>
      </c>
    </row>
    <row r="147" spans="1:10">
      <c r="A147" s="1003" t="s">
        <v>67</v>
      </c>
      <c r="B147" s="613"/>
      <c r="C147" s="550">
        <v>1.9253</v>
      </c>
      <c r="D147" s="551">
        <v>2.1547999999999998</v>
      </c>
      <c r="E147" s="552">
        <v>2.3843000000000001</v>
      </c>
      <c r="F147" s="551">
        <v>2.6815666666666669</v>
      </c>
      <c r="G147" s="551">
        <v>2.9788333333333332</v>
      </c>
      <c r="H147" s="553">
        <v>3.2761</v>
      </c>
      <c r="I147" s="551">
        <v>3.37195</v>
      </c>
      <c r="J147" s="554">
        <v>3.4678</v>
      </c>
    </row>
    <row r="148" spans="1:10">
      <c r="A148" s="1004" t="s">
        <v>68</v>
      </c>
      <c r="B148" s="613"/>
      <c r="C148" s="555">
        <v>2.2683499999999999</v>
      </c>
      <c r="D148" s="556">
        <v>2.5891250000000001</v>
      </c>
      <c r="E148" s="556">
        <v>2.9099000000000004</v>
      </c>
      <c r="F148" s="556">
        <v>3.1443833333333338</v>
      </c>
      <c r="G148" s="556">
        <v>3.3788666666666667</v>
      </c>
      <c r="H148" s="557">
        <v>3.6133500000000001</v>
      </c>
      <c r="I148" s="556">
        <v>3.7482250000000001</v>
      </c>
      <c r="J148" s="558">
        <v>3.8830999999999998</v>
      </c>
    </row>
    <row r="149" spans="1:10">
      <c r="A149" s="1003" t="s">
        <v>69</v>
      </c>
      <c r="B149" s="613"/>
      <c r="C149" s="559">
        <v>2.6114000000000002</v>
      </c>
      <c r="D149" s="556">
        <v>3.0234500000000004</v>
      </c>
      <c r="E149" s="560">
        <v>3.4355000000000002</v>
      </c>
      <c r="F149" s="556">
        <v>3.6072000000000002</v>
      </c>
      <c r="G149" s="556">
        <v>3.7789000000000001</v>
      </c>
      <c r="H149" s="561">
        <v>3.9506000000000001</v>
      </c>
      <c r="I149" s="556">
        <v>4.1245000000000003</v>
      </c>
      <c r="J149" s="562">
        <v>4.2984</v>
      </c>
    </row>
    <row r="150" spans="1:10">
      <c r="A150" s="1003" t="s">
        <v>70</v>
      </c>
      <c r="B150" s="613"/>
      <c r="C150" s="559">
        <v>3.0844999999999998</v>
      </c>
      <c r="D150" s="556">
        <v>3.5324999999999998</v>
      </c>
      <c r="E150" s="560">
        <v>3.9805000000000001</v>
      </c>
      <c r="F150" s="556">
        <v>4.0835333333333335</v>
      </c>
      <c r="G150" s="556">
        <v>4.1865666666666668</v>
      </c>
      <c r="H150" s="561">
        <v>4.2896000000000001</v>
      </c>
      <c r="I150" s="556">
        <v>4.3565500000000004</v>
      </c>
      <c r="J150" s="562">
        <v>4.4234999999999998</v>
      </c>
    </row>
    <row r="151" spans="1:10">
      <c r="A151" s="1005" t="s">
        <v>71</v>
      </c>
      <c r="B151" s="613"/>
      <c r="C151" s="559">
        <v>3.5865999999999998</v>
      </c>
      <c r="D151" s="556">
        <v>4.1591000000000005</v>
      </c>
      <c r="E151" s="560">
        <v>4.7316000000000003</v>
      </c>
      <c r="F151" s="556">
        <v>5.0021000000000004</v>
      </c>
      <c r="G151" s="556">
        <v>5.2725999999999997</v>
      </c>
      <c r="H151" s="561">
        <v>5.5430999999999999</v>
      </c>
      <c r="I151" s="556">
        <v>5.6033499999999998</v>
      </c>
      <c r="J151" s="562">
        <v>5.6635999999999997</v>
      </c>
    </row>
    <row r="152" spans="1:10">
      <c r="A152" s="1004" t="s">
        <v>334</v>
      </c>
      <c r="B152" s="613"/>
      <c r="C152" s="555">
        <v>4.4410499999999997</v>
      </c>
      <c r="D152" s="556">
        <v>5.0649250000000006</v>
      </c>
      <c r="E152" s="556">
        <v>5.6888000000000005</v>
      </c>
      <c r="F152" s="556">
        <v>6.0148166666666665</v>
      </c>
      <c r="G152" s="556">
        <v>6.3408333333333324</v>
      </c>
      <c r="H152" s="557">
        <v>6.6668500000000002</v>
      </c>
      <c r="I152" s="556">
        <v>6.7198250000000002</v>
      </c>
      <c r="J152" s="558">
        <v>6.7728000000000002</v>
      </c>
    </row>
    <row r="153" spans="1:10">
      <c r="A153" s="1003" t="s">
        <v>119</v>
      </c>
      <c r="B153" s="613"/>
      <c r="C153" s="559">
        <v>5.2954999999999997</v>
      </c>
      <c r="D153" s="556">
        <v>5.9707499999999998</v>
      </c>
      <c r="E153" s="560">
        <v>6.6459999999999999</v>
      </c>
      <c r="F153" s="556">
        <v>7.0275333333333334</v>
      </c>
      <c r="G153" s="556">
        <v>7.409066666666666</v>
      </c>
      <c r="H153" s="561">
        <v>7.7905999999999995</v>
      </c>
      <c r="I153" s="556">
        <v>7.8362999999999996</v>
      </c>
      <c r="J153" s="562">
        <v>7.8819999999999997</v>
      </c>
    </row>
    <row r="154" spans="1:10">
      <c r="A154" s="1006" t="s">
        <v>333</v>
      </c>
      <c r="B154" s="613"/>
      <c r="C154" s="563">
        <v>6.1499499999999996</v>
      </c>
      <c r="D154" s="556">
        <v>6.876574999999999</v>
      </c>
      <c r="E154" s="564">
        <v>7.6031999999999993</v>
      </c>
      <c r="F154" s="556">
        <v>8.0402499999999986</v>
      </c>
      <c r="G154" s="556">
        <v>8.4772999999999996</v>
      </c>
      <c r="H154" s="565">
        <v>8.9143499999999989</v>
      </c>
      <c r="I154" s="556">
        <v>8.1400575902335461</v>
      </c>
      <c r="J154" s="566">
        <v>8.9911999999999992</v>
      </c>
    </row>
    <row r="155" spans="1:10">
      <c r="A155" s="1006" t="s">
        <v>111</v>
      </c>
      <c r="B155" s="613"/>
      <c r="C155" s="563">
        <v>7.0043999999999995</v>
      </c>
      <c r="D155" s="556">
        <v>7.7823999999999991</v>
      </c>
      <c r="E155" s="564">
        <v>8.5603999999999978</v>
      </c>
      <c r="F155" s="556">
        <v>9.0529666666666646</v>
      </c>
      <c r="G155" s="556">
        <v>9.5455333333333314</v>
      </c>
      <c r="H155" s="565">
        <v>10.038099999999998</v>
      </c>
      <c r="I155" s="556">
        <v>8.4438151804670927</v>
      </c>
      <c r="J155" s="566">
        <v>10.100399999999999</v>
      </c>
    </row>
    <row r="156" spans="1:10">
      <c r="A156" s="1007" t="s">
        <v>335</v>
      </c>
      <c r="B156" s="613"/>
      <c r="C156" s="563">
        <v>7.6879599999999995</v>
      </c>
      <c r="D156" s="556">
        <v>8.5070599999999974</v>
      </c>
      <c r="E156" s="564">
        <v>9.3261599999999962</v>
      </c>
      <c r="F156" s="556">
        <v>9.863139999999996</v>
      </c>
      <c r="G156" s="556">
        <v>10.400119999999998</v>
      </c>
      <c r="H156" s="565">
        <v>10.937099999999997</v>
      </c>
      <c r="I156" s="556">
        <v>10.962429999999998</v>
      </c>
      <c r="J156" s="566">
        <v>10.987759999999998</v>
      </c>
    </row>
    <row r="157" spans="1:10">
      <c r="A157" s="1008" t="s">
        <v>114</v>
      </c>
      <c r="B157" s="613"/>
      <c r="C157" s="567">
        <v>8.2348079999999992</v>
      </c>
      <c r="D157" s="568">
        <v>9.0867879999999968</v>
      </c>
      <c r="E157" s="569">
        <v>9.9387679999999943</v>
      </c>
      <c r="F157" s="568">
        <v>10.511278666666662</v>
      </c>
      <c r="G157" s="568">
        <v>11.083789333333328</v>
      </c>
      <c r="H157" s="570">
        <v>11.656299999999996</v>
      </c>
      <c r="I157" s="568">
        <v>11.676973999999998</v>
      </c>
      <c r="J157" s="571">
        <v>11.697647999999997</v>
      </c>
    </row>
    <row r="158" spans="1:10">
      <c r="A158" s="1011" t="s">
        <v>1030</v>
      </c>
      <c r="B158" s="1012"/>
      <c r="C158" s="572">
        <v>3</v>
      </c>
      <c r="D158" s="196">
        <v>4</v>
      </c>
      <c r="E158" s="195">
        <v>5</v>
      </c>
      <c r="F158" s="196">
        <v>6</v>
      </c>
      <c r="G158" s="196">
        <v>7</v>
      </c>
      <c r="H158" s="195">
        <v>8</v>
      </c>
      <c r="I158" s="196">
        <v>9</v>
      </c>
      <c r="J158" s="573">
        <v>10</v>
      </c>
    </row>
    <row r="159" spans="1:10">
      <c r="A159" s="1003" t="s">
        <v>67</v>
      </c>
      <c r="B159" s="2"/>
      <c r="C159" s="550">
        <v>0.74229999999999996</v>
      </c>
      <c r="D159" s="551">
        <v>0.94055</v>
      </c>
      <c r="E159" s="552">
        <v>1.1388</v>
      </c>
      <c r="F159" s="551">
        <v>1.3980333333333335</v>
      </c>
      <c r="G159" s="551">
        <v>1.6572666666666667</v>
      </c>
      <c r="H159" s="553">
        <v>1.9165000000000001</v>
      </c>
      <c r="I159" s="551">
        <v>2.1565500000000002</v>
      </c>
      <c r="J159" s="554">
        <v>2.3965999999999998</v>
      </c>
    </row>
    <row r="160" spans="1:10">
      <c r="A160" s="1004" t="s">
        <v>68</v>
      </c>
      <c r="B160" s="2"/>
      <c r="C160" s="555">
        <v>0.87229999999999996</v>
      </c>
      <c r="D160" s="556">
        <v>1.1142000000000001</v>
      </c>
      <c r="E160" s="556">
        <v>1.3561000000000001</v>
      </c>
      <c r="F160" s="556">
        <v>1.5951</v>
      </c>
      <c r="G160" s="556">
        <v>1.8340999999999998</v>
      </c>
      <c r="H160" s="557">
        <v>2.0731000000000002</v>
      </c>
      <c r="I160" s="556">
        <v>2.2617250000000002</v>
      </c>
      <c r="J160" s="558">
        <v>2.4503500000000003</v>
      </c>
    </row>
    <row r="161" spans="1:27">
      <c r="A161" s="1003" t="s">
        <v>69</v>
      </c>
      <c r="B161" s="2"/>
      <c r="C161" s="559">
        <v>1.0023</v>
      </c>
      <c r="D161" s="556">
        <v>1.2878499999999999</v>
      </c>
      <c r="E161" s="560">
        <v>1.5733999999999999</v>
      </c>
      <c r="F161" s="556">
        <v>1.7921666666666665</v>
      </c>
      <c r="G161" s="556">
        <v>2.010933333333333</v>
      </c>
      <c r="H161" s="561">
        <v>2.2296999999999998</v>
      </c>
      <c r="I161" s="556">
        <v>2.3669000000000002</v>
      </c>
      <c r="J161" s="562">
        <v>2.5041000000000002</v>
      </c>
    </row>
    <row r="162" spans="1:27">
      <c r="A162" s="1003" t="s">
        <v>70</v>
      </c>
      <c r="B162" s="2"/>
      <c r="C162" s="559">
        <v>1.2836000000000001</v>
      </c>
      <c r="D162" s="556">
        <v>1.6460500000000002</v>
      </c>
      <c r="E162" s="560">
        <v>2.0085000000000002</v>
      </c>
      <c r="F162" s="556">
        <v>2.1865333333333337</v>
      </c>
      <c r="G162" s="556">
        <v>2.3645666666666667</v>
      </c>
      <c r="H162" s="561">
        <v>2.5426000000000002</v>
      </c>
      <c r="I162" s="556">
        <v>2.8070500000000003</v>
      </c>
      <c r="J162" s="562">
        <v>3.0714999999999999</v>
      </c>
    </row>
    <row r="163" spans="1:27">
      <c r="A163" s="1005" t="s">
        <v>71</v>
      </c>
      <c r="B163" s="2"/>
      <c r="C163" s="559">
        <v>1.5377000000000001</v>
      </c>
      <c r="D163" s="556">
        <v>1.9192</v>
      </c>
      <c r="E163" s="560">
        <v>2.3007</v>
      </c>
      <c r="F163" s="556">
        <v>2.5570333333333335</v>
      </c>
      <c r="G163" s="556">
        <v>2.8133666666666666</v>
      </c>
      <c r="H163" s="561">
        <v>3.0697000000000001</v>
      </c>
      <c r="I163" s="556">
        <v>3.22315</v>
      </c>
      <c r="J163" s="562">
        <v>3.3765999999999998</v>
      </c>
    </row>
    <row r="164" spans="1:27">
      <c r="A164" s="1004" t="s">
        <v>334</v>
      </c>
      <c r="B164" s="2"/>
      <c r="C164" s="555">
        <v>2.0912000000000002</v>
      </c>
      <c r="D164" s="556">
        <v>2.59795</v>
      </c>
      <c r="E164" s="556">
        <v>3.1047000000000002</v>
      </c>
      <c r="F164" s="556">
        <v>3.4010499999999997</v>
      </c>
      <c r="G164" s="556">
        <v>3.6974</v>
      </c>
      <c r="H164" s="557">
        <v>3.9937499999999999</v>
      </c>
      <c r="I164" s="556">
        <v>4.1211000000000002</v>
      </c>
      <c r="J164" s="558">
        <v>4.2484500000000001</v>
      </c>
    </row>
    <row r="165" spans="1:27">
      <c r="A165" s="1003" t="s">
        <v>119</v>
      </c>
      <c r="B165" s="2"/>
      <c r="C165" s="559">
        <v>2.6447000000000003</v>
      </c>
      <c r="D165" s="556">
        <v>3.2766999999999999</v>
      </c>
      <c r="E165" s="560">
        <v>3.9087000000000001</v>
      </c>
      <c r="F165" s="556">
        <v>4.2450666666666663</v>
      </c>
      <c r="G165" s="556">
        <v>4.581433333333333</v>
      </c>
      <c r="H165" s="561">
        <v>4.9177999999999997</v>
      </c>
      <c r="I165" s="556">
        <v>5.01905</v>
      </c>
      <c r="J165" s="562">
        <v>5.1203000000000003</v>
      </c>
    </row>
    <row r="166" spans="1:27">
      <c r="A166" s="1006" t="s">
        <v>333</v>
      </c>
      <c r="B166" s="2"/>
      <c r="C166" s="563">
        <v>3.1982000000000004</v>
      </c>
      <c r="D166" s="556">
        <v>3.9554499999999999</v>
      </c>
      <c r="E166" s="564">
        <v>4.7126999999999999</v>
      </c>
      <c r="F166" s="556">
        <v>5.089083333333333</v>
      </c>
      <c r="G166" s="556">
        <v>5.465466666666666</v>
      </c>
      <c r="H166" s="565">
        <v>5.8418499999999991</v>
      </c>
      <c r="I166" s="556">
        <v>5.3228075902335457</v>
      </c>
      <c r="J166" s="566">
        <v>5.9921500000000005</v>
      </c>
    </row>
    <row r="167" spans="1:27">
      <c r="A167" s="1006" t="s">
        <v>111</v>
      </c>
      <c r="B167" s="2"/>
      <c r="C167" s="563">
        <v>3.7517000000000005</v>
      </c>
      <c r="D167" s="556">
        <v>4.6341999999999999</v>
      </c>
      <c r="E167" s="564">
        <v>5.5167000000000002</v>
      </c>
      <c r="F167" s="556">
        <v>5.9330999999999996</v>
      </c>
      <c r="G167" s="556">
        <v>6.349499999999999</v>
      </c>
      <c r="H167" s="565">
        <v>6.7658999999999985</v>
      </c>
      <c r="I167" s="556">
        <v>5.6265651804670913</v>
      </c>
      <c r="J167" s="566">
        <v>6.8640000000000008</v>
      </c>
    </row>
    <row r="168" spans="1:27">
      <c r="A168" s="1007" t="s">
        <v>335</v>
      </c>
      <c r="B168" s="2"/>
      <c r="C168" s="563">
        <v>4.1945000000000006</v>
      </c>
      <c r="D168" s="556">
        <v>5.1772000000000009</v>
      </c>
      <c r="E168" s="564">
        <v>6.1599000000000004</v>
      </c>
      <c r="F168" s="556">
        <v>6.6083133333333333</v>
      </c>
      <c r="G168" s="556">
        <v>7.0567266666666653</v>
      </c>
      <c r="H168" s="565">
        <v>7.5051399999999981</v>
      </c>
      <c r="I168" s="556">
        <v>7.5333100000000002</v>
      </c>
      <c r="J168" s="566">
        <v>7.5614800000000013</v>
      </c>
    </row>
    <row r="169" spans="1:27" ht="13.8" thickBot="1">
      <c r="A169" s="1008" t="s">
        <v>114</v>
      </c>
      <c r="B169" s="137"/>
      <c r="C169" s="574">
        <v>4.5487400000000004</v>
      </c>
      <c r="D169" s="575">
        <v>5.611600000000001</v>
      </c>
      <c r="E169" s="576">
        <v>6.6744600000000007</v>
      </c>
      <c r="F169" s="575">
        <v>7.1484839999999998</v>
      </c>
      <c r="G169" s="575">
        <v>7.622507999999999</v>
      </c>
      <c r="H169" s="577">
        <v>8.0965319999999981</v>
      </c>
      <c r="I169" s="575">
        <v>8.1079980000000003</v>
      </c>
      <c r="J169" s="578">
        <v>8.1194640000000025</v>
      </c>
    </row>
    <row r="174" spans="1:27">
      <c r="A174" s="1013" t="s">
        <v>1031</v>
      </c>
      <c r="B174" s="1014"/>
      <c r="C174" s="3056" t="s">
        <v>2460</v>
      </c>
      <c r="D174" s="594"/>
      <c r="E174" s="594"/>
      <c r="F174" s="594"/>
      <c r="G174" s="594"/>
      <c r="H174" s="594"/>
      <c r="I174" s="594"/>
      <c r="J174" s="594"/>
      <c r="K174" s="594"/>
      <c r="L174" s="594"/>
      <c r="M174" s="594"/>
      <c r="N174" s="594"/>
      <c r="O174" s="594"/>
      <c r="P174" s="1015"/>
      <c r="Q174" s="1015"/>
      <c r="R174" s="1015"/>
      <c r="S174" s="583"/>
      <c r="T174" s="583"/>
      <c r="U174" s="583"/>
      <c r="V174" s="583"/>
      <c r="W174" s="583"/>
      <c r="X174" s="583"/>
      <c r="Y174" s="1"/>
      <c r="Z174" s="1"/>
      <c r="AA174" s="2323"/>
    </row>
    <row r="176" spans="1:27">
      <c r="A176" s="1020" t="s">
        <v>2382</v>
      </c>
      <c r="B176" s="1020"/>
    </row>
    <row r="177" spans="1:27">
      <c r="T177" s="2699"/>
      <c r="U177" s="2699"/>
      <c r="V177" s="2699"/>
      <c r="W177" s="2699"/>
      <c r="X177" s="2699"/>
    </row>
    <row r="178" spans="1:27" s="2899" customFormat="1">
      <c r="A178" s="1032" t="s">
        <v>2383</v>
      </c>
      <c r="B178" s="1032"/>
      <c r="C178"/>
      <c r="D178" s="1041" t="s">
        <v>2384</v>
      </c>
      <c r="E178" s="1041"/>
      <c r="F178"/>
      <c r="G178"/>
      <c r="H178"/>
      <c r="I178"/>
      <c r="J178"/>
      <c r="K178"/>
      <c r="T178" s="2699"/>
      <c r="U178" s="2699"/>
      <c r="V178" s="2699"/>
      <c r="W178" s="2699"/>
      <c r="X178" s="2699"/>
      <c r="AA178" s="34"/>
    </row>
    <row r="179" spans="1:27" s="2899" customFormat="1">
      <c r="C179"/>
      <c r="D179"/>
      <c r="E179"/>
      <c r="F179"/>
      <c r="G179"/>
      <c r="H179"/>
      <c r="I179"/>
      <c r="J179"/>
      <c r="K179"/>
      <c r="T179" s="2699"/>
      <c r="U179" s="2699"/>
      <c r="V179" s="2699"/>
      <c r="W179" s="2699"/>
      <c r="X179" s="2699"/>
      <c r="AA179" s="34"/>
    </row>
    <row r="180" spans="1:27" s="2899" customFormat="1">
      <c r="C180" s="1031" t="s">
        <v>102</v>
      </c>
      <c r="D180" s="1031" t="s">
        <v>1038</v>
      </c>
      <c r="E180" s="1031" t="s">
        <v>1039</v>
      </c>
      <c r="F180" s="1031" t="s">
        <v>785</v>
      </c>
      <c r="G180" s="1033" t="s">
        <v>814</v>
      </c>
      <c r="H180" s="1033" t="s">
        <v>2075</v>
      </c>
      <c r="I180" s="1033" t="s">
        <v>2076</v>
      </c>
      <c r="J180" s="1033" t="s">
        <v>1040</v>
      </c>
      <c r="K180"/>
      <c r="L180" s="4" t="s">
        <v>2385</v>
      </c>
      <c r="M180"/>
      <c r="N180"/>
      <c r="O180" s="4"/>
      <c r="P180"/>
      <c r="Q180"/>
      <c r="T180" s="2699"/>
      <c r="U180" s="2699"/>
      <c r="V180" s="2699"/>
      <c r="W180" s="2699"/>
      <c r="X180" s="2699"/>
      <c r="AA180" s="34"/>
    </row>
    <row r="181" spans="1:27" s="2899" customFormat="1">
      <c r="C181" s="687" t="s">
        <v>20</v>
      </c>
      <c r="D181" s="687" t="s">
        <v>773</v>
      </c>
      <c r="E181" s="687" t="s">
        <v>277</v>
      </c>
      <c r="F181" s="1021">
        <f>VLOOKUP(E181,PROFILES!$B$378:$E$399,4,FALSE)</f>
        <v>0.95644485424869818</v>
      </c>
      <c r="G181" s="1034" t="s">
        <v>55</v>
      </c>
      <c r="H181" s="1034" t="s">
        <v>55</v>
      </c>
      <c r="I181" s="1034" t="s">
        <v>55</v>
      </c>
      <c r="J181" s="1034" t="s">
        <v>55</v>
      </c>
      <c r="K181"/>
      <c r="T181" s="2699"/>
      <c r="U181" s="2699"/>
      <c r="V181" s="2699"/>
      <c r="W181" s="2699"/>
      <c r="X181" s="2699"/>
      <c r="AA181" s="34"/>
    </row>
    <row r="182" spans="1:27" s="2899" customFormat="1">
      <c r="C182" s="74" t="s">
        <v>79</v>
      </c>
      <c r="D182" s="74" t="s">
        <v>49</v>
      </c>
      <c r="E182" s="74" t="s">
        <v>279</v>
      </c>
      <c r="F182" s="1022">
        <f>VLOOKUP(E182,PROFILES!$B$378:$E$399,4,FALSE)</f>
        <v>0.91487499999999988</v>
      </c>
      <c r="G182" s="1035" t="s">
        <v>55</v>
      </c>
      <c r="H182" s="1035" t="s">
        <v>55</v>
      </c>
      <c r="I182" s="1035" t="s">
        <v>55</v>
      </c>
      <c r="J182" s="1035" t="s">
        <v>55</v>
      </c>
      <c r="K182"/>
      <c r="T182" s="2699"/>
      <c r="U182" s="2699"/>
      <c r="V182" s="2699"/>
      <c r="W182" s="2699"/>
      <c r="X182" s="2699"/>
      <c r="AA182" s="34"/>
    </row>
    <row r="183" spans="1:27" s="2899" customFormat="1">
      <c r="C183" s="74" t="s">
        <v>27</v>
      </c>
      <c r="D183" s="74" t="s">
        <v>663</v>
      </c>
      <c r="E183" s="74" t="s">
        <v>357</v>
      </c>
      <c r="F183" s="1022">
        <f>VLOOKUP(E183,PROFILES!$B$378:$E$399,4,FALSE)</f>
        <v>0.90539538726018864</v>
      </c>
      <c r="G183" s="1035" t="s">
        <v>55</v>
      </c>
      <c r="H183" s="1035" t="s">
        <v>55</v>
      </c>
      <c r="I183" s="519"/>
      <c r="J183" s="519"/>
      <c r="K183"/>
      <c r="T183" s="2699"/>
      <c r="U183" s="2699"/>
      <c r="V183" s="2699"/>
      <c r="W183" s="2699"/>
      <c r="X183" s="2699"/>
      <c r="AA183" s="34"/>
    </row>
    <row r="184" spans="1:27" s="2899" customFormat="1">
      <c r="C184" s="74" t="s">
        <v>31</v>
      </c>
      <c r="D184" s="74" t="s">
        <v>43</v>
      </c>
      <c r="E184" s="74" t="s">
        <v>281</v>
      </c>
      <c r="F184" s="1022">
        <f>VLOOKUP(E184,PROFILES!$B$378:$E$399,4,FALSE)</f>
        <v>0.7344324868237998</v>
      </c>
      <c r="G184" s="1035" t="s">
        <v>55</v>
      </c>
      <c r="H184" s="1035" t="s">
        <v>55</v>
      </c>
      <c r="I184" s="1035" t="s">
        <v>55</v>
      </c>
      <c r="J184" s="1035" t="s">
        <v>55</v>
      </c>
      <c r="K184"/>
      <c r="T184" s="2699"/>
      <c r="U184" s="2699"/>
      <c r="V184" s="2699"/>
      <c r="W184" s="2699"/>
      <c r="X184" s="2699"/>
      <c r="AA184" s="34"/>
    </row>
    <row r="185" spans="1:27" s="2899" customFormat="1">
      <c r="C185" s="74" t="s">
        <v>29</v>
      </c>
      <c r="D185" s="74" t="s">
        <v>46</v>
      </c>
      <c r="E185" s="74" t="s">
        <v>284</v>
      </c>
      <c r="F185" s="1022">
        <f>VLOOKUP(E185,PROFILES!$B$378:$E$399,4,FALSE)</f>
        <v>0.67984865616162071</v>
      </c>
      <c r="G185" s="894" t="s">
        <v>55</v>
      </c>
      <c r="H185" s="164"/>
      <c r="I185" s="1035" t="s">
        <v>55</v>
      </c>
      <c r="J185" s="1035" t="s">
        <v>55</v>
      </c>
      <c r="K185"/>
      <c r="T185" s="2699"/>
      <c r="U185" s="2699"/>
      <c r="V185" s="2699"/>
      <c r="W185" s="2699"/>
      <c r="X185" s="2699"/>
      <c r="AA185" s="34"/>
    </row>
    <row r="186" spans="1:27" s="2899" customFormat="1">
      <c r="C186" s="74" t="s">
        <v>29</v>
      </c>
      <c r="D186" s="74" t="s">
        <v>47</v>
      </c>
      <c r="E186" s="74" t="s">
        <v>282</v>
      </c>
      <c r="F186" s="1022">
        <f>VLOOKUP(E186,PROFILES!$B$378:$E$399,4,FALSE)</f>
        <v>0.67083419702973635</v>
      </c>
      <c r="G186" s="894" t="s">
        <v>55</v>
      </c>
      <c r="H186" s="1023"/>
      <c r="I186" s="164"/>
      <c r="J186" s="1035" t="s">
        <v>55</v>
      </c>
      <c r="K186"/>
      <c r="T186" s="2699"/>
      <c r="U186" s="2699"/>
      <c r="V186" s="2699"/>
      <c r="W186" s="2699"/>
      <c r="X186" s="2699"/>
      <c r="AA186" s="34"/>
    </row>
    <row r="187" spans="1:27" s="2899" customFormat="1">
      <c r="C187" s="882" t="s">
        <v>2080</v>
      </c>
      <c r="D187" s="882" t="s">
        <v>126</v>
      </c>
      <c r="E187" s="882" t="s">
        <v>285</v>
      </c>
      <c r="F187" s="1024">
        <f>VLOOKUP(E187,PROFILES!$B$378:$E$399,4,FALSE)</f>
        <v>0.62657499999999999</v>
      </c>
      <c r="G187" s="164"/>
      <c r="H187" s="887"/>
      <c r="I187" s="887"/>
      <c r="J187" s="2689" t="s">
        <v>2074</v>
      </c>
      <c r="K187"/>
      <c r="T187" s="2699"/>
      <c r="U187" s="2699"/>
      <c r="V187" s="2699"/>
      <c r="W187" s="2699"/>
      <c r="X187" s="2699"/>
      <c r="AA187" s="34"/>
    </row>
    <row r="188" spans="1:27" s="2899" customFormat="1">
      <c r="C188" s="1025" t="s">
        <v>28</v>
      </c>
      <c r="D188" s="74" t="s">
        <v>40</v>
      </c>
      <c r="E188" s="74" t="s">
        <v>53</v>
      </c>
      <c r="F188" s="1022">
        <f>VLOOKUP(E188,PROFILES!$B$378:$E$399,4,FALSE)</f>
        <v>0.6158872479982318</v>
      </c>
      <c r="G188" s="1023"/>
      <c r="H188" s="164"/>
      <c r="I188" s="2690" t="s">
        <v>2074</v>
      </c>
      <c r="J188" s="2689" t="s">
        <v>2074</v>
      </c>
      <c r="K188"/>
      <c r="T188" s="2699"/>
      <c r="U188" s="2699"/>
      <c r="V188" s="2699"/>
      <c r="W188" s="2699"/>
      <c r="X188" s="2699"/>
      <c r="AA188" s="34"/>
    </row>
    <row r="189" spans="1:27" s="2899" customFormat="1">
      <c r="C189" s="74" t="s">
        <v>23</v>
      </c>
      <c r="D189" s="74" t="s">
        <v>52</v>
      </c>
      <c r="E189" s="74" t="s">
        <v>52</v>
      </c>
      <c r="F189" s="1026">
        <f>VLOOKUP(E189,PROFILES!$B$378:$E$399,4,FALSE)</f>
        <v>0.61</v>
      </c>
      <c r="G189" s="164"/>
      <c r="H189" s="164"/>
      <c r="I189" s="1035" t="s">
        <v>2074</v>
      </c>
      <c r="J189" s="2692" t="s">
        <v>55</v>
      </c>
      <c r="K189"/>
      <c r="T189" s="2699"/>
      <c r="U189" s="2699"/>
      <c r="V189" s="2699"/>
      <c r="W189" s="2699"/>
      <c r="X189" s="2699"/>
      <c r="AA189" s="34"/>
    </row>
    <row r="190" spans="1:27" s="2899" customFormat="1">
      <c r="C190" s="882" t="s">
        <v>21</v>
      </c>
      <c r="D190" s="882" t="s">
        <v>35</v>
      </c>
      <c r="E190" s="882" t="s">
        <v>278</v>
      </c>
      <c r="F190" s="1024">
        <f>VLOOKUP(E190,PROFILES!$B$378:$E$399,4,FALSE)</f>
        <v>0.60910298289809772</v>
      </c>
      <c r="G190" s="887"/>
      <c r="H190" s="887"/>
      <c r="I190" s="1039" t="s">
        <v>2074</v>
      </c>
      <c r="J190" s="420" t="s">
        <v>2074</v>
      </c>
      <c r="K190"/>
      <c r="T190" s="2699"/>
      <c r="U190" s="2699"/>
      <c r="V190" s="2699"/>
      <c r="W190" s="2699"/>
      <c r="X190" s="2699"/>
      <c r="AA190" s="34"/>
    </row>
    <row r="191" spans="1:27" s="2899" customFormat="1">
      <c r="C191" s="74" t="s">
        <v>19</v>
      </c>
      <c r="D191" s="74" t="s">
        <v>117</v>
      </c>
      <c r="E191" s="74" t="s">
        <v>288</v>
      </c>
      <c r="F191" s="1022">
        <f>VLOOKUP(E191,PROFILES!$B$378:$E$399,4,FALSE)</f>
        <v>0.60741568747204655</v>
      </c>
      <c r="G191" s="164"/>
      <c r="H191" s="164"/>
      <c r="I191" s="1035" t="s">
        <v>2074</v>
      </c>
      <c r="J191" s="2690" t="s">
        <v>2074</v>
      </c>
      <c r="K191"/>
      <c r="T191" s="2699"/>
      <c r="U191" s="2699"/>
      <c r="V191" s="2699"/>
      <c r="W191" s="2699"/>
      <c r="X191" s="2699"/>
      <c r="AA191" s="34"/>
    </row>
    <row r="192" spans="1:27" s="2899" customFormat="1">
      <c r="C192" s="74" t="s">
        <v>26</v>
      </c>
      <c r="D192" s="74" t="s">
        <v>44</v>
      </c>
      <c r="E192" s="74" t="s">
        <v>44</v>
      </c>
      <c r="F192" s="1027">
        <f>VLOOKUP(E192,PROFILES!$B$378:$E$399,4,FALSE)</f>
        <v>0.5805147103617575</v>
      </c>
      <c r="G192" s="164"/>
      <c r="H192" s="164"/>
      <c r="I192" s="1035" t="s">
        <v>2074</v>
      </c>
      <c r="J192" s="2690" t="s">
        <v>2074</v>
      </c>
      <c r="K192"/>
      <c r="T192" s="2699"/>
      <c r="U192" s="2699"/>
      <c r="V192" s="2699"/>
      <c r="W192" s="2699"/>
      <c r="X192" s="2699"/>
      <c r="AA192" s="34"/>
    </row>
    <row r="193" spans="1:27" s="2899" customFormat="1">
      <c r="C193" s="74" t="s">
        <v>24</v>
      </c>
      <c r="D193" s="74" t="s">
        <v>110</v>
      </c>
      <c r="E193" s="74" t="s">
        <v>42</v>
      </c>
      <c r="F193" s="1022">
        <f>VLOOKUP(E193,PROFILES!$B$378:$E$399,4,FALSE)</f>
        <v>0.56323171407839789</v>
      </c>
      <c r="G193" s="164"/>
      <c r="H193" s="164"/>
      <c r="I193" s="519"/>
      <c r="J193" s="2690" t="s">
        <v>2074</v>
      </c>
      <c r="K193"/>
      <c r="T193" s="2699"/>
      <c r="U193" s="2699"/>
      <c r="V193" s="2699"/>
      <c r="W193" s="2699"/>
      <c r="X193" s="2699"/>
      <c r="AA193" s="34"/>
    </row>
    <row r="194" spans="1:27" s="2899" customFormat="1">
      <c r="C194" s="882" t="s">
        <v>27</v>
      </c>
      <c r="D194" s="882" t="s">
        <v>45</v>
      </c>
      <c r="E194" s="882" t="s">
        <v>54</v>
      </c>
      <c r="F194" s="1028">
        <f>VLOOKUP(E194,PROFILES!$B$378:$E$399,4,FALSE)</f>
        <v>0.48460704112825509</v>
      </c>
      <c r="G194" s="887"/>
      <c r="H194" s="887"/>
      <c r="I194" s="2690" t="s">
        <v>2074</v>
      </c>
      <c r="J194" s="2690" t="s">
        <v>2074</v>
      </c>
      <c r="K194"/>
      <c r="T194" s="2699"/>
      <c r="U194" s="2699"/>
      <c r="V194" s="2699"/>
      <c r="W194" s="2699"/>
      <c r="X194" s="2699"/>
      <c r="AA194" s="34"/>
    </row>
    <row r="195" spans="1:27" s="2899" customFormat="1">
      <c r="C195" s="74" t="s">
        <v>75</v>
      </c>
      <c r="D195" s="74" t="s">
        <v>1037</v>
      </c>
      <c r="E195" s="74" t="s">
        <v>289</v>
      </c>
      <c r="F195" s="1022">
        <f>VLOOKUP(E195,PROFILES!$B$378:$E$399,4,FALSE)</f>
        <v>0.42290073595624156</v>
      </c>
      <c r="G195" s="164"/>
      <c r="H195" s="164"/>
      <c r="I195" s="519"/>
      <c r="J195" s="519"/>
      <c r="K195"/>
      <c r="T195" s="2699"/>
      <c r="U195" s="2699"/>
      <c r="V195" s="2699"/>
      <c r="W195" s="2699"/>
      <c r="X195" s="2699"/>
      <c r="AA195" s="34"/>
    </row>
    <row r="196" spans="1:27" s="2899" customFormat="1">
      <c r="C196" s="687" t="s">
        <v>20</v>
      </c>
      <c r="D196" s="687" t="s">
        <v>772</v>
      </c>
      <c r="E196" s="687" t="s">
        <v>280</v>
      </c>
      <c r="F196" s="1021">
        <f>VLOOKUP(E196,PROFILES!$B$378:$E$399,4,FALSE)</f>
        <v>0.37158673775730477</v>
      </c>
      <c r="G196" s="1029"/>
      <c r="H196" s="1029"/>
      <c r="I196" s="2691" t="s">
        <v>2074</v>
      </c>
      <c r="J196" s="2691" t="s">
        <v>2074</v>
      </c>
      <c r="K196"/>
      <c r="T196" s="2699"/>
      <c r="U196" s="2699"/>
      <c r="V196" s="2699"/>
      <c r="W196" s="2699"/>
      <c r="X196" s="2699"/>
      <c r="AA196" s="34"/>
    </row>
    <row r="197" spans="1:27" s="2899" customFormat="1">
      <c r="C197" s="882" t="s">
        <v>25</v>
      </c>
      <c r="D197" s="882" t="s">
        <v>123</v>
      </c>
      <c r="E197" s="882" t="s">
        <v>286</v>
      </c>
      <c r="F197" s="1024">
        <f>VLOOKUP(E197,PROFILES!$B$378:$E$399,4,FALSE)</f>
        <v>0.34534166666666666</v>
      </c>
      <c r="G197" s="1036" t="s">
        <v>2077</v>
      </c>
      <c r="H197" s="887"/>
      <c r="I197" s="894" t="s">
        <v>2074</v>
      </c>
      <c r="J197" s="894" t="s">
        <v>2074</v>
      </c>
      <c r="K197"/>
      <c r="T197" s="2699"/>
      <c r="U197" s="2699"/>
      <c r="V197" s="2699"/>
      <c r="W197" s="2699"/>
      <c r="X197" s="2699"/>
      <c r="AA197" s="34"/>
    </row>
    <row r="198" spans="1:27" s="2899" customFormat="1">
      <c r="C198" s="74" t="s">
        <v>30</v>
      </c>
      <c r="D198" s="74" t="s">
        <v>48</v>
      </c>
      <c r="E198" s="74" t="s">
        <v>290</v>
      </c>
      <c r="F198" s="1022">
        <f>VLOOKUP(E198,PROFILES!$B$378:$E$399,4,FALSE)</f>
        <v>0.32615050588405037</v>
      </c>
      <c r="G198" s="1037" t="s">
        <v>2078</v>
      </c>
      <c r="H198" s="164"/>
      <c r="I198" s="1035" t="s">
        <v>2074</v>
      </c>
      <c r="J198" s="2690" t="s">
        <v>2074</v>
      </c>
      <c r="K198"/>
      <c r="T198" s="2699"/>
      <c r="U198" s="2699"/>
      <c r="V198" s="2699"/>
      <c r="W198" s="2699"/>
      <c r="X198" s="2699"/>
      <c r="AA198" s="34"/>
    </row>
    <row r="199" spans="1:27" s="2899" customFormat="1">
      <c r="C199" s="74" t="s">
        <v>22</v>
      </c>
      <c r="D199" s="74" t="s">
        <v>39</v>
      </c>
      <c r="E199" s="74" t="s">
        <v>39</v>
      </c>
      <c r="F199" s="1022">
        <f>VLOOKUP(E199,PROFILES!$B$378:$E$399,4,FALSE)</f>
        <v>0.31054928118178421</v>
      </c>
      <c r="G199" s="1038" t="s">
        <v>2079</v>
      </c>
      <c r="H199" s="2690" t="s">
        <v>2074</v>
      </c>
      <c r="I199" s="519"/>
      <c r="J199" s="2690" t="s">
        <v>2074</v>
      </c>
      <c r="K199"/>
      <c r="T199" s="2699"/>
      <c r="U199" s="2699"/>
      <c r="V199" s="2699"/>
      <c r="W199" s="2699"/>
      <c r="X199" s="2699"/>
      <c r="AA199" s="34"/>
    </row>
    <row r="200" spans="1:27" s="2899" customFormat="1">
      <c r="C200" s="74" t="s">
        <v>19</v>
      </c>
      <c r="D200" s="74" t="s">
        <v>41</v>
      </c>
      <c r="E200" s="74" t="s">
        <v>287</v>
      </c>
      <c r="F200" s="1022">
        <f>VLOOKUP(E200,PROFILES!$B$378:$E$399,4,FALSE)</f>
        <v>9.1630231095150338E-2</v>
      </c>
      <c r="G200" s="2690" t="s">
        <v>2074</v>
      </c>
      <c r="H200" s="2690" t="s">
        <v>2074</v>
      </c>
      <c r="I200" s="519"/>
      <c r="J200" s="519"/>
      <c r="K200"/>
      <c r="T200" s="2699"/>
      <c r="U200" s="2699"/>
      <c r="V200" s="2699"/>
      <c r="W200" s="2699"/>
      <c r="X200" s="2699"/>
      <c r="AA200" s="34"/>
    </row>
    <row r="201" spans="1:27" s="2899" customFormat="1">
      <c r="C201" s="687" t="s">
        <v>1036</v>
      </c>
      <c r="D201" s="687" t="s">
        <v>774</v>
      </c>
      <c r="E201" s="687" t="s">
        <v>283</v>
      </c>
      <c r="F201" s="1021">
        <f>VLOOKUP(E201,PROFILES!$B$378:$E$399,4,FALSE)</f>
        <v>6.4385445236561381E-2</v>
      </c>
      <c r="G201" s="2691" t="s">
        <v>2074</v>
      </c>
      <c r="H201" s="1034"/>
      <c r="I201" s="1040"/>
      <c r="J201" s="1040"/>
      <c r="K201"/>
      <c r="T201" s="2699"/>
      <c r="U201" s="2699"/>
      <c r="V201" s="2699"/>
      <c r="W201" s="2699"/>
      <c r="X201" s="2699"/>
      <c r="AA201" s="34"/>
    </row>
    <row r="202" spans="1:27" s="2899" customFormat="1">
      <c r="C202" s="74" t="s">
        <v>79</v>
      </c>
      <c r="D202" s="74" t="s">
        <v>50</v>
      </c>
      <c r="E202" s="74" t="s">
        <v>50</v>
      </c>
      <c r="F202" s="1022">
        <f>VLOOKUP(E202,PROFILES!$B$378:$E$399,4,FALSE)</f>
        <v>0</v>
      </c>
      <c r="G202" s="2690" t="s">
        <v>2074</v>
      </c>
      <c r="H202" s="2690" t="s">
        <v>2074</v>
      </c>
      <c r="I202" s="2690" t="s">
        <v>2074</v>
      </c>
      <c r="J202" s="2690" t="s">
        <v>2074</v>
      </c>
      <c r="K202"/>
      <c r="T202" s="2699"/>
      <c r="U202" s="2699"/>
      <c r="V202" s="2699"/>
      <c r="W202" s="2699"/>
      <c r="X202" s="2699"/>
      <c r="AA202" s="34"/>
    </row>
    <row r="203" spans="1:27" s="2899" customFormat="1">
      <c r="C203"/>
      <c r="D203"/>
      <c r="E203"/>
      <c r="F203"/>
      <c r="G203"/>
      <c r="H203"/>
      <c r="I203"/>
      <c r="J203"/>
      <c r="K203"/>
      <c r="T203" s="2699"/>
      <c r="U203" s="2699"/>
      <c r="V203" s="2699"/>
      <c r="W203" s="2699"/>
      <c r="X203" s="2699"/>
      <c r="AA203" s="34"/>
    </row>
    <row r="204" spans="1:27" s="2899" customFormat="1">
      <c r="T204" s="2699"/>
      <c r="U204" s="2699"/>
      <c r="V204" s="2699"/>
      <c r="W204" s="2699"/>
      <c r="X204" s="2699"/>
      <c r="AA204" s="34"/>
    </row>
    <row r="205" spans="1:27">
      <c r="A205" s="1032" t="s">
        <v>2386</v>
      </c>
      <c r="B205" s="1032"/>
      <c r="C205" s="1041" t="s">
        <v>2387</v>
      </c>
      <c r="F205" s="2"/>
      <c r="G205" s="2"/>
      <c r="L205" s="3048" t="s">
        <v>2388</v>
      </c>
      <c r="M205" s="3048"/>
      <c r="N205" s="3048"/>
      <c r="O205" s="3048"/>
      <c r="P205" s="3048"/>
      <c r="Q205" s="3048"/>
      <c r="U205" s="2699"/>
      <c r="V205" s="2699"/>
      <c r="W205" s="2699"/>
      <c r="X205" s="2699"/>
    </row>
    <row r="206" spans="1:27">
      <c r="F206" s="137"/>
      <c r="G206" s="137"/>
      <c r="T206" s="2699"/>
      <c r="U206" s="2699"/>
      <c r="V206" s="2699"/>
      <c r="W206" s="2699"/>
      <c r="X206" s="2699"/>
    </row>
    <row r="207" spans="1:27">
      <c r="C207" s="1031" t="s">
        <v>102</v>
      </c>
      <c r="D207" s="1031" t="s">
        <v>1038</v>
      </c>
      <c r="E207" s="1031" t="s">
        <v>1039</v>
      </c>
      <c r="F207" s="1031" t="s">
        <v>1092</v>
      </c>
      <c r="G207" s="1031" t="s">
        <v>1094</v>
      </c>
      <c r="H207" s="1031" t="s">
        <v>131</v>
      </c>
      <c r="L207" s="2701" t="s">
        <v>287</v>
      </c>
      <c r="M207" s="2702">
        <f>PROFILES!M8</f>
        <v>1.7468659495150733</v>
      </c>
      <c r="O207" s="2701" t="s">
        <v>285</v>
      </c>
      <c r="P207" s="2702">
        <f>PROFILES!M15</f>
        <v>6.738754525599433E-2</v>
      </c>
      <c r="R207" s="2701" t="s">
        <v>53</v>
      </c>
      <c r="S207" s="2702">
        <f>PROFILES!M22</f>
        <v>-0.3618479655094986</v>
      </c>
      <c r="T207" s="2699"/>
      <c r="W207" s="2699"/>
      <c r="X207" s="2699"/>
    </row>
    <row r="208" spans="1:27">
      <c r="C208" s="74" t="s">
        <v>79</v>
      </c>
      <c r="D208" s="74" t="s">
        <v>49</v>
      </c>
      <c r="E208" s="74" t="s">
        <v>279</v>
      </c>
      <c r="F208" s="1170">
        <f>Ranking!C41</f>
        <v>103061.53572524291</v>
      </c>
      <c r="G208" s="1171">
        <f>Ranking!D41</f>
        <v>0.26406875054982143</v>
      </c>
      <c r="H208" s="1169"/>
      <c r="L208" s="2701" t="s">
        <v>50</v>
      </c>
      <c r="M208" s="2702">
        <f>PROFILES!M9</f>
        <v>1.1994936816856254</v>
      </c>
      <c r="O208" s="2701" t="s">
        <v>42</v>
      </c>
      <c r="P208" s="2702">
        <f>PROFILES!M16</f>
        <v>-3.2258071946582277E-2</v>
      </c>
      <c r="R208" s="2701" t="s">
        <v>286</v>
      </c>
      <c r="S208" s="2702">
        <f>PROFILES!M23</f>
        <v>-0.41209116095583281</v>
      </c>
      <c r="T208" s="2699"/>
      <c r="W208" s="2699"/>
      <c r="X208" s="2699"/>
    </row>
    <row r="209" spans="3:24">
      <c r="C209" s="1025" t="s">
        <v>28</v>
      </c>
      <c r="D209" s="74" t="s">
        <v>40</v>
      </c>
      <c r="E209" s="74" t="s">
        <v>53</v>
      </c>
      <c r="F209" s="1170">
        <f>Ranking!C42</f>
        <v>60036.853628571422</v>
      </c>
      <c r="G209" s="1171">
        <f>Ranking!D42</f>
        <v>0.15382903828354536</v>
      </c>
      <c r="H209" s="1169"/>
      <c r="L209" s="2703" t="s">
        <v>774</v>
      </c>
      <c r="M209" s="2705">
        <f>PROFILES!M10</f>
        <v>0.67327297771392325</v>
      </c>
      <c r="O209" s="2701" t="s">
        <v>52</v>
      </c>
      <c r="P209" s="2702">
        <f>PROFILES!M17</f>
        <v>-6.1458653761923776E-2</v>
      </c>
      <c r="R209" s="2701" t="s">
        <v>278</v>
      </c>
      <c r="S209" s="2702">
        <f>PROFILES!M24</f>
        <v>-0.4675424361384804</v>
      </c>
      <c r="T209" s="2699"/>
      <c r="W209" s="2699"/>
      <c r="X209" s="2699"/>
    </row>
    <row r="210" spans="3:24">
      <c r="C210" s="74" t="s">
        <v>23</v>
      </c>
      <c r="D210" s="74" t="s">
        <v>52</v>
      </c>
      <c r="E210" s="74" t="s">
        <v>52</v>
      </c>
      <c r="F210" s="1170">
        <f>Ranking!C43</f>
        <v>40464.923042857146</v>
      </c>
      <c r="G210" s="1171">
        <f>Ranking!D43</f>
        <v>0.1036809862557167</v>
      </c>
      <c r="H210" s="1169"/>
      <c r="L210" s="2701" t="s">
        <v>281</v>
      </c>
      <c r="M210" s="2702">
        <f>PROFILES!M11</f>
        <v>0.37985561177970401</v>
      </c>
      <c r="O210" s="2701" t="s">
        <v>284</v>
      </c>
      <c r="P210" s="2702">
        <f>PROFILES!M18</f>
        <v>-8.3288171902550459E-2</v>
      </c>
      <c r="R210" s="2704" t="s">
        <v>288</v>
      </c>
      <c r="S210" s="2702">
        <f>PROFILES!M25</f>
        <v>-0.49416922878378883</v>
      </c>
      <c r="T210" s="2699"/>
      <c r="W210" s="2699"/>
      <c r="X210" s="2699"/>
    </row>
    <row r="211" spans="3:24">
      <c r="C211" s="74" t="s">
        <v>19</v>
      </c>
      <c r="D211" s="74" t="s">
        <v>117</v>
      </c>
      <c r="E211" s="74" t="s">
        <v>288</v>
      </c>
      <c r="F211" s="1170">
        <f>Ranking!C44</f>
        <v>31174.883771428573</v>
      </c>
      <c r="G211" s="1171">
        <f>Ranking!D44</f>
        <v>7.9877643469276421E-2</v>
      </c>
      <c r="H211" s="1169"/>
      <c r="L211" s="2701" t="s">
        <v>290</v>
      </c>
      <c r="M211" s="2702">
        <f>PROFILES!M12</f>
        <v>0.20894195471198634</v>
      </c>
      <c r="O211" s="2701" t="s">
        <v>39</v>
      </c>
      <c r="P211" s="2702">
        <f>PROFILES!M19</f>
        <v>-0.13366823909704381</v>
      </c>
      <c r="R211" s="2701" t="s">
        <v>289</v>
      </c>
      <c r="S211" s="2702">
        <f>PROFILES!M26</f>
        <v>-0.49577837871365099</v>
      </c>
      <c r="T211" s="2699"/>
      <c r="W211" s="2699"/>
      <c r="X211" s="2699"/>
    </row>
    <row r="212" spans="3:24">
      <c r="C212" s="74" t="s">
        <v>29</v>
      </c>
      <c r="D212" s="74" t="s">
        <v>46</v>
      </c>
      <c r="E212" s="74" t="s">
        <v>284</v>
      </c>
      <c r="F212" s="1170">
        <f>Ranking!C45</f>
        <v>22949.481858519866</v>
      </c>
      <c r="G212" s="1171">
        <f>Ranking!D45</f>
        <v>5.8802160840116385E-2</v>
      </c>
      <c r="H212" s="1169"/>
      <c r="L212" s="2701" t="s">
        <v>357</v>
      </c>
      <c r="M212" s="2702">
        <f>PROFILES!M13</f>
        <v>0.11241291049139049</v>
      </c>
      <c r="O212" s="2701" t="s">
        <v>282</v>
      </c>
      <c r="P212" s="2702">
        <f>PROFILES!M20</f>
        <v>-0.24705029723080094</v>
      </c>
      <c r="R212" s="2701" t="s">
        <v>44</v>
      </c>
      <c r="S212" s="2702">
        <f>PROFILES!M27</f>
        <v>-0.59766521701552</v>
      </c>
      <c r="T212" s="2699"/>
      <c r="W212" s="2699"/>
      <c r="X212" s="2699"/>
    </row>
    <row r="213" spans="3:24">
      <c r="C213" s="74" t="s">
        <v>31</v>
      </c>
      <c r="D213" s="74" t="s">
        <v>43</v>
      </c>
      <c r="E213" s="74" t="s">
        <v>281</v>
      </c>
      <c r="F213" s="1170">
        <f>Ranking!C46</f>
        <v>20617.292984255655</v>
      </c>
      <c r="G213" s="1171">
        <f>Ranking!D46</f>
        <v>5.2826525044090682E-2</v>
      </c>
      <c r="H213" s="1169"/>
      <c r="L213" s="2701" t="s">
        <v>279</v>
      </c>
      <c r="M213" s="2702">
        <f>PROFILES!M14</f>
        <v>7.5306160052783275E-2</v>
      </c>
      <c r="O213" s="2703" t="s">
        <v>772</v>
      </c>
      <c r="P213" s="2705">
        <f>PROFILES!M21</f>
        <v>-0.33365525120929096</v>
      </c>
      <c r="R213" s="2703" t="s">
        <v>773</v>
      </c>
      <c r="S213" s="2705">
        <f>PROFILES!M28</f>
        <v>-0.63331383871554725</v>
      </c>
      <c r="T213" s="2699"/>
      <c r="W213" s="2699"/>
      <c r="X213" s="2699"/>
    </row>
    <row r="214" spans="3:24">
      <c r="C214" s="74" t="s">
        <v>79</v>
      </c>
      <c r="D214" s="74" t="s">
        <v>50</v>
      </c>
      <c r="E214" s="74" t="s">
        <v>50</v>
      </c>
      <c r="F214" s="1170">
        <f>Ranking!C47</f>
        <v>19515.355899391296</v>
      </c>
      <c r="G214" s="1171">
        <f>Ranking!D47</f>
        <v>5.0003093905237848E-2</v>
      </c>
      <c r="H214" s="1169"/>
      <c r="R214" s="2701" t="s">
        <v>54</v>
      </c>
      <c r="S214" s="2702">
        <f>PROFILES!M29</f>
        <v>-0.63447330491761056</v>
      </c>
      <c r="T214" s="2699"/>
      <c r="W214" s="2699"/>
      <c r="X214" s="2699"/>
    </row>
    <row r="215" spans="3:24">
      <c r="C215" s="74"/>
      <c r="D215" s="74" t="s">
        <v>1098</v>
      </c>
      <c r="E215" s="74"/>
      <c r="F215" s="1170">
        <f>Ranking!C4</f>
        <v>17740.134909883913</v>
      </c>
      <c r="G215" s="1171"/>
      <c r="H215" s="1169"/>
      <c r="T215" s="2699"/>
      <c r="W215" s="2699"/>
      <c r="X215" s="2699"/>
    </row>
    <row r="216" spans="3:24">
      <c r="C216" s="74" t="s">
        <v>30</v>
      </c>
      <c r="D216" s="74" t="s">
        <v>48</v>
      </c>
      <c r="E216" s="74" t="s">
        <v>290</v>
      </c>
      <c r="F216" s="1170">
        <f>Ranking!C48</f>
        <v>16250.837973523972</v>
      </c>
      <c r="G216" s="1171">
        <f>Ranking!D48</f>
        <v>4.1638604052015776E-2</v>
      </c>
      <c r="H216" s="1169"/>
      <c r="T216" s="2699"/>
      <c r="W216" s="2699"/>
      <c r="X216" s="2699"/>
    </row>
    <row r="217" spans="3:24">
      <c r="C217" s="74" t="s">
        <v>1035</v>
      </c>
      <c r="D217" s="74" t="s">
        <v>123</v>
      </c>
      <c r="E217" s="74" t="s">
        <v>286</v>
      </c>
      <c r="F217" s="1170">
        <f>Ranking!C49</f>
        <v>15596.516285714286</v>
      </c>
      <c r="G217" s="1171">
        <f>Ranking!D49</f>
        <v>3.9962072557101963E-2</v>
      </c>
      <c r="H217" s="1169"/>
      <c r="L217" s="1041" t="s">
        <v>2389</v>
      </c>
      <c r="T217" s="2699"/>
      <c r="W217" s="2699"/>
      <c r="X217" s="2699"/>
    </row>
    <row r="218" spans="3:24">
      <c r="C218" s="74" t="s">
        <v>26</v>
      </c>
      <c r="D218" s="74" t="s">
        <v>44</v>
      </c>
      <c r="E218" s="74" t="s">
        <v>44</v>
      </c>
      <c r="F218" s="1170">
        <f>Ranking!C50</f>
        <v>12234.494271428572</v>
      </c>
      <c r="G218" s="1171">
        <f>Ranking!D50</f>
        <v>3.1347753486597643E-2</v>
      </c>
      <c r="H218" s="1169"/>
      <c r="T218" s="2699"/>
      <c r="W218" s="2699"/>
      <c r="X218" s="2699"/>
    </row>
    <row r="219" spans="3:24">
      <c r="C219" s="687" t="s">
        <v>20</v>
      </c>
      <c r="D219" s="687" t="s">
        <v>772</v>
      </c>
      <c r="E219" s="687" t="s">
        <v>280</v>
      </c>
      <c r="F219" s="1173">
        <f>Ranking!C51</f>
        <v>7616.907214285714</v>
      </c>
      <c r="G219" s="1174">
        <f>Ranking!D51</f>
        <v>1.9516371039653539E-2</v>
      </c>
      <c r="H219" s="1174">
        <f>Ranking!H9</f>
        <v>1.6132952736323161E-2</v>
      </c>
      <c r="T219" s="2699"/>
      <c r="W219" s="2699"/>
      <c r="X219" s="2699"/>
    </row>
    <row r="220" spans="3:24">
      <c r="C220" s="74"/>
      <c r="D220" s="1222" t="s">
        <v>1125</v>
      </c>
      <c r="E220" s="1222"/>
      <c r="F220" s="1226">
        <f>Ranking!C5</f>
        <v>6809.8359425385843</v>
      </c>
      <c r="G220" s="1223"/>
      <c r="H220" s="1224"/>
      <c r="T220" s="2699"/>
      <c r="W220" s="2699"/>
      <c r="X220" s="2699"/>
    </row>
    <row r="221" spans="3:24">
      <c r="C221" s="74" t="s">
        <v>19</v>
      </c>
      <c r="D221" s="74" t="s">
        <v>1093</v>
      </c>
      <c r="E221" s="74" t="s">
        <v>287</v>
      </c>
      <c r="F221" s="1170">
        <f>Ranking!C52</f>
        <v>6002.7646707914537</v>
      </c>
      <c r="G221" s="1172">
        <f>Ranking!D52</f>
        <v>1.538054479108892E-2</v>
      </c>
      <c r="H221" s="1169"/>
      <c r="T221" s="2699"/>
      <c r="W221" s="2699"/>
      <c r="X221" s="2699"/>
    </row>
    <row r="222" spans="3:24">
      <c r="C222" s="74" t="s">
        <v>29</v>
      </c>
      <c r="D222" s="74" t="s">
        <v>47</v>
      </c>
      <c r="E222" s="74" t="s">
        <v>282</v>
      </c>
      <c r="F222" s="1170">
        <f>Ranking!C53</f>
        <v>5769.8566757446433</v>
      </c>
      <c r="G222" s="1172">
        <f>Ranking!D53</f>
        <v>1.4783777793466828E-2</v>
      </c>
      <c r="H222" s="1169"/>
      <c r="T222" s="2699"/>
      <c r="W222" s="2699"/>
      <c r="X222" s="2699"/>
    </row>
    <row r="223" spans="3:24">
      <c r="C223" s="74" t="s">
        <v>22</v>
      </c>
      <c r="D223" s="74" t="s">
        <v>39</v>
      </c>
      <c r="E223" s="74" t="s">
        <v>39</v>
      </c>
      <c r="F223" s="1170">
        <f>Ranking!C54</f>
        <v>5059.5155870714543</v>
      </c>
      <c r="G223" s="1172">
        <f>Ranking!D54</f>
        <v>1.2963710952524294E-2</v>
      </c>
      <c r="H223" s="1169"/>
      <c r="T223" s="2699"/>
      <c r="W223" s="2699"/>
      <c r="X223" s="2699"/>
    </row>
    <row r="224" spans="3:24">
      <c r="C224" s="74" t="s">
        <v>27</v>
      </c>
      <c r="D224" s="74" t="s">
        <v>45</v>
      </c>
      <c r="E224" s="74" t="s">
        <v>54</v>
      </c>
      <c r="F224" s="1170">
        <f>Ranking!C55</f>
        <v>4745.1447857142857</v>
      </c>
      <c r="G224" s="1172">
        <f>Ranking!D55</f>
        <v>1.2158216408516635E-2</v>
      </c>
      <c r="H224" s="1169"/>
      <c r="T224" s="2699"/>
      <c r="W224" s="2699"/>
      <c r="X224" s="2699"/>
    </row>
    <row r="225" spans="1:27">
      <c r="C225" s="74" t="s">
        <v>75</v>
      </c>
      <c r="D225" s="74" t="s">
        <v>1037</v>
      </c>
      <c r="E225" s="74" t="s">
        <v>289</v>
      </c>
      <c r="F225" s="1170">
        <f>Ranking!C56</f>
        <v>4580.8423286191064</v>
      </c>
      <c r="G225" s="1172">
        <f>Ranking!D56</f>
        <v>1.1737233504933111E-2</v>
      </c>
      <c r="H225" s="1169"/>
      <c r="T225" s="2699"/>
      <c r="W225" s="2699"/>
      <c r="X225" s="2699"/>
    </row>
    <row r="226" spans="1:27">
      <c r="C226" s="74" t="s">
        <v>21</v>
      </c>
      <c r="D226" s="74" t="s">
        <v>35</v>
      </c>
      <c r="E226" s="74" t="s">
        <v>278</v>
      </c>
      <c r="F226" s="1170">
        <f>Ranking!C57</f>
        <v>3544.0522571428578</v>
      </c>
      <c r="G226" s="1172">
        <f>Ranking!D57</f>
        <v>9.0807248780183369E-3</v>
      </c>
      <c r="H226" s="1169"/>
      <c r="O226" s="4"/>
      <c r="T226" s="2699"/>
      <c r="W226" s="2699"/>
      <c r="X226" s="2699"/>
    </row>
    <row r="227" spans="1:27">
      <c r="C227" s="687" t="s">
        <v>1036</v>
      </c>
      <c r="D227" s="687" t="s">
        <v>774</v>
      </c>
      <c r="E227" s="687" t="s">
        <v>283</v>
      </c>
      <c r="F227" s="1173">
        <f>Ranking!C58</f>
        <v>3541.6238999999996</v>
      </c>
      <c r="G227" s="1174">
        <f>Ranking!D58</f>
        <v>9.0745028357006995E-3</v>
      </c>
      <c r="H227" s="1174">
        <f>Ranking!H11</f>
        <v>1.1212443346293226E-2</v>
      </c>
      <c r="T227" s="2699"/>
      <c r="W227" s="2699"/>
      <c r="X227" s="2699"/>
    </row>
    <row r="228" spans="1:27">
      <c r="C228" s="74" t="s">
        <v>73</v>
      </c>
      <c r="D228" s="74" t="s">
        <v>126</v>
      </c>
      <c r="E228" s="74" t="s">
        <v>285</v>
      </c>
      <c r="F228" s="1170">
        <f>Ranking!C59</f>
        <v>2461.5190857142857</v>
      </c>
      <c r="G228" s="1172">
        <f>Ranking!D59</f>
        <v>6.3070112903421734E-3</v>
      </c>
      <c r="H228" s="1169"/>
      <c r="T228" s="2699"/>
      <c r="W228" s="2699"/>
      <c r="X228" s="2699"/>
    </row>
    <row r="229" spans="1:27">
      <c r="C229" s="74" t="s">
        <v>24</v>
      </c>
      <c r="D229" s="74" t="s">
        <v>110</v>
      </c>
      <c r="E229" s="74" t="s">
        <v>42</v>
      </c>
      <c r="F229" s="1170">
        <f>Ranking!C60</f>
        <v>2432.5463571428577</v>
      </c>
      <c r="G229" s="1172">
        <f>Ranking!D60</f>
        <v>6.2327761047315808E-3</v>
      </c>
      <c r="H229" s="1169"/>
      <c r="T229" s="2699"/>
      <c r="U229" s="2699"/>
      <c r="V229" s="2699"/>
      <c r="W229" s="2699"/>
      <c r="X229" s="2699"/>
    </row>
    <row r="230" spans="1:27">
      <c r="C230" s="687" t="s">
        <v>20</v>
      </c>
      <c r="D230" s="687" t="s">
        <v>773</v>
      </c>
      <c r="E230" s="687" t="s">
        <v>277</v>
      </c>
      <c r="F230" s="1173">
        <f>Ranking!C61</f>
        <v>2121.4584571428572</v>
      </c>
      <c r="G230" s="1174">
        <f>Ranking!D61</f>
        <v>5.4356931534045982E-3</v>
      </c>
      <c r="H230" s="1174">
        <f>Ranking!H10</f>
        <v>2.6590660223142948E-3</v>
      </c>
      <c r="T230" s="2699"/>
      <c r="U230" s="2700"/>
      <c r="V230" s="2699"/>
      <c r="W230" s="2699"/>
      <c r="X230" s="2699"/>
    </row>
    <row r="231" spans="1:27">
      <c r="C231" s="74" t="s">
        <v>27</v>
      </c>
      <c r="D231" s="74" t="s">
        <v>663</v>
      </c>
      <c r="E231" s="74" t="s">
        <v>357</v>
      </c>
      <c r="F231" s="1170">
        <f>Ranking!C62</f>
        <v>504.56125714285719</v>
      </c>
      <c r="G231" s="1172">
        <f>Ranking!D62</f>
        <v>1.292808804099037E-3</v>
      </c>
      <c r="H231" s="1169"/>
      <c r="T231" s="2699"/>
      <c r="U231" s="2700"/>
      <c r="V231" s="2699"/>
      <c r="W231" s="2699"/>
      <c r="X231" s="2699"/>
    </row>
    <row r="232" spans="1:27" s="2899" customFormat="1">
      <c r="G232" s="2697"/>
      <c r="H232" s="2697"/>
      <c r="T232" s="2699"/>
      <c r="U232" s="2700"/>
      <c r="V232" s="2699"/>
      <c r="W232" s="2699"/>
      <c r="X232" s="2699"/>
      <c r="AA232" s="34"/>
    </row>
    <row r="233" spans="1:27" s="2899" customFormat="1">
      <c r="G233" s="2697"/>
      <c r="H233" s="2697"/>
      <c r="T233" s="2699"/>
      <c r="U233" s="2700"/>
      <c r="V233" s="2699"/>
      <c r="W233" s="2699"/>
      <c r="X233" s="2699"/>
      <c r="AA233" s="34"/>
    </row>
    <row r="234" spans="1:27" s="2899" customFormat="1">
      <c r="G234" s="2697"/>
      <c r="H234" s="2697"/>
      <c r="T234" s="2699"/>
      <c r="U234" s="2700"/>
      <c r="V234" s="2699"/>
      <c r="W234" s="2699"/>
      <c r="X234" s="2699"/>
      <c r="AA234" s="34"/>
    </row>
    <row r="235" spans="1:27" s="2899" customFormat="1">
      <c r="G235" s="2697"/>
      <c r="H235" s="2697"/>
      <c r="T235" s="2699"/>
      <c r="U235" s="2700"/>
      <c r="V235" s="2699"/>
      <c r="W235" s="2699"/>
      <c r="X235" s="2699"/>
      <c r="AA235" s="34"/>
    </row>
    <row r="236" spans="1:27" s="2899" customFormat="1">
      <c r="G236" s="2697"/>
      <c r="H236" s="2697"/>
      <c r="T236" s="2699"/>
      <c r="U236" s="2700"/>
      <c r="V236" s="2699"/>
      <c r="W236" s="2699"/>
      <c r="X236" s="2699"/>
      <c r="AA236" s="34"/>
    </row>
    <row r="237" spans="1:27" s="2899" customFormat="1">
      <c r="G237" s="2697"/>
      <c r="H237" s="2697"/>
      <c r="T237" s="2699"/>
      <c r="U237" s="2700"/>
      <c r="V237" s="2699"/>
      <c r="W237" s="2699"/>
      <c r="X237" s="2699"/>
      <c r="AA237" s="34"/>
    </row>
    <row r="238" spans="1:27" s="2899" customFormat="1">
      <c r="G238" s="2697"/>
      <c r="H238" s="2697"/>
      <c r="T238" s="2699"/>
      <c r="U238" s="2700"/>
      <c r="V238" s="2699"/>
      <c r="W238" s="2699"/>
      <c r="X238" s="2699"/>
      <c r="AA238" s="34"/>
    </row>
    <row r="239" spans="1:27">
      <c r="A239" s="1032" t="s">
        <v>2390</v>
      </c>
      <c r="B239" s="1032"/>
      <c r="D239" s="1041" t="s">
        <v>2391</v>
      </c>
      <c r="M239" s="1442" t="s">
        <v>2414</v>
      </c>
      <c r="N239" s="1443" t="s">
        <v>2396</v>
      </c>
      <c r="P239" s="1443"/>
      <c r="Q239" s="1442"/>
      <c r="R239" s="1442"/>
    </row>
    <row r="240" spans="1:27">
      <c r="N240" s="1442"/>
      <c r="O240" s="1442"/>
      <c r="P240" s="1442"/>
      <c r="Q240" s="1442"/>
      <c r="R240" s="1442"/>
    </row>
    <row r="241" spans="13:34">
      <c r="N241" s="1444" t="s">
        <v>1115</v>
      </c>
      <c r="O241" s="1445"/>
      <c r="P241" s="1444" t="s">
        <v>1122</v>
      </c>
      <c r="Q241" s="1444" t="s">
        <v>1117</v>
      </c>
      <c r="R241" s="1444" t="s">
        <v>131</v>
      </c>
    </row>
    <row r="242" spans="13:34">
      <c r="N242" s="1445" t="s">
        <v>1116</v>
      </c>
      <c r="O242" s="1445"/>
      <c r="P242" s="1446">
        <f>CALCULATIONS!H33</f>
        <v>0.27952653994864374</v>
      </c>
      <c r="Q242" s="1446">
        <f>Ranking!D31</f>
        <v>0.31407184445505926</v>
      </c>
      <c r="R242" s="1446">
        <f>Ranking!H31</f>
        <v>0.37442963096553966</v>
      </c>
    </row>
    <row r="243" spans="13:34">
      <c r="N243" s="1447" t="s">
        <v>1118</v>
      </c>
      <c r="O243" s="1447"/>
      <c r="P243" s="1448">
        <f>CALCULATIONS!H35</f>
        <v>0.53697955242011663</v>
      </c>
      <c r="Q243" s="1448">
        <f>Ranking!D33</f>
        <v>0.48280336077918012</v>
      </c>
      <c r="R243" s="1448">
        <f>Ranking!H33</f>
        <v>0.40418184360723208</v>
      </c>
    </row>
    <row r="244" spans="13:34">
      <c r="N244" s="1449" t="s">
        <v>1123</v>
      </c>
      <c r="O244" s="1449"/>
      <c r="P244" s="1450">
        <f>CALCULATIONS!H34</f>
        <v>0.34525555168845334</v>
      </c>
      <c r="Q244" s="1450">
        <f>Ranking!D32</f>
        <v>0.31681610608711819</v>
      </c>
      <c r="R244" s="1450">
        <f>Ranking!H32</f>
        <v>0.27372212694371556</v>
      </c>
    </row>
    <row r="245" spans="13:34">
      <c r="N245" s="1451" t="s">
        <v>1136</v>
      </c>
      <c r="O245" s="1451"/>
      <c r="P245" s="1452">
        <f>P243-P244</f>
        <v>0.19172400073166329</v>
      </c>
      <c r="Q245" s="1452">
        <f>Q243-Q244</f>
        <v>0.16598725469206194</v>
      </c>
      <c r="R245" s="1452">
        <f>R243-R244</f>
        <v>0.13045971666351652</v>
      </c>
    </row>
    <row r="246" spans="13:34">
      <c r="N246" s="1445" t="s">
        <v>1119</v>
      </c>
      <c r="O246" s="1445"/>
      <c r="P246" s="1446">
        <f>CALCULATIONS!H36</f>
        <v>0.17126973935781939</v>
      </c>
      <c r="Q246" s="1446">
        <f>Ranking!D34</f>
        <v>0.18732178997255614</v>
      </c>
      <c r="R246" s="1446">
        <f>Ranking!H34</f>
        <v>0.20595894468600945</v>
      </c>
    </row>
    <row r="247" spans="13:34">
      <c r="N247" s="1445" t="s">
        <v>1120</v>
      </c>
      <c r="O247" s="1445"/>
      <c r="P247" s="1453">
        <f>CALCULATIONS!H37</f>
        <v>1.3812469748063693E-2</v>
      </c>
      <c r="Q247" s="1454">
        <f>Ranking!D35</f>
        <v>1.5803004793204335E-2</v>
      </c>
      <c r="R247" s="1454">
        <f>Ranking!H35</f>
        <v>1.5429580741219064E-2</v>
      </c>
    </row>
    <row r="250" spans="13:34">
      <c r="N250" s="1442" t="s">
        <v>2414</v>
      </c>
      <c r="O250" s="1443" t="s">
        <v>2400</v>
      </c>
      <c r="P250" s="1442"/>
      <c r="Q250" s="1442"/>
      <c r="R250" s="1442"/>
      <c r="AH250" s="4"/>
    </row>
    <row r="251" spans="13:34">
      <c r="M251" s="1442"/>
      <c r="N251" s="1442"/>
      <c r="O251" s="1442"/>
      <c r="P251" s="1442"/>
      <c r="Q251" s="1442"/>
      <c r="R251" s="1442"/>
    </row>
    <row r="252" spans="13:34">
      <c r="M252" s="2968" t="s">
        <v>774</v>
      </c>
      <c r="N252" s="2969">
        <f>Ranking!K116</f>
        <v>8.6861758729657641</v>
      </c>
      <c r="P252" s="673" t="s">
        <v>39</v>
      </c>
      <c r="Q252" s="1544">
        <f>Ranking!K124</f>
        <v>5.8927844479191869</v>
      </c>
      <c r="S252" s="2968" t="s">
        <v>772</v>
      </c>
      <c r="T252" s="2969">
        <f>Ranking!K130</f>
        <v>4.8426442674927213</v>
      </c>
    </row>
    <row r="253" spans="13:34">
      <c r="M253" s="673" t="s">
        <v>287</v>
      </c>
      <c r="N253" s="1544">
        <f>Ranking!K117</f>
        <v>7.8889454092528393</v>
      </c>
      <c r="P253" s="673" t="s">
        <v>281</v>
      </c>
      <c r="Q253" s="1544">
        <f>Ranking!K125</f>
        <v>5.8033589040079683</v>
      </c>
      <c r="S253" s="673" t="s">
        <v>288</v>
      </c>
      <c r="T253" s="1544">
        <f>Ranking!K131</f>
        <v>4.7838493303826084</v>
      </c>
    </row>
    <row r="254" spans="13:34">
      <c r="M254" s="673" t="s">
        <v>284</v>
      </c>
      <c r="N254" s="1544">
        <f>Ranking!K118</f>
        <v>7.5421176018870622</v>
      </c>
      <c r="P254" s="236" t="s">
        <v>1099</v>
      </c>
      <c r="Q254" s="2970">
        <f>Ranking!K4</f>
        <v>5.7179308075518716</v>
      </c>
      <c r="S254" s="673" t="s">
        <v>50</v>
      </c>
      <c r="T254" s="1544">
        <f>Ranking!K132</f>
        <v>4.6985221679038922</v>
      </c>
    </row>
    <row r="255" spans="13:34">
      <c r="M255" s="673" t="s">
        <v>279</v>
      </c>
      <c r="N255" s="1544">
        <f>Ranking!K119</f>
        <v>7.5360879751187033</v>
      </c>
      <c r="P255" s="673" t="s">
        <v>53</v>
      </c>
      <c r="Q255" s="1544">
        <f>Ranking!K126</f>
        <v>5.6943354572509941</v>
      </c>
      <c r="S255" s="673" t="s">
        <v>286</v>
      </c>
      <c r="T255" s="1544">
        <f>Ranking!K133</f>
        <v>4.5606838408134944</v>
      </c>
    </row>
    <row r="256" spans="13:34">
      <c r="M256" s="673" t="s">
        <v>290</v>
      </c>
      <c r="N256" s="1544">
        <f>Ranking!K120</f>
        <v>6.7995363362554677</v>
      </c>
      <c r="P256" s="2971" t="s">
        <v>1127</v>
      </c>
      <c r="Q256" s="2972">
        <f>Ranking!K5</f>
        <v>5.3424534211511574</v>
      </c>
      <c r="S256" s="673" t="s">
        <v>278</v>
      </c>
      <c r="T256" s="1544">
        <f>Ranking!K134</f>
        <v>4.4503654862327</v>
      </c>
    </row>
    <row r="257" spans="1:20">
      <c r="M257" s="673" t="s">
        <v>285</v>
      </c>
      <c r="N257" s="1544">
        <f>Ranking!K121</f>
        <v>6.7052926466266065</v>
      </c>
      <c r="P257" s="673" t="s">
        <v>52</v>
      </c>
      <c r="Q257" s="1544">
        <f>Ranking!K127</f>
        <v>4.9905713850513198</v>
      </c>
      <c r="S257" s="673" t="s">
        <v>289</v>
      </c>
      <c r="T257" s="1544">
        <f>Ranking!K135</f>
        <v>4.3871958272574467</v>
      </c>
    </row>
    <row r="258" spans="1:20">
      <c r="M258" s="673" t="s">
        <v>282</v>
      </c>
      <c r="N258" s="1544">
        <f>Ranking!K122</f>
        <v>6.6837223425180285</v>
      </c>
      <c r="P258" s="2968" t="s">
        <v>773</v>
      </c>
      <c r="Q258" s="2969">
        <f>Ranking!K128</f>
        <v>4.9107929634600707</v>
      </c>
      <c r="S258" s="673" t="s">
        <v>357</v>
      </c>
      <c r="T258" s="1544">
        <f>Ranking!K136</f>
        <v>3.8552632920912293</v>
      </c>
    </row>
    <row r="259" spans="1:20">
      <c r="M259" s="673" t="s">
        <v>54</v>
      </c>
      <c r="N259" s="1544">
        <f>Ranking!K123</f>
        <v>6.4063105209788551</v>
      </c>
      <c r="P259" s="673" t="s">
        <v>44</v>
      </c>
      <c r="Q259" s="1544">
        <f>Ranking!K129</f>
        <v>4.9270605931091591</v>
      </c>
      <c r="S259" s="673" t="s">
        <v>42</v>
      </c>
      <c r="T259" s="1544">
        <f>Ranking!K137</f>
        <v>3.7488610975650749</v>
      </c>
    </row>
    <row r="263" spans="1:20">
      <c r="A263" s="1032" t="s">
        <v>2397</v>
      </c>
      <c r="B263" s="1032"/>
      <c r="D263" s="1041" t="s">
        <v>2392</v>
      </c>
    </row>
    <row r="265" spans="1:20">
      <c r="E265" s="2961" t="s">
        <v>2393</v>
      </c>
      <c r="F265" s="2961" t="s">
        <v>1100</v>
      </c>
      <c r="G265" s="2961" t="s">
        <v>785</v>
      </c>
      <c r="H265" s="2961" t="s">
        <v>1272</v>
      </c>
      <c r="I265" s="2302" t="s">
        <v>1208</v>
      </c>
    </row>
    <row r="266" spans="1:20">
      <c r="D266" s="137"/>
      <c r="E266" s="2123" t="s">
        <v>2394</v>
      </c>
      <c r="F266" s="2960">
        <f>PROFILES!E424</f>
        <v>0.6</v>
      </c>
      <c r="G266" s="2960">
        <f>PROFILES!F424</f>
        <v>0.3</v>
      </c>
      <c r="H266" s="2960">
        <f>PROFILES!D424</f>
        <v>0.10000000000000009</v>
      </c>
      <c r="I266" s="2123" t="s">
        <v>303</v>
      </c>
    </row>
    <row r="267" spans="1:20">
      <c r="D267" s="2963" t="s">
        <v>20</v>
      </c>
      <c r="E267" s="1222" t="s">
        <v>772</v>
      </c>
      <c r="F267" s="1228">
        <f>VLOOKUP($E267,PROFILES!$U$426:$Z$438,5,FALSE)</f>
        <v>0</v>
      </c>
      <c r="G267" s="1228">
        <f>VLOOKUP($E267,PROFILES!$U$426:$Z$438,3,FALSE)</f>
        <v>0</v>
      </c>
      <c r="H267" s="1228">
        <f>VLOOKUP($E267,PROFILES!$U$426:$Z$438,4,FALSE)</f>
        <v>0</v>
      </c>
      <c r="I267" s="1227">
        <f>VLOOKUP($E267,PROFILES!$U$426:$Z$438,6,FALSE)</f>
        <v>0</v>
      </c>
    </row>
    <row r="268" spans="1:20">
      <c r="D268" s="2964" t="s">
        <v>75</v>
      </c>
      <c r="E268" s="2962" t="s">
        <v>289</v>
      </c>
      <c r="F268" s="1228">
        <f>VLOOKUP($E268,PROFILES!$U$426:$Z$438,5,FALSE)</f>
        <v>0.10381310936831101</v>
      </c>
      <c r="G268" s="1228">
        <f>VLOOKUP($E268,PROFILES!$U$426:$Z$438,3,FALSE)</f>
        <v>0.13809426705764616</v>
      </c>
      <c r="H268" s="1228">
        <f>VLOOKUP($E268,PROFILES!$U$426:$Z$438,4,FALSE)</f>
        <v>0.66277436939896339</v>
      </c>
      <c r="I268" s="1227">
        <f>VLOOKUP($E268,PROFILES!$U$426:$Z$438,6,FALSE)</f>
        <v>0.23688455301582265</v>
      </c>
    </row>
    <row r="269" spans="1:20">
      <c r="D269" s="2964" t="s">
        <v>22</v>
      </c>
      <c r="E269" s="2962" t="s">
        <v>39</v>
      </c>
      <c r="F269" s="1228">
        <f>VLOOKUP($E269,PROFILES!$U$426:$Z$438,5,FALSE)</f>
        <v>0.21685263719983627</v>
      </c>
      <c r="G269" s="1228">
        <f>VLOOKUP($E269,PROFILES!$U$426:$Z$438,3,FALSE)</f>
        <v>0.19654676495545154</v>
      </c>
      <c r="H269" s="1228">
        <f>VLOOKUP($E269,PROFILES!$U$426:$Z$438,4,FALSE)</f>
        <v>0.50546175482671596</v>
      </c>
      <c r="I269" s="1227">
        <f>VLOOKUP($E269,PROFILES!$U$426:$Z$438,6,FALSE)</f>
        <v>0.25564308627440069</v>
      </c>
    </row>
    <row r="270" spans="1:20">
      <c r="A270" s="148"/>
      <c r="B270" s="1"/>
      <c r="D270" s="2964" t="s">
        <v>25</v>
      </c>
      <c r="E270" s="2962" t="s">
        <v>286</v>
      </c>
      <c r="F270" s="1228">
        <f>VLOOKUP($E270,PROFILES!$U$426:$Z$438,5,FALSE)</f>
        <v>6.1824155438262807E-2</v>
      </c>
      <c r="G270" s="1228">
        <f>VLOOKUP($E270,PROFILES!$U$426:$Z$438,3,FALSE)</f>
        <v>7.5997406695701653E-2</v>
      </c>
      <c r="H270" s="1228">
        <f>VLOOKUP($E270,PROFILES!$U$426:$Z$438,4,FALSE)</f>
        <v>1.0476179959843281</v>
      </c>
      <c r="I270" s="1227">
        <f>VLOOKUP($E270,PROFILES!$U$426:$Z$438,6,FALSE)</f>
        <v>0.33730752143371534</v>
      </c>
    </row>
    <row r="271" spans="1:20">
      <c r="D271" s="164" t="s">
        <v>27</v>
      </c>
      <c r="E271" s="74" t="s">
        <v>54</v>
      </c>
      <c r="F271" s="1228">
        <f>VLOOKUP($E271,PROFILES!$U$426:$Z$438,5,FALSE)</f>
        <v>0.32289513065879638</v>
      </c>
      <c r="G271" s="1228">
        <f>VLOOKUP($E271,PROFILES!$U$426:$Z$438,3,FALSE)</f>
        <v>0.30415591270312636</v>
      </c>
      <c r="H271" s="1228">
        <f>VLOOKUP($E271,PROFILES!$U$426:$Z$438,4,FALSE)</f>
        <v>0.60520016949053801</v>
      </c>
      <c r="I271" s="1227">
        <f>VLOOKUP($E271,PROFILES!$U$426:$Z$438,6,FALSE)</f>
        <v>0.3562818119504782</v>
      </c>
    </row>
    <row r="272" spans="1:20">
      <c r="D272" s="2964" t="s">
        <v>26</v>
      </c>
      <c r="E272" s="2962" t="s">
        <v>44</v>
      </c>
      <c r="F272" s="1228">
        <f>VLOOKUP($E272,PROFILES!$U$426:$Z$438,5,FALSE)</f>
        <v>1.7431865929756762E-2</v>
      </c>
      <c r="G272" s="1228">
        <f>VLOOKUP($E272,PROFILES!$U$426:$Z$438,3,FALSE)</f>
        <v>0.56225895968577411</v>
      </c>
      <c r="H272" s="1228">
        <f>VLOOKUP($E272,PROFILES!$U$426:$Z$438,4,FALSE)</f>
        <v>0.60622860791614341</v>
      </c>
      <c r="I272" s="1227">
        <f>VLOOKUP($E272,PROFILES!$U$426:$Z$438,6,FALSE)</f>
        <v>0.36300712913047462</v>
      </c>
    </row>
    <row r="273" spans="1:14">
      <c r="D273" s="2964" t="s">
        <v>30</v>
      </c>
      <c r="E273" s="2962" t="s">
        <v>290</v>
      </c>
      <c r="F273" s="1228">
        <f>VLOOKUP($E273,PROFILES!$U$426:$Z$438,5,FALSE)</f>
        <v>0.40409577096108418</v>
      </c>
      <c r="G273" s="1228">
        <f>VLOOKUP($E273,PROFILES!$U$426:$Z$438,3,FALSE)</f>
        <v>0.13931062823311224</v>
      </c>
      <c r="H273" s="1228">
        <f>VLOOKUP($E273,PROFILES!$U$426:$Z$438,4,FALSE)</f>
        <v>1.1335218503180777</v>
      </c>
      <c r="I273" s="1227">
        <f>VLOOKUP($E273,PROFILES!$U$426:$Z$438,6,FALSE)</f>
        <v>0.48196000780318182</v>
      </c>
    </row>
    <row r="274" spans="1:14">
      <c r="D274" s="2964" t="s">
        <v>21</v>
      </c>
      <c r="E274" s="2962" t="s">
        <v>278</v>
      </c>
      <c r="F274" s="1228">
        <f>VLOOKUP($E274,PROFILES!$U$426:$Z$438,5,FALSE)</f>
        <v>8.8145295588315964E-2</v>
      </c>
      <c r="G274" s="1228">
        <f>VLOOKUP($E274,PROFILES!$U$426:$Z$438,3,FALSE)</f>
        <v>0.63919462404474303</v>
      </c>
      <c r="H274" s="1228">
        <f>VLOOKUP($E274,PROFILES!$U$426:$Z$438,4,FALSE)</f>
        <v>1.1492084940153529</v>
      </c>
      <c r="I274" s="1227">
        <f>VLOOKUP($E274,PROFILES!$U$426:$Z$438,6,FALSE)</f>
        <v>0.50921577192249723</v>
      </c>
    </row>
    <row r="275" spans="1:14">
      <c r="D275" s="673" t="s">
        <v>24</v>
      </c>
      <c r="E275" s="673" t="s">
        <v>42</v>
      </c>
      <c r="F275" s="1544">
        <f>VLOOKUP($E275,PROFILES!$U$426:$Z$438,5,FALSE)</f>
        <v>0.2917641228793646</v>
      </c>
      <c r="G275" s="1544">
        <f>VLOOKUP($E275,PROFILES!$U$426:$Z$438,3,FALSE)</f>
        <v>0.51574762188165768</v>
      </c>
      <c r="H275" s="1544">
        <f>VLOOKUP($E275,PROFILES!$U$426:$Z$438,4,FALSE)</f>
        <v>2.1312485338335492</v>
      </c>
      <c r="I275" s="1544">
        <f>VLOOKUP($E275,PROFILES!$U$426:$Z$438,6,FALSE)</f>
        <v>0.7649160059637139</v>
      </c>
    </row>
    <row r="276" spans="1:14">
      <c r="D276" s="2965" t="s">
        <v>73</v>
      </c>
      <c r="E276" s="673" t="s">
        <v>285</v>
      </c>
      <c r="F276" s="1544">
        <f>VLOOKUP($E276,PROFILES!$U$426:$Z$438,5,FALSE)</f>
        <v>0.38463456662247686</v>
      </c>
      <c r="G276" s="1544">
        <f>VLOOKUP($E276,PROFILES!$U$426:$Z$438,3,FALSE)</f>
        <v>0.68621464743781102</v>
      </c>
      <c r="H276" s="1544">
        <f>VLOOKUP($E276,PROFILES!$U$426:$Z$438,4,FALSE)</f>
        <v>2.0943929130963586</v>
      </c>
      <c r="I276" s="1544">
        <f>VLOOKUP($E276,PROFILES!$U$426:$Z$438,6,FALSE)</f>
        <v>0.81772952744462002</v>
      </c>
    </row>
    <row r="277" spans="1:14">
      <c r="D277" s="673" t="s">
        <v>19</v>
      </c>
      <c r="E277" s="673" t="s">
        <v>288</v>
      </c>
      <c r="F277" s="1544">
        <f>VLOOKUP($E277,PROFILES!$U$426:$Z$438,5,FALSE)</f>
        <v>1.2290298679914935E-2</v>
      </c>
      <c r="G277" s="1544">
        <f>VLOOKUP($E277,PROFILES!$U$426:$Z$438,3,FALSE)</f>
        <v>0.63465383920340357</v>
      </c>
      <c r="H277" s="1544">
        <f>VLOOKUP($E277,PROFILES!$U$426:$Z$438,4,FALSE)</f>
        <v>3.092853292601391</v>
      </c>
      <c r="I277" s="1544">
        <f>VLOOKUP($E277,PROFILES!$U$426:$Z$438,6,FALSE)</f>
        <v>1.0380271810050052</v>
      </c>
    </row>
    <row r="278" spans="1:14">
      <c r="D278" s="673" t="s">
        <v>23</v>
      </c>
      <c r="E278" s="673" t="s">
        <v>52</v>
      </c>
      <c r="F278" s="1544">
        <f>VLOOKUP($E278,PROFILES!$U$426:$Z$438,5,FALSE)</f>
        <v>3.0546765235594631E-2</v>
      </c>
      <c r="G278" s="1544">
        <f>VLOOKUP($E278,PROFILES!$U$426:$Z$438,3,FALSE)</f>
        <v>0.6416086421211582</v>
      </c>
      <c r="H278" s="1544">
        <f>VLOOKUP($E278,PROFILES!$U$426:$Z$438,4,FALSE)</f>
        <v>4.31251358385515</v>
      </c>
      <c r="I278" s="1544">
        <f>VLOOKUP($E278,PROFILES!$U$426:$Z$438,6,FALSE)</f>
        <v>1.4084870247562462</v>
      </c>
    </row>
    <row r="279" spans="1:14">
      <c r="D279" s="673" t="s">
        <v>28</v>
      </c>
      <c r="E279" s="673" t="s">
        <v>53</v>
      </c>
      <c r="F279" s="1544">
        <f>VLOOKUP($E279,PROFILES!$U$426:$Z$438,5,FALSE)</f>
        <v>0.17587316819354881</v>
      </c>
      <c r="G279" s="1544">
        <f>VLOOKUP($E279,PROFILES!$U$426:$Z$438,3,FALSE)</f>
        <v>0.6574521785018268</v>
      </c>
      <c r="H279" s="1544">
        <f>VLOOKUP($E279,PROFILES!$U$426:$Z$438,4,FALSE)</f>
        <v>6.8820513286509115</v>
      </c>
      <c r="I279" s="1544">
        <f>VLOOKUP($E279,PROFILES!$U$426:$Z$438,6,FALSE)</f>
        <v>2.2100893379901825</v>
      </c>
    </row>
    <row r="282" spans="1:14">
      <c r="A282" s="1032" t="s">
        <v>2398</v>
      </c>
      <c r="B282" s="1032"/>
      <c r="D282" s="1041" t="s">
        <v>2399</v>
      </c>
      <c r="N282" s="1041" t="s">
        <v>2073</v>
      </c>
    </row>
    <row r="301" spans="1:11">
      <c r="K301" s="77"/>
    </row>
    <row r="302" spans="1:11">
      <c r="K302" s="77"/>
    </row>
    <row r="304" spans="1:11">
      <c r="A304" s="1020" t="s">
        <v>2401</v>
      </c>
      <c r="B304" s="1020"/>
    </row>
    <row r="306" spans="1:4">
      <c r="A306" s="1032" t="s">
        <v>2402</v>
      </c>
      <c r="B306" s="1032"/>
      <c r="D306" s="1300" t="s">
        <v>2403</v>
      </c>
    </row>
    <row r="338" spans="1:18">
      <c r="A338" s="1032" t="s">
        <v>37</v>
      </c>
      <c r="B338" s="1545"/>
      <c r="D338" s="1300" t="s">
        <v>2404</v>
      </c>
      <c r="N338" s="1041" t="s">
        <v>2407</v>
      </c>
    </row>
    <row r="340" spans="1:18">
      <c r="O340" s="90"/>
      <c r="P340" s="90" t="s">
        <v>2395</v>
      </c>
      <c r="Q340" s="90" t="s">
        <v>2408</v>
      </c>
      <c r="R340" s="90" t="s">
        <v>2409</v>
      </c>
    </row>
    <row r="341" spans="1:18">
      <c r="O341" s="2973" t="s">
        <v>289</v>
      </c>
      <c r="P341" s="2974">
        <f>'GEARINGS, E&amp;Enot'!AJ269</f>
        <v>0.18570292678335293</v>
      </c>
      <c r="Q341" s="2974">
        <f>'GEARINGS, E&amp;Enot'!AK269</f>
        <v>0.34197601038246805</v>
      </c>
      <c r="R341" s="2975">
        <f>'GEARINGS, E&amp;Enot'!AL269/'GEARINGS, E&amp;Enot'!$AL$276</f>
        <v>0.18276134340428241</v>
      </c>
    </row>
    <row r="342" spans="1:18">
      <c r="O342" s="2894" t="s">
        <v>39</v>
      </c>
      <c r="P342" s="2976">
        <f>'GEARINGS, E&amp;Enot'!AJ270</f>
        <v>0.3899242463002407</v>
      </c>
      <c r="Q342" s="2976">
        <f>'GEARINGS, E&amp;Enot'!AK270</f>
        <v>0.37944762378701169</v>
      </c>
      <c r="R342" s="2977">
        <f>'GEARINGS, E&amp;Enot'!AL270/'GEARINGS, E&amp;Enot'!$AL$276</f>
        <v>0.18003100165660968</v>
      </c>
    </row>
    <row r="343" spans="1:18">
      <c r="O343" s="2894" t="s">
        <v>286</v>
      </c>
      <c r="P343" s="2976">
        <f>'GEARINGS, E&amp;Enot'!AJ271</f>
        <v>0.68457317243488636</v>
      </c>
      <c r="Q343" s="2976">
        <f>'GEARINGS, E&amp;Enot'!AK271</f>
        <v>0.75672107111582532</v>
      </c>
      <c r="R343" s="2977">
        <f>'GEARINGS, E&amp;Enot'!AL271/'GEARINGS, E&amp;Enot'!$AL$276</f>
        <v>0.16903717276847877</v>
      </c>
    </row>
    <row r="344" spans="1:18">
      <c r="O344" s="2894" t="s">
        <v>44</v>
      </c>
      <c r="P344" s="2976">
        <f>'GEARINGS, E&amp;Enot'!AJ272</f>
        <v>0.51826084585195908</v>
      </c>
      <c r="Q344" s="2976">
        <f>'GEARINGS, E&amp;Enot'!AK272</f>
        <v>0.58973938770950263</v>
      </c>
      <c r="R344" s="2977">
        <f>'GEARINGS, E&amp;Enot'!AL272/'GEARINGS, E&amp;Enot'!$AL$276</f>
        <v>0.1658499634476511</v>
      </c>
    </row>
    <row r="345" spans="1:18">
      <c r="O345" s="2894" t="s">
        <v>290</v>
      </c>
      <c r="P345" s="2976">
        <f>'GEARINGS, E&amp;Enot'!AJ273</f>
        <v>0.31922230141848357</v>
      </c>
      <c r="Q345" s="2976">
        <f>'GEARINGS, E&amp;Enot'!AK273</f>
        <v>0.30362227391248225</v>
      </c>
      <c r="R345" s="2977">
        <f>'GEARINGS, E&amp;Enot'!AL273/'GEARINGS, E&amp;Enot'!$AL$276</f>
        <v>0.15253764025675332</v>
      </c>
    </row>
    <row r="346" spans="1:18">
      <c r="O346" s="2978" t="s">
        <v>278</v>
      </c>
      <c r="P346" s="2979">
        <f>'GEARINGS, E&amp;Enot'!AJ274</f>
        <v>0.49698573886957192</v>
      </c>
      <c r="Q346" s="2979">
        <f>'GEARINGS, E&amp;Enot'!AK274</f>
        <v>0.62319136029119382</v>
      </c>
      <c r="R346" s="1549">
        <f>'GEARINGS, E&amp;Enot'!AL274/'GEARINGS, E&amp;Enot'!$AL$276</f>
        <v>0.14978287846622482</v>
      </c>
    </row>
    <row r="347" spans="1:18">
      <c r="O347" s="1547" t="s">
        <v>1099</v>
      </c>
      <c r="P347" s="2980">
        <f>AVERAGE(P341:P346)</f>
        <v>0.4324448719430824</v>
      </c>
      <c r="Q347" s="2980">
        <f>AVERAGE(Q341:Q346)</f>
        <v>0.49911628786641399</v>
      </c>
      <c r="R347" s="107"/>
    </row>
    <row r="348" spans="1:18">
      <c r="O348" s="1548" t="s">
        <v>1340</v>
      </c>
      <c r="P348" s="1549">
        <f>SUMPRODUCT(P341:P346,$R$341:$R$346)</f>
        <v>0.42894299606735481</v>
      </c>
      <c r="Q348" s="1549">
        <f>SUMPRODUCT(Q341:Q346,$R$341:$R$346)</f>
        <v>0.49619179815884484</v>
      </c>
      <c r="R348" s="240"/>
    </row>
    <row r="352" spans="1:18">
      <c r="O352" s="1442" t="s">
        <v>2414</v>
      </c>
      <c r="P352" s="2981" t="s">
        <v>2413</v>
      </c>
    </row>
    <row r="361" spans="1:5">
      <c r="A361" s="1032" t="s">
        <v>2405</v>
      </c>
      <c r="B361" s="1545"/>
      <c r="D361" s="1300" t="s">
        <v>2406</v>
      </c>
      <c r="E361" s="1300"/>
    </row>
    <row r="373" spans="1:30">
      <c r="O373" s="1442" t="s">
        <v>2414</v>
      </c>
      <c r="P373" s="2981" t="s">
        <v>2412</v>
      </c>
    </row>
    <row r="382" spans="1:30">
      <c r="A382" s="1032" t="s">
        <v>2410</v>
      </c>
      <c r="B382" s="1545"/>
      <c r="D382" s="1300" t="s">
        <v>2411</v>
      </c>
    </row>
    <row r="383" spans="1:30">
      <c r="AD383" s="2698"/>
    </row>
    <row r="385" spans="27:27" s="2899" customFormat="1">
      <c r="AA385" s="34"/>
    </row>
    <row r="386" spans="27:27" s="2899" customFormat="1">
      <c r="AA386" s="34"/>
    </row>
    <row r="387" spans="27:27" s="2899" customFormat="1">
      <c r="AA387" s="34"/>
    </row>
    <row r="388" spans="27:27" s="2899" customFormat="1">
      <c r="AA388" s="34"/>
    </row>
    <row r="389" spans="27:27" s="2899" customFormat="1">
      <c r="AA389" s="34"/>
    </row>
    <row r="390" spans="27:27" s="2899" customFormat="1">
      <c r="AA390" s="34"/>
    </row>
    <row r="391" spans="27:27" s="2899" customFormat="1">
      <c r="AA391" s="34"/>
    </row>
    <row r="392" spans="27:27" s="2899" customFormat="1">
      <c r="AA392" s="34"/>
    </row>
    <row r="393" spans="27:27" s="2899" customFormat="1">
      <c r="AA393" s="34"/>
    </row>
    <row r="394" spans="27:27" s="2899" customFormat="1">
      <c r="AA394" s="34"/>
    </row>
    <row r="395" spans="27:27" s="2899" customFormat="1">
      <c r="AA395" s="34"/>
    </row>
    <row r="396" spans="27:27" s="2899" customFormat="1">
      <c r="AA396" s="34"/>
    </row>
    <row r="397" spans="27:27" s="2899" customFormat="1">
      <c r="AA397" s="34"/>
    </row>
    <row r="398" spans="27:27" s="2899" customFormat="1">
      <c r="AA398" s="34"/>
    </row>
    <row r="399" spans="27:27" s="2899" customFormat="1">
      <c r="AA399" s="34"/>
    </row>
    <row r="400" spans="27:27" s="2899" customFormat="1">
      <c r="AA400" s="34"/>
    </row>
    <row r="401" spans="1:27" s="2899" customFormat="1">
      <c r="AA401" s="34"/>
    </row>
    <row r="402" spans="1:27" s="2899" customFormat="1">
      <c r="AA402" s="34"/>
    </row>
    <row r="403" spans="1:27" s="2899" customFormat="1">
      <c r="AA403" s="34"/>
    </row>
    <row r="404" spans="1:27" s="2899" customFormat="1">
      <c r="A404" s="1032" t="s">
        <v>2416</v>
      </c>
      <c r="B404" s="1545"/>
      <c r="D404" s="1041" t="s">
        <v>2415</v>
      </c>
      <c r="P404" s="1041" t="s">
        <v>2417</v>
      </c>
      <c r="AA404" s="34"/>
    </row>
    <row r="405" spans="1:27" s="2899" customFormat="1">
      <c r="AA405" s="34"/>
    </row>
    <row r="406" spans="1:27" s="2899" customFormat="1">
      <c r="O406" s="231" t="s">
        <v>85</v>
      </c>
      <c r="P406" s="231" t="s">
        <v>1341</v>
      </c>
      <c r="Q406" s="231" t="s">
        <v>38</v>
      </c>
      <c r="R406" s="231" t="s">
        <v>37</v>
      </c>
      <c r="S406" s="231" t="s">
        <v>1523</v>
      </c>
      <c r="T406" s="231" t="s">
        <v>799</v>
      </c>
      <c r="AA406" s="34"/>
    </row>
    <row r="407" spans="1:27">
      <c r="O407" s="2967" t="s">
        <v>1342</v>
      </c>
      <c r="P407" s="2982">
        <f>'GEARINGS, E&amp;Enot'!$T$323</f>
        <v>0.4729330941660323</v>
      </c>
      <c r="Q407" s="1550">
        <f>'GEARINGS, E&amp;Enot'!$AD$323</f>
        <v>0.44444444444444442</v>
      </c>
      <c r="R407" s="1550">
        <f>'GEARINGS, E&amp;Enot'!$X$323</f>
        <v>0.4</v>
      </c>
      <c r="S407" s="1550">
        <f>'GEARINGS, E&amp;Enot'!$AA$323</f>
        <v>0.28041293785321875</v>
      </c>
      <c r="T407" s="2982">
        <f>'GEARINGS, E&amp;Enot'!$T$327</f>
        <v>0.27500000000000002</v>
      </c>
    </row>
    <row r="408" spans="1:27">
      <c r="O408" s="2971" t="s">
        <v>1343</v>
      </c>
      <c r="P408" s="1446">
        <f>'GEARINGS, E&amp;Enot'!$T$348</f>
        <v>0.48681573444260695</v>
      </c>
      <c r="Q408" s="1446">
        <f>'GEARINGS, E&amp;Enot'!$AD$348</f>
        <v>0.44444444444444442</v>
      </c>
      <c r="R408" s="1446">
        <f>'GEARINGS, E&amp;Enot'!$X$348</f>
        <v>0.374</v>
      </c>
      <c r="S408" s="1446">
        <f>'GEARINGS, E&amp;Enot'!$AA$348</f>
        <v>0.1914853784153166</v>
      </c>
      <c r="T408" s="1446">
        <f>'GEARINGS, E&amp;Enot'!$T$351</f>
        <v>0.18333333333333335</v>
      </c>
    </row>
    <row r="409" spans="1:27">
      <c r="O409" s="2967">
        <v>2010</v>
      </c>
      <c r="P409" s="1551">
        <v>0.4</v>
      </c>
      <c r="Q409" s="2248"/>
      <c r="R409" s="2248">
        <v>0.32</v>
      </c>
      <c r="S409" s="2248">
        <v>0.25</v>
      </c>
      <c r="T409" s="1551">
        <v>0.25</v>
      </c>
    </row>
    <row r="412" spans="1:27">
      <c r="O412" s="1443" t="s">
        <v>2426</v>
      </c>
      <c r="P412" s="1442"/>
      <c r="Q412" s="2698"/>
    </row>
    <row r="413" spans="1:27">
      <c r="O413" s="1442"/>
      <c r="P413" s="1442"/>
    </row>
    <row r="414" spans="1:27">
      <c r="O414" s="1442" t="s">
        <v>2427</v>
      </c>
      <c r="P414" s="1442"/>
    </row>
    <row r="429" spans="1:27" s="2899" customFormat="1">
      <c r="AA429" s="34"/>
    </row>
    <row r="430" spans="1:27" s="2899" customFormat="1">
      <c r="A430" s="1020" t="s">
        <v>2428</v>
      </c>
      <c r="B430" s="1019"/>
      <c r="AA430" s="34"/>
    </row>
    <row r="432" spans="1:27">
      <c r="A432" s="1032" t="s">
        <v>2429</v>
      </c>
      <c r="B432" s="1545"/>
      <c r="D432" s="1041" t="s">
        <v>1788</v>
      </c>
      <c r="P432" s="1041" t="s">
        <v>2431</v>
      </c>
    </row>
    <row r="453" spans="1:27">
      <c r="A453" s="1032" t="s">
        <v>2430</v>
      </c>
      <c r="B453" s="1545"/>
      <c r="D453" s="1041" t="s">
        <v>1789</v>
      </c>
      <c r="P453" s="1041" t="s">
        <v>2432</v>
      </c>
    </row>
    <row r="454" spans="1:27" s="2899" customFormat="1">
      <c r="AA454" s="34"/>
    </row>
    <row r="455" spans="1:27" s="2899" customFormat="1">
      <c r="O455"/>
      <c r="P455"/>
      <c r="Q455" s="231" t="s">
        <v>1341</v>
      </c>
      <c r="R455" s="231" t="s">
        <v>38</v>
      </c>
      <c r="S455" s="231" t="s">
        <v>37</v>
      </c>
      <c r="T455" s="231" t="s">
        <v>1523</v>
      </c>
      <c r="U455" s="231" t="s">
        <v>799</v>
      </c>
      <c r="AA455" s="34"/>
    </row>
    <row r="456" spans="1:27" s="2899" customFormat="1">
      <c r="O456" s="107" t="s">
        <v>87</v>
      </c>
      <c r="P456" s="107"/>
      <c r="Q456" s="2252">
        <f>'GEARINGS, E&amp;Enot'!AD489</f>
        <v>4.8245993835889935</v>
      </c>
      <c r="R456" s="2252">
        <f>'GEARINGS, E&amp;Enot'!AA489</f>
        <v>9</v>
      </c>
      <c r="S456" s="2252">
        <f>'GEARINGS, E&amp;Enot'!U489</f>
        <v>5</v>
      </c>
      <c r="T456" s="2252">
        <f>'GEARINGS, E&amp;Enot'!X489</f>
        <v>5.5</v>
      </c>
      <c r="U456" s="2252">
        <f>'GEARINGS, E&amp;Enot'!X489</f>
        <v>5.5</v>
      </c>
      <c r="AA456" s="34"/>
    </row>
    <row r="457" spans="1:27" s="2899" customFormat="1">
      <c r="O457" s="2716" t="s">
        <v>95</v>
      </c>
      <c r="P457" s="2142"/>
      <c r="Q457" s="2724">
        <f>'GEARINGS, E&amp;Enot'!AD490</f>
        <v>2.2817127145922749</v>
      </c>
      <c r="R457" s="2724">
        <f>'GEARINGS, E&amp;Enot'!AA490</f>
        <v>4</v>
      </c>
      <c r="S457" s="2724">
        <f>'GEARINGS, E&amp;Enot'!U490</f>
        <v>2</v>
      </c>
      <c r="T457" s="2724">
        <f>'GEARINGS, E&amp;Enot'!X490</f>
        <v>1.5</v>
      </c>
      <c r="U457" s="2724">
        <f>'GEARINGS, E&amp;Enot'!X490</f>
        <v>1.5</v>
      </c>
      <c r="AA457" s="34"/>
    </row>
    <row r="458" spans="1:27" s="2899" customFormat="1">
      <c r="O458" s="1105" t="s">
        <v>2092</v>
      </c>
      <c r="P458" s="1105"/>
      <c r="Q458" s="1228">
        <f>Q456-Q457</f>
        <v>2.5428866689967187</v>
      </c>
      <c r="R458" s="1228">
        <f>R456-R457</f>
        <v>5</v>
      </c>
      <c r="S458" s="1228">
        <f t="shared" ref="S458:T458" si="1">S456-S457</f>
        <v>3</v>
      </c>
      <c r="T458" s="1228">
        <f t="shared" si="1"/>
        <v>4</v>
      </c>
      <c r="U458" s="1228">
        <f>U456-U457</f>
        <v>4</v>
      </c>
      <c r="AA458" s="34"/>
    </row>
    <row r="459" spans="1:27" s="2899" customFormat="1">
      <c r="O459" s="107" t="s">
        <v>2091</v>
      </c>
      <c r="P459" s="107"/>
      <c r="Q459" s="2715">
        <f>'GEARINGS, E&amp;Enot'!AD492</f>
        <v>0.48150059458968242</v>
      </c>
      <c r="R459" s="2715">
        <f>'GEARINGS, E&amp;Enot'!AA492</f>
        <v>0.28727972297037324</v>
      </c>
      <c r="S459" s="3008">
        <f>'GEARINGS, E&amp;Enot'!U492</f>
        <v>0.6</v>
      </c>
      <c r="T459" s="3008">
        <f>'GEARINGS, E&amp;Enot'!X492</f>
        <v>1.7</v>
      </c>
      <c r="U459" s="2252">
        <f>'GEARINGS, E&amp;Enot'!X492</f>
        <v>1.7</v>
      </c>
      <c r="AA459" s="34"/>
    </row>
    <row r="460" spans="1:27" s="2899" customFormat="1">
      <c r="O460" s="2725" t="s">
        <v>1775</v>
      </c>
      <c r="P460" s="2725"/>
      <c r="Q460" s="2726">
        <f>Q458*Q459</f>
        <v>1.224401443096097</v>
      </c>
      <c r="R460" s="2726">
        <f t="shared" ref="R460:U460" si="2">R458*R459</f>
        <v>1.4363986148518662</v>
      </c>
      <c r="S460" s="2727">
        <f t="shared" si="2"/>
        <v>1.7999999999999998</v>
      </c>
      <c r="T460" s="2727">
        <f t="shared" si="2"/>
        <v>6.8</v>
      </c>
      <c r="U460" s="2727">
        <f t="shared" si="2"/>
        <v>6.8</v>
      </c>
      <c r="AA460" s="34"/>
    </row>
    <row r="461" spans="1:27" s="2899" customFormat="1">
      <c r="O461" s="2718" t="s">
        <v>1791</v>
      </c>
      <c r="P461" s="2718"/>
      <c r="Q461" s="2719">
        <f>1/Q460</f>
        <v>0.81672559734276229</v>
      </c>
      <c r="R461" s="2720">
        <f t="shared" ref="R461:U461" si="3">1/R460</f>
        <v>0.69618557805635917</v>
      </c>
      <c r="S461" s="2721">
        <f t="shared" si="3"/>
        <v>0.55555555555555558</v>
      </c>
      <c r="T461" s="2721">
        <f t="shared" si="3"/>
        <v>0.14705882352941177</v>
      </c>
      <c r="U461" s="2719">
        <f t="shared" si="3"/>
        <v>0.14705882352941177</v>
      </c>
      <c r="AA461" s="34"/>
    </row>
    <row r="462" spans="1:27" s="2899" customFormat="1">
      <c r="O462" s="109" t="s">
        <v>1790</v>
      </c>
      <c r="P462" s="109"/>
      <c r="Q462" s="2722">
        <f>'GEARINGS, E&amp;Enot'!$U$515*$M$126/100</f>
        <v>7.5716233644526265E-3</v>
      </c>
      <c r="R462" s="2722">
        <f>'GEARINGS, E&amp;Enot'!$AA$508*$M$126/100</f>
        <v>7.9808794256207519E-3</v>
      </c>
      <c r="S462" s="2722">
        <f>'GEARINGS, E&amp;Enot'!$U$508*$M$126/100</f>
        <v>8.6193497796704134E-3</v>
      </c>
      <c r="T462" s="2722">
        <f>'GEARINGS, E&amp;Enot'!$X$508*$M$126/100</f>
        <v>1.033728764261423E-2</v>
      </c>
      <c r="U462" s="2722">
        <f>'GEARINGS, E&amp;Enot'!$X$515*$M$126/100</f>
        <v>1.0415047650435081E-2</v>
      </c>
      <c r="AA462" s="34"/>
    </row>
    <row r="463" spans="1:27" s="2899" customFormat="1">
      <c r="O463" s="2251" t="s">
        <v>1792</v>
      </c>
      <c r="P463" s="2251"/>
      <c r="Q463" s="3012">
        <f>Q461*Q462</f>
        <v>6.1839386151869872E-3</v>
      </c>
      <c r="R463" s="2723">
        <f t="shared" ref="R463:U463" si="4">R461*R462</f>
        <v>5.5561731563238872E-3</v>
      </c>
      <c r="S463" s="2723">
        <f t="shared" si="4"/>
        <v>4.7885276553724524E-3</v>
      </c>
      <c r="T463" s="2723">
        <f t="shared" si="4"/>
        <v>1.5201893592079749E-3</v>
      </c>
      <c r="U463" s="3012">
        <f t="shared" si="4"/>
        <v>1.5316246544757473E-3</v>
      </c>
      <c r="AA463" s="34"/>
    </row>
    <row r="464" spans="1:27" s="2899" customFormat="1">
      <c r="O464" s="7" t="s">
        <v>2434</v>
      </c>
      <c r="P464" s="7"/>
      <c r="Q464" s="15">
        <v>4.2</v>
      </c>
      <c r="R464" s="15"/>
      <c r="S464" s="15">
        <v>4.2</v>
      </c>
      <c r="T464" s="15">
        <v>6</v>
      </c>
      <c r="U464" s="15">
        <v>6</v>
      </c>
      <c r="AA464" s="34"/>
    </row>
    <row r="465" spans="1:27" s="2899" customFormat="1">
      <c r="O465" s="3011" t="s">
        <v>2422</v>
      </c>
      <c r="P465" s="3011"/>
      <c r="Q465" s="1550">
        <v>0.24</v>
      </c>
      <c r="R465" s="3011"/>
      <c r="S465" s="1550">
        <v>0.24</v>
      </c>
      <c r="T465" s="1550">
        <v>0.17</v>
      </c>
      <c r="U465" s="1550">
        <v>0.17</v>
      </c>
      <c r="AA465" s="34"/>
    </row>
    <row r="466" spans="1:27" s="2899" customFormat="1">
      <c r="O466" s="470" t="s">
        <v>2436</v>
      </c>
      <c r="P466" s="470"/>
      <c r="Q466" s="3009">
        <v>3.2000000000000002E-3</v>
      </c>
      <c r="R466" s="470"/>
      <c r="S466" s="3009">
        <v>2.8E-3</v>
      </c>
      <c r="T466" s="3009">
        <v>2.3999999999999998E-3</v>
      </c>
      <c r="U466" s="3010" t="s">
        <v>2435</v>
      </c>
      <c r="AA466" s="34"/>
    </row>
    <row r="467" spans="1:27" s="2899" customFormat="1">
      <c r="AA467" s="34"/>
    </row>
    <row r="468" spans="1:27" s="2899" customFormat="1">
      <c r="AA468" s="34"/>
    </row>
    <row r="469" spans="1:27" s="2899" customFormat="1">
      <c r="AA469" s="34"/>
    </row>
    <row r="470" spans="1:27" s="2899" customFormat="1">
      <c r="AA470" s="34"/>
    </row>
    <row r="471" spans="1:27" s="2899" customFormat="1">
      <c r="AA471" s="34"/>
    </row>
    <row r="476" spans="1:27">
      <c r="A476" s="1020" t="s">
        <v>2433</v>
      </c>
      <c r="B476" s="1019"/>
      <c r="D476" s="1041" t="s">
        <v>2439</v>
      </c>
      <c r="M476" s="1041" t="s">
        <v>2446</v>
      </c>
      <c r="N476" s="4"/>
      <c r="O476" s="4"/>
      <c r="P476" s="4"/>
      <c r="Q476" s="4"/>
      <c r="R476" s="4"/>
      <c r="S476" s="4"/>
    </row>
    <row r="477" spans="1:27">
      <c r="M477" s="4"/>
      <c r="N477" s="4"/>
      <c r="P477" s="4"/>
      <c r="Q477" s="4"/>
      <c r="R477" s="4"/>
      <c r="S477" s="4"/>
    </row>
    <row r="478" spans="1:27">
      <c r="D478" s="4" t="s">
        <v>102</v>
      </c>
      <c r="E478" s="4" t="s">
        <v>1038</v>
      </c>
      <c r="F478" s="4" t="s">
        <v>2440</v>
      </c>
      <c r="G478" s="236" t="s">
        <v>804</v>
      </c>
      <c r="H478" s="11" t="s">
        <v>1427</v>
      </c>
      <c r="I478" s="11" t="s">
        <v>2444</v>
      </c>
      <c r="J478" s="4" t="s">
        <v>2094</v>
      </c>
      <c r="M478" s="3049" t="s">
        <v>2458</v>
      </c>
      <c r="N478" s="2497">
        <v>2010</v>
      </c>
      <c r="O478" s="2497">
        <v>2011</v>
      </c>
      <c r="P478" s="2497">
        <v>2012</v>
      </c>
      <c r="Q478" s="90" t="s">
        <v>2408</v>
      </c>
      <c r="R478" s="4"/>
      <c r="S478" s="4"/>
    </row>
    <row r="479" spans="1:27">
      <c r="D479" s="3017" t="s">
        <v>20</v>
      </c>
      <c r="E479" s="2029" t="s">
        <v>772</v>
      </c>
      <c r="F479" s="3029">
        <f>RATINGS!H208</f>
        <v>1</v>
      </c>
      <c r="G479" s="3034">
        <f>RATINGS!N208</f>
        <v>0.28756363720088318</v>
      </c>
      <c r="H479" s="3029">
        <f>RATINGS!S208</f>
        <v>1.4330538995779536</v>
      </c>
      <c r="I479" s="3021" t="str">
        <f>RATINGS!U208</f>
        <v>A</v>
      </c>
      <c r="J479" s="3022" t="str">
        <f>RATINGS!W208</f>
        <v>=  =  -</v>
      </c>
      <c r="M479" s="2973" t="s">
        <v>117</v>
      </c>
      <c r="N479" s="3050">
        <f>RATINGS!AD711</f>
        <v>4.2145979731534326E-2</v>
      </c>
      <c r="O479" s="3050">
        <f>RATINGS!AB711</f>
        <v>1.1734511858918656E-2</v>
      </c>
      <c r="P479" s="3050">
        <f>RATINGS!AA711</f>
        <v>-0.15792412690982061</v>
      </c>
      <c r="Q479" s="2974">
        <f>RATINGS!Z711</f>
        <v>-0.14379524713280636</v>
      </c>
      <c r="R479" s="4"/>
      <c r="S479" s="4"/>
    </row>
    <row r="480" spans="1:27">
      <c r="D480" s="1155" t="s">
        <v>30</v>
      </c>
      <c r="E480" s="73" t="s">
        <v>290</v>
      </c>
      <c r="F480" s="1100">
        <f>RATINGS!H209</f>
        <v>2.9915379307461767</v>
      </c>
      <c r="G480" s="3035">
        <f>RATINGS!N209</f>
        <v>0.30362227391248225</v>
      </c>
      <c r="H480" s="1100">
        <f>RATINGS!S209</f>
        <v>2.3435449790233798</v>
      </c>
      <c r="I480" s="2891" t="str">
        <f>RATINGS!U209</f>
        <v>A</v>
      </c>
      <c r="J480" s="3023" t="str">
        <f>RATINGS!W209</f>
        <v>=  =  -</v>
      </c>
      <c r="M480" s="2894" t="s">
        <v>36</v>
      </c>
      <c r="N480" s="3051">
        <f>RATINGS!AD712</f>
        <v>-3.0501566049817276E-2</v>
      </c>
      <c r="O480" s="3051">
        <f>RATINGS!AB712</f>
        <v>-3.623003669144844E-2</v>
      </c>
      <c r="P480" s="3052">
        <f>RATINGS!AA712</f>
        <v>-6.2696138353186645E-2</v>
      </c>
      <c r="Q480" s="3053">
        <f>RATINGS!Z712</f>
        <v>-0.14943287290779197</v>
      </c>
      <c r="R480" s="4"/>
      <c r="S480" s="4"/>
    </row>
    <row r="481" spans="4:25">
      <c r="D481" s="3018" t="s">
        <v>31</v>
      </c>
      <c r="E481" s="2049" t="s">
        <v>281</v>
      </c>
      <c r="F481" s="3030">
        <f>RATINGS!H210</f>
        <v>4.0795025527416593</v>
      </c>
      <c r="G481" s="3036">
        <f>RATINGS!N210</f>
        <v>0.198117589718218</v>
      </c>
      <c r="H481" s="3030">
        <f>RATINGS!S210</f>
        <v>1.6501516887993055</v>
      </c>
      <c r="I481" s="2716" t="str">
        <f>RATINGS!U210</f>
        <v>A-</v>
      </c>
      <c r="J481" s="2019" t="str">
        <f>RATINGS!W210</f>
        <v>=  =  -</v>
      </c>
      <c r="M481" s="2894" t="s">
        <v>289</v>
      </c>
      <c r="N481" s="3051">
        <f>RATINGS!AD713</f>
        <v>-6.6354443931599769E-2</v>
      </c>
      <c r="O481" s="3051">
        <f>RATINGS!AB713</f>
        <v>-7.4412901287084096E-2</v>
      </c>
      <c r="P481" s="3051">
        <f>RATINGS!AA713</f>
        <v>-0.10295602093370315</v>
      </c>
      <c r="Q481" s="2976">
        <f>RATINGS!Z713</f>
        <v>-0.22261049441522918</v>
      </c>
      <c r="R481" s="4"/>
      <c r="S481" s="4"/>
    </row>
    <row r="482" spans="4:25">
      <c r="D482" s="1155" t="s">
        <v>29</v>
      </c>
      <c r="E482" s="73" t="s">
        <v>284</v>
      </c>
      <c r="F482" s="1100">
        <f>RATINGS!H211</f>
        <v>3.7301904359299858</v>
      </c>
      <c r="G482" s="3035">
        <f>RATINGS!N211</f>
        <v>0.28287599661626001</v>
      </c>
      <c r="H482" s="1100">
        <f>RATINGS!S211</f>
        <v>2.6624165226553771</v>
      </c>
      <c r="I482" s="2891" t="str">
        <f>RATINGS!U211</f>
        <v>A-</v>
      </c>
      <c r="J482" s="3023" t="str">
        <f>RATINGS!W211</f>
        <v>=  =  =</v>
      </c>
      <c r="R482" s="4"/>
    </row>
    <row r="483" spans="4:25">
      <c r="D483" s="1155" t="s">
        <v>2445</v>
      </c>
      <c r="E483" s="73" t="s">
        <v>279</v>
      </c>
      <c r="F483" s="1100">
        <f>RATINGS!H212</f>
        <v>18.318462704779492</v>
      </c>
      <c r="G483" s="3035">
        <f>RATINGS!N212</f>
        <v>0.2718321660431175</v>
      </c>
      <c r="H483" s="1100">
        <f>RATINGS!S212</f>
        <v>2.8571247137382461</v>
      </c>
      <c r="I483" s="2891" t="str">
        <f>RATINGS!U212</f>
        <v>A-</v>
      </c>
      <c r="J483" s="3023" t="str">
        <f>RATINGS!W212</f>
        <v>=  =  =</v>
      </c>
      <c r="R483" s="4"/>
      <c r="S483" s="4"/>
      <c r="T483" s="4"/>
      <c r="U483" s="4"/>
      <c r="V483" s="4"/>
      <c r="W483" s="4"/>
      <c r="X483" s="4"/>
      <c r="Y483" s="4"/>
    </row>
    <row r="484" spans="4:25">
      <c r="D484" s="1343" t="s">
        <v>23</v>
      </c>
      <c r="E484" s="76" t="s">
        <v>52</v>
      </c>
      <c r="F484" s="3031">
        <f>RATINGS!H213</f>
        <v>6.8302221720551222</v>
      </c>
      <c r="G484" s="3037">
        <f>RATINGS!N213</f>
        <v>0.59074959904524027</v>
      </c>
      <c r="H484" s="3031">
        <f>RATINGS!S213</f>
        <v>3.1841649798132132</v>
      </c>
      <c r="I484" s="107" t="str">
        <f>RATINGS!U213</f>
        <v>BBB+</v>
      </c>
      <c r="J484" s="3024" t="str">
        <f>RATINGS!W213</f>
        <v>=  =  =</v>
      </c>
    </row>
    <row r="485" spans="4:25">
      <c r="D485" s="1155" t="s">
        <v>19</v>
      </c>
      <c r="E485" s="152" t="s">
        <v>288</v>
      </c>
      <c r="F485" s="1100">
        <f>RATINGS!H214</f>
        <v>3.2827054881755546</v>
      </c>
      <c r="G485" s="3035">
        <f>RATINGS!N214</f>
        <v>0.65530118542007598</v>
      </c>
      <c r="H485" s="1100">
        <f>RATINGS!S214</f>
        <v>3.2623961251190861</v>
      </c>
      <c r="I485" s="2891" t="str">
        <f>RATINGS!U214</f>
        <v>BBB+</v>
      </c>
      <c r="J485" s="3023" t="str">
        <f>RATINGS!W214</f>
        <v>=  ¯ ¯</v>
      </c>
      <c r="M485" s="1041" t="s">
        <v>2447</v>
      </c>
    </row>
    <row r="486" spans="4:25">
      <c r="D486" s="3018" t="s">
        <v>75</v>
      </c>
      <c r="E486" s="2049" t="s">
        <v>289</v>
      </c>
      <c r="F486" s="3030">
        <f>RATINGS!H215</f>
        <v>0.39863629324690431</v>
      </c>
      <c r="G486" s="3036">
        <f>RATINGS!N215</f>
        <v>0.34197601038246805</v>
      </c>
      <c r="H486" s="3030">
        <f>RATINGS!S215</f>
        <v>1.2457059049561294</v>
      </c>
      <c r="I486" s="2716" t="str">
        <f>RATINGS!U215</f>
        <v>BBB</v>
      </c>
      <c r="J486" s="2019" t="str">
        <f>RATINGS!W215</f>
        <v>=  ¯ -</v>
      </c>
    </row>
    <row r="487" spans="4:25">
      <c r="D487" s="1155" t="s">
        <v>2445</v>
      </c>
      <c r="E487" s="73" t="s">
        <v>50</v>
      </c>
      <c r="F487" s="1100">
        <f>RATINGS!H217</f>
        <v>4.8905330125708488</v>
      </c>
      <c r="G487" s="3035">
        <f>RATINGS!N217</f>
        <v>0.37414035756341019</v>
      </c>
      <c r="H487" s="1100">
        <f>RATINGS!S217</f>
        <v>2.1879628997875771</v>
      </c>
      <c r="I487" s="2891" t="str">
        <f>RATINGS!U217</f>
        <v>BBB</v>
      </c>
      <c r="J487" s="3023" t="str">
        <f>RATINGS!W217</f>
        <v xml:space="preserve">=  -  = </v>
      </c>
    </row>
    <row r="488" spans="4:25">
      <c r="D488" s="1155" t="s">
        <v>2080</v>
      </c>
      <c r="E488" s="73" t="s">
        <v>285</v>
      </c>
      <c r="F488" s="1100">
        <f>RATINGS!H216</f>
        <v>0.40583908664384705</v>
      </c>
      <c r="G488" s="3035">
        <f>RATINGS!N216</f>
        <v>0.32061814749302248</v>
      </c>
      <c r="H488" s="1100">
        <f>RATINGS!S216</f>
        <v>2.3272917899381458</v>
      </c>
      <c r="I488" s="2891" t="str">
        <f>RATINGS!U216</f>
        <v>BBB</v>
      </c>
      <c r="J488" s="3023" t="str">
        <f>RATINGS!W216</f>
        <v>=  =  -</v>
      </c>
    </row>
    <row r="489" spans="4:25">
      <c r="D489" s="1155" t="s">
        <v>22</v>
      </c>
      <c r="E489" s="73" t="s">
        <v>39</v>
      </c>
      <c r="F489" s="1100">
        <f>RATINGS!H218</f>
        <v>0.8681653104372461</v>
      </c>
      <c r="G489" s="3035">
        <f>RATINGS!N218</f>
        <v>0.43916945384982109</v>
      </c>
      <c r="H489" s="1100">
        <f>RATINGS!S218</f>
        <v>2.6312459451226378</v>
      </c>
      <c r="I489" s="2891" t="str">
        <f>RATINGS!U218</f>
        <v>BBB</v>
      </c>
      <c r="J489" s="3023" t="str">
        <f>RATINGS!W218</f>
        <v>­  = =</v>
      </c>
    </row>
    <row r="490" spans="4:25">
      <c r="D490" s="1155" t="s">
        <v>21</v>
      </c>
      <c r="E490" s="73" t="s">
        <v>278</v>
      </c>
      <c r="F490" s="1100">
        <f>RATINGS!H219</f>
        <v>0.36949564830152554</v>
      </c>
      <c r="G490" s="3035">
        <f>RATINGS!N219</f>
        <v>0.62319136029119382</v>
      </c>
      <c r="H490" s="1100">
        <f>RATINGS!S219</f>
        <v>2.9018039513877327</v>
      </c>
      <c r="I490" s="2891" t="str">
        <f>RATINGS!U219</f>
        <v>BBB</v>
      </c>
      <c r="J490" s="3023" t="str">
        <f>RATINGS!W219</f>
        <v>=  ¯ -</v>
      </c>
    </row>
    <row r="491" spans="4:25">
      <c r="D491" s="1155" t="s">
        <v>28</v>
      </c>
      <c r="E491" s="73" t="s">
        <v>53</v>
      </c>
      <c r="F491" s="1100">
        <f>RATINGS!H220</f>
        <v>7.6264209224823549</v>
      </c>
      <c r="G491" s="3035">
        <f>RATINGS!N220</f>
        <v>0.57929804018594233</v>
      </c>
      <c r="H491" s="1100">
        <f>RATINGS!S220</f>
        <v>3.1940393135057517</v>
      </c>
      <c r="I491" s="2891" t="str">
        <f>RATINGS!U220</f>
        <v>BBB</v>
      </c>
      <c r="J491" s="3023" t="str">
        <f>RATINGS!W220</f>
        <v>¯  ¯ ¯</v>
      </c>
    </row>
    <row r="492" spans="4:25">
      <c r="D492" s="3018" t="s">
        <v>25</v>
      </c>
      <c r="E492" s="2049" t="s">
        <v>286</v>
      </c>
      <c r="F492" s="3030">
        <f>RATINGS!H221</f>
        <v>1.7672775255004274</v>
      </c>
      <c r="G492" s="3036">
        <f>RATINGS!N221</f>
        <v>0.75672107111582532</v>
      </c>
      <c r="H492" s="3030">
        <f>RATINGS!S221</f>
        <v>3.2616701007153726</v>
      </c>
      <c r="I492" s="2716" t="str">
        <f>RATINGS!U221</f>
        <v>BBB-</v>
      </c>
      <c r="J492" s="2019" t="str">
        <f>RATINGS!W221</f>
        <v>=  ¯ ¯</v>
      </c>
    </row>
    <row r="493" spans="4:25">
      <c r="D493" s="1155" t="s">
        <v>26</v>
      </c>
      <c r="E493" s="73" t="s">
        <v>44</v>
      </c>
      <c r="F493" s="1100">
        <f>RATINGS!H222</f>
        <v>1.1705727487730917</v>
      </c>
      <c r="G493" s="3035">
        <f>RATINGS!N222</f>
        <v>0.63323863537070213</v>
      </c>
      <c r="H493" s="1100">
        <f>RATINGS!S222</f>
        <v>3.4864609329129088</v>
      </c>
      <c r="I493" s="2891" t="str">
        <f>RATINGS!U222</f>
        <v>BBB-</v>
      </c>
      <c r="J493" s="3023" t="str">
        <f>RATINGS!W222</f>
        <v>=  ¯ =</v>
      </c>
    </row>
    <row r="494" spans="4:25" ht="13.8" thickBot="1">
      <c r="D494" s="1155" t="s">
        <v>27</v>
      </c>
      <c r="E494" s="73" t="s">
        <v>54</v>
      </c>
      <c r="F494" s="1100">
        <f>RATINGS!H223</f>
        <v>0.46011591895944282</v>
      </c>
      <c r="G494" s="3035">
        <f>RATINGS!N223</f>
        <v>0.7506672643344422</v>
      </c>
      <c r="H494" s="1100">
        <f>RATINGS!S223</f>
        <v>5.2345843405403958</v>
      </c>
      <c r="I494" s="2891" t="str">
        <f>RATINGS!U223</f>
        <v>BBB-</v>
      </c>
      <c r="J494" s="3023" t="str">
        <f>RATINGS!W223</f>
        <v>¯  ¯ ¯</v>
      </c>
    </row>
    <row r="495" spans="4:25" ht="13.8" thickTop="1">
      <c r="D495" s="3019" t="s">
        <v>20</v>
      </c>
      <c r="E495" s="2064" t="s">
        <v>774</v>
      </c>
      <c r="F495" s="3032">
        <f>RATINGS!H224</f>
        <v>0.69500255344135098</v>
      </c>
      <c r="G495" s="3038">
        <f>RATINGS!N224</f>
        <v>0.4832654138496531</v>
      </c>
      <c r="H495" s="3032">
        <f>RATINGS!S224</f>
        <v>4.5021054628416168</v>
      </c>
      <c r="I495" s="3025" t="str">
        <f>RATINGS!U224</f>
        <v>B+</v>
      </c>
      <c r="J495" s="3026" t="str">
        <f>RATINGS!W224</f>
        <v>=  =  =</v>
      </c>
    </row>
    <row r="496" spans="4:25" ht="13.8" thickBot="1">
      <c r="D496" s="1155" t="s">
        <v>24</v>
      </c>
      <c r="E496" s="73" t="s">
        <v>42</v>
      </c>
      <c r="F496" s="1100">
        <f>RATINGS!H225</f>
        <v>0.50480112543665634</v>
      </c>
      <c r="G496" s="3035">
        <f>RATINGS!N225</f>
        <v>0.44527495080222473</v>
      </c>
      <c r="H496" s="1100">
        <f>RATINGS!S225</f>
        <v>2.363530842925047</v>
      </c>
      <c r="I496" s="2891" t="str">
        <f>RATINGS!U225</f>
        <v>B-</v>
      </c>
      <c r="J496" s="3023" t="str">
        <f>RATINGS!W225</f>
        <v>=  =  -</v>
      </c>
    </row>
    <row r="497" spans="4:10" ht="13.8" thickTop="1">
      <c r="D497" s="3020" t="s">
        <v>19</v>
      </c>
      <c r="E497" s="2070" t="s">
        <v>287</v>
      </c>
      <c r="F497" s="3033">
        <f>RATINGS!H226</f>
        <v>1.6429367918457434</v>
      </c>
      <c r="G497" s="3039">
        <f>RATINGS!N226</f>
        <v>0.12849893093161849</v>
      </c>
      <c r="H497" s="3033">
        <f>RATINGS!S226</f>
        <v>1.2892026320099024</v>
      </c>
      <c r="I497" s="3027" t="s">
        <v>2095</v>
      </c>
      <c r="J497" s="3027"/>
    </row>
    <row r="498" spans="4:10">
      <c r="D498" s="1957" t="s">
        <v>29</v>
      </c>
      <c r="E498" s="73" t="s">
        <v>282</v>
      </c>
      <c r="F498" s="1100">
        <f>RATINGS!H229</f>
        <v>0.69111614142702515</v>
      </c>
      <c r="G498" s="3035">
        <f>RATINGS!N229</f>
        <v>0.28147528322389997</v>
      </c>
      <c r="H498" s="1100">
        <f>RATINGS!S229</f>
        <v>1.635715357616891</v>
      </c>
      <c r="I498" s="2891" t="s">
        <v>2095</v>
      </c>
      <c r="J498" s="2891"/>
    </row>
    <row r="499" spans="4:10">
      <c r="D499" s="1156" t="s">
        <v>20</v>
      </c>
      <c r="E499" s="726" t="s">
        <v>773</v>
      </c>
      <c r="F499" s="1102">
        <f>RATINGS!H227</f>
        <v>0.16482203014996988</v>
      </c>
      <c r="G499" s="3040">
        <f>RATINGS!N227</f>
        <v>0.4561905930983241</v>
      </c>
      <c r="H499" s="1102">
        <f>RATINGS!S227</f>
        <v>1.7015264130947394</v>
      </c>
      <c r="I499" s="2101" t="s">
        <v>2095</v>
      </c>
      <c r="J499" s="3028"/>
    </row>
    <row r="500" spans="4:10">
      <c r="D500" s="1366" t="s">
        <v>27</v>
      </c>
      <c r="E500" s="106" t="s">
        <v>357</v>
      </c>
      <c r="F500" s="1116">
        <f>RATINGS!H228</f>
        <v>9.6576950176241697E-2</v>
      </c>
      <c r="G500" s="3041">
        <f>RATINGS!N228</f>
        <v>0.46507375880431212</v>
      </c>
      <c r="H500" s="1116">
        <f>RATINGS!S228</f>
        <v>1.8854531506487362</v>
      </c>
      <c r="I500" s="90" t="s">
        <v>2095</v>
      </c>
      <c r="J500" s="90"/>
    </row>
    <row r="502" spans="4:10">
      <c r="D502" s="4" t="s">
        <v>2441</v>
      </c>
    </row>
    <row r="503" spans="4:10">
      <c r="D503" s="4" t="s">
        <v>2442</v>
      </c>
    </row>
    <row r="504" spans="4:10">
      <c r="D504" s="4" t="s">
        <v>2443</v>
      </c>
    </row>
    <row r="507" spans="4:10">
      <c r="D507" s="1041" t="s">
        <v>2448</v>
      </c>
      <c r="I507" s="4"/>
    </row>
    <row r="508" spans="4:10">
      <c r="I508" s="4"/>
    </row>
    <row r="509" spans="4:10">
      <c r="D509" s="470"/>
      <c r="E509" s="470" t="s">
        <v>2449</v>
      </c>
      <c r="F509" s="470" t="s">
        <v>38</v>
      </c>
      <c r="G509" s="470" t="s">
        <v>37</v>
      </c>
      <c r="H509" s="470" t="s">
        <v>36</v>
      </c>
      <c r="I509" s="470" t="s">
        <v>799</v>
      </c>
    </row>
    <row r="510" spans="4:10">
      <c r="D510" s="3042">
        <v>2013</v>
      </c>
      <c r="E510" s="3047" t="str">
        <f>I9</f>
        <v>BBB</v>
      </c>
      <c r="F510" s="3042" t="str">
        <f>F9</f>
        <v>B+</v>
      </c>
      <c r="G510" s="3042" t="str">
        <f>C9</f>
        <v>A-</v>
      </c>
      <c r="H510" s="3042" t="str">
        <f>L9</f>
        <v>BBB</v>
      </c>
      <c r="I510" s="3047" t="str">
        <f>O9</f>
        <v>BBB</v>
      </c>
    </row>
    <row r="511" spans="4:10">
      <c r="D511" s="3043" t="s">
        <v>2456</v>
      </c>
      <c r="E511" s="3044" t="s">
        <v>2450</v>
      </c>
      <c r="F511" s="3044" t="s">
        <v>2451</v>
      </c>
      <c r="G511" s="3044" t="s">
        <v>2452</v>
      </c>
      <c r="H511" s="3044"/>
      <c r="I511" s="3044" t="s">
        <v>2452</v>
      </c>
    </row>
    <row r="512" spans="4:10">
      <c r="D512" s="3045" t="s">
        <v>2457</v>
      </c>
      <c r="E512" s="3046" t="s">
        <v>2453</v>
      </c>
      <c r="F512" s="3046" t="s">
        <v>2453</v>
      </c>
      <c r="G512" s="3046" t="s">
        <v>2454</v>
      </c>
      <c r="H512" s="3046"/>
      <c r="I512" s="3046" t="s">
        <v>2455</v>
      </c>
    </row>
    <row r="513" spans="1:27">
      <c r="D513" s="3011">
        <v>2010</v>
      </c>
      <c r="E513" s="1175" t="s">
        <v>69</v>
      </c>
      <c r="F513" s="3011"/>
      <c r="G513" s="3011" t="s">
        <v>67</v>
      </c>
      <c r="H513" s="3011" t="s">
        <v>68</v>
      </c>
      <c r="I513" s="1175" t="s">
        <v>68</v>
      </c>
    </row>
    <row r="516" spans="1:27" s="6" customFormat="1">
      <c r="A516" s="2302" t="s">
        <v>1816</v>
      </c>
      <c r="AA516" s="8"/>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dimension ref="A1:BF396"/>
  <sheetViews>
    <sheetView showGridLines="0" zoomScale="90" zoomScaleNormal="90" workbookViewId="0">
      <pane xSplit="2" ySplit="6" topLeftCell="C7" activePane="bottomRight" state="frozen"/>
      <selection pane="topRight" activeCell="C1" sqref="C1"/>
      <selection pane="bottomLeft" activeCell="A6" sqref="A6"/>
      <selection pane="bottomRight" activeCell="AD363" sqref="AD363"/>
    </sheetView>
  </sheetViews>
  <sheetFormatPr baseColWidth="10" defaultRowHeight="13.2"/>
  <cols>
    <col min="1" max="1" width="14.88671875" style="1155" customWidth="1"/>
    <col min="2" max="2" width="13.21875" style="1002" customWidth="1"/>
    <col min="3" max="3" width="8.5546875" style="1002" customWidth="1"/>
    <col min="4" max="4" width="9.77734375" style="120" customWidth="1"/>
    <col min="5" max="5" width="8.33203125" style="1002" customWidth="1"/>
    <col min="6" max="6" width="10.44140625" style="1002" customWidth="1"/>
    <col min="7" max="7" width="7.5546875" style="1002" customWidth="1"/>
    <col min="8" max="8" width="9.44140625" style="120" customWidth="1"/>
    <col min="9" max="9" width="10.5546875" style="120" hidden="1" customWidth="1"/>
    <col min="10" max="10" width="7.77734375" style="120" hidden="1" customWidth="1"/>
    <col min="11" max="11" width="6.109375" style="1002" customWidth="1"/>
    <col min="12" max="12" width="8.33203125" style="1002" customWidth="1"/>
    <col min="13" max="13" width="7.33203125" style="1002" customWidth="1"/>
    <col min="14" max="14" width="7.44140625" style="1002" customWidth="1"/>
    <col min="15" max="15" width="8.21875" style="1002" customWidth="1"/>
    <col min="16" max="16" width="6.33203125" style="1002" customWidth="1"/>
    <col min="17" max="17" width="6.88671875" style="1068" customWidth="1"/>
    <col min="18" max="18" width="8.109375" style="1068" customWidth="1"/>
    <col min="19" max="19" width="8.33203125" style="1068" customWidth="1"/>
    <col min="20" max="20" width="6.33203125" style="1002" customWidth="1"/>
    <col min="21" max="21" width="8.109375" style="1002" customWidth="1"/>
    <col min="22" max="22" width="6.77734375" style="1002" customWidth="1"/>
    <col min="23" max="23" width="8.21875" style="1068" customWidth="1"/>
    <col min="24" max="24" width="7.88671875" style="1068" customWidth="1"/>
    <col min="25" max="25" width="9.44140625" style="1002" customWidth="1"/>
    <col min="26" max="26" width="8" style="1002" customWidth="1"/>
    <col min="27" max="27" width="5.44140625" style="1002" customWidth="1"/>
    <col min="28" max="28" width="7.5546875" style="1002" customWidth="1"/>
    <col min="29" max="29" width="7.109375" style="1002" customWidth="1"/>
    <col min="30" max="32" width="11.5546875" style="1002"/>
    <col min="33" max="33" width="11.5546875" style="2896"/>
    <col min="34" max="34" width="12.77734375" style="1002" hidden="1" customWidth="1"/>
    <col min="35" max="43" width="11.5546875" style="1002" hidden="1" customWidth="1"/>
    <col min="44" max="46" width="11.5546875" style="111" hidden="1" customWidth="1"/>
    <col min="47" max="56" width="11.5546875" style="1002" hidden="1" customWidth="1"/>
    <col min="57" max="57" width="11.5546875" style="2143"/>
    <col min="58" max="16384" width="11.5546875" style="1002"/>
  </cols>
  <sheetData>
    <row r="1" spans="1:58">
      <c r="A1" s="1192" t="s">
        <v>1237</v>
      </c>
      <c r="B1" s="1193"/>
      <c r="C1" s="3655" t="s">
        <v>1050</v>
      </c>
      <c r="D1" s="3656"/>
      <c r="E1" s="3656"/>
      <c r="F1" s="3656"/>
      <c r="G1" s="3656"/>
      <c r="H1" s="3657"/>
      <c r="I1" s="3659" t="s">
        <v>1058</v>
      </c>
      <c r="J1" s="3660"/>
      <c r="K1" s="3325" t="s">
        <v>792</v>
      </c>
      <c r="L1" s="3329"/>
      <c r="M1" s="3330"/>
      <c r="N1" s="3334" t="s">
        <v>1318</v>
      </c>
      <c r="O1" s="3335"/>
      <c r="P1" s="3336"/>
      <c r="Q1" s="3337" t="s">
        <v>1071</v>
      </c>
      <c r="R1" s="3338"/>
      <c r="S1" s="3339"/>
      <c r="T1" s="3334" t="s">
        <v>1078</v>
      </c>
      <c r="U1" s="3335"/>
      <c r="V1" s="3340"/>
      <c r="W1" s="3325" t="s">
        <v>1072</v>
      </c>
      <c r="X1" s="3326"/>
      <c r="Y1" s="3327" t="s">
        <v>103</v>
      </c>
      <c r="Z1" s="3328"/>
      <c r="AA1" s="3325" t="s">
        <v>1064</v>
      </c>
      <c r="AB1" s="3329"/>
      <c r="AC1" s="3330"/>
      <c r="AL1" s="1176" t="s">
        <v>2606</v>
      </c>
      <c r="AM1" s="1176" t="s">
        <v>1095</v>
      </c>
      <c r="AN1" s="111" t="s">
        <v>1128</v>
      </c>
      <c r="AO1" s="111" t="s">
        <v>1179</v>
      </c>
      <c r="AP1" s="1164" t="s">
        <v>1182</v>
      </c>
      <c r="AQ1" s="111" t="s">
        <v>1179</v>
      </c>
      <c r="AU1" s="111"/>
      <c r="AV1" s="111"/>
    </row>
    <row r="2" spans="1:58" s="149" customFormat="1">
      <c r="A2" s="1183"/>
      <c r="B2" s="1194"/>
      <c r="C2" s="3331" t="s">
        <v>483</v>
      </c>
      <c r="D2" s="3332"/>
      <c r="E2" s="3332"/>
      <c r="F2" s="3332"/>
      <c r="G2" s="3658" t="s">
        <v>1278</v>
      </c>
      <c r="H2" s="3333"/>
      <c r="I2" s="1082" t="s">
        <v>483</v>
      </c>
      <c r="J2" s="1099" t="s">
        <v>367</v>
      </c>
      <c r="K2" s="3331" t="s">
        <v>483</v>
      </c>
      <c r="L2" s="3332"/>
      <c r="M2" s="1103" t="s">
        <v>1278</v>
      </c>
      <c r="N2" s="3331" t="s">
        <v>483</v>
      </c>
      <c r="O2" s="3332"/>
      <c r="P2" s="1103" t="s">
        <v>367</v>
      </c>
      <c r="Q2" s="3331" t="s">
        <v>483</v>
      </c>
      <c r="R2" s="3332"/>
      <c r="S2" s="1103" t="s">
        <v>1278</v>
      </c>
      <c r="T2" s="3331" t="s">
        <v>483</v>
      </c>
      <c r="U2" s="3332"/>
      <c r="V2" s="1103" t="s">
        <v>1278</v>
      </c>
      <c r="W2" s="3331" t="s">
        <v>483</v>
      </c>
      <c r="X2" s="3333"/>
      <c r="Y2" s="3331" t="s">
        <v>511</v>
      </c>
      <c r="Z2" s="3333"/>
      <c r="AA2" s="3331" t="s">
        <v>483</v>
      </c>
      <c r="AB2" s="3332"/>
      <c r="AC2" s="1103" t="s">
        <v>1278</v>
      </c>
      <c r="AM2" s="1176" t="s">
        <v>1096</v>
      </c>
      <c r="AN2" s="111" t="s">
        <v>1128</v>
      </c>
      <c r="AO2" s="111" t="s">
        <v>1179</v>
      </c>
      <c r="AP2" s="1164" t="s">
        <v>1181</v>
      </c>
      <c r="AQ2" s="111" t="s">
        <v>1179</v>
      </c>
      <c r="AR2" s="1166"/>
      <c r="AS2" s="1164"/>
      <c r="AT2" s="1166"/>
      <c r="AU2" s="1166"/>
      <c r="AV2" s="1166"/>
      <c r="BE2" s="3139"/>
    </row>
    <row r="3" spans="1:58">
      <c r="A3" s="1183" t="s">
        <v>1070</v>
      </c>
      <c r="B3" s="1195">
        <f>COUNT(C7:C28)</f>
        <v>22</v>
      </c>
      <c r="C3" s="143" t="s">
        <v>509</v>
      </c>
      <c r="D3" s="1104" t="s">
        <v>1051</v>
      </c>
      <c r="E3" s="1105" t="s">
        <v>1052</v>
      </c>
      <c r="F3" s="1106" t="s">
        <v>732</v>
      </c>
      <c r="G3" s="1107"/>
      <c r="H3" s="1108" t="s">
        <v>1051</v>
      </c>
      <c r="I3" s="143" t="s">
        <v>509</v>
      </c>
      <c r="J3" s="1109"/>
      <c r="K3" s="1110" t="s">
        <v>377</v>
      </c>
      <c r="L3" s="1111" t="s">
        <v>1052</v>
      </c>
      <c r="M3" s="1083" t="s">
        <v>800</v>
      </c>
      <c r="N3" s="1110" t="s">
        <v>377</v>
      </c>
      <c r="O3" s="1111" t="s">
        <v>1052</v>
      </c>
      <c r="P3" s="1083" t="s">
        <v>800</v>
      </c>
      <c r="Q3" s="1110" t="s">
        <v>377</v>
      </c>
      <c r="R3" s="1111" t="s">
        <v>1052</v>
      </c>
      <c r="S3" s="1083" t="s">
        <v>800</v>
      </c>
      <c r="T3" s="1110" t="s">
        <v>377</v>
      </c>
      <c r="U3" s="1111" t="s">
        <v>1052</v>
      </c>
      <c r="V3" s="1083" t="s">
        <v>800</v>
      </c>
      <c r="W3" s="1105" t="s">
        <v>1080</v>
      </c>
      <c r="X3" s="1105" t="s">
        <v>1081</v>
      </c>
      <c r="Y3" s="143" t="s">
        <v>101</v>
      </c>
      <c r="Z3" s="157" t="s">
        <v>104</v>
      </c>
      <c r="AA3" s="1110" t="s">
        <v>377</v>
      </c>
      <c r="AB3" s="1111" t="s">
        <v>1052</v>
      </c>
      <c r="AC3" s="1083" t="s">
        <v>800</v>
      </c>
      <c r="AM3" s="1176" t="s">
        <v>1096</v>
      </c>
      <c r="AN3" s="1164" t="s">
        <v>1129</v>
      </c>
      <c r="AO3" s="111" t="s">
        <v>1179</v>
      </c>
      <c r="AP3" s="1164" t="s">
        <v>1183</v>
      </c>
      <c r="AQ3" s="111" t="s">
        <v>1179</v>
      </c>
      <c r="AR3" s="111" t="s">
        <v>1131</v>
      </c>
      <c r="AS3" s="1164"/>
      <c r="AU3" s="111"/>
      <c r="AV3" s="111"/>
    </row>
    <row r="4" spans="1:58" ht="13.2" customHeight="1">
      <c r="A4" s="1183" t="s">
        <v>1089</v>
      </c>
      <c r="B4" s="84" t="s">
        <v>1069</v>
      </c>
      <c r="C4" s="112">
        <f>AVERAGE(C7:C28)</f>
        <v>17740.134909883913</v>
      </c>
      <c r="D4" s="1084"/>
      <c r="E4" s="1101">
        <f>AVERAGE(E7:E28)</f>
        <v>-2.3851064758710974E-2</v>
      </c>
      <c r="F4" s="1085"/>
      <c r="G4" s="118">
        <f>AVERAGE(G7:G28)</f>
        <v>16414.351914646257</v>
      </c>
      <c r="H4" s="115"/>
      <c r="I4" s="1100">
        <f>AVERAGE(I7:I28)</f>
        <v>1.9858789889507662</v>
      </c>
      <c r="J4" s="1100">
        <f>AVERAGE(J7:J28)</f>
        <v>3.421812134352884</v>
      </c>
      <c r="K4" s="132">
        <f>AVERAGE(K7:K28)</f>
        <v>5.7179308075518716</v>
      </c>
      <c r="L4" s="117"/>
      <c r="M4" s="131">
        <f>AVERAGE(M7:M28)</f>
        <v>5.6740755360468889</v>
      </c>
      <c r="N4" s="103">
        <f>AVERAGE(N7:N28)</f>
        <v>0.52235043496539046</v>
      </c>
      <c r="O4" s="150"/>
      <c r="P4" s="104">
        <f>AVERAGE(P7:P28)</f>
        <v>0.54476787389417491</v>
      </c>
      <c r="Q4" s="103">
        <f>AVERAGE(Q7:Q28)</f>
        <v>0.35910504197369392</v>
      </c>
      <c r="R4" s="150"/>
      <c r="S4" s="104">
        <f>AVERAGE(S7:S28)</f>
        <v>0.397913766092787</v>
      </c>
      <c r="T4" s="103">
        <f>AVERAGE(T7:T28)</f>
        <v>0.39802437502436577</v>
      </c>
      <c r="U4" s="150"/>
      <c r="V4" s="104">
        <f>AVERAGE(V7:V28)</f>
        <v>0.43949371451150621</v>
      </c>
      <c r="W4" s="117">
        <f>AVERAGE(W7:W28)</f>
        <v>3.8919333050671863E-2</v>
      </c>
      <c r="X4" s="117">
        <f>AVERAGE(X7:X28)</f>
        <v>0.14674042712667107</v>
      </c>
      <c r="Y4" s="80" t="s">
        <v>1053</v>
      </c>
      <c r="Z4" s="85"/>
      <c r="AA4" s="132">
        <f>AVERAGE(AA7:AA28)</f>
        <v>2.1121798431666194</v>
      </c>
      <c r="AB4" s="151"/>
      <c r="AC4" s="131">
        <f>AVERAGE(AC7:AC28)</f>
        <v>2.2702022099742205</v>
      </c>
      <c r="AM4" s="1176" t="s">
        <v>1096</v>
      </c>
      <c r="AN4" s="1164" t="s">
        <v>1130</v>
      </c>
      <c r="AO4" s="111" t="s">
        <v>1179</v>
      </c>
      <c r="AP4" s="1164" t="s">
        <v>1183</v>
      </c>
      <c r="AQ4" s="111" t="s">
        <v>1179</v>
      </c>
      <c r="AR4" s="111" t="s">
        <v>1184</v>
      </c>
      <c r="AS4" s="1002"/>
      <c r="AU4" s="111"/>
      <c r="AV4" s="111"/>
    </row>
    <row r="5" spans="1:58" s="1158" customFormat="1" ht="13.2" customHeight="1">
      <c r="A5" s="1183"/>
      <c r="B5" s="84" t="s">
        <v>1124</v>
      </c>
      <c r="C5" s="1225">
        <f>MEDIAN(C7:C28)</f>
        <v>6809.8359425385843</v>
      </c>
      <c r="D5" s="1084"/>
      <c r="E5" s="1338">
        <f>MEDIAN(E7:E28)</f>
        <v>-0.10847820549979714</v>
      </c>
      <c r="F5" s="1085"/>
      <c r="G5" s="118">
        <f>MEDIAN(G7:G28)</f>
        <v>6322.7299499999999</v>
      </c>
      <c r="H5" s="115"/>
      <c r="I5" s="1100"/>
      <c r="J5" s="1100"/>
      <c r="K5" s="132">
        <f>MEDIAN(K7:K28)</f>
        <v>5.3424534211511574</v>
      </c>
      <c r="L5" s="117"/>
      <c r="M5" s="131">
        <f>MEDIAN(M7:M28)</f>
        <v>5.3167016571932431</v>
      </c>
      <c r="N5" s="103">
        <f>MEDIAN(N7:N28)</f>
        <v>0.59396519891690203</v>
      </c>
      <c r="O5" s="150"/>
      <c r="P5" s="104">
        <f>MEDIAN(P7:P28)</f>
        <v>0.62359828525618355</v>
      </c>
      <c r="Q5" s="103">
        <f>MEDIAN(Q7:Q28)</f>
        <v>0.37592759247651186</v>
      </c>
      <c r="R5" s="150"/>
      <c r="S5" s="104">
        <f>MEDIAN(S7:S28)</f>
        <v>0.35324048893528481</v>
      </c>
      <c r="T5" s="103">
        <f>MEDIAN(T7:T28)</f>
        <v>0.43894270290351611</v>
      </c>
      <c r="U5" s="150"/>
      <c r="V5" s="104">
        <f>MEDIAN(V7:V28)</f>
        <v>0.44222220232602294</v>
      </c>
      <c r="W5" s="117">
        <f>MEDIAN(W7:W28)</f>
        <v>2.838003076872446E-2</v>
      </c>
      <c r="X5" s="117">
        <f>MEDIAN(X7:X28)</f>
        <v>0.10749583518266115</v>
      </c>
      <c r="Y5" s="80" t="s">
        <v>1054</v>
      </c>
      <c r="Z5" s="85"/>
      <c r="AA5" s="132">
        <f>MEDIAN(AA7:AA28)</f>
        <v>2.1652734031482241</v>
      </c>
      <c r="AB5" s="151"/>
      <c r="AC5" s="131">
        <f>MEDIAN(AC7:AC28)</f>
        <v>2.266022980733382</v>
      </c>
      <c r="AG5" s="2896"/>
      <c r="AM5" s="1176" t="s">
        <v>1096</v>
      </c>
      <c r="AN5" s="1164" t="s">
        <v>1132</v>
      </c>
      <c r="AO5" s="111" t="s">
        <v>1179</v>
      </c>
      <c r="AP5" s="1164" t="s">
        <v>794</v>
      </c>
      <c r="AQ5" s="111" t="s">
        <v>1179</v>
      </c>
      <c r="AR5" s="111" t="s">
        <v>1131</v>
      </c>
      <c r="AS5" s="111"/>
      <c r="AT5" s="111" t="s">
        <v>1134</v>
      </c>
      <c r="AV5" s="111"/>
      <c r="BE5" s="2143"/>
      <c r="BF5" s="2896" t="s">
        <v>1816</v>
      </c>
    </row>
    <row r="6" spans="1:58" ht="13.2" customHeight="1">
      <c r="A6" s="1184"/>
      <c r="B6" s="91" t="s">
        <v>1068</v>
      </c>
      <c r="C6" s="1112"/>
      <c r="D6" s="1113"/>
      <c r="E6" s="122">
        <f>CALCULATIONS!P29</f>
        <v>-0.10177557890563894</v>
      </c>
      <c r="F6" s="1114"/>
      <c r="G6" s="123"/>
      <c r="H6" s="1115"/>
      <c r="I6" s="1116">
        <f>SUMPRODUCT(I7:I28,$D$7:$D$28)</f>
        <v>1.5913950440925444</v>
      </c>
      <c r="J6" s="1116">
        <f>SUMPRODUCT(J7:J28,$H$7:$H$28)</f>
        <v>4.673281207346129</v>
      </c>
      <c r="K6" s="158">
        <f>SUMPRODUCT(K7:K28,$D$7:$D$28)</f>
        <v>6.107386174559605</v>
      </c>
      <c r="L6" s="122"/>
      <c r="M6" s="159">
        <f>SUMPRODUCT(M7:M28,$H$7:$H$28)</f>
        <v>6.6507174838958312</v>
      </c>
      <c r="N6" s="160">
        <f>SUMPRODUCT(N7:N28,$D$7:$D$28)</f>
        <v>0.62585595875210631</v>
      </c>
      <c r="O6" s="122"/>
      <c r="P6" s="1117">
        <f>SUMPRODUCT(P7:P28,$H$7:$H$28)</f>
        <v>0.62875409332854482</v>
      </c>
      <c r="Q6" s="160">
        <f>SUMPRODUCT(Q7:Q28,$D$7:$D$28)</f>
        <v>0.36588419844568371</v>
      </c>
      <c r="R6" s="122"/>
      <c r="S6" s="1117">
        <f>SUMPRODUCT(S7:S28,$H$7:$H$28)</f>
        <v>0.35933567043362463</v>
      </c>
      <c r="T6" s="160">
        <f>SUMPRODUCT(T7:T28,$D$7:$D$28)</f>
        <v>0.4049663112071929</v>
      </c>
      <c r="U6" s="122"/>
      <c r="V6" s="1117">
        <f>SUMPRODUCT(V7:V28,$H$7:$H$28)</f>
        <v>0.40108137654546638</v>
      </c>
      <c r="W6" s="122">
        <f>SUMPRODUCT(W7:W28,$D$7:$D$28)</f>
        <v>3.908211276150933E-2</v>
      </c>
      <c r="X6" s="122">
        <f>SUMPRODUCT(X7:X28,$D$7:$D$28)</f>
        <v>0.12470220094796375</v>
      </c>
      <c r="Y6" s="89"/>
      <c r="Z6" s="1118"/>
      <c r="AA6" s="158">
        <f>SUMPRODUCT(AA7:AA28,$D$7:$D$28)</f>
        <v>2.2700754333431159</v>
      </c>
      <c r="AB6" s="161"/>
      <c r="AC6" s="159">
        <f>SUMPRODUCT(AC7:AC28,$H$7:$H$28)</f>
        <v>2.3687197914973996</v>
      </c>
      <c r="AH6" s="111" t="s">
        <v>1096</v>
      </c>
      <c r="AI6" s="1177" t="s">
        <v>1097</v>
      </c>
      <c r="AJ6" s="1177" t="s">
        <v>1178</v>
      </c>
      <c r="AM6" s="1176" t="s">
        <v>1096</v>
      </c>
      <c r="AN6" s="1164" t="s">
        <v>1180</v>
      </c>
      <c r="AO6" s="111" t="s">
        <v>1179</v>
      </c>
      <c r="AP6" s="1164" t="s">
        <v>794</v>
      </c>
      <c r="AQ6" s="111" t="s">
        <v>1179</v>
      </c>
      <c r="AR6" s="111" t="s">
        <v>1184</v>
      </c>
      <c r="AT6" s="1177" t="s">
        <v>1133</v>
      </c>
      <c r="AU6" s="1177" t="s">
        <v>1135</v>
      </c>
      <c r="AV6" s="1177"/>
      <c r="AW6" s="79"/>
      <c r="BE6" s="3140"/>
    </row>
    <row r="7" spans="1:58">
      <c r="A7" s="1191" t="s">
        <v>502</v>
      </c>
      <c r="B7" s="73" t="s">
        <v>52</v>
      </c>
      <c r="C7" s="116">
        <f>CALCULATIONS!N5</f>
        <v>40464.923042857146</v>
      </c>
      <c r="D7" s="114">
        <f t="shared" ref="D7:D28" si="0">C7/$C$4/$B$3</f>
        <v>0.1036809862557167</v>
      </c>
      <c r="E7" s="117">
        <f>CALCULATIONS!P5</f>
        <v>-6.1458653761923776E-2</v>
      </c>
      <c r="F7" s="117">
        <f>CALCULATIONS!R5</f>
        <v>4.0316925143715168E-2</v>
      </c>
      <c r="G7" s="118">
        <f>CALCULATIONS!M5</f>
        <v>39791.94</v>
      </c>
      <c r="H7" s="115">
        <f t="shared" ref="H7:H28" si="1">G7/$G$4/$B$3</f>
        <v>0.1101916514803518</v>
      </c>
      <c r="I7" s="1100">
        <f>CALCULATIONS!PE5</f>
        <v>1.0840589348936991</v>
      </c>
      <c r="J7" s="1100">
        <f>CALCULATIONS!PD5</f>
        <v>1.2733420800000002</v>
      </c>
      <c r="K7" s="132">
        <f>CALCULATIONS!FV5</f>
        <v>4.9905713850513198</v>
      </c>
      <c r="L7" s="117">
        <f>CALCULATIONS!FW5</f>
        <v>0.1448238320606966</v>
      </c>
      <c r="M7" s="131">
        <f>CALCULATIONS!FU5</f>
        <v>5.2964626193065953</v>
      </c>
      <c r="N7" s="103">
        <f>PROFILES!E378</f>
        <v>0.61</v>
      </c>
      <c r="O7" s="117">
        <f>PROFILES!N100</f>
        <v>0</v>
      </c>
      <c r="P7" s="104">
        <f>PROFILES!G378</f>
        <v>0.62983042679437373</v>
      </c>
      <c r="Q7" s="103">
        <f>CALCULATIONS!GP5</f>
        <v>0.51528895508035288</v>
      </c>
      <c r="R7" s="117">
        <f>CALCULATIONS!GQ5</f>
        <v>-2.4931247740904369E-2</v>
      </c>
      <c r="S7" s="104">
        <f>CALCULATIONS!GO5</f>
        <v>0.51939744871548044</v>
      </c>
      <c r="T7" s="103">
        <f>CALCULATIONS!HZ5</f>
        <v>0.58808850315066874</v>
      </c>
      <c r="U7" s="117">
        <f>CALCULATIONS!IA5</f>
        <v>-2.8226553900756759E-2</v>
      </c>
      <c r="V7" s="104">
        <f>CALCULATIONS!HY5</f>
        <v>0.59074959904524027</v>
      </c>
      <c r="W7" s="117">
        <f>T7-Q7</f>
        <v>7.2799548070315856E-2</v>
      </c>
      <c r="X7" s="117">
        <f>W7/Q7</f>
        <v>0.14127907721011346</v>
      </c>
      <c r="Y7" s="80" t="str">
        <f>VLOOKUP($B7,RATINGS!$B$91:$O$114,11,FALSE)</f>
        <v>BBB+</v>
      </c>
      <c r="Z7" s="1699" t="str">
        <f>VLOOKUP($B7,RATINGS!$B$91:$O$114,14,FALSE)</f>
        <v>=  =  =</v>
      </c>
      <c r="AA7" s="132">
        <f>CALCULATIONS!LF5</f>
        <v>2.7906818261625395</v>
      </c>
      <c r="AB7" s="151">
        <f>CALCULATIONS!LG5</f>
        <v>8.5841806528642844E-2</v>
      </c>
      <c r="AC7" s="131">
        <f>CALCULATIONS!LC5</f>
        <v>2.9178287645268703</v>
      </c>
      <c r="AH7" s="1095" t="s">
        <v>52</v>
      </c>
      <c r="AI7" s="1178">
        <f>CALCULATIONS!Q5</f>
        <v>-6.1458653761923776E-2</v>
      </c>
      <c r="AJ7" s="1179">
        <f>CALCULATIONS!FW5</f>
        <v>0.1448238320606966</v>
      </c>
      <c r="AR7" s="1002"/>
      <c r="AS7" s="1002"/>
      <c r="AT7" s="1178">
        <f>CALCULATIONS!DB5</f>
        <v>-0.19590347661227198</v>
      </c>
      <c r="AU7" s="1179">
        <f>CALCULATIONS!AL5</f>
        <v>-0.1071192557907365</v>
      </c>
      <c r="AV7" s="1178"/>
      <c r="AW7" s="155"/>
      <c r="BE7" s="3141"/>
    </row>
    <row r="8" spans="1:58">
      <c r="A8" s="1183" t="s">
        <v>389</v>
      </c>
      <c r="B8" s="73" t="s">
        <v>278</v>
      </c>
      <c r="C8" s="116">
        <f>CALCULATIONS!N6</f>
        <v>3544.0522571428578</v>
      </c>
      <c r="D8" s="114">
        <f t="shared" si="0"/>
        <v>9.0807248780183369E-3</v>
      </c>
      <c r="E8" s="117">
        <f>CALCULATIONS!P6</f>
        <v>-0.4675424361384804</v>
      </c>
      <c r="F8" s="117">
        <f>CALCULATIONS!R6</f>
        <v>-0.36576685723284147</v>
      </c>
      <c r="G8" s="118">
        <f>CALCULATIONS!M6</f>
        <v>2152.6311000000001</v>
      </c>
      <c r="H8" s="115">
        <f t="shared" si="1"/>
        <v>5.9610558303255963E-3</v>
      </c>
      <c r="I8" s="1100">
        <f>CALCULATIONS!PE6</f>
        <v>3.4941691326062152</v>
      </c>
      <c r="J8" s="1100">
        <f>CALCULATIONS!PD6</f>
        <v>2.2961398399999999</v>
      </c>
      <c r="K8" s="132">
        <f>CALCULATIONS!FV6</f>
        <v>4.4503654862327</v>
      </c>
      <c r="L8" s="117">
        <f>CALCULATIONS!FW6</f>
        <v>-2.9835823683801648E-2</v>
      </c>
      <c r="M8" s="131">
        <f>CALCULATIONS!FU6</f>
        <v>4.0530525032062261</v>
      </c>
      <c r="N8" s="103">
        <f>PROFILES!E379</f>
        <v>0.60910298289809772</v>
      </c>
      <c r="O8" s="117">
        <f>PROFILES!N101</f>
        <v>-5.2071170724915891E-2</v>
      </c>
      <c r="P8" s="104">
        <f>PROFILES!G379</f>
        <v>0.6207941242005639</v>
      </c>
      <c r="Q8" s="103">
        <f>CALCULATIONS!GP6</f>
        <v>0.49050145598877937</v>
      </c>
      <c r="R8" s="117">
        <f>CALCULATIONS!GQ6</f>
        <v>0.42102559519407173</v>
      </c>
      <c r="S8" s="104">
        <f>CALCULATIONS!GO6</f>
        <v>0.61744816018521742</v>
      </c>
      <c r="T8" s="103">
        <f>CALCULATIONS!HZ6</f>
        <v>0.49698573886957192</v>
      </c>
      <c r="U8" s="117">
        <f>CALCULATIONS!IA6</f>
        <v>0.41032171167013903</v>
      </c>
      <c r="V8" s="104">
        <f>CALCULATIONS!HY6</f>
        <v>0.62319136029119382</v>
      </c>
      <c r="W8" s="117">
        <f t="shared" ref="W8:W28" si="2">T8-Q8</f>
        <v>6.4842828807925579E-3</v>
      </c>
      <c r="X8" s="117">
        <f t="shared" ref="X8:X28" si="3">W8/Q8</f>
        <v>1.3219701596443154E-2</v>
      </c>
      <c r="Y8" s="80" t="str">
        <f>VLOOKUP($B8,RATINGS!$B$91:$O$114,11,FALSE)</f>
        <v>BBB</v>
      </c>
      <c r="Z8" s="1699" t="str">
        <f>VLOOKUP($B8,RATINGS!$B$91:$O$114,14,FALSE)</f>
        <v>=  ¯ -</v>
      </c>
      <c r="AA8" s="132">
        <f>CALCULATIONS!LF6</f>
        <v>2.1902281092407181</v>
      </c>
      <c r="AB8" s="151">
        <f>CALCULATIONS!LG6</f>
        <v>0.36844726500440206</v>
      </c>
      <c r="AC8" s="131">
        <f>CALCULATIONS!LC6</f>
        <v>2.5252968522290931</v>
      </c>
      <c r="AH8" s="1095" t="s">
        <v>278</v>
      </c>
      <c r="AI8" s="1178">
        <f>CALCULATIONS!Q6</f>
        <v>-0.4675424361384804</v>
      </c>
      <c r="AJ8" s="1179">
        <f>CALCULATIONS!FW6</f>
        <v>-2.9835823683801648E-2</v>
      </c>
      <c r="AR8" s="1002"/>
      <c r="AS8" s="1002"/>
      <c r="AT8" s="1178">
        <f>CALCULATIONS!DB6</f>
        <v>-0.18840898197484937</v>
      </c>
      <c r="AU8" s="1179">
        <f>CALCULATIONS!AL6</f>
        <v>-0.22424914248692834</v>
      </c>
      <c r="AV8" s="1178"/>
      <c r="AW8" s="155"/>
      <c r="BE8" s="3141"/>
    </row>
    <row r="9" spans="1:58" s="92" customFormat="1">
      <c r="A9" s="1185" t="s">
        <v>323</v>
      </c>
      <c r="B9" s="726" t="s">
        <v>772</v>
      </c>
      <c r="C9" s="1069">
        <f>CALCULATIONS!N7</f>
        <v>7616.907214285714</v>
      </c>
      <c r="D9" s="1070">
        <f t="shared" si="0"/>
        <v>1.9516371039653539E-2</v>
      </c>
      <c r="E9" s="1071">
        <f>CALCULATIONS!P7</f>
        <v>-0.33365525120929096</v>
      </c>
      <c r="F9" s="1071">
        <f>CALCULATIONS!R7</f>
        <v>-0.23187967230365203</v>
      </c>
      <c r="G9" s="1072">
        <f>CALCULATIONS!M7</f>
        <v>5825.8631999999998</v>
      </c>
      <c r="H9" s="1073">
        <f t="shared" si="1"/>
        <v>1.6132952736323161E-2</v>
      </c>
      <c r="I9" s="1102">
        <f>CALCULATIONS!PE7</f>
        <v>2.4107651340270966</v>
      </c>
      <c r="J9" s="1102">
        <f>CALCULATIONS!PD7</f>
        <v>2.0327505931612002</v>
      </c>
      <c r="K9" s="1074">
        <f>CALCULATIONS!FV7</f>
        <v>4.8426442674927213</v>
      </c>
      <c r="L9" s="1071">
        <f>CALCULATIONS!FW7</f>
        <v>0.1951757211867983</v>
      </c>
      <c r="M9" s="1075">
        <f>CALCULATIONS!FU7</f>
        <v>4.6619962755533297</v>
      </c>
      <c r="N9" s="1076">
        <f>PROFILES!E380</f>
        <v>0.37158673775730477</v>
      </c>
      <c r="O9" s="1071">
        <f>PROFILES!N102</f>
        <v>-0.1153634304384116</v>
      </c>
      <c r="P9" s="1077">
        <f>PROFILES!G380</f>
        <v>0.36037883142173305</v>
      </c>
      <c r="Q9" s="1076">
        <f>CALCULATIONS!GP7</f>
        <v>0.17383796150947908</v>
      </c>
      <c r="R9" s="1071">
        <f>CALCULATIONS!GQ7</f>
        <v>0.54445307336528614</v>
      </c>
      <c r="S9" s="1077">
        <f>CALCULATIONS!GO7</f>
        <v>0.26356163003804695</v>
      </c>
      <c r="T9" s="1076">
        <f>CALCULATIONS!HZ7</f>
        <v>0.19702478682132593</v>
      </c>
      <c r="U9" s="1071">
        <f>CALCULATIONS!IA7</f>
        <v>0.50034734616182497</v>
      </c>
      <c r="V9" s="1077">
        <f>CALCULATIONS!HY7</f>
        <v>0.28756363720088318</v>
      </c>
      <c r="W9" s="1071">
        <f t="shared" si="2"/>
        <v>2.3186825311846848E-2</v>
      </c>
      <c r="X9" s="1071">
        <f t="shared" si="3"/>
        <v>0.13338182932260462</v>
      </c>
      <c r="Y9" s="1079" t="str">
        <f>VLOOKUP($B9,RATINGS!$B$91:$O$114,11,FALSE)</f>
        <v>A</v>
      </c>
      <c r="Z9" s="2043" t="str">
        <f>VLOOKUP($B9,RATINGS!$B$91:$O$114,14,FALSE)</f>
        <v>=  =  -</v>
      </c>
      <c r="AA9" s="1074">
        <f>CALCULATIONS!LF7</f>
        <v>0.93248540191552354</v>
      </c>
      <c r="AB9" s="1078">
        <f>CALCULATIONS!LG7</f>
        <v>0.78949919521054279</v>
      </c>
      <c r="AC9" s="1075">
        <f>CALCULATIONS!LC7</f>
        <v>1.3109622071604587</v>
      </c>
      <c r="AH9" s="1180" t="s">
        <v>772</v>
      </c>
      <c r="AI9" s="1181">
        <f>CALCULATIONS!Q7</f>
        <v>-0.33365525120929096</v>
      </c>
      <c r="AJ9" s="1179">
        <f>CALCULATIONS!FW7</f>
        <v>0.1951757211867983</v>
      </c>
      <c r="AT9" s="1178">
        <f>CALCULATIONS!DB7</f>
        <v>-0.36858359461916135</v>
      </c>
      <c r="AU9" s="1179">
        <f>CALCULATIONS!AL7</f>
        <v>-0.24170472635175672</v>
      </c>
      <c r="AV9" s="1178"/>
      <c r="AW9" s="155"/>
      <c r="BE9" s="3141"/>
    </row>
    <row r="10" spans="1:58" s="92" customFormat="1">
      <c r="A10" s="1185" t="s">
        <v>323</v>
      </c>
      <c r="B10" s="726" t="s">
        <v>773</v>
      </c>
      <c r="C10" s="1069">
        <f>CALCULATIONS!N8</f>
        <v>2121.4584571428572</v>
      </c>
      <c r="D10" s="1070">
        <f t="shared" si="0"/>
        <v>5.4356931534045982E-3</v>
      </c>
      <c r="E10" s="1071">
        <f>CALCULATIONS!P8</f>
        <v>-0.63331383871554725</v>
      </c>
      <c r="F10" s="1071">
        <f>CALCULATIONS!R8</f>
        <v>-0.53153825980990832</v>
      </c>
      <c r="G10" s="1072">
        <f>CALCULATIONS!M8</f>
        <v>960.23059999999998</v>
      </c>
      <c r="H10" s="1073">
        <f t="shared" si="1"/>
        <v>2.6590660223142948E-3</v>
      </c>
      <c r="I10" s="1102">
        <f>CALCULATIONS!PE8</f>
        <v>6.3820660890696566</v>
      </c>
      <c r="J10" s="1102">
        <f>CALCULATIONS!PD8</f>
        <v>3.126768479322696</v>
      </c>
      <c r="K10" s="1074">
        <f>CALCULATIONS!FV8</f>
        <v>4.9107929634600707</v>
      </c>
      <c r="L10" s="1071">
        <f>CALCULATIONS!FW8</f>
        <v>-0.2975700901517318</v>
      </c>
      <c r="M10" s="1075">
        <f>CALCULATIONS!FU8</f>
        <v>3.6764587184436395</v>
      </c>
      <c r="N10" s="1076">
        <f>PROFILES!E381</f>
        <v>0.95644485424869818</v>
      </c>
      <c r="O10" s="1071">
        <f>PROFILES!N103</f>
        <v>5.7346309608293736E-3</v>
      </c>
      <c r="P10" s="1077">
        <f>PROFILES!G381</f>
        <v>0.97265268915223335</v>
      </c>
      <c r="Q10" s="1076">
        <f>CALCULATIONS!GP8</f>
        <v>0.16489915086810925</v>
      </c>
      <c r="R10" s="1071">
        <f>CALCULATIONS!GQ8</f>
        <v>2.0043608623878186</v>
      </c>
      <c r="S10" s="1077">
        <f>CALCULATIONS!GO8</f>
        <v>0.32988338723452482</v>
      </c>
      <c r="T10" s="1076">
        <f>CALCULATIONS!HZ8</f>
        <v>0.27218937885351913</v>
      </c>
      <c r="U10" s="1071">
        <f>CALCULATIONS!IA8</f>
        <v>1.2181747217666232</v>
      </c>
      <c r="V10" s="1077">
        <f>CALCULATIONS!HY8</f>
        <v>0.4561905930983241</v>
      </c>
      <c r="W10" s="1071">
        <f t="shared" si="2"/>
        <v>0.10729022798540988</v>
      </c>
      <c r="X10" s="1071">
        <f t="shared" si="3"/>
        <v>0.65064148250965514</v>
      </c>
      <c r="Y10" s="1079" t="str">
        <f>VLOOKUP($B10,RATINGS!$B$91:$O$114,11,FALSE)</f>
        <v>Not rated</v>
      </c>
      <c r="Z10" s="2043"/>
      <c r="AA10" s="1074">
        <f>CALCULATIONS!LF8</f>
        <v>1.2440956586918632</v>
      </c>
      <c r="AB10" s="1078">
        <f>CALCULATIONS!LG8</f>
        <v>0.5581122698382367</v>
      </c>
      <c r="AC10" s="1075">
        <f>CALCULATIONS!LC8</f>
        <v>1.6771658832683087</v>
      </c>
      <c r="AH10" s="1180" t="s">
        <v>773</v>
      </c>
      <c r="AI10" s="1181">
        <f>CALCULATIONS!Q8</f>
        <v>-0.63331383871554725</v>
      </c>
      <c r="AJ10" s="1179">
        <f>CALCULATIONS!FW8</f>
        <v>-0.2975700901517318</v>
      </c>
      <c r="AT10" s="1178">
        <f>CALCULATIONS!DB8</f>
        <v>-0.22405114665014861</v>
      </c>
      <c r="AU10" s="1179">
        <f>CALCULATIONS!AL8</f>
        <v>-0.51144797283872656</v>
      </c>
      <c r="AV10" s="1178"/>
      <c r="AW10" s="155"/>
      <c r="BE10" s="3141"/>
    </row>
    <row r="11" spans="1:58" s="92" customFormat="1">
      <c r="A11" s="1185" t="s">
        <v>323</v>
      </c>
      <c r="B11" s="726" t="s">
        <v>774</v>
      </c>
      <c r="C11" s="1069">
        <f>CALCULATIONS!N9</f>
        <v>3541.6238999999996</v>
      </c>
      <c r="D11" s="1070">
        <f t="shared" si="0"/>
        <v>9.0745028357006995E-3</v>
      </c>
      <c r="E11" s="1071">
        <f>CALCULATIONS!P9</f>
        <v>0.67327297771392325</v>
      </c>
      <c r="F11" s="1071">
        <f>CALCULATIONS!R9</f>
        <v>0.77504855661956218</v>
      </c>
      <c r="G11" s="1072">
        <f>CALCULATIONS!M9</f>
        <v>4048.9897999999998</v>
      </c>
      <c r="H11" s="1073">
        <f t="shared" si="1"/>
        <v>1.1212443346293226E-2</v>
      </c>
      <c r="I11" s="1102">
        <f>CALCULATIONS!PE9</f>
        <v>-1.4186196832586249</v>
      </c>
      <c r="J11" s="1102">
        <f>CALCULATIONS!PD9</f>
        <v>-2.7147098893731143</v>
      </c>
      <c r="K11" s="1074">
        <f>CALCULATIONS!FV9</f>
        <v>8.6861758729657641</v>
      </c>
      <c r="L11" s="1071">
        <f>CALCULATIONS!FW9</f>
        <v>0.26215680659638446</v>
      </c>
      <c r="M11" s="1075">
        <f>CALCULATIONS!FU9</f>
        <v>9.0506669895995948</v>
      </c>
      <c r="N11" s="1076">
        <f>PROFILES!E382</f>
        <v>6.4385445236561381E-2</v>
      </c>
      <c r="O11" s="1071">
        <f>PROFILES!N104</f>
        <v>14.697799124913645</v>
      </c>
      <c r="P11" s="1077">
        <f>PROFILES!G382</f>
        <v>0.15462918080465343</v>
      </c>
      <c r="Q11" s="1076">
        <f>CALCULATIONS!GP9</f>
        <v>0.42399287000325037</v>
      </c>
      <c r="R11" s="1071">
        <f>CALCULATIONS!GQ9</f>
        <v>4.5742782667206161E-2</v>
      </c>
      <c r="S11" s="1077">
        <f>CALCULATIONS!GO9</f>
        <v>0.48144640266975475</v>
      </c>
      <c r="T11" s="1076">
        <f>CALCULATIONS!HZ9</f>
        <v>0.42695023434228802</v>
      </c>
      <c r="U11" s="1071">
        <f>CALCULATIONS!IA9</f>
        <v>4.1366838913311048E-2</v>
      </c>
      <c r="V11" s="1077">
        <f>CALCULATIONS!HY9</f>
        <v>0.4832654138496531</v>
      </c>
      <c r="W11" s="1071">
        <f t="shared" si="2"/>
        <v>2.9573643390376492E-3</v>
      </c>
      <c r="X11" s="1071">
        <f t="shared" si="3"/>
        <v>6.9750331863245195E-3</v>
      </c>
      <c r="Y11" s="1079" t="str">
        <f>VLOOKUP($B11,RATINGS!$B$91:$O$114,11,FALSE)</f>
        <v>B+</v>
      </c>
      <c r="Z11" s="2043" t="str">
        <f>VLOOKUP($B11,RATINGS!$B$91:$O$114,14,FALSE)</f>
        <v>=  =  =</v>
      </c>
      <c r="AA11" s="1074">
        <f>CALCULATIONS!LF9</f>
        <v>3.7014756930154613</v>
      </c>
      <c r="AB11" s="1078">
        <f>CALCULATIONS!LG9</f>
        <v>0.31334582285320112</v>
      </c>
      <c r="AC11" s="1075">
        <f>CALCULATIONS!LC9</f>
        <v>4.3704719780651446</v>
      </c>
      <c r="AH11" s="1180" t="s">
        <v>774</v>
      </c>
      <c r="AI11" s="1181">
        <f>CALCULATIONS!Q9</f>
        <v>0.67327297771392325</v>
      </c>
      <c r="AJ11" s="1179">
        <f>CALCULATIONS!FW9</f>
        <v>0.26215680659638446</v>
      </c>
      <c r="AT11" s="1178">
        <f>CALCULATIONS!DB9</f>
        <v>0.3233382549853614</v>
      </c>
      <c r="AU11" s="1179">
        <f>CALCULATIONS!AL9</f>
        <v>0.66504312360335338</v>
      </c>
      <c r="AV11" s="1178"/>
      <c r="AW11" s="155"/>
      <c r="BE11" s="3141"/>
    </row>
    <row r="12" spans="1:58">
      <c r="A12" s="1183" t="s">
        <v>545</v>
      </c>
      <c r="B12" s="73" t="s">
        <v>39</v>
      </c>
      <c r="C12" s="116">
        <f>CALCULATIONS!N10</f>
        <v>5059.5155870714543</v>
      </c>
      <c r="D12" s="114">
        <f t="shared" si="0"/>
        <v>1.2963710952524294E-2</v>
      </c>
      <c r="E12" s="117">
        <f>CALCULATIONS!P10</f>
        <v>-0.13366823909704381</v>
      </c>
      <c r="F12" s="117">
        <f>CALCULATIONS!R10</f>
        <v>-3.1892660191404867E-2</v>
      </c>
      <c r="G12" s="118">
        <f>CALCULATIONS!M10</f>
        <v>5057.8123335929276</v>
      </c>
      <c r="H12" s="115">
        <f t="shared" si="1"/>
        <v>1.4006069920599414E-2</v>
      </c>
      <c r="I12" s="1100">
        <f>CALCULATIONS!PE10</f>
        <v>1.6858649053444912</v>
      </c>
      <c r="J12" s="1100">
        <f>CALCULATIONS!PD10</f>
        <v>1.7703056194544857</v>
      </c>
      <c r="K12" s="132">
        <f>CALCULATIONS!FV10</f>
        <v>5.8927844479191869</v>
      </c>
      <c r="L12" s="117">
        <f>CALCULATIONS!FW10</f>
        <v>-0.19036897853308513</v>
      </c>
      <c r="M12" s="131">
        <f>CALCULATIONS!FU10</f>
        <v>5.9052222685092017</v>
      </c>
      <c r="N12" s="103">
        <f>PROFILES!E383</f>
        <v>0.31054928118178421</v>
      </c>
      <c r="O12" s="117">
        <f>PROFILES!N105</f>
        <v>-0.11491916916279199</v>
      </c>
      <c r="P12" s="104">
        <f>PROFILES!G383</f>
        <v>0.28165979767703259</v>
      </c>
      <c r="Q12" s="103">
        <f>CALCULATIONS!GP10</f>
        <v>0.3899242463002407</v>
      </c>
      <c r="R12" s="117">
        <f>CALCULATIONS!GQ10</f>
        <v>-0.1197676600756727</v>
      </c>
      <c r="S12" s="104">
        <f>CALCULATIONS!GO10</f>
        <v>0.37944762378701169</v>
      </c>
      <c r="T12" s="103">
        <f>CALCULATIONS!HZ10</f>
        <v>0.45093517146474416</v>
      </c>
      <c r="U12" s="117">
        <f>CALCULATIONS!IA10</f>
        <v>-8.3572610535330494E-2</v>
      </c>
      <c r="V12" s="104">
        <f>CALCULATIONS!HY10</f>
        <v>0.43916945384982109</v>
      </c>
      <c r="W12" s="117">
        <f t="shared" si="2"/>
        <v>6.101092516450346E-2</v>
      </c>
      <c r="X12" s="117">
        <f t="shared" si="3"/>
        <v>0.15646866216553562</v>
      </c>
      <c r="Y12" s="80" t="str">
        <f>VLOOKUP($B12,RATINGS!$B$91:$O$114,11,FALSE)</f>
        <v>BBB</v>
      </c>
      <c r="Z12" s="1699" t="str">
        <f>VLOOKUP($B12,RATINGS!$B$91:$O$114,14,FALSE)</f>
        <v>­  = =</v>
      </c>
      <c r="AA12" s="132">
        <f>CALCULATIONS!LF10</f>
        <v>2.6587814840492587</v>
      </c>
      <c r="AB12" s="151">
        <f>CALCULATIONS!LG10</f>
        <v>-0.25803195656746131</v>
      </c>
      <c r="AC12" s="131">
        <f>CALCULATIONS!LC10</f>
        <v>2.5933932385229874</v>
      </c>
      <c r="AH12" s="1095" t="s">
        <v>39</v>
      </c>
      <c r="AI12" s="1178">
        <f>CALCULATIONS!Q10</f>
        <v>-0.13319325612948257</v>
      </c>
      <c r="AJ12" s="1179">
        <f>CALCULATIONS!FW10</f>
        <v>-0.19036897853308513</v>
      </c>
      <c r="AR12" s="1002"/>
      <c r="AS12" s="1002"/>
      <c r="AT12" s="1178">
        <f>CALCULATIONS!DB10</f>
        <v>2.0227739352926408E-2</v>
      </c>
      <c r="AU12" s="1179">
        <f>CALCULATIONS!AL10</f>
        <v>-0.23481453117049869</v>
      </c>
      <c r="AV12" s="1178"/>
      <c r="AW12" s="155"/>
      <c r="BE12" s="3141"/>
    </row>
    <row r="13" spans="1:58">
      <c r="A13" s="1183" t="s">
        <v>219</v>
      </c>
      <c r="B13" s="73" t="s">
        <v>53</v>
      </c>
      <c r="C13" s="116">
        <f>CALCULATIONS!N11</f>
        <v>60036.853628571422</v>
      </c>
      <c r="D13" s="114">
        <f t="shared" si="0"/>
        <v>0.15382903828354536</v>
      </c>
      <c r="E13" s="117">
        <f>CALCULATIONS!P11</f>
        <v>-0.3618479655094986</v>
      </c>
      <c r="F13" s="117">
        <f>CALCULATIONS!R11</f>
        <v>-0.26007238660385967</v>
      </c>
      <c r="G13" s="118">
        <f>CALCULATIONS!M11</f>
        <v>44430.485000000001</v>
      </c>
      <c r="H13" s="115">
        <f t="shared" si="1"/>
        <v>0.1230366882897139</v>
      </c>
      <c r="I13" s="1100">
        <f>CALCULATIONS!PE11</f>
        <v>2.2644833808097031</v>
      </c>
      <c r="J13" s="1100">
        <f>CALCULATIONS!PD11</f>
        <v>1.7716210773954304</v>
      </c>
      <c r="K13" s="132">
        <f>CALCULATIONS!FV11</f>
        <v>5.6943354572509941</v>
      </c>
      <c r="L13" s="117">
        <f>CALCULATIONS!FW11</f>
        <v>-7.3155042359885195E-2</v>
      </c>
      <c r="M13" s="131">
        <f>CALCULATIONS!FU11</f>
        <v>5.1937231412225326</v>
      </c>
      <c r="N13" s="103">
        <f>PROFILES!E384</f>
        <v>0.6158872479982318</v>
      </c>
      <c r="O13" s="117">
        <f>PROFILES!N106</f>
        <v>0.11044311863454735</v>
      </c>
      <c r="P13" s="104">
        <f>PROFILES!G384</f>
        <v>0.66127040038880336</v>
      </c>
      <c r="Q13" s="103">
        <f>CALCULATIONS!GP11</f>
        <v>0.48384306036910518</v>
      </c>
      <c r="R13" s="117">
        <f>CALCULATIONS!GQ11</f>
        <v>0.2595878527386451</v>
      </c>
      <c r="S13" s="104">
        <f>CALCULATIONS!GO11</f>
        <v>0.54381370963962039</v>
      </c>
      <c r="T13" s="103">
        <f>CALCULATIONS!HZ11</f>
        <v>0.51513010935716153</v>
      </c>
      <c r="U13" s="117">
        <f>CALCULATIONS!IA11</f>
        <v>0.26130995158024306</v>
      </c>
      <c r="V13" s="104">
        <f>CALCULATIONS!HY11</f>
        <v>0.57929804018594233</v>
      </c>
      <c r="W13" s="117">
        <f t="shared" si="2"/>
        <v>3.1287048988056343E-2</v>
      </c>
      <c r="X13" s="117">
        <f t="shared" si="3"/>
        <v>6.4663630732222685E-2</v>
      </c>
      <c r="Y13" s="80" t="str">
        <f>VLOOKUP($B13,RATINGS!$B$91:$O$114,11,FALSE)</f>
        <v>BBB</v>
      </c>
      <c r="Z13" s="1699" t="str">
        <f>VLOOKUP($B13,RATINGS!$B$91:$O$114,14,FALSE)</f>
        <v>¯  ¯ ¯</v>
      </c>
      <c r="AA13" s="132">
        <f>CALCULATIONS!LF11</f>
        <v>2.7929780820851775</v>
      </c>
      <c r="AB13" s="151">
        <f>CALCULATIONS!LG11</f>
        <v>0.12404595260605845</v>
      </c>
      <c r="AC13" s="131">
        <f>CALCULATIONS!LC11</f>
        <v>2.8353348809740444</v>
      </c>
      <c r="AH13" s="1095" t="s">
        <v>53</v>
      </c>
      <c r="AI13" s="1178">
        <f>CALCULATIONS!Q11</f>
        <v>-0.3618479655094986</v>
      </c>
      <c r="AJ13" s="1179">
        <f>CALCULATIONS!FW11</f>
        <v>-7.3155042359885195E-2</v>
      </c>
      <c r="AR13" s="1002"/>
      <c r="AS13" s="1002"/>
      <c r="AT13" s="1178">
        <f>CALCULATIONS!DB11</f>
        <v>-8.1919538369347927E-2</v>
      </c>
      <c r="AU13" s="1179">
        <f>CALCULATIONS!AL11</f>
        <v>-0.16413843679188345</v>
      </c>
      <c r="AV13" s="1178"/>
      <c r="AW13" s="155"/>
      <c r="BE13" s="3141"/>
    </row>
    <row r="14" spans="1:58">
      <c r="A14" s="1183" t="s">
        <v>73</v>
      </c>
      <c r="B14" s="73" t="s">
        <v>285</v>
      </c>
      <c r="C14" s="116">
        <f>CALCULATIONS!N12</f>
        <v>2461.5190857142857</v>
      </c>
      <c r="D14" s="114">
        <f t="shared" si="0"/>
        <v>6.3070112903421734E-3</v>
      </c>
      <c r="E14" s="117">
        <f>CALCULATIONS!P12</f>
        <v>6.738754525599433E-2</v>
      </c>
      <c r="F14" s="117">
        <f>CALCULATIONS!R12</f>
        <v>0.16916312416163326</v>
      </c>
      <c r="G14" s="118">
        <f>CALCULATIONS!M12</f>
        <v>2364.3629999999998</v>
      </c>
      <c r="H14" s="115">
        <f t="shared" si="1"/>
        <v>6.5473828033777437E-3</v>
      </c>
      <c r="I14" s="1100">
        <f>CALCULATIONS!PE12</f>
        <v>3.1397518024733277</v>
      </c>
      <c r="J14" s="1100">
        <f>CALCULATIONS!PD12</f>
        <v>3.0995844257996854</v>
      </c>
      <c r="K14" s="132">
        <f>CALCULATIONS!FV12</f>
        <v>6.7052926466266065</v>
      </c>
      <c r="L14" s="117">
        <f>CALCULATIONS!FW12</f>
        <v>0.14721542174528052</v>
      </c>
      <c r="M14" s="131">
        <f>CALCULATIONS!FU12</f>
        <v>7.0127743881429545</v>
      </c>
      <c r="N14" s="103">
        <f>PROFILES!E385</f>
        <v>0.62657499999999999</v>
      </c>
      <c r="O14" s="117">
        <f>PROFILES!N107</f>
        <v>5.5614710459497153E-2</v>
      </c>
      <c r="P14" s="104">
        <f>PROFILES!G385</f>
        <v>0.64439999999999997</v>
      </c>
      <c r="Q14" s="103">
        <f>CALCULATIONS!GP12</f>
        <v>0.24190098439360719</v>
      </c>
      <c r="R14" s="117">
        <f>CALCULATIONS!GQ12</f>
        <v>0.20667512064869559</v>
      </c>
      <c r="S14" s="104">
        <f>CALCULATIONS!GO12</f>
        <v>0.30597960586046052</v>
      </c>
      <c r="T14" s="103">
        <f>CALCULATIONS!HZ12</f>
        <v>0.2616424852780464</v>
      </c>
      <c r="U14" s="117">
        <f>CALCULATIONS!IA12</f>
        <v>0.20296552626351777</v>
      </c>
      <c r="V14" s="104">
        <f>CALCULATIONS!HY12</f>
        <v>0.32061814749302248</v>
      </c>
      <c r="W14" s="117">
        <f t="shared" si="2"/>
        <v>1.9741500884439211E-2</v>
      </c>
      <c r="X14" s="117">
        <f t="shared" si="3"/>
        <v>8.1609841042717679E-2</v>
      </c>
      <c r="Y14" s="80" t="str">
        <f>VLOOKUP($B14,RATINGS!$B$91:$O$114,11,FALSE)</f>
        <v>BBB</v>
      </c>
      <c r="Z14" s="1699" t="str">
        <f>VLOOKUP($B14,RATINGS!$B$91:$O$114,14,FALSE)</f>
        <v>=  =  -</v>
      </c>
      <c r="AA14" s="132">
        <f>CALCULATIONS!LF12</f>
        <v>1.7511002028712532</v>
      </c>
      <c r="AB14" s="151">
        <f>CALCULATIONS!LG12</f>
        <v>0.37093258903528414</v>
      </c>
      <c r="AC14" s="131">
        <f>CALCULATIONS!LC12</f>
        <v>2.2311132077757287</v>
      </c>
      <c r="AH14" s="1095" t="s">
        <v>285</v>
      </c>
      <c r="AI14" s="1178">
        <f>CALCULATIONS!Q12</f>
        <v>6.738754525599433E-2</v>
      </c>
      <c r="AJ14" s="1179">
        <f>CALCULATIONS!FW12</f>
        <v>0.14721542174528052</v>
      </c>
      <c r="AR14" s="1002"/>
      <c r="AS14" s="1002"/>
      <c r="AT14" s="1178">
        <f>CALCULATIONS!DB12</f>
        <v>8.1419258447257385E-3</v>
      </c>
      <c r="AU14" s="1179">
        <f>CALCULATIONS!AL12</f>
        <v>5.6639984269490254E-2</v>
      </c>
      <c r="AV14" s="1178"/>
      <c r="AW14" s="155"/>
      <c r="BE14" s="3141"/>
    </row>
    <row r="15" spans="1:58">
      <c r="A15" s="1183" t="s">
        <v>19</v>
      </c>
      <c r="B15" s="73" t="s">
        <v>287</v>
      </c>
      <c r="C15" s="116">
        <f>CALCULATIONS!N13</f>
        <v>6002.7646707914537</v>
      </c>
      <c r="D15" s="114">
        <f t="shared" si="0"/>
        <v>1.538054479108892E-2</v>
      </c>
      <c r="E15" s="117">
        <f>CALCULATIONS!P13</f>
        <v>1.7468659495150733</v>
      </c>
      <c r="F15" s="117">
        <f>CALCULATIONS!R13</f>
        <v>1.8486415284207123</v>
      </c>
      <c r="G15" s="118">
        <f>CALCULATIONS!M13</f>
        <v>9571.524995540176</v>
      </c>
      <c r="H15" s="115">
        <f t="shared" si="1"/>
        <v>2.6505421611613778E-2</v>
      </c>
      <c r="I15" s="1100">
        <f>CALCULATIONS!PE13</f>
        <v>4.1497848696984878</v>
      </c>
      <c r="J15" s="1100">
        <f>CALCULATIONS!PD13</f>
        <v>5.1075046454025781</v>
      </c>
      <c r="K15" s="132">
        <f>CALCULATIONS!FV13</f>
        <v>7.8889454092528393</v>
      </c>
      <c r="L15" s="117">
        <f>CALCULATIONS!FW13</f>
        <v>0.8464659845431286</v>
      </c>
      <c r="M15" s="131">
        <f>CALCULATIONS!FU13</f>
        <v>9.6719476082953495</v>
      </c>
      <c r="N15" s="103">
        <f>PROFILES!E386</f>
        <v>9.1630231095150338E-2</v>
      </c>
      <c r="O15" s="1122" t="s">
        <v>276</v>
      </c>
      <c r="P15" s="104">
        <f>PROFILES!G386</f>
        <v>0.34976819018989347</v>
      </c>
      <c r="Q15" s="103">
        <f>CALCULATIONS!GP13</f>
        <v>0.13477545507373562</v>
      </c>
      <c r="R15" s="117">
        <f>CALCULATIONS!GQ13</f>
        <v>-0.4264373226073967</v>
      </c>
      <c r="S15" s="104">
        <f>CALCULATIONS!GO13</f>
        <v>9.7905485588969735E-2</v>
      </c>
      <c r="T15" s="103">
        <f>CALCULATIONS!HZ13</f>
        <v>0.16024846762312819</v>
      </c>
      <c r="U15" s="117">
        <f>CALCULATIONS!IA13</f>
        <v>-0.25253039609468159</v>
      </c>
      <c r="V15" s="104">
        <f>CALCULATIONS!HY13</f>
        <v>0.12849893093161849</v>
      </c>
      <c r="W15" s="117">
        <f t="shared" si="2"/>
        <v>2.5473012549392576E-2</v>
      </c>
      <c r="X15" s="117">
        <f t="shared" si="3"/>
        <v>0.18900335031669008</v>
      </c>
      <c r="Y15" s="80" t="str">
        <f>VLOOKUP($B15,RATINGS!$B$91:$O$114,11,FALSE)</f>
        <v>Not rated</v>
      </c>
      <c r="Z15" s="1699"/>
      <c r="AA15" s="132">
        <f>CALCULATIONS!LF13</f>
        <v>1.265551414722516</v>
      </c>
      <c r="AB15" s="151">
        <f>CALCULATIONS!LG13</f>
        <v>0.38040351489576829</v>
      </c>
      <c r="AC15" s="131">
        <f>CALCULATIONS!LC13</f>
        <v>1.242834927692577</v>
      </c>
      <c r="AH15" s="1095" t="s">
        <v>287</v>
      </c>
      <c r="AI15" s="1178">
        <f>CALCULATIONS!Q13</f>
        <v>1.7468659495150733</v>
      </c>
      <c r="AJ15" s="1179">
        <f>CALCULATIONS!FW13</f>
        <v>0.8464659845431286</v>
      </c>
      <c r="AR15" s="1002"/>
      <c r="AS15" s="1002"/>
      <c r="AT15" s="1178">
        <f>CALCULATIONS!DB13</f>
        <v>0.38583910872130595</v>
      </c>
      <c r="AU15" s="1179">
        <f>CALCULATIONS!AL13</f>
        <v>1.2655676160183011</v>
      </c>
      <c r="AV15" s="1178"/>
      <c r="AW15" s="155"/>
      <c r="BE15" s="3141"/>
    </row>
    <row r="16" spans="1:58">
      <c r="A16" s="1183" t="s">
        <v>19</v>
      </c>
      <c r="B16" s="152" t="s">
        <v>288</v>
      </c>
      <c r="C16" s="116">
        <f>CALCULATIONS!N14</f>
        <v>31174.883771428573</v>
      </c>
      <c r="D16" s="114">
        <f t="shared" si="0"/>
        <v>7.9877643469276421E-2</v>
      </c>
      <c r="E16" s="117">
        <f>CALCULATIONS!P14</f>
        <v>-0.49416922878378883</v>
      </c>
      <c r="F16" s="117">
        <f>CALCULATIONS!R14</f>
        <v>-0.3923936498781499</v>
      </c>
      <c r="G16" s="118">
        <f>CALCULATIONS!M14</f>
        <v>19124.593099999998</v>
      </c>
      <c r="H16" s="115">
        <f t="shared" si="1"/>
        <v>5.2959732488004868E-2</v>
      </c>
      <c r="I16" s="1100">
        <f>CALCULATIONS!PE14</f>
        <v>1.0546425468926217</v>
      </c>
      <c r="J16" s="1100">
        <f>CALCULATIONS!PD14</f>
        <v>0.72989058468819168</v>
      </c>
      <c r="K16" s="132">
        <f>CALCULATIONS!FV14</f>
        <v>4.7838493303826084</v>
      </c>
      <c r="L16" s="117">
        <f>CALCULATIONS!FW14</f>
        <v>-0.19812930900653591</v>
      </c>
      <c r="M16" s="131">
        <f>CALCULATIONS!FU14</f>
        <v>4.438539176760524</v>
      </c>
      <c r="N16" s="103">
        <f>PROFILES!E387</f>
        <v>0.60741568747204655</v>
      </c>
      <c r="O16" s="117">
        <f>PROFILES!N109</f>
        <v>4.0950219141690898E-2</v>
      </c>
      <c r="P16" s="104">
        <f>PROFILES!G387</f>
        <v>0.62738172243152124</v>
      </c>
      <c r="Q16" s="103">
        <f>CALCULATIONS!GP14</f>
        <v>0.50834561454306215</v>
      </c>
      <c r="R16" s="117">
        <f>CALCULATIONS!GQ14</f>
        <v>0.27477182203191691</v>
      </c>
      <c r="S16" s="104">
        <f>CALCULATIONS!GO14</f>
        <v>0.61196382356206247</v>
      </c>
      <c r="T16" s="103">
        <f>CALCULATIONS!HZ14</f>
        <v>0.54898628094174651</v>
      </c>
      <c r="U16" s="117">
        <f>CALCULATIONS!IA14</f>
        <v>0.26756473067663017</v>
      </c>
      <c r="V16" s="104">
        <f>CALCULATIONS!HY14</f>
        <v>0.65530118542007598</v>
      </c>
      <c r="W16" s="117">
        <f t="shared" si="2"/>
        <v>4.0640666398684355E-2</v>
      </c>
      <c r="X16" s="117">
        <f t="shared" si="3"/>
        <v>7.9946920433679999E-2</v>
      </c>
      <c r="Y16" s="80" t="str">
        <f>VLOOKUP($B16,RATINGS!$B$91:$O$114,11,FALSE)</f>
        <v>BBB+</v>
      </c>
      <c r="Z16" s="1699" t="str">
        <f>VLOOKUP($B16,RATINGS!$B$91:$O$114,14,FALSE)</f>
        <v>=  ¯ ¯</v>
      </c>
      <c r="AA16" s="132">
        <f>CALCULATIONS!LF14</f>
        <v>2.5321561588471506</v>
      </c>
      <c r="AB16" s="151">
        <f>CALCULATIONS!LG14</f>
        <v>1.3257606300410854E-2</v>
      </c>
      <c r="AC16" s="131">
        <f>CALCULATIONS!LC14</f>
        <v>2.8138910595815916</v>
      </c>
      <c r="AH16" s="1095" t="s">
        <v>288</v>
      </c>
      <c r="AI16" s="1178">
        <f>CALCULATIONS!Q14</f>
        <v>-0.49416922878378883</v>
      </c>
      <c r="AJ16" s="1179">
        <f>CALCULATIONS!FW14</f>
        <v>-0.19812930900653591</v>
      </c>
      <c r="AR16" s="1002"/>
      <c r="AS16" s="1002"/>
      <c r="AT16" s="1178">
        <f>CALCULATIONS!DB14</f>
        <v>-0.12205896418824137</v>
      </c>
      <c r="AU16" s="1179">
        <f>CALCULATIONS!AL14</f>
        <v>-0.32193816678350851</v>
      </c>
      <c r="AV16" s="1178"/>
      <c r="AW16" s="155"/>
      <c r="BE16" s="3141"/>
    </row>
    <row r="17" spans="1:57">
      <c r="A17" s="1183" t="s">
        <v>378</v>
      </c>
      <c r="B17" s="73" t="s">
        <v>42</v>
      </c>
      <c r="C17" s="116">
        <f>CALCULATIONS!N15</f>
        <v>2432.5463571428577</v>
      </c>
      <c r="D17" s="114">
        <f t="shared" si="0"/>
        <v>6.2327761047315808E-3</v>
      </c>
      <c r="E17" s="117">
        <f>CALCULATIONS!P15</f>
        <v>-3.2258071946582277E-2</v>
      </c>
      <c r="F17" s="117">
        <f>CALCULATIONS!R15</f>
        <v>6.9517506959056674E-2</v>
      </c>
      <c r="G17" s="118">
        <f>CALCULATIONS!M15</f>
        <v>2940.9023000000002</v>
      </c>
      <c r="H17" s="115">
        <f t="shared" si="1"/>
        <v>8.143932697912316E-3</v>
      </c>
      <c r="I17" s="1100">
        <f>CALCULATIONS!PE15</f>
        <v>1.2689619717468461</v>
      </c>
      <c r="J17" s="1100">
        <f>CALCULATIONS!PD15</f>
        <v>1.312316956715752</v>
      </c>
      <c r="K17" s="132">
        <f>CALCULATIONS!FV15</f>
        <v>3.7488610975650749</v>
      </c>
      <c r="L17" s="117">
        <f>CALCULATIONS!FW15</f>
        <v>3.4291324439135469E-2</v>
      </c>
      <c r="M17" s="131">
        <f>CALCULATIONS!FU15</f>
        <v>3.7439277362047823</v>
      </c>
      <c r="N17" s="103">
        <f>PROFILES!E388</f>
        <v>0.56323171407839789</v>
      </c>
      <c r="O17" s="117">
        <f>PROFILES!N110</f>
        <v>-0.12023286586287618</v>
      </c>
      <c r="P17" s="104">
        <f>PROFILES!G388</f>
        <v>0.53987730061349704</v>
      </c>
      <c r="Q17" s="103">
        <f>CALCULATIONS!GP15</f>
        <v>0.60887331285954671</v>
      </c>
      <c r="R17" s="117">
        <f>CALCULATIONS!GQ15</f>
        <v>-0.37303497156800469</v>
      </c>
      <c r="S17" s="104">
        <f>CALCULATIONS!GO15</f>
        <v>0.37659759063604481</v>
      </c>
      <c r="T17" s="103">
        <f>CALCULATIONS!HZ15</f>
        <v>0.63388271448107447</v>
      </c>
      <c r="U17" s="117">
        <f>CALCULATIONS!IA15</f>
        <v>-0.25869992498286548</v>
      </c>
      <c r="V17" s="104">
        <f>CALCULATIONS!HY15</f>
        <v>0.44527495080222473</v>
      </c>
      <c r="W17" s="117">
        <f t="shared" si="2"/>
        <v>2.500940162152776E-2</v>
      </c>
      <c r="X17" s="117">
        <f t="shared" si="3"/>
        <v>4.1074885519406669E-2</v>
      </c>
      <c r="Y17" s="80" t="str">
        <f>VLOOKUP($B17,RATINGS!$B$91:$O$114,11,FALSE)</f>
        <v>B-</v>
      </c>
      <c r="Z17" s="1699" t="str">
        <f>VLOOKUP($B17,RATINGS!$B$91:$O$114,14,FALSE)</f>
        <v>=  =  -</v>
      </c>
      <c r="AA17" s="132">
        <f>CALCULATIONS!LF15</f>
        <v>2.172629043332774</v>
      </c>
      <c r="AB17" s="151">
        <f>CALCULATIONS!LG15</f>
        <v>-0.22035736928264804</v>
      </c>
      <c r="AC17" s="131">
        <f>CALCULATIONS!LC15</f>
        <v>1.5517268924243866</v>
      </c>
      <c r="AH17" s="1095" t="s">
        <v>42</v>
      </c>
      <c r="AI17" s="1178">
        <f>CALCULATIONS!Q15</f>
        <v>-3.2258071946582277E-2</v>
      </c>
      <c r="AJ17" s="1179">
        <f>CALCULATIONS!FW15</f>
        <v>3.4291324439135469E-2</v>
      </c>
      <c r="AR17" s="1002"/>
      <c r="AS17" s="1002"/>
      <c r="AT17" s="1178">
        <f>CALCULATIONS!DB15</f>
        <v>-0.37221169859501985</v>
      </c>
      <c r="AU17" s="1179">
        <f>CALCULATIONS!AL15</f>
        <v>-0.41914262246945622</v>
      </c>
      <c r="AV17" s="1178"/>
      <c r="AW17" s="155"/>
      <c r="BE17" s="3141"/>
    </row>
    <row r="18" spans="1:57">
      <c r="A18" s="1183" t="s">
        <v>503</v>
      </c>
      <c r="B18" s="73" t="s">
        <v>286</v>
      </c>
      <c r="C18" s="116">
        <f>CALCULATIONS!N16</f>
        <v>15596.516285714286</v>
      </c>
      <c r="D18" s="114">
        <f t="shared" si="0"/>
        <v>3.9962072557101963E-2</v>
      </c>
      <c r="E18" s="117">
        <f>CALCULATIONS!P16</f>
        <v>-0.41209116095583281</v>
      </c>
      <c r="F18" s="117">
        <f>CALCULATIONS!R16</f>
        <v>-0.31031558205019388</v>
      </c>
      <c r="G18" s="118">
        <f>CALCULATIONS!M16</f>
        <v>10295.917100000001</v>
      </c>
      <c r="H18" s="115">
        <f t="shared" si="1"/>
        <v>2.8511404790864545E-2</v>
      </c>
      <c r="I18" s="1100">
        <f>CALCULATIONS!PE16</f>
        <v>0.58081043687158529</v>
      </c>
      <c r="J18" s="1100">
        <f>CALCULATIONS!PD16</f>
        <v>0.5027794267018264</v>
      </c>
      <c r="K18" s="132">
        <f>CALCULATIONS!FV16</f>
        <v>4.5606838408134944</v>
      </c>
      <c r="L18" s="117">
        <f>CALCULATIONS!FW16</f>
        <v>-0.18379111287045302</v>
      </c>
      <c r="M18" s="131">
        <f>CALCULATIONS!FU16</f>
        <v>4.0606354500113753</v>
      </c>
      <c r="N18" s="103">
        <f>PROFILES!E389</f>
        <v>0.34534166666666666</v>
      </c>
      <c r="O18" s="117">
        <f>PROFILES!N111</f>
        <v>-5.4500069338510607E-2</v>
      </c>
      <c r="P18" s="104">
        <f>PROFILES!G389</f>
        <v>0.3626280111015483</v>
      </c>
      <c r="Q18" s="103">
        <f>CALCULATIONS!GP16</f>
        <v>0.67997702229572432</v>
      </c>
      <c r="R18" s="117">
        <f>CALCULATIONS!GQ16</f>
        <v>0.10658020511075152</v>
      </c>
      <c r="S18" s="104">
        <f>CALCULATIONS!GO16</f>
        <v>0.75270955685414354</v>
      </c>
      <c r="T18" s="103">
        <f>CALCULATIONS!HZ16</f>
        <v>0.68457317243488636</v>
      </c>
      <c r="U18" s="117">
        <f>CALCULATIONS!IA16</f>
        <v>0.10522314957078965</v>
      </c>
      <c r="V18" s="104">
        <f>CALCULATIONS!HY16</f>
        <v>0.75672107111582532</v>
      </c>
      <c r="W18" s="117">
        <f t="shared" si="2"/>
        <v>4.5961501391620363E-3</v>
      </c>
      <c r="X18" s="117">
        <f t="shared" si="3"/>
        <v>6.7592727231349809E-3</v>
      </c>
      <c r="Y18" s="80" t="str">
        <f>VLOOKUP($B18,RATINGS!$B$91:$O$114,11,FALSE)</f>
        <v>BBB-</v>
      </c>
      <c r="Z18" s="1699" t="str">
        <f>VLOOKUP($B18,RATINGS!$B$91:$O$114,14,FALSE)</f>
        <v>=  ¯ ¯</v>
      </c>
      <c r="AA18" s="132">
        <f>CALCULATIONS!LF16</f>
        <v>2.9152503149286035</v>
      </c>
      <c r="AB18" s="151">
        <f>CALCULATIONS!LG16</f>
        <v>-0.14664752669478531</v>
      </c>
      <c r="AC18" s="131">
        <f>CALCULATIONS!LC16</f>
        <v>2.8370691340232916</v>
      </c>
      <c r="AH18" s="1095" t="s">
        <v>286</v>
      </c>
      <c r="AI18" s="1178">
        <f>CALCULATIONS!Q16</f>
        <v>-0.41209116095583281</v>
      </c>
      <c r="AJ18" s="1179">
        <f>CALCULATIONS!FW16</f>
        <v>-0.18379111287045302</v>
      </c>
      <c r="AR18" s="1002"/>
      <c r="AS18" s="1002"/>
      <c r="AT18" s="1178">
        <f>CALCULATIONS!DB16</f>
        <v>7.9552076350968212E-3</v>
      </c>
      <c r="AU18" s="1179">
        <f>CALCULATIONS!AL16</f>
        <v>-0.19678387843994527</v>
      </c>
      <c r="AV18" s="1178"/>
      <c r="AW18" s="155"/>
      <c r="BE18" s="3141"/>
    </row>
    <row r="19" spans="1:57">
      <c r="A19" s="1183" t="s">
        <v>504</v>
      </c>
      <c r="B19" s="73" t="s">
        <v>281</v>
      </c>
      <c r="C19" s="116">
        <f>CALCULATIONS!N17</f>
        <v>20617.292984255655</v>
      </c>
      <c r="D19" s="114">
        <f t="shared" si="0"/>
        <v>5.2826525044090682E-2</v>
      </c>
      <c r="E19" s="117">
        <f>CALCULATIONS!P17</f>
        <v>0.37985561177970401</v>
      </c>
      <c r="F19" s="117">
        <f>CALCULATIONS!R17</f>
        <v>0.48163119068534294</v>
      </c>
      <c r="G19" s="118">
        <f>CALCULATIONS!M17</f>
        <v>23766.623796323693</v>
      </c>
      <c r="H19" s="115">
        <f t="shared" si="1"/>
        <v>6.5814421871090864E-2</v>
      </c>
      <c r="I19" s="1100">
        <f>CALCULATIONS!PE17</f>
        <v>1.8990159277875758</v>
      </c>
      <c r="J19" s="1100">
        <f>CALCULATIONS!PD17</f>
        <v>2.509154465418888</v>
      </c>
      <c r="K19" s="132">
        <f>CALCULATIONS!FV17</f>
        <v>5.8033589040079683</v>
      </c>
      <c r="L19" s="117">
        <f>CALCULATIONS!FW17</f>
        <v>4.5724350121793801E-2</v>
      </c>
      <c r="M19" s="131">
        <f>CALCULATIONS!FU17</f>
        <v>6.1939465303838475</v>
      </c>
      <c r="N19" s="103">
        <f>PROFILES!E390</f>
        <v>0.7344324868237998</v>
      </c>
      <c r="O19" s="117">
        <f>PROFILES!N112</f>
        <v>0.10784712869930438</v>
      </c>
      <c r="P19" s="104">
        <f>PROFILES!G390</f>
        <v>0.74956908795771016</v>
      </c>
      <c r="Q19" s="103">
        <f>CALCULATIONS!GP17</f>
        <v>0.14726898954609682</v>
      </c>
      <c r="R19" s="117">
        <f>CALCULATIONS!GQ17</f>
        <v>4.9939774449528171E-2</v>
      </c>
      <c r="S19" s="104">
        <f>CALCULATIONS!GO17</f>
        <v>0.17272839211728983</v>
      </c>
      <c r="T19" s="103">
        <f>CALCULATIONS!HZ17</f>
        <v>0.18443136241749356</v>
      </c>
      <c r="U19" s="117">
        <f>CALCULATIONS!IA17</f>
        <v>-5.7258906752796622E-2</v>
      </c>
      <c r="V19" s="104">
        <f>CALCULATIONS!HY17</f>
        <v>0.198117589718218</v>
      </c>
      <c r="W19" s="117">
        <f t="shared" si="2"/>
        <v>3.7162372871396732E-2</v>
      </c>
      <c r="X19" s="117">
        <f t="shared" si="3"/>
        <v>0.25234350412762557</v>
      </c>
      <c r="Y19" s="80" t="str">
        <f>VLOOKUP($B19,RATINGS!$B$91:$O$114,11,FALSE)</f>
        <v>A-</v>
      </c>
      <c r="Z19" s="1699" t="str">
        <f>VLOOKUP($B19,RATINGS!$B$91:$O$114,14,FALSE)</f>
        <v>=  =  -</v>
      </c>
      <c r="AA19" s="132">
        <f>CALCULATIONS!LF17</f>
        <v>1.0395975936863313</v>
      </c>
      <c r="AB19" s="151">
        <f>CALCULATIONS!LG17</f>
        <v>2.9438923535487854E-2</v>
      </c>
      <c r="AC19" s="131">
        <f>CALCULATIONS!LC17</f>
        <v>1.2087727199953455</v>
      </c>
      <c r="AH19" s="1095" t="s">
        <v>281</v>
      </c>
      <c r="AI19" s="1178">
        <f>CALCULATIONS!Q17</f>
        <v>0.37068619466261793</v>
      </c>
      <c r="AJ19" s="1179">
        <f>CALCULATIONS!FW17</f>
        <v>4.5724350121793801E-2</v>
      </c>
      <c r="AR19" s="1002"/>
      <c r="AS19" s="1002"/>
      <c r="AT19" s="1178">
        <f>CALCULATIONS!DB17</f>
        <v>0.1915397182243169</v>
      </c>
      <c r="AU19" s="1179">
        <f>CALCULATIONS!AL17</f>
        <v>0.38080671361932011</v>
      </c>
      <c r="AV19" s="1178"/>
      <c r="AW19" s="155"/>
      <c r="BE19" s="3141"/>
    </row>
    <row r="20" spans="1:57">
      <c r="A20" s="1183" t="s">
        <v>505</v>
      </c>
      <c r="B20" s="73" t="s">
        <v>44</v>
      </c>
      <c r="C20" s="116">
        <f>CALCULATIONS!N18</f>
        <v>12234.494271428572</v>
      </c>
      <c r="D20" s="114">
        <f t="shared" si="0"/>
        <v>3.1347753486597643E-2</v>
      </c>
      <c r="E20" s="117">
        <f>CALCULATIONS!P18</f>
        <v>-0.59766521701552</v>
      </c>
      <c r="F20" s="117">
        <f>CALCULATIONS!R18</f>
        <v>-0.49588963810988107</v>
      </c>
      <c r="G20" s="118">
        <f>CALCULATIONS!M18</f>
        <v>6819.5967000000001</v>
      </c>
      <c r="H20" s="115">
        <f t="shared" si="1"/>
        <v>1.8884794830384175E-2</v>
      </c>
      <c r="I20" s="1100">
        <f>CALCULATIONS!PE18</f>
        <v>3.9295455833111754</v>
      </c>
      <c r="J20" s="1100">
        <f>CALCULATIONS!PD18</f>
        <v>1.2175677021960365</v>
      </c>
      <c r="K20" s="132">
        <f>CALCULATIONS!FV18</f>
        <v>4.9270605931091591</v>
      </c>
      <c r="L20" s="117">
        <f>CALCULATIONS!FW18</f>
        <v>-0.26680842971581226</v>
      </c>
      <c r="M20" s="131">
        <f>CALCULATIONS!FU18</f>
        <v>4.0325018858098245</v>
      </c>
      <c r="N20" s="103">
        <f>PROFILES!E391</f>
        <v>0.5805147103617575</v>
      </c>
      <c r="O20" s="117">
        <f>PROFILES!N113</f>
        <v>8.4948466413752491E-2</v>
      </c>
      <c r="P20" s="104">
        <f>PROFILES!G391</f>
        <v>0.6264024463118032</v>
      </c>
      <c r="Q20" s="103">
        <f>CALCULATIONS!GP18</f>
        <v>0.51826084585195908</v>
      </c>
      <c r="R20" s="117">
        <f>CALCULATIONS!GQ18</f>
        <v>0.40005999871326348</v>
      </c>
      <c r="S20" s="104">
        <f>CALCULATIONS!GO18</f>
        <v>0.58973938770950263</v>
      </c>
      <c r="T20" s="103">
        <f>CALCULATIONS!HZ18</f>
        <v>0.5495689942142129</v>
      </c>
      <c r="U20" s="117">
        <f>CALCULATIONS!IA18</f>
        <v>0.40637993517884302</v>
      </c>
      <c r="V20" s="104">
        <f>CALCULATIONS!HY18</f>
        <v>0.63323863537070213</v>
      </c>
      <c r="W20" s="117">
        <f t="shared" si="2"/>
        <v>3.1308148362253818E-2</v>
      </c>
      <c r="X20" s="117">
        <f t="shared" si="3"/>
        <v>6.0410020577161203E-2</v>
      </c>
      <c r="Y20" s="80" t="str">
        <f>VLOOKUP($B20,RATINGS!$B$91:$O$114,11,FALSE)</f>
        <v>BBB-</v>
      </c>
      <c r="Z20" s="1699" t="str">
        <f>VLOOKUP($B20,RATINGS!$B$91:$O$114,14,FALSE)</f>
        <v>=  ¯ =</v>
      </c>
      <c r="AA20" s="132">
        <f>CALCULATIONS!LF18</f>
        <v>2.643581803383519</v>
      </c>
      <c r="AB20" s="151">
        <f>CALCULATIONS!LG18</f>
        <v>2.8580691559688957E-2</v>
      </c>
      <c r="AC20" s="131">
        <f>CALCULATIONS!LC18</f>
        <v>2.5466878830879209</v>
      </c>
      <c r="AH20" s="1095" t="s">
        <v>44</v>
      </c>
      <c r="AI20" s="1178">
        <f>CALCULATIONS!Q18</f>
        <v>-0.59766521701552</v>
      </c>
      <c r="AJ20" s="1179">
        <f>CALCULATIONS!FW18</f>
        <v>-0.26680842971581226</v>
      </c>
      <c r="AR20" s="1002"/>
      <c r="AS20" s="1002"/>
      <c r="AT20" s="1178">
        <f>CALCULATIONS!DB18</f>
        <v>-0.17570755489072065</v>
      </c>
      <c r="AU20" s="1179">
        <f>CALCULATIONS!AL18</f>
        <v>-0.43833438903872729</v>
      </c>
      <c r="AV20" s="1178"/>
      <c r="AW20" s="155"/>
      <c r="BE20" s="3141"/>
    </row>
    <row r="21" spans="1:57">
      <c r="A21" s="1183" t="s">
        <v>506</v>
      </c>
      <c r="B21" s="73" t="s">
        <v>289</v>
      </c>
      <c r="C21" s="116">
        <f>CALCULATIONS!N19</f>
        <v>4580.8423286191064</v>
      </c>
      <c r="D21" s="114">
        <f t="shared" si="0"/>
        <v>1.1737233504933111E-2</v>
      </c>
      <c r="E21" s="117">
        <f>CALCULATIONS!P19</f>
        <v>-0.49577837871365099</v>
      </c>
      <c r="F21" s="117">
        <f>CALCULATIONS!R19</f>
        <v>-0.39400279980801206</v>
      </c>
      <c r="G21" s="118">
        <f>CALCULATIONS!M19</f>
        <v>2322.4005110115481</v>
      </c>
      <c r="H21" s="115">
        <f t="shared" si="1"/>
        <v>6.4311804779353665E-3</v>
      </c>
      <c r="I21" s="1100">
        <f>CALCULATIONS!PE19</f>
        <v>1.4234279787340207</v>
      </c>
      <c r="J21" s="1100">
        <f>CALCULATIONS!PD19</f>
        <v>0.8056764866383116</v>
      </c>
      <c r="K21" s="132">
        <f>CALCULATIONS!FV19</f>
        <v>4.3871958272574467</v>
      </c>
      <c r="L21" s="117">
        <f>CALCULATIONS!FW19</f>
        <v>-8.1025400882275472E-2</v>
      </c>
      <c r="M21" s="131">
        <f>CALCULATIONS!FU19</f>
        <v>3.4400754167452243</v>
      </c>
      <c r="N21" s="103">
        <f>PROFILES!E392</f>
        <v>0.42290073595624156</v>
      </c>
      <c r="O21" s="117">
        <f>PROFILES!N114</f>
        <v>-9.0086339251873371E-2</v>
      </c>
      <c r="P21" s="104">
        <f>PROFILES!G392</f>
        <v>0.44946685046944856</v>
      </c>
      <c r="Q21" s="103">
        <f>CALCULATIONS!GP19</f>
        <v>0.16307046534988884</v>
      </c>
      <c r="R21" s="117">
        <f>CALCULATIONS!GQ19</f>
        <v>1.3005419282788433</v>
      </c>
      <c r="S21" s="104">
        <f>CALCULATIONS!GO19</f>
        <v>0.30950096360373897</v>
      </c>
      <c r="T21" s="103">
        <f>CALCULATIONS!HZ19</f>
        <v>0.18570292678335293</v>
      </c>
      <c r="U21" s="117">
        <f>CALCULATIONS!IA19</f>
        <v>1.251733079461073</v>
      </c>
      <c r="V21" s="104">
        <f>CALCULATIONS!HY19</f>
        <v>0.34197601038246805</v>
      </c>
      <c r="W21" s="117">
        <f t="shared" si="2"/>
        <v>2.2632461433464091E-2</v>
      </c>
      <c r="X21" s="117">
        <f t="shared" si="3"/>
        <v>0.13878945758144007</v>
      </c>
      <c r="Y21" s="80" t="str">
        <f>VLOOKUP($B21,RATINGS!$B$91:$O$114,11,FALSE)</f>
        <v>BBB</v>
      </c>
      <c r="Z21" s="1699" t="str">
        <f>VLOOKUP($B21,RATINGS!$B$91:$O$114,14,FALSE)</f>
        <v>=  ¯ -</v>
      </c>
      <c r="AA21" s="132">
        <f>CALCULATIONS!LF19</f>
        <v>0.77886477042851432</v>
      </c>
      <c r="AB21" s="151">
        <f>CALCULATIONS!LG19</f>
        <v>1.0703005310133176</v>
      </c>
      <c r="AC21" s="131">
        <f>CALCULATIONS!LC19</f>
        <v>1.1762690733772538</v>
      </c>
      <c r="AH21" s="1095" t="s">
        <v>289</v>
      </c>
      <c r="AI21" s="1178">
        <f>CALCULATIONS!Q19</f>
        <v>-0.47436388406757118</v>
      </c>
      <c r="AJ21" s="1179">
        <f>CALCULATIONS!FW19</f>
        <v>-8.1025400882275472E-2</v>
      </c>
      <c r="AR21" s="1002"/>
      <c r="AS21" s="1002"/>
      <c r="AT21" s="1178">
        <f>CALCULATIONS!DB19</f>
        <v>-0.2532372537585077</v>
      </c>
      <c r="AU21" s="1179">
        <f>CALCULATIONS!AL19</f>
        <v>-0.4044127166343629</v>
      </c>
      <c r="AV21" s="1178"/>
      <c r="AW21" s="155"/>
      <c r="BE21" s="3141"/>
    </row>
    <row r="22" spans="1:57">
      <c r="A22" s="1183" t="s">
        <v>27</v>
      </c>
      <c r="B22" s="73" t="s">
        <v>54</v>
      </c>
      <c r="C22" s="116">
        <f>CALCULATIONS!N20</f>
        <v>4745.1447857142857</v>
      </c>
      <c r="D22" s="114">
        <f t="shared" si="0"/>
        <v>1.2158216408516635E-2</v>
      </c>
      <c r="E22" s="117">
        <f>CALCULATIONS!P20</f>
        <v>-0.63447330491761056</v>
      </c>
      <c r="F22" s="117">
        <f>CALCULATIONS!R20</f>
        <v>-0.53269772601197163</v>
      </c>
      <c r="G22" s="118">
        <f>CALCULATIONS!M20</f>
        <v>2680.5724</v>
      </c>
      <c r="H22" s="115">
        <f t="shared" si="1"/>
        <v>7.4230283738025878E-3</v>
      </c>
      <c r="I22" s="1100">
        <f>CALCULATIONS!PE20</f>
        <v>1.3569881249181368</v>
      </c>
      <c r="J22" s="1100">
        <f>CALCULATIONS!PD20</f>
        <v>1.0332545966156574</v>
      </c>
      <c r="K22" s="132">
        <f>CALCULATIONS!FV20</f>
        <v>6.4063105209788551</v>
      </c>
      <c r="L22" s="117">
        <f>CALCULATIONS!FW20</f>
        <v>-0.24924595564935845</v>
      </c>
      <c r="M22" s="131">
        <f>CALCULATIONS!FU20</f>
        <v>5.3369406950798908</v>
      </c>
      <c r="N22" s="103">
        <f>PROFILES!E393</f>
        <v>0.48460704112825509</v>
      </c>
      <c r="O22" s="117">
        <f>PROFILES!N115</f>
        <v>-0.18079580514885477</v>
      </c>
      <c r="P22" s="104">
        <f>PROFILES!G393</f>
        <v>0.49497857034449522</v>
      </c>
      <c r="Q22" s="103">
        <f>CALCULATIONS!GP20</f>
        <v>0.56717095077467305</v>
      </c>
      <c r="R22" s="117">
        <f>CALCULATIONS!GQ20</f>
        <v>0.64731222518720821</v>
      </c>
      <c r="S22" s="104">
        <f>CALCULATIONS!GO20</f>
        <v>0.74754623070756221</v>
      </c>
      <c r="T22" s="103">
        <f>CALCULATIONS!HZ20</f>
        <v>0.5748403529709204</v>
      </c>
      <c r="U22" s="117">
        <f>CALCULATIONS!IA20</f>
        <v>0.5906099669472562</v>
      </c>
      <c r="V22" s="104">
        <f>CALCULATIONS!HY20</f>
        <v>0.7506672643344422</v>
      </c>
      <c r="W22" s="117">
        <f t="shared" si="2"/>
        <v>7.6694021962473435E-3</v>
      </c>
      <c r="X22" s="117">
        <f t="shared" si="3"/>
        <v>1.3522205581530675E-2</v>
      </c>
      <c r="Y22" s="80" t="str">
        <f>VLOOKUP($B22,RATINGS!$B$91:$O$114,11,FALSE)</f>
        <v>BBB-</v>
      </c>
      <c r="Z22" s="1699" t="str">
        <f>VLOOKUP($B22,RATINGS!$B$91:$O$114,14,FALSE)</f>
        <v>¯  ¯ ¯</v>
      </c>
      <c r="AA22" s="132">
        <f>CALCULATIONS!LF20</f>
        <v>3.4278891827637503</v>
      </c>
      <c r="AB22" s="151">
        <f>CALCULATIONS!LG20</f>
        <v>0.24423537898737996</v>
      </c>
      <c r="AC22" s="131">
        <f>CALCULATIONS!LC20</f>
        <v>3.8230610288109381</v>
      </c>
      <c r="AH22" s="1095" t="s">
        <v>54</v>
      </c>
      <c r="AI22" s="1178">
        <f>CALCULATIONS!Q20</f>
        <v>-0.63447330491761056</v>
      </c>
      <c r="AJ22" s="1179">
        <f>CALCULATIONS!FW20</f>
        <v>-0.24924595564935845</v>
      </c>
      <c r="AR22" s="1002"/>
      <c r="AS22" s="1002"/>
      <c r="AT22" s="1178">
        <f>CALCULATIONS!DB20</f>
        <v>-1.682725635222156E-2</v>
      </c>
      <c r="AU22" s="1179">
        <f>CALCULATIONS!AL20</f>
        <v>-0.19620161270952033</v>
      </c>
      <c r="AV22" s="1178"/>
      <c r="AW22" s="155"/>
      <c r="BE22" s="3141"/>
    </row>
    <row r="23" spans="1:57">
      <c r="A23" s="1183" t="s">
        <v>32</v>
      </c>
      <c r="B23" s="73" t="s">
        <v>50</v>
      </c>
      <c r="C23" s="116">
        <f>CALCULATIONS!N21</f>
        <v>19515.355899391296</v>
      </c>
      <c r="D23" s="114">
        <f t="shared" si="0"/>
        <v>5.0003093905237848E-2</v>
      </c>
      <c r="E23" s="117">
        <f>CALCULATIONS!P21</f>
        <v>1.1994936816856254</v>
      </c>
      <c r="F23" s="117">
        <f>CALCULATIONS!R21</f>
        <v>1.3012692605912644</v>
      </c>
      <c r="G23" s="118">
        <f>CALCULATIONS!M21</f>
        <v>28491.576306321644</v>
      </c>
      <c r="H23" s="115">
        <f t="shared" si="1"/>
        <v>7.8898737947233621E-2</v>
      </c>
      <c r="I23" s="1100">
        <f>CALCULATIONS!PE21</f>
        <v>-0.89894076859195104</v>
      </c>
      <c r="J23" s="1100">
        <f>CALCULATIONS!PD21</f>
        <v>39.625784878048783</v>
      </c>
      <c r="K23" s="132">
        <f>CALCULATIONS!FV21</f>
        <v>4.6985221679038922</v>
      </c>
      <c r="L23" s="117">
        <f>CALCULATIONS!FW21</f>
        <v>0.4140020451008824</v>
      </c>
      <c r="M23" s="131">
        <f>CALCULATIONS!FU21</f>
        <v>5.7096258695546744</v>
      </c>
      <c r="N23" s="103">
        <f>PROFILES!E394</f>
        <v>0</v>
      </c>
      <c r="O23" s="117">
        <f>PROFILES!N116</f>
        <v>0</v>
      </c>
      <c r="P23" s="104">
        <f>PROFILES!G394</f>
        <v>0</v>
      </c>
      <c r="Q23" s="103">
        <f>CALCULATIONS!GP21</f>
        <v>0.37025195227815472</v>
      </c>
      <c r="R23" s="117">
        <f>CALCULATIONS!GQ21</f>
        <v>-0.46222821771061889</v>
      </c>
      <c r="S23" s="104">
        <f>CALCULATIONS!GO21</f>
        <v>0.26403640782716253</v>
      </c>
      <c r="T23" s="103">
        <f>CALCULATIONS!HZ21</f>
        <v>0.48927059752514818</v>
      </c>
      <c r="U23" s="117">
        <f>CALCULATIONS!IA21</f>
        <v>-0.38189416595312975</v>
      </c>
      <c r="V23" s="104">
        <f>CALCULATIONS!HY21</f>
        <v>0.37414035756341019</v>
      </c>
      <c r="W23" s="117">
        <f t="shared" si="2"/>
        <v>0.11901864524699346</v>
      </c>
      <c r="X23" s="117">
        <f t="shared" si="3"/>
        <v>0.32145312000294263</v>
      </c>
      <c r="Y23" s="80" t="str">
        <f>VLOOKUP($B23,RATINGS!$B$91:$O$114,11,FALSE)</f>
        <v>BBB</v>
      </c>
      <c r="Z23" s="1699" t="str">
        <f>VLOOKUP($B23,RATINGS!$B$91:$O$114,14,FALSE)</f>
        <v xml:space="preserve">=  -  = </v>
      </c>
      <c r="AA23" s="132">
        <f>CALCULATIONS!LF21</f>
        <v>2.2664974928712622</v>
      </c>
      <c r="AB23" s="151">
        <f>CALCULATIONS!LG21</f>
        <v>-0.12537902502142731</v>
      </c>
      <c r="AC23" s="131">
        <f>CALCULATIONS!LC21</f>
        <v>2.136201464388483</v>
      </c>
      <c r="AH23" s="1095" t="s">
        <v>50</v>
      </c>
      <c r="AI23" s="1178">
        <f>CALCULATIONS!Q21</f>
        <v>1.2980141891936237</v>
      </c>
      <c r="AJ23" s="1179">
        <f>CALCULATIONS!FW21</f>
        <v>0.4140020451008824</v>
      </c>
      <c r="AR23" s="1002"/>
      <c r="AS23" s="1002"/>
      <c r="AT23" s="1178">
        <f>CALCULATIONS!DB21</f>
        <v>5.4138982247428934E-2</v>
      </c>
      <c r="AU23" s="1179">
        <f>CALCULATIONS!AL21</f>
        <v>0.51704196619347975</v>
      </c>
      <c r="AV23" s="1178"/>
      <c r="AW23" s="155"/>
      <c r="BE23" s="3141"/>
    </row>
    <row r="24" spans="1:57">
      <c r="A24" s="1183" t="s">
        <v>32</v>
      </c>
      <c r="B24" s="73" t="s">
        <v>279</v>
      </c>
      <c r="C24" s="116">
        <f>CALCULATIONS!N22</f>
        <v>103061.53572524291</v>
      </c>
      <c r="D24" s="114">
        <f t="shared" si="0"/>
        <v>0.26406875054982143</v>
      </c>
      <c r="E24" s="117">
        <f>CALCULATIONS!P22</f>
        <v>7.5306160052783275E-2</v>
      </c>
      <c r="F24" s="117">
        <f>CALCULATIONS!R22</f>
        <v>0.17708173895842222</v>
      </c>
      <c r="G24" s="118">
        <f>CALCULATIONS!M22</f>
        <v>106720.85775234729</v>
      </c>
      <c r="H24" s="115">
        <f t="shared" si="1"/>
        <v>0.29553089301830604</v>
      </c>
      <c r="I24" s="1100">
        <f>CALCULATIONS!PE22</f>
        <v>1.0837821931217524</v>
      </c>
      <c r="J24" s="1100">
        <f>CALCULATIONS!PD22</f>
        <v>1.259272460269286</v>
      </c>
      <c r="K24" s="132">
        <f>CALCULATIONS!FV22</f>
        <v>7.5360879751187033</v>
      </c>
      <c r="L24" s="117">
        <f>CALCULATIONS!FW22</f>
        <v>0.12910548637067604</v>
      </c>
      <c r="M24" s="131">
        <f>CALCULATIONS!FU22</f>
        <v>8.6584668441025876</v>
      </c>
      <c r="N24" s="103">
        <f>PROFILES!E395</f>
        <v>0.91487499999999988</v>
      </c>
      <c r="O24" s="117">
        <f>PROFILES!N117</f>
        <v>-4.3736501079913587E-2</v>
      </c>
      <c r="P24" s="104">
        <f>PROFILES!G395</f>
        <v>0.89481420237931208</v>
      </c>
      <c r="Q24" s="103">
        <f>CALCULATIONS!GP22</f>
        <v>0.24509229252810941</v>
      </c>
      <c r="R24" s="117">
        <f>CALCULATIONS!GQ22</f>
        <v>-0.16501821733667812</v>
      </c>
      <c r="S24" s="104">
        <f>CALCULATIONS!GO22</f>
        <v>0.23828807339295358</v>
      </c>
      <c r="T24" s="103">
        <f>CALCULATIONS!HZ22</f>
        <v>0.27870192226407053</v>
      </c>
      <c r="U24" s="117">
        <f>CALCULATIONS!IA22</f>
        <v>-0.14309331637647091</v>
      </c>
      <c r="V24" s="104">
        <f>CALCULATIONS!HY22</f>
        <v>0.2718321660431175</v>
      </c>
      <c r="W24" s="117">
        <f t="shared" si="2"/>
        <v>3.3609629735961127E-2</v>
      </c>
      <c r="X24" s="117">
        <f t="shared" si="3"/>
        <v>0.13713050455108242</v>
      </c>
      <c r="Y24" s="80" t="str">
        <f>VLOOKUP($B24,RATINGS!$B$91:$O$114,11,FALSE)</f>
        <v>A-</v>
      </c>
      <c r="Z24" s="1699" t="str">
        <f>VLOOKUP($B24,RATINGS!$B$91:$O$114,14,FALSE)</f>
        <v>=  =  =</v>
      </c>
      <c r="AA24" s="132">
        <f>CALCULATIONS!LF22</f>
        <v>2.0880314655341889</v>
      </c>
      <c r="AB24" s="151">
        <f>CALCULATIONS!LG22</f>
        <v>-3.7762767487534328E-2</v>
      </c>
      <c r="AC24" s="131">
        <f>CALCULATIONS!LC22</f>
        <v>2.3348198024327131</v>
      </c>
      <c r="AH24" s="1095" t="s">
        <v>279</v>
      </c>
      <c r="AI24" s="1178">
        <f>CALCULATIONS!Q22</f>
        <v>0.1234716580930814</v>
      </c>
      <c r="AJ24" s="1179">
        <f>CALCULATIONS!FW22</f>
        <v>0.12910548637067604</v>
      </c>
      <c r="AR24" s="1002"/>
      <c r="AS24" s="1002"/>
      <c r="AT24" s="1178">
        <f>CALCULATIONS!DB22</f>
        <v>-6.756505709826946E-2</v>
      </c>
      <c r="AU24" s="1179">
        <f>CALCULATIONS!AL22</f>
        <v>6.5231021284097968E-2</v>
      </c>
      <c r="AV24" s="1178"/>
      <c r="AW24" s="155"/>
      <c r="BE24" s="3141"/>
    </row>
    <row r="25" spans="1:57">
      <c r="A25" s="1183" t="s">
        <v>507</v>
      </c>
      <c r="B25" s="73" t="s">
        <v>284</v>
      </c>
      <c r="C25" s="116">
        <f>CALCULATIONS!N23</f>
        <v>22949.481858519866</v>
      </c>
      <c r="D25" s="114">
        <f t="shared" si="0"/>
        <v>5.8802160840116385E-2</v>
      </c>
      <c r="E25" s="117">
        <f>CALCULATIONS!P23</f>
        <v>-8.3288171902550459E-2</v>
      </c>
      <c r="F25" s="117">
        <f>CALCULATIONS!R23</f>
        <v>1.8487407003088485E-2</v>
      </c>
      <c r="G25" s="118">
        <f>CALCULATIONS!M23</f>
        <v>21731.57918967646</v>
      </c>
      <c r="H25" s="115">
        <f t="shared" si="1"/>
        <v>6.0178986000343146E-2</v>
      </c>
      <c r="I25" s="1100">
        <f>CALCULATIONS!PE23</f>
        <v>1.7647070716020126</v>
      </c>
      <c r="J25" s="1100">
        <f>CALCULATIONS!PD23</f>
        <v>1.7786623686113903</v>
      </c>
      <c r="K25" s="132">
        <f>CALCULATIONS!FV23</f>
        <v>7.5421176018870622</v>
      </c>
      <c r="L25" s="117">
        <f>CALCULATIONS!FW23</f>
        <v>2.1076957712408067E-2</v>
      </c>
      <c r="M25" s="131">
        <f>CALCULATIONS!FU23</f>
        <v>7.6896404016441506</v>
      </c>
      <c r="N25" s="103">
        <f>PROFILES!E396</f>
        <v>0.67984865616162071</v>
      </c>
      <c r="O25" s="117">
        <f>PROFILES!N118</f>
        <v>0.13956056160252914</v>
      </c>
      <c r="P25" s="104">
        <f>PROFILES!G396</f>
        <v>0.7167630057803468</v>
      </c>
      <c r="Q25" s="103">
        <f>CALCULATIONS!GP23</f>
        <v>0.23215418017261674</v>
      </c>
      <c r="R25" s="117">
        <f>CALCULATIONS!GQ23</f>
        <v>0.36187217108516367</v>
      </c>
      <c r="S25" s="104">
        <f>CALCULATIONS!GO23</f>
        <v>0.26525179681706468</v>
      </c>
      <c r="T25" s="103">
        <f>CALCULATIONS!HZ23</f>
        <v>0.2501311526811702</v>
      </c>
      <c r="U25" s="117">
        <f>CALCULATIONS!IA23</f>
        <v>0.31916438327965047</v>
      </c>
      <c r="V25" s="104">
        <f>CALCULATIONS!HY23</f>
        <v>0.28287599661626001</v>
      </c>
      <c r="W25" s="117">
        <f t="shared" si="2"/>
        <v>1.7976972508553457E-2</v>
      </c>
      <c r="X25" s="117">
        <f t="shared" si="3"/>
        <v>7.7435489187344358E-2</v>
      </c>
      <c r="Y25" s="80" t="str">
        <f>VLOOKUP($B25,RATINGS!$B$91:$O$114,11,FALSE)</f>
        <v>A-</v>
      </c>
      <c r="Z25" s="1699" t="str">
        <f>VLOOKUP($B25,RATINGS!$B$91:$O$114,14,FALSE)</f>
        <v>=  =  =</v>
      </c>
      <c r="AA25" s="132">
        <f>CALCULATIONS!LF23</f>
        <v>1.845874038975184</v>
      </c>
      <c r="AB25" s="151">
        <f>CALCULATIONS!LG23</f>
        <v>0.36079457239176377</v>
      </c>
      <c r="AC25" s="131">
        <f>CALCULATIONS!LC23</f>
        <v>2.1424428051274771</v>
      </c>
      <c r="AH25" s="1095" t="s">
        <v>284</v>
      </c>
      <c r="AI25" s="1178">
        <f>CALCULATIONS!Q23</f>
        <v>-0.16249794344851631</v>
      </c>
      <c r="AJ25" s="1179">
        <f>CALCULATIONS!FW23</f>
        <v>2.1076957712408067E-2</v>
      </c>
      <c r="AR25" s="1002"/>
      <c r="AS25" s="1002"/>
      <c r="AT25" s="1178">
        <f>CALCULATIONS!DB23</f>
        <v>-8.7494053465624291E-2</v>
      </c>
      <c r="AU25" s="1179">
        <f>CALCULATIONS!AL23</f>
        <v>-8.440284096734027E-2</v>
      </c>
      <c r="AV25" s="1178"/>
      <c r="AW25" s="155"/>
      <c r="BE25" s="3141"/>
    </row>
    <row r="26" spans="1:57">
      <c r="A26" s="1183" t="s">
        <v>507</v>
      </c>
      <c r="B26" s="73" t="s">
        <v>282</v>
      </c>
      <c r="C26" s="116">
        <f>CALCULATIONS!N24</f>
        <v>5769.8566757446433</v>
      </c>
      <c r="D26" s="114">
        <f t="shared" si="0"/>
        <v>1.4783777793466828E-2</v>
      </c>
      <c r="E26" s="117">
        <f>CALCULATIONS!P24</f>
        <v>-0.24705029723080094</v>
      </c>
      <c r="F26" s="117">
        <f>CALCULATIONS!R24</f>
        <v>-0.14527471832516198</v>
      </c>
      <c r="G26" s="118">
        <f>CALCULATIONS!M24</f>
        <v>4026.3480952657014</v>
      </c>
      <c r="H26" s="115">
        <f t="shared" si="1"/>
        <v>1.1149744044952231E-2</v>
      </c>
      <c r="I26" s="1100">
        <f>CALCULATIONS!PE24</f>
        <v>2.446298838298576</v>
      </c>
      <c r="J26" s="1100">
        <f>CALCULATIONS!PD24</f>
        <v>1.6476276710656086</v>
      </c>
      <c r="K26" s="132">
        <f>CALCULATIONS!FV24</f>
        <v>6.6837223425180285</v>
      </c>
      <c r="L26" s="117">
        <f>CALCULATIONS!FW24</f>
        <v>1.2127469272410992E-3</v>
      </c>
      <c r="M26" s="131">
        <f>CALCULATIONS!FU24</f>
        <v>5.5145354419406587</v>
      </c>
      <c r="N26" s="103">
        <f>PROFILES!E397</f>
        <v>0.67083419702973635</v>
      </c>
      <c r="O26" s="117">
        <f>PROFILES!N119</f>
        <v>-0.11335389957676706</v>
      </c>
      <c r="P26" s="104">
        <f>PROFILES!G397</f>
        <v>0.63639387890884902</v>
      </c>
      <c r="Q26" s="103">
        <f>CALCULATIONS!GP24</f>
        <v>0.1536920907726812</v>
      </c>
      <c r="R26" s="117">
        <f>CALCULATIONS!GQ24</f>
        <v>1.6283818604559013</v>
      </c>
      <c r="S26" s="104">
        <f>CALCULATIONS!GO24</f>
        <v>0.2022242346359609</v>
      </c>
      <c r="T26" s="103">
        <f>CALCULATIONS!HZ24</f>
        <v>0.20961441125119315</v>
      </c>
      <c r="U26" s="117">
        <f>CALCULATIONS!IA24</f>
        <v>0.84200521424561081</v>
      </c>
      <c r="V26" s="104">
        <f>CALCULATIONS!HY24</f>
        <v>0.28147528322389997</v>
      </c>
      <c r="W26" s="117">
        <f t="shared" si="2"/>
        <v>5.592232047851195E-2</v>
      </c>
      <c r="X26" s="117">
        <f t="shared" si="3"/>
        <v>0.36385945559959909</v>
      </c>
      <c r="Y26" s="80" t="str">
        <f>VLOOKUP($B26,RATINGS!$B$91:$O$114,11,FALSE)</f>
        <v>Not rated</v>
      </c>
      <c r="Z26" s="1699"/>
      <c r="AA26" s="132">
        <f>CALCULATIONS!LF24</f>
        <v>1.4399592566697517</v>
      </c>
      <c r="AB26" s="151">
        <f>CALCULATIONS!LG24</f>
        <v>0.8442860967329926</v>
      </c>
      <c r="AC26" s="131">
        <f>CALCULATIONS!LC24</f>
        <v>1.5521418473212367</v>
      </c>
      <c r="AH26" s="1095" t="s">
        <v>282</v>
      </c>
      <c r="AI26" s="1178">
        <f>CALCULATIONS!Q24</f>
        <v>-0.31210997259871948</v>
      </c>
      <c r="AJ26" s="1179">
        <f>CALCULATIONS!FW24</f>
        <v>1.2127469272410992E-3</v>
      </c>
      <c r="AR26" s="1002"/>
      <c r="AS26" s="1002"/>
      <c r="AT26" s="1178">
        <f>CALCULATIONS!DB24</f>
        <v>-0.16659056149686743</v>
      </c>
      <c r="AU26" s="1179">
        <f>CALCULATIONS!AL24</f>
        <v>-5.3999627115135729E-2</v>
      </c>
      <c r="AV26" s="1178"/>
      <c r="AW26" s="155"/>
      <c r="BE26" s="3141"/>
    </row>
    <row r="27" spans="1:57">
      <c r="A27" s="1183" t="s">
        <v>508</v>
      </c>
      <c r="B27" s="73" t="s">
        <v>290</v>
      </c>
      <c r="C27" s="116">
        <f>CALCULATIONS!N25</f>
        <v>16250.837973523972</v>
      </c>
      <c r="D27" s="114">
        <f t="shared" si="0"/>
        <v>4.1638604052015776E-2</v>
      </c>
      <c r="E27" s="117">
        <f>CALCULATIONS!P25</f>
        <v>0.20894195471198634</v>
      </c>
      <c r="F27" s="117">
        <f>CALCULATIONS!R25</f>
        <v>0.31071753361762527</v>
      </c>
      <c r="G27" s="118">
        <f>CALCULATIONS!M25</f>
        <v>17428.290742138299</v>
      </c>
      <c r="H27" s="115">
        <f t="shared" si="1"/>
        <v>4.826234004564605E-2</v>
      </c>
      <c r="I27" s="1100">
        <f>CALCULATIONS!PE25</f>
        <v>4.0995220850209826</v>
      </c>
      <c r="J27" s="1100">
        <f>CALCULATIONS!PD25</f>
        <v>4.5731712273212377</v>
      </c>
      <c r="K27" s="132">
        <f>CALCULATIONS!FV25</f>
        <v>6.7995363362554677</v>
      </c>
      <c r="L27" s="117">
        <f>CALCULATIONS!FW25</f>
        <v>0.2149868566781509</v>
      </c>
      <c r="M27" s="131">
        <f>CALCULATIONS!FU25</f>
        <v>7.5822149145373468</v>
      </c>
      <c r="N27" s="103">
        <f>PROFILES!E398</f>
        <v>0.32615050588405037</v>
      </c>
      <c r="O27" s="117">
        <f>PROFILES!N120</f>
        <v>-8.7660674172335792E-2</v>
      </c>
      <c r="P27" s="104">
        <f>PROFILES!G398</f>
        <v>0.30985103942866765</v>
      </c>
      <c r="Q27" s="103">
        <f>CALCULATIONS!GP25</f>
        <v>0.30558583418722468</v>
      </c>
      <c r="R27" s="117">
        <f>CALCULATIONS!GQ25</f>
        <v>-0.13620468181810452</v>
      </c>
      <c r="S27" s="104">
        <f>CALCULATIONS!GO25</f>
        <v>0.29018390059321952</v>
      </c>
      <c r="T27" s="103">
        <f>CALCULATIONS!HZ25</f>
        <v>0.31922230141848357</v>
      </c>
      <c r="U27" s="117">
        <f>CALCULATIONS!IA25</f>
        <v>-0.13496032758973828</v>
      </c>
      <c r="V27" s="104">
        <f>CALCULATIONS!HY25</f>
        <v>0.30362227391248225</v>
      </c>
      <c r="W27" s="117">
        <f t="shared" si="2"/>
        <v>1.3636467231258886E-2</v>
      </c>
      <c r="X27" s="117">
        <f t="shared" si="3"/>
        <v>4.4624016252350789E-2</v>
      </c>
      <c r="Y27" s="80" t="str">
        <f>VLOOKUP($B27,RATINGS!$B$91:$O$114,11,FALSE)</f>
        <v>A</v>
      </c>
      <c r="Z27" s="1699" t="str">
        <f>VLOOKUP($B27,RATINGS!$B$91:$O$114,14,FALSE)</f>
        <v>=  =  -</v>
      </c>
      <c r="AA27" s="132">
        <f>CALCULATIONS!LF25</f>
        <v>2.1579177629636748</v>
      </c>
      <c r="AB27" s="151">
        <f>CALCULATIONS!LG25</f>
        <v>6.0078851309961184E-2</v>
      </c>
      <c r="AC27" s="131">
        <f>CALCULATIONS!LC25</f>
        <v>2.3009327536910358</v>
      </c>
      <c r="AH27" s="1095" t="s">
        <v>290</v>
      </c>
      <c r="AI27" s="1178">
        <f>CALCULATIONS!Q25</f>
        <v>0.1272838779318437</v>
      </c>
      <c r="AJ27" s="1179">
        <f>CALCULATIONS!FW25</f>
        <v>0.2149868566781509</v>
      </c>
      <c r="AR27" s="1002"/>
      <c r="AS27" s="1002"/>
      <c r="AT27" s="1178">
        <f>CALCULATIONS!DB25</f>
        <v>-0.1333416217850284</v>
      </c>
      <c r="AU27" s="1179">
        <f>CALCULATIONS!AL25</f>
        <v>5.2008372716049814E-2</v>
      </c>
      <c r="AV27" s="1178"/>
      <c r="AW27" s="155"/>
      <c r="BE27" s="3141"/>
    </row>
    <row r="28" spans="1:57">
      <c r="A28" s="1184" t="s">
        <v>27</v>
      </c>
      <c r="B28" s="106" t="s">
        <v>357</v>
      </c>
      <c r="C28" s="121">
        <f>CALCULATIONS!N26</f>
        <v>504.56125714285719</v>
      </c>
      <c r="D28" s="113">
        <f t="shared" si="0"/>
        <v>1.292808804099037E-3</v>
      </c>
      <c r="E28" s="122">
        <f>CALCULATIONS!P26</f>
        <v>0.11241291049139049</v>
      </c>
      <c r="F28" s="122">
        <f>CALCULATIONS!R26</f>
        <v>0.21418848939702945</v>
      </c>
      <c r="G28" s="123">
        <f>CALCULATIONS!M26</f>
        <v>562.64409999999998</v>
      </c>
      <c r="H28" s="1115">
        <f t="shared" si="1"/>
        <v>1.5580713726115437E-3</v>
      </c>
      <c r="I28" s="1116">
        <f>CALCULATIONS!PE26</f>
        <v>0.48825120153947199</v>
      </c>
      <c r="J28" s="1116">
        <f>CALCULATIONS!PD26</f>
        <v>0.52140126030951717</v>
      </c>
      <c r="K28" s="158">
        <f>CALCULATIONS!FV26</f>
        <v>3.8552632920912293</v>
      </c>
      <c r="L28" s="122">
        <f>CALCULATIONS!FW26</f>
        <v>-0.11001004882442665</v>
      </c>
      <c r="M28" s="159">
        <f>CALCULATIONS!FU26</f>
        <v>3.9063069179772585</v>
      </c>
      <c r="N28" s="122">
        <f>PROFILES!E399</f>
        <v>0.90539538726018864</v>
      </c>
      <c r="O28" s="122">
        <f>PROFILES!N121</f>
        <v>-4.1189056985539901E-2</v>
      </c>
      <c r="P28" s="1117">
        <f>PROFILES!G399</f>
        <v>0.90138346931536006</v>
      </c>
      <c r="Q28" s="160">
        <f>CALCULATIONS!GP26</f>
        <v>0.38160323267486906</v>
      </c>
      <c r="R28" s="122">
        <f>CALCULATIONS!GQ26</f>
        <v>0.13281779457810056</v>
      </c>
      <c r="S28" s="1117">
        <f>CALCULATIONS!GO26</f>
        <v>0.39444904186551905</v>
      </c>
      <c r="T28" s="160">
        <f>CALCULATIONS!HZ26</f>
        <v>0.47841518539184064</v>
      </c>
      <c r="U28" s="122">
        <f>CALCULATIONS!IA26</f>
        <v>1.1717685634717274E-2</v>
      </c>
      <c r="V28" s="1117">
        <f>CALCULATIONS!HY26</f>
        <v>0.46507375880431212</v>
      </c>
      <c r="W28" s="122">
        <f t="shared" si="2"/>
        <v>9.6811952716971572E-2</v>
      </c>
      <c r="X28" s="122">
        <f t="shared" si="3"/>
        <v>0.25369793656715856</v>
      </c>
      <c r="Y28" s="89" t="str">
        <f>VLOOKUP($B28,RATINGS!$B$91:$O$114,11,FALSE)</f>
        <v>Not rated</v>
      </c>
      <c r="Z28" s="1699"/>
      <c r="AA28" s="158">
        <f>CALCULATIONS!LF26</f>
        <v>1.832329792526622</v>
      </c>
      <c r="AB28" s="161">
        <f>CALCULATIONS!LG26</f>
        <v>-9.9442962217240083E-2</v>
      </c>
      <c r="AC28" s="159">
        <f>CALCULATIONS!LC26</f>
        <v>1.8160302149559577</v>
      </c>
      <c r="AH28" s="1095" t="s">
        <v>357</v>
      </c>
      <c r="AI28" s="1178">
        <f>CALCULATIONS!Q26</f>
        <v>0.11241291049139049</v>
      </c>
      <c r="AJ28" s="1179">
        <f>CALCULATIONS!FW26</f>
        <v>-0.11001004882442665</v>
      </c>
      <c r="AR28" s="1002"/>
      <c r="AS28" s="1002"/>
      <c r="AT28" s="1178">
        <f>CALCULATIONS!DB26</f>
        <v>0.36885142407304877</v>
      </c>
      <c r="AU28" s="1179">
        <f>CALCULATIONS!AL26</f>
        <v>0.15731081723901302</v>
      </c>
      <c r="AV28" s="1178"/>
      <c r="AW28" s="155"/>
      <c r="BE28" s="3141"/>
    </row>
    <row r="29" spans="1:57" s="1158" customFormat="1">
      <c r="A29" s="1155"/>
      <c r="C29" s="239"/>
      <c r="D29" s="114"/>
      <c r="E29" s="117"/>
      <c r="F29" s="117"/>
      <c r="G29" s="239"/>
      <c r="H29" s="114"/>
      <c r="I29" s="114"/>
      <c r="J29" s="114"/>
      <c r="K29" s="240"/>
      <c r="L29" s="117"/>
      <c r="M29" s="240"/>
      <c r="N29" s="117"/>
      <c r="O29" s="117"/>
      <c r="P29" s="117"/>
      <c r="Q29" s="117"/>
      <c r="R29" s="150"/>
      <c r="S29" s="117"/>
      <c r="T29" s="117"/>
      <c r="U29" s="150"/>
      <c r="V29" s="117"/>
      <c r="W29" s="117"/>
      <c r="X29" s="117"/>
      <c r="Y29" s="81"/>
      <c r="Z29" s="2042"/>
      <c r="AA29" s="240"/>
      <c r="AB29" s="151"/>
      <c r="AC29" s="240"/>
      <c r="AG29" s="2896"/>
      <c r="AT29" s="111"/>
      <c r="AU29" s="111"/>
      <c r="AV29" s="111"/>
      <c r="BE29" s="2143"/>
    </row>
    <row r="30" spans="1:57" s="1158" customFormat="1">
      <c r="A30" s="1187" t="s">
        <v>2604</v>
      </c>
      <c r="B30" s="1182"/>
      <c r="C30" s="239"/>
      <c r="D30" s="114"/>
      <c r="E30" s="117"/>
      <c r="F30" s="117"/>
      <c r="G30" s="239"/>
      <c r="H30" s="114"/>
      <c r="I30" s="114"/>
      <c r="J30" s="114"/>
      <c r="K30" s="240"/>
      <c r="L30" s="117"/>
      <c r="M30" s="240"/>
      <c r="N30" s="117"/>
      <c r="O30" s="117"/>
      <c r="P30" s="117"/>
      <c r="Q30" s="117"/>
      <c r="R30" s="150"/>
      <c r="S30" s="117"/>
      <c r="T30" s="117"/>
      <c r="U30" s="150"/>
      <c r="V30" s="117"/>
      <c r="W30" s="117"/>
      <c r="X30" s="117"/>
      <c r="Y30" s="81"/>
      <c r="Z30" s="147"/>
      <c r="AA30" s="240"/>
      <c r="AB30" s="151"/>
      <c r="AC30" s="240"/>
      <c r="AG30" s="2896"/>
      <c r="AT30" s="111"/>
      <c r="AU30" s="111"/>
      <c r="AV30" s="111"/>
      <c r="BE30" s="2143"/>
    </row>
    <row r="31" spans="1:57" s="1158" customFormat="1">
      <c r="A31" s="1186" t="s">
        <v>32</v>
      </c>
      <c r="B31" s="1158" t="s">
        <v>1112</v>
      </c>
      <c r="C31" s="239"/>
      <c r="D31" s="1196">
        <f>D24+D23</f>
        <v>0.31407184445505926</v>
      </c>
      <c r="E31" s="117"/>
      <c r="F31" s="117"/>
      <c r="G31" s="117"/>
      <c r="H31" s="1196">
        <f>H24+H23</f>
        <v>0.37442963096553966</v>
      </c>
      <c r="I31" s="114"/>
      <c r="J31" s="114"/>
      <c r="K31" s="240"/>
      <c r="L31" s="117"/>
      <c r="M31" s="240"/>
      <c r="N31" s="117"/>
      <c r="O31" s="117"/>
      <c r="P31" s="117"/>
      <c r="Q31" s="117"/>
      <c r="R31" s="150"/>
      <c r="S31" s="117"/>
      <c r="T31" s="117"/>
      <c r="U31" s="150"/>
      <c r="V31" s="117"/>
      <c r="W31" s="117"/>
      <c r="X31" s="117"/>
      <c r="Y31" s="81"/>
      <c r="Z31" s="147"/>
      <c r="AA31" s="240"/>
      <c r="AB31" s="151"/>
      <c r="AC31" s="240"/>
      <c r="AG31" s="2896"/>
      <c r="AR31" s="111"/>
      <c r="AS31" s="111"/>
      <c r="AT31" s="111"/>
      <c r="BE31" s="2143"/>
    </row>
    <row r="32" spans="1:57" s="1158" customFormat="1">
      <c r="A32" s="1155" t="s">
        <v>1106</v>
      </c>
      <c r="B32" s="1158" t="s">
        <v>1105</v>
      </c>
      <c r="C32" s="239"/>
      <c r="D32" s="1196">
        <f>D7+D8+D9+D15+D16+D17+D18+D20+D21</f>
        <v>0.31681610608711819</v>
      </c>
      <c r="E32" s="117"/>
      <c r="F32" s="117"/>
      <c r="G32" s="117"/>
      <c r="H32" s="1196">
        <f>H7+H8+H9+H15+H16+H17+H18+H20+H21</f>
        <v>0.27372212694371556</v>
      </c>
      <c r="I32" s="114"/>
      <c r="J32" s="114"/>
      <c r="K32" s="240"/>
      <c r="L32" s="117"/>
      <c r="M32" s="240"/>
      <c r="N32" s="117"/>
      <c r="O32" s="117"/>
      <c r="P32" s="117"/>
      <c r="Q32" s="117"/>
      <c r="R32" s="150"/>
      <c r="S32" s="117"/>
      <c r="T32" s="117"/>
      <c r="U32" s="150"/>
      <c r="V32" s="117"/>
      <c r="W32" s="117"/>
      <c r="X32" s="117"/>
      <c r="Y32" s="81"/>
      <c r="Z32" s="147"/>
      <c r="AA32" s="240"/>
      <c r="AB32" s="151"/>
      <c r="AC32" s="240"/>
      <c r="AG32" s="2896"/>
      <c r="AR32" s="111"/>
      <c r="AS32" s="111"/>
      <c r="AT32" s="111"/>
      <c r="BE32" s="2143"/>
    </row>
    <row r="33" spans="1:57" s="1158" customFormat="1">
      <c r="A33" s="1186" t="s">
        <v>1107</v>
      </c>
      <c r="B33" s="1158" t="s">
        <v>1108</v>
      </c>
      <c r="C33" s="239"/>
      <c r="D33" s="1196">
        <f>D32+D13+D22</f>
        <v>0.48280336077918012</v>
      </c>
      <c r="E33" s="117"/>
      <c r="F33" s="117"/>
      <c r="G33" s="117"/>
      <c r="H33" s="1196">
        <f>H32+H13+H22</f>
        <v>0.40418184360723208</v>
      </c>
      <c r="I33" s="114"/>
      <c r="J33" s="114"/>
      <c r="K33" s="240"/>
      <c r="L33" s="117"/>
      <c r="M33" s="240"/>
      <c r="N33" s="117"/>
      <c r="O33" s="117"/>
      <c r="P33" s="117"/>
      <c r="Q33" s="117"/>
      <c r="R33" s="150"/>
      <c r="S33" s="117"/>
      <c r="T33" s="117"/>
      <c r="U33" s="150"/>
      <c r="V33" s="117"/>
      <c r="W33" s="117"/>
      <c r="X33" s="117"/>
      <c r="Y33" s="81"/>
      <c r="Z33" s="147"/>
      <c r="AA33" s="240"/>
      <c r="AB33" s="151"/>
      <c r="AC33" s="240"/>
      <c r="AG33" s="2896"/>
      <c r="AR33" s="111"/>
      <c r="AS33" s="111"/>
      <c r="AT33" s="111"/>
      <c r="BE33" s="2143"/>
    </row>
    <row r="34" spans="1:57" s="1158" customFormat="1">
      <c r="A34" s="1186" t="s">
        <v>1109</v>
      </c>
      <c r="B34" s="1158" t="s">
        <v>1103</v>
      </c>
      <c r="C34" s="239"/>
      <c r="D34" s="1196">
        <f>D12+D14+D19+D25+D26+D27</f>
        <v>0.18732178997255614</v>
      </c>
      <c r="E34" s="117"/>
      <c r="F34" s="117"/>
      <c r="G34" s="117"/>
      <c r="H34" s="1196">
        <f>H12+H14+H19+H25+H26+H27</f>
        <v>0.20595894468600945</v>
      </c>
      <c r="I34" s="114"/>
      <c r="J34" s="114"/>
      <c r="K34" s="240"/>
      <c r="L34" s="117"/>
      <c r="M34" s="240"/>
      <c r="N34" s="117"/>
      <c r="O34" s="117"/>
      <c r="P34" s="117"/>
      <c r="Q34" s="117"/>
      <c r="R34" s="150"/>
      <c r="S34" s="117"/>
      <c r="T34" s="117"/>
      <c r="U34" s="150"/>
      <c r="V34" s="117"/>
      <c r="W34" s="117"/>
      <c r="X34" s="117"/>
      <c r="Y34" s="81"/>
      <c r="Z34" s="147"/>
      <c r="AA34" s="240"/>
      <c r="AB34" s="151"/>
      <c r="AC34" s="240"/>
      <c r="AG34" s="2896"/>
      <c r="AR34" s="111"/>
      <c r="AS34" s="111"/>
      <c r="AT34" s="111"/>
      <c r="BE34" s="2143"/>
    </row>
    <row r="35" spans="1:57" s="1158" customFormat="1">
      <c r="A35" s="1186" t="s">
        <v>1110</v>
      </c>
      <c r="B35" s="1158" t="s">
        <v>1111</v>
      </c>
      <c r="C35" s="239"/>
      <c r="D35" s="114">
        <f>D10+D11+D28</f>
        <v>1.5803004793204335E-2</v>
      </c>
      <c r="E35" s="1204"/>
      <c r="F35" s="1204"/>
      <c r="G35" s="1204"/>
      <c r="H35" s="114">
        <f>H10+H11+H28</f>
        <v>1.5429580741219064E-2</v>
      </c>
      <c r="I35" s="114"/>
      <c r="J35" s="114"/>
      <c r="K35" s="240"/>
      <c r="L35" s="117"/>
      <c r="M35" s="240"/>
      <c r="N35" s="117"/>
      <c r="O35" s="117"/>
      <c r="P35" s="117"/>
      <c r="Q35" s="117"/>
      <c r="R35" s="150"/>
      <c r="S35" s="117"/>
      <c r="T35" s="117"/>
      <c r="U35" s="150"/>
      <c r="V35" s="117"/>
      <c r="W35" s="117"/>
      <c r="X35" s="117"/>
      <c r="Y35" s="81"/>
      <c r="Z35" s="147"/>
      <c r="AA35" s="240"/>
      <c r="AB35" s="151"/>
      <c r="AC35" s="240"/>
      <c r="AG35" s="2896"/>
      <c r="AR35" s="111"/>
      <c r="AS35" s="111"/>
      <c r="AT35" s="111"/>
      <c r="BE35" s="2143"/>
    </row>
    <row r="36" spans="1:57" s="1158" customFormat="1">
      <c r="A36" s="1155"/>
      <c r="C36" s="239"/>
      <c r="D36" s="114"/>
      <c r="E36" s="117"/>
      <c r="F36" s="117"/>
      <c r="G36" s="239"/>
      <c r="H36" s="114"/>
      <c r="I36" s="114"/>
      <c r="J36" s="114"/>
      <c r="K36" s="240"/>
      <c r="L36" s="117"/>
      <c r="M36" s="240"/>
      <c r="N36" s="117"/>
      <c r="O36" s="117"/>
      <c r="P36" s="117"/>
      <c r="Q36" s="117"/>
      <c r="R36" s="150"/>
      <c r="S36" s="117"/>
      <c r="T36" s="117"/>
      <c r="U36" s="150"/>
      <c r="V36" s="117"/>
      <c r="W36" s="117"/>
      <c r="X36" s="117"/>
      <c r="Y36" s="81"/>
      <c r="Z36" s="147"/>
      <c r="AA36" s="240"/>
      <c r="AB36" s="151"/>
      <c r="AC36" s="240"/>
      <c r="AG36" s="2896"/>
      <c r="AR36" s="111"/>
      <c r="AS36" s="111"/>
      <c r="AT36" s="111"/>
      <c r="BE36" s="2143"/>
    </row>
    <row r="37" spans="1:57" s="154" customFormat="1">
      <c r="A37" s="3138" t="s">
        <v>2605</v>
      </c>
      <c r="B37" s="3137"/>
      <c r="C37" s="1120">
        <v>1</v>
      </c>
      <c r="D37" s="1119">
        <v>2</v>
      </c>
      <c r="E37" s="1120">
        <v>3</v>
      </c>
      <c r="F37" s="1119">
        <v>4</v>
      </c>
      <c r="G37" s="1120">
        <v>5</v>
      </c>
      <c r="H37" s="1119">
        <v>6</v>
      </c>
      <c r="I37" s="1120">
        <v>7</v>
      </c>
      <c r="J37" s="1119">
        <v>8</v>
      </c>
      <c r="K37" s="1120">
        <v>9</v>
      </c>
      <c r="L37" s="1119">
        <v>10</v>
      </c>
      <c r="M37" s="1120">
        <v>11</v>
      </c>
      <c r="N37" s="1119">
        <v>12</v>
      </c>
      <c r="O37" s="1120">
        <v>13</v>
      </c>
      <c r="P37" s="1119">
        <v>14</v>
      </c>
      <c r="Q37" s="1120">
        <v>15</v>
      </c>
      <c r="R37" s="1119">
        <v>16</v>
      </c>
      <c r="S37" s="1120">
        <v>17</v>
      </c>
      <c r="T37" s="1119">
        <v>18</v>
      </c>
      <c r="U37" s="1120">
        <v>19</v>
      </c>
      <c r="V37" s="1119">
        <v>20</v>
      </c>
      <c r="W37" s="1120">
        <v>21</v>
      </c>
      <c r="X37" s="1119">
        <v>22</v>
      </c>
      <c r="Y37" s="1120">
        <v>23</v>
      </c>
      <c r="Z37" s="1119">
        <v>24</v>
      </c>
      <c r="AA37" s="1120">
        <v>25</v>
      </c>
      <c r="AB37" s="1119">
        <v>26</v>
      </c>
      <c r="AC37" s="1120">
        <v>27</v>
      </c>
      <c r="AR37" s="1229"/>
      <c r="AS37" s="1229"/>
      <c r="AT37" s="1229"/>
      <c r="BE37" s="1319"/>
    </row>
    <row r="39" spans="1:57" s="1068" customFormat="1">
      <c r="A39" s="1155"/>
      <c r="D39" s="120"/>
      <c r="H39" s="120"/>
      <c r="I39" s="120"/>
      <c r="J39" s="120"/>
      <c r="AG39" s="2896"/>
      <c r="AR39" s="111"/>
      <c r="AS39" s="111"/>
      <c r="AT39" s="111"/>
      <c r="BE39" s="2143"/>
    </row>
    <row r="40" spans="1:57" s="1068" customFormat="1">
      <c r="A40" s="1252" t="s">
        <v>1073</v>
      </c>
      <c r="B40" s="1123" t="s">
        <v>1075</v>
      </c>
      <c r="D40" s="120"/>
      <c r="H40" s="120"/>
      <c r="I40" s="120"/>
      <c r="J40" s="120"/>
      <c r="AG40" s="2896"/>
      <c r="AR40" s="111"/>
      <c r="AS40" s="111"/>
      <c r="AT40" s="111"/>
      <c r="BE40" s="2143"/>
    </row>
    <row r="41" spans="1:57">
      <c r="A41" s="1155" t="s">
        <v>32</v>
      </c>
      <c r="B41" s="73" t="s">
        <v>279</v>
      </c>
      <c r="C41" s="116">
        <f t="shared" ref="C41:L51" si="4">VLOOKUP($B41,$B$7:$AC$28,C$37+1,FALSE)</f>
        <v>103061.53572524291</v>
      </c>
      <c r="D41" s="114">
        <f t="shared" si="4"/>
        <v>0.26406875054982143</v>
      </c>
      <c r="E41" s="1124">
        <f t="shared" si="4"/>
        <v>7.5306160052783275E-2</v>
      </c>
      <c r="F41" s="1124">
        <f t="shared" si="4"/>
        <v>0.17708173895842222</v>
      </c>
      <c r="G41" s="1125">
        <f t="shared" si="4"/>
        <v>106720.85775234729</v>
      </c>
      <c r="H41" s="1126">
        <f t="shared" si="4"/>
        <v>0.29553089301830604</v>
      </c>
      <c r="I41" s="1127">
        <f t="shared" si="4"/>
        <v>1.0837821931217524</v>
      </c>
      <c r="J41" s="1127">
        <f t="shared" si="4"/>
        <v>1.259272460269286</v>
      </c>
      <c r="K41" s="1128">
        <f t="shared" si="4"/>
        <v>7.5360879751187033</v>
      </c>
      <c r="L41" s="1124">
        <f t="shared" si="4"/>
        <v>0.12910548637067604</v>
      </c>
      <c r="M41" s="1129">
        <f t="shared" ref="M41:V51" si="5">VLOOKUP($B41,$B$7:$AC$28,M$37+1,FALSE)</f>
        <v>8.6584668441025876</v>
      </c>
      <c r="N41" s="1130">
        <f t="shared" si="5"/>
        <v>0.91487499999999988</v>
      </c>
      <c r="O41" s="1131">
        <f t="shared" si="5"/>
        <v>-4.3736501079913587E-2</v>
      </c>
      <c r="P41" s="1132">
        <f t="shared" si="5"/>
        <v>0.89481420237931208</v>
      </c>
      <c r="Q41" s="1130">
        <f t="shared" si="5"/>
        <v>0.24509229252810941</v>
      </c>
      <c r="R41" s="1131">
        <f t="shared" si="5"/>
        <v>-0.16501821733667812</v>
      </c>
      <c r="S41" s="1132">
        <f t="shared" si="5"/>
        <v>0.23828807339295358</v>
      </c>
      <c r="T41" s="1130">
        <f t="shared" si="5"/>
        <v>0.27870192226407053</v>
      </c>
      <c r="U41" s="1131">
        <f t="shared" si="5"/>
        <v>-0.14309331637647091</v>
      </c>
      <c r="V41" s="1132">
        <f t="shared" si="5"/>
        <v>0.2718321660431175</v>
      </c>
      <c r="W41" s="1124">
        <f t="shared" ref="W41:AC51" si="6">VLOOKUP($B41,$B$7:$AC$28,W$37+1,FALSE)</f>
        <v>3.3609629735961127E-2</v>
      </c>
      <c r="X41" s="1124">
        <f t="shared" si="6"/>
        <v>0.13713050455108242</v>
      </c>
      <c r="Y41" s="1133" t="str">
        <f t="shared" si="6"/>
        <v>A-</v>
      </c>
      <c r="Z41" s="1134" t="str">
        <f t="shared" si="6"/>
        <v>=  =  =</v>
      </c>
      <c r="AA41" s="1128">
        <f t="shared" si="6"/>
        <v>2.0880314655341889</v>
      </c>
      <c r="AB41" s="1135">
        <f t="shared" si="6"/>
        <v>-3.7762767487534328E-2</v>
      </c>
      <c r="AC41" s="1129">
        <f t="shared" si="6"/>
        <v>2.3348198024327131</v>
      </c>
    </row>
    <row r="42" spans="1:57" s="111" customFormat="1" ht="13.2" customHeight="1">
      <c r="A42" s="1155" t="s">
        <v>219</v>
      </c>
      <c r="B42" s="73" t="s">
        <v>53</v>
      </c>
      <c r="C42" s="116">
        <f t="shared" si="4"/>
        <v>60036.853628571422</v>
      </c>
      <c r="D42" s="114">
        <f t="shared" si="4"/>
        <v>0.15382903828354536</v>
      </c>
      <c r="E42" s="1124">
        <f t="shared" si="4"/>
        <v>-0.3618479655094986</v>
      </c>
      <c r="F42" s="1124">
        <f t="shared" si="4"/>
        <v>-0.26007238660385967</v>
      </c>
      <c r="G42" s="1125">
        <f t="shared" si="4"/>
        <v>44430.485000000001</v>
      </c>
      <c r="H42" s="1126">
        <f t="shared" si="4"/>
        <v>0.1230366882897139</v>
      </c>
      <c r="I42" s="1127">
        <f t="shared" si="4"/>
        <v>2.2644833808097031</v>
      </c>
      <c r="J42" s="1127">
        <f t="shared" si="4"/>
        <v>1.7716210773954304</v>
      </c>
      <c r="K42" s="1128">
        <f t="shared" si="4"/>
        <v>5.6943354572509941</v>
      </c>
      <c r="L42" s="1124">
        <f t="shared" si="4"/>
        <v>-7.3155042359885195E-2</v>
      </c>
      <c r="M42" s="1129">
        <f t="shared" si="5"/>
        <v>5.1937231412225326</v>
      </c>
      <c r="N42" s="1130">
        <f t="shared" si="5"/>
        <v>0.6158872479982318</v>
      </c>
      <c r="O42" s="1131">
        <f t="shared" si="5"/>
        <v>0.11044311863454735</v>
      </c>
      <c r="P42" s="1132">
        <f t="shared" si="5"/>
        <v>0.66127040038880336</v>
      </c>
      <c r="Q42" s="1130">
        <f t="shared" si="5"/>
        <v>0.48384306036910518</v>
      </c>
      <c r="R42" s="1131">
        <f t="shared" si="5"/>
        <v>0.2595878527386451</v>
      </c>
      <c r="S42" s="1132">
        <f t="shared" si="5"/>
        <v>0.54381370963962039</v>
      </c>
      <c r="T42" s="1130">
        <f t="shared" si="5"/>
        <v>0.51513010935716153</v>
      </c>
      <c r="U42" s="1131">
        <f t="shared" si="5"/>
        <v>0.26130995158024306</v>
      </c>
      <c r="V42" s="1132">
        <f t="shared" si="5"/>
        <v>0.57929804018594233</v>
      </c>
      <c r="W42" s="1124">
        <f t="shared" si="6"/>
        <v>3.1287048988056343E-2</v>
      </c>
      <c r="X42" s="1124">
        <f t="shared" si="6"/>
        <v>6.4663630732222685E-2</v>
      </c>
      <c r="Y42" s="1133" t="str">
        <f t="shared" si="6"/>
        <v>BBB</v>
      </c>
      <c r="Z42" s="1134" t="str">
        <f t="shared" si="6"/>
        <v>¯  ¯ ¯</v>
      </c>
      <c r="AA42" s="1128">
        <f t="shared" si="6"/>
        <v>2.7929780820851775</v>
      </c>
      <c r="AB42" s="1135">
        <f t="shared" si="6"/>
        <v>0.12404595260605845</v>
      </c>
      <c r="AC42" s="1129">
        <f t="shared" si="6"/>
        <v>2.8353348809740444</v>
      </c>
      <c r="BE42" s="2125"/>
    </row>
    <row r="43" spans="1:57" s="111" customFormat="1" ht="13.2" customHeight="1">
      <c r="A43" s="1155" t="s">
        <v>502</v>
      </c>
      <c r="B43" s="73" t="s">
        <v>52</v>
      </c>
      <c r="C43" s="116">
        <f t="shared" si="4"/>
        <v>40464.923042857146</v>
      </c>
      <c r="D43" s="114">
        <f t="shared" si="4"/>
        <v>0.1036809862557167</v>
      </c>
      <c r="E43" s="1124">
        <f t="shared" si="4"/>
        <v>-6.1458653761923776E-2</v>
      </c>
      <c r="F43" s="1124">
        <f t="shared" si="4"/>
        <v>4.0316925143715168E-2</v>
      </c>
      <c r="G43" s="1125">
        <f t="shared" si="4"/>
        <v>39791.94</v>
      </c>
      <c r="H43" s="1126">
        <f t="shared" si="4"/>
        <v>0.1101916514803518</v>
      </c>
      <c r="I43" s="1127">
        <f t="shared" si="4"/>
        <v>1.0840589348936991</v>
      </c>
      <c r="J43" s="1127">
        <f t="shared" si="4"/>
        <v>1.2733420800000002</v>
      </c>
      <c r="K43" s="1128">
        <f t="shared" si="4"/>
        <v>4.9905713850513198</v>
      </c>
      <c r="L43" s="1124">
        <f t="shared" si="4"/>
        <v>0.1448238320606966</v>
      </c>
      <c r="M43" s="1129">
        <f t="shared" si="5"/>
        <v>5.2964626193065953</v>
      </c>
      <c r="N43" s="1130">
        <f t="shared" si="5"/>
        <v>0.61</v>
      </c>
      <c r="O43" s="1131">
        <f t="shared" si="5"/>
        <v>0</v>
      </c>
      <c r="P43" s="1132">
        <f t="shared" si="5"/>
        <v>0.62983042679437373</v>
      </c>
      <c r="Q43" s="1130">
        <f t="shared" si="5"/>
        <v>0.51528895508035288</v>
      </c>
      <c r="R43" s="1131">
        <f t="shared" si="5"/>
        <v>-2.4931247740904369E-2</v>
      </c>
      <c r="S43" s="1132">
        <f t="shared" si="5"/>
        <v>0.51939744871548044</v>
      </c>
      <c r="T43" s="1130">
        <f t="shared" si="5"/>
        <v>0.58808850315066874</v>
      </c>
      <c r="U43" s="1131">
        <f t="shared" si="5"/>
        <v>-2.8226553900756759E-2</v>
      </c>
      <c r="V43" s="1132">
        <f t="shared" si="5"/>
        <v>0.59074959904524027</v>
      </c>
      <c r="W43" s="1124">
        <f t="shared" si="6"/>
        <v>7.2799548070315856E-2</v>
      </c>
      <c r="X43" s="1124">
        <f t="shared" si="6"/>
        <v>0.14127907721011346</v>
      </c>
      <c r="Y43" s="1133" t="str">
        <f t="shared" si="6"/>
        <v>BBB+</v>
      </c>
      <c r="Z43" s="1134" t="str">
        <f t="shared" si="6"/>
        <v>=  =  =</v>
      </c>
      <c r="AA43" s="1128">
        <f t="shared" si="6"/>
        <v>2.7906818261625395</v>
      </c>
      <c r="AB43" s="1135">
        <f t="shared" si="6"/>
        <v>8.5841806528642844E-2</v>
      </c>
      <c r="AC43" s="1129">
        <f t="shared" si="6"/>
        <v>2.9178287645268703</v>
      </c>
      <c r="BE43" s="2125"/>
    </row>
    <row r="44" spans="1:57">
      <c r="A44" s="1155" t="s">
        <v>19</v>
      </c>
      <c r="B44" s="152" t="s">
        <v>288</v>
      </c>
      <c r="C44" s="116">
        <f t="shared" si="4"/>
        <v>31174.883771428573</v>
      </c>
      <c r="D44" s="114">
        <f t="shared" si="4"/>
        <v>7.9877643469276421E-2</v>
      </c>
      <c r="E44" s="1124">
        <f t="shared" si="4"/>
        <v>-0.49416922878378883</v>
      </c>
      <c r="F44" s="1124">
        <f t="shared" si="4"/>
        <v>-0.3923936498781499</v>
      </c>
      <c r="G44" s="1125">
        <f t="shared" si="4"/>
        <v>19124.593099999998</v>
      </c>
      <c r="H44" s="1126">
        <f t="shared" si="4"/>
        <v>5.2959732488004868E-2</v>
      </c>
      <c r="I44" s="1127">
        <f t="shared" si="4"/>
        <v>1.0546425468926217</v>
      </c>
      <c r="J44" s="1127">
        <f t="shared" si="4"/>
        <v>0.72989058468819168</v>
      </c>
      <c r="K44" s="1128">
        <f t="shared" si="4"/>
        <v>4.7838493303826084</v>
      </c>
      <c r="L44" s="1124">
        <f t="shared" si="4"/>
        <v>-0.19812930900653591</v>
      </c>
      <c r="M44" s="1129">
        <f t="shared" si="5"/>
        <v>4.438539176760524</v>
      </c>
      <c r="N44" s="1130">
        <f t="shared" si="5"/>
        <v>0.60741568747204655</v>
      </c>
      <c r="O44" s="1131">
        <f t="shared" si="5"/>
        <v>4.0950219141690898E-2</v>
      </c>
      <c r="P44" s="1132">
        <f t="shared" si="5"/>
        <v>0.62738172243152124</v>
      </c>
      <c r="Q44" s="1130">
        <f t="shared" si="5"/>
        <v>0.50834561454306215</v>
      </c>
      <c r="R44" s="1131">
        <f t="shared" si="5"/>
        <v>0.27477182203191691</v>
      </c>
      <c r="S44" s="1132">
        <f t="shared" si="5"/>
        <v>0.61196382356206247</v>
      </c>
      <c r="T44" s="1130">
        <f t="shared" si="5"/>
        <v>0.54898628094174651</v>
      </c>
      <c r="U44" s="1131">
        <f t="shared" si="5"/>
        <v>0.26756473067663017</v>
      </c>
      <c r="V44" s="1132">
        <f t="shared" si="5"/>
        <v>0.65530118542007598</v>
      </c>
      <c r="W44" s="1124">
        <f t="shared" si="6"/>
        <v>4.0640666398684355E-2</v>
      </c>
      <c r="X44" s="1124">
        <f t="shared" si="6"/>
        <v>7.9946920433679999E-2</v>
      </c>
      <c r="Y44" s="1133" t="str">
        <f t="shared" si="6"/>
        <v>BBB+</v>
      </c>
      <c r="Z44" s="1134" t="str">
        <f t="shared" si="6"/>
        <v>=  ¯ ¯</v>
      </c>
      <c r="AA44" s="1128">
        <f t="shared" si="6"/>
        <v>2.5321561588471506</v>
      </c>
      <c r="AB44" s="1135">
        <f t="shared" si="6"/>
        <v>1.3257606300410854E-2</v>
      </c>
      <c r="AC44" s="1129">
        <f t="shared" si="6"/>
        <v>2.8138910595815916</v>
      </c>
    </row>
    <row r="45" spans="1:57">
      <c r="A45" s="1155" t="s">
        <v>507</v>
      </c>
      <c r="B45" s="73" t="s">
        <v>284</v>
      </c>
      <c r="C45" s="116">
        <f t="shared" si="4"/>
        <v>22949.481858519866</v>
      </c>
      <c r="D45" s="114">
        <f t="shared" si="4"/>
        <v>5.8802160840116385E-2</v>
      </c>
      <c r="E45" s="1124">
        <f t="shared" si="4"/>
        <v>-8.3288171902550459E-2</v>
      </c>
      <c r="F45" s="1124">
        <f t="shared" si="4"/>
        <v>1.8487407003088485E-2</v>
      </c>
      <c r="G45" s="1125">
        <f t="shared" si="4"/>
        <v>21731.57918967646</v>
      </c>
      <c r="H45" s="1126">
        <f t="shared" si="4"/>
        <v>6.0178986000343146E-2</v>
      </c>
      <c r="I45" s="1127">
        <f t="shared" si="4"/>
        <v>1.7647070716020126</v>
      </c>
      <c r="J45" s="1127">
        <f t="shared" si="4"/>
        <v>1.7786623686113903</v>
      </c>
      <c r="K45" s="1128">
        <f t="shared" si="4"/>
        <v>7.5421176018870622</v>
      </c>
      <c r="L45" s="1124">
        <f t="shared" si="4"/>
        <v>2.1076957712408067E-2</v>
      </c>
      <c r="M45" s="1129">
        <f t="shared" si="5"/>
        <v>7.6896404016441506</v>
      </c>
      <c r="N45" s="1130">
        <f t="shared" si="5"/>
        <v>0.67984865616162071</v>
      </c>
      <c r="O45" s="1131">
        <f t="shared" si="5"/>
        <v>0.13956056160252914</v>
      </c>
      <c r="P45" s="1132">
        <f t="shared" si="5"/>
        <v>0.7167630057803468</v>
      </c>
      <c r="Q45" s="1130">
        <f t="shared" si="5"/>
        <v>0.23215418017261674</v>
      </c>
      <c r="R45" s="1131">
        <f t="shared" si="5"/>
        <v>0.36187217108516367</v>
      </c>
      <c r="S45" s="1132">
        <f t="shared" si="5"/>
        <v>0.26525179681706468</v>
      </c>
      <c r="T45" s="1130">
        <f t="shared" si="5"/>
        <v>0.2501311526811702</v>
      </c>
      <c r="U45" s="1131">
        <f t="shared" si="5"/>
        <v>0.31916438327965047</v>
      </c>
      <c r="V45" s="1132">
        <f t="shared" si="5"/>
        <v>0.28287599661626001</v>
      </c>
      <c r="W45" s="1124">
        <f t="shared" si="6"/>
        <v>1.7976972508553457E-2</v>
      </c>
      <c r="X45" s="1124">
        <f t="shared" si="6"/>
        <v>7.7435489187344358E-2</v>
      </c>
      <c r="Y45" s="1133" t="str">
        <f t="shared" si="6"/>
        <v>A-</v>
      </c>
      <c r="Z45" s="1134" t="str">
        <f t="shared" si="6"/>
        <v>=  =  =</v>
      </c>
      <c r="AA45" s="1128">
        <f t="shared" si="6"/>
        <v>1.845874038975184</v>
      </c>
      <c r="AB45" s="1135">
        <f t="shared" si="6"/>
        <v>0.36079457239176377</v>
      </c>
      <c r="AC45" s="1129">
        <f t="shared" si="6"/>
        <v>2.1424428051274771</v>
      </c>
    </row>
    <row r="46" spans="1:57">
      <c r="A46" s="1155" t="s">
        <v>504</v>
      </c>
      <c r="B46" s="73" t="s">
        <v>281</v>
      </c>
      <c r="C46" s="116">
        <f t="shared" si="4"/>
        <v>20617.292984255655</v>
      </c>
      <c r="D46" s="114">
        <f t="shared" si="4"/>
        <v>5.2826525044090682E-2</v>
      </c>
      <c r="E46" s="1124">
        <f t="shared" si="4"/>
        <v>0.37985561177970401</v>
      </c>
      <c r="F46" s="1124">
        <f t="shared" si="4"/>
        <v>0.48163119068534294</v>
      </c>
      <c r="G46" s="1125">
        <f t="shared" si="4"/>
        <v>23766.623796323693</v>
      </c>
      <c r="H46" s="1126">
        <f t="shared" si="4"/>
        <v>6.5814421871090864E-2</v>
      </c>
      <c r="I46" s="1127">
        <f t="shared" si="4"/>
        <v>1.8990159277875758</v>
      </c>
      <c r="J46" s="1127">
        <f t="shared" si="4"/>
        <v>2.509154465418888</v>
      </c>
      <c r="K46" s="1128">
        <f t="shared" si="4"/>
        <v>5.8033589040079683</v>
      </c>
      <c r="L46" s="1124">
        <f t="shared" si="4"/>
        <v>4.5724350121793801E-2</v>
      </c>
      <c r="M46" s="1129">
        <f t="shared" si="5"/>
        <v>6.1939465303838475</v>
      </c>
      <c r="N46" s="1130">
        <f t="shared" si="5"/>
        <v>0.7344324868237998</v>
      </c>
      <c r="O46" s="1131">
        <f t="shared" si="5"/>
        <v>0.10784712869930438</v>
      </c>
      <c r="P46" s="1132">
        <f t="shared" si="5"/>
        <v>0.74956908795771016</v>
      </c>
      <c r="Q46" s="1130">
        <f t="shared" si="5"/>
        <v>0.14726898954609682</v>
      </c>
      <c r="R46" s="1131">
        <f t="shared" si="5"/>
        <v>4.9939774449528171E-2</v>
      </c>
      <c r="S46" s="1132">
        <f t="shared" si="5"/>
        <v>0.17272839211728983</v>
      </c>
      <c r="T46" s="1130">
        <f t="shared" si="5"/>
        <v>0.18443136241749356</v>
      </c>
      <c r="U46" s="1131">
        <f t="shared" si="5"/>
        <v>-5.7258906752796622E-2</v>
      </c>
      <c r="V46" s="1132">
        <f t="shared" si="5"/>
        <v>0.198117589718218</v>
      </c>
      <c r="W46" s="1124">
        <f t="shared" si="6"/>
        <v>3.7162372871396732E-2</v>
      </c>
      <c r="X46" s="1124">
        <f t="shared" si="6"/>
        <v>0.25234350412762557</v>
      </c>
      <c r="Y46" s="1133" t="str">
        <f t="shared" si="6"/>
        <v>A-</v>
      </c>
      <c r="Z46" s="1134" t="str">
        <f t="shared" si="6"/>
        <v>=  =  -</v>
      </c>
      <c r="AA46" s="1128">
        <f t="shared" si="6"/>
        <v>1.0395975936863313</v>
      </c>
      <c r="AB46" s="1135">
        <f t="shared" si="6"/>
        <v>2.9438923535487854E-2</v>
      </c>
      <c r="AC46" s="1129">
        <f t="shared" si="6"/>
        <v>1.2087727199953455</v>
      </c>
    </row>
    <row r="47" spans="1:57">
      <c r="A47" s="1155" t="s">
        <v>32</v>
      </c>
      <c r="B47" s="73" t="s">
        <v>50</v>
      </c>
      <c r="C47" s="116">
        <f t="shared" si="4"/>
        <v>19515.355899391296</v>
      </c>
      <c r="D47" s="114">
        <f t="shared" si="4"/>
        <v>5.0003093905237848E-2</v>
      </c>
      <c r="E47" s="1124">
        <f t="shared" si="4"/>
        <v>1.1994936816856254</v>
      </c>
      <c r="F47" s="1124">
        <f t="shared" si="4"/>
        <v>1.3012692605912644</v>
      </c>
      <c r="G47" s="1125">
        <f t="shared" si="4"/>
        <v>28491.576306321644</v>
      </c>
      <c r="H47" s="1126">
        <f t="shared" si="4"/>
        <v>7.8898737947233621E-2</v>
      </c>
      <c r="I47" s="1127">
        <f t="shared" si="4"/>
        <v>-0.89894076859195104</v>
      </c>
      <c r="J47" s="1127">
        <f t="shared" si="4"/>
        <v>39.625784878048783</v>
      </c>
      <c r="K47" s="1128">
        <f t="shared" si="4"/>
        <v>4.6985221679038922</v>
      </c>
      <c r="L47" s="1124">
        <f t="shared" si="4"/>
        <v>0.4140020451008824</v>
      </c>
      <c r="M47" s="1129">
        <f t="shared" si="5"/>
        <v>5.7096258695546744</v>
      </c>
      <c r="N47" s="1130">
        <f t="shared" si="5"/>
        <v>0</v>
      </c>
      <c r="O47" s="1131">
        <f t="shared" si="5"/>
        <v>0</v>
      </c>
      <c r="P47" s="1132">
        <f t="shared" si="5"/>
        <v>0</v>
      </c>
      <c r="Q47" s="1130">
        <f t="shared" si="5"/>
        <v>0.37025195227815472</v>
      </c>
      <c r="R47" s="1131">
        <f t="shared" si="5"/>
        <v>-0.46222821771061889</v>
      </c>
      <c r="S47" s="1132">
        <f t="shared" si="5"/>
        <v>0.26403640782716253</v>
      </c>
      <c r="T47" s="1130">
        <f t="shared" si="5"/>
        <v>0.48927059752514818</v>
      </c>
      <c r="U47" s="1131">
        <f t="shared" si="5"/>
        <v>-0.38189416595312975</v>
      </c>
      <c r="V47" s="1132">
        <f t="shared" si="5"/>
        <v>0.37414035756341019</v>
      </c>
      <c r="W47" s="1124">
        <f t="shared" si="6"/>
        <v>0.11901864524699346</v>
      </c>
      <c r="X47" s="1124">
        <f t="shared" si="6"/>
        <v>0.32145312000294263</v>
      </c>
      <c r="Y47" s="1133" t="str">
        <f t="shared" si="6"/>
        <v>BBB</v>
      </c>
      <c r="Z47" s="1134" t="str">
        <f t="shared" si="6"/>
        <v xml:space="preserve">=  -  = </v>
      </c>
      <c r="AA47" s="1128">
        <f t="shared" si="6"/>
        <v>2.2664974928712622</v>
      </c>
      <c r="AB47" s="1135">
        <f t="shared" si="6"/>
        <v>-0.12537902502142731</v>
      </c>
      <c r="AC47" s="1129">
        <f t="shared" si="6"/>
        <v>2.136201464388483</v>
      </c>
    </row>
    <row r="48" spans="1:57">
      <c r="A48" s="1155" t="s">
        <v>508</v>
      </c>
      <c r="B48" s="73" t="s">
        <v>290</v>
      </c>
      <c r="C48" s="116">
        <f t="shared" si="4"/>
        <v>16250.837973523972</v>
      </c>
      <c r="D48" s="114">
        <f t="shared" si="4"/>
        <v>4.1638604052015776E-2</v>
      </c>
      <c r="E48" s="1124">
        <f t="shared" si="4"/>
        <v>0.20894195471198634</v>
      </c>
      <c r="F48" s="1124">
        <f t="shared" si="4"/>
        <v>0.31071753361762527</v>
      </c>
      <c r="G48" s="1125">
        <f t="shared" si="4"/>
        <v>17428.290742138299</v>
      </c>
      <c r="H48" s="1126">
        <f t="shared" si="4"/>
        <v>4.826234004564605E-2</v>
      </c>
      <c r="I48" s="1127">
        <f t="shared" si="4"/>
        <v>4.0995220850209826</v>
      </c>
      <c r="J48" s="1127">
        <f t="shared" si="4"/>
        <v>4.5731712273212377</v>
      </c>
      <c r="K48" s="1128">
        <f t="shared" si="4"/>
        <v>6.7995363362554677</v>
      </c>
      <c r="L48" s="1124">
        <f t="shared" si="4"/>
        <v>0.2149868566781509</v>
      </c>
      <c r="M48" s="1129">
        <f t="shared" si="5"/>
        <v>7.5822149145373468</v>
      </c>
      <c r="N48" s="1130">
        <f t="shared" si="5"/>
        <v>0.32615050588405037</v>
      </c>
      <c r="O48" s="1131">
        <f t="shared" si="5"/>
        <v>-8.7660674172335792E-2</v>
      </c>
      <c r="P48" s="1132">
        <f t="shared" si="5"/>
        <v>0.30985103942866765</v>
      </c>
      <c r="Q48" s="1130">
        <f t="shared" si="5"/>
        <v>0.30558583418722468</v>
      </c>
      <c r="R48" s="1131">
        <f t="shared" si="5"/>
        <v>-0.13620468181810452</v>
      </c>
      <c r="S48" s="1132">
        <f t="shared" si="5"/>
        <v>0.29018390059321952</v>
      </c>
      <c r="T48" s="1130">
        <f t="shared" si="5"/>
        <v>0.31922230141848357</v>
      </c>
      <c r="U48" s="1131">
        <f t="shared" si="5"/>
        <v>-0.13496032758973828</v>
      </c>
      <c r="V48" s="1132">
        <f t="shared" si="5"/>
        <v>0.30362227391248225</v>
      </c>
      <c r="W48" s="1124">
        <f t="shared" si="6"/>
        <v>1.3636467231258886E-2</v>
      </c>
      <c r="X48" s="1124">
        <f t="shared" si="6"/>
        <v>4.4624016252350789E-2</v>
      </c>
      <c r="Y48" s="1133" t="str">
        <f t="shared" si="6"/>
        <v>A</v>
      </c>
      <c r="Z48" s="1134" t="str">
        <f t="shared" si="6"/>
        <v>=  =  -</v>
      </c>
      <c r="AA48" s="1128">
        <f t="shared" si="6"/>
        <v>2.1579177629636748</v>
      </c>
      <c r="AB48" s="1135">
        <f t="shared" si="6"/>
        <v>6.0078851309961184E-2</v>
      </c>
      <c r="AC48" s="1129">
        <f t="shared" si="6"/>
        <v>2.3009327536910358</v>
      </c>
    </row>
    <row r="49" spans="1:57">
      <c r="A49" s="1155" t="s">
        <v>503</v>
      </c>
      <c r="B49" s="73" t="s">
        <v>286</v>
      </c>
      <c r="C49" s="116">
        <f t="shared" si="4"/>
        <v>15596.516285714286</v>
      </c>
      <c r="D49" s="114">
        <f t="shared" si="4"/>
        <v>3.9962072557101963E-2</v>
      </c>
      <c r="E49" s="1124">
        <f t="shared" si="4"/>
        <v>-0.41209116095583281</v>
      </c>
      <c r="F49" s="1124">
        <f t="shared" si="4"/>
        <v>-0.31031558205019388</v>
      </c>
      <c r="G49" s="1125">
        <f t="shared" si="4"/>
        <v>10295.917100000001</v>
      </c>
      <c r="H49" s="1126">
        <f t="shared" si="4"/>
        <v>2.8511404790864545E-2</v>
      </c>
      <c r="I49" s="1127">
        <f t="shared" si="4"/>
        <v>0.58081043687158529</v>
      </c>
      <c r="J49" s="1127">
        <f t="shared" si="4"/>
        <v>0.5027794267018264</v>
      </c>
      <c r="K49" s="1128">
        <f t="shared" si="4"/>
        <v>4.5606838408134944</v>
      </c>
      <c r="L49" s="1124">
        <f t="shared" si="4"/>
        <v>-0.18379111287045302</v>
      </c>
      <c r="M49" s="1129">
        <f t="shared" si="5"/>
        <v>4.0606354500113753</v>
      </c>
      <c r="N49" s="1130">
        <f t="shared" si="5"/>
        <v>0.34534166666666666</v>
      </c>
      <c r="O49" s="1131">
        <f t="shared" si="5"/>
        <v>-5.4500069338510607E-2</v>
      </c>
      <c r="P49" s="1132">
        <f t="shared" si="5"/>
        <v>0.3626280111015483</v>
      </c>
      <c r="Q49" s="1130">
        <f t="shared" si="5"/>
        <v>0.67997702229572432</v>
      </c>
      <c r="R49" s="1131">
        <f t="shared" si="5"/>
        <v>0.10658020511075152</v>
      </c>
      <c r="S49" s="1132">
        <f t="shared" si="5"/>
        <v>0.75270955685414354</v>
      </c>
      <c r="T49" s="1130">
        <f t="shared" si="5"/>
        <v>0.68457317243488636</v>
      </c>
      <c r="U49" s="1131">
        <f t="shared" si="5"/>
        <v>0.10522314957078965</v>
      </c>
      <c r="V49" s="1132">
        <f t="shared" si="5"/>
        <v>0.75672107111582532</v>
      </c>
      <c r="W49" s="1124">
        <f t="shared" si="6"/>
        <v>4.5961501391620363E-3</v>
      </c>
      <c r="X49" s="1124">
        <f t="shared" si="6"/>
        <v>6.7592727231349809E-3</v>
      </c>
      <c r="Y49" s="1133" t="str">
        <f t="shared" si="6"/>
        <v>BBB-</v>
      </c>
      <c r="Z49" s="1134" t="str">
        <f t="shared" si="6"/>
        <v>=  ¯ ¯</v>
      </c>
      <c r="AA49" s="1128">
        <f t="shared" si="6"/>
        <v>2.9152503149286035</v>
      </c>
      <c r="AB49" s="1135">
        <f t="shared" si="6"/>
        <v>-0.14664752669478531</v>
      </c>
      <c r="AC49" s="1129">
        <f t="shared" si="6"/>
        <v>2.8370691340232916</v>
      </c>
    </row>
    <row r="50" spans="1:57">
      <c r="A50" s="1155" t="s">
        <v>505</v>
      </c>
      <c r="B50" s="73" t="s">
        <v>44</v>
      </c>
      <c r="C50" s="116">
        <f t="shared" si="4"/>
        <v>12234.494271428572</v>
      </c>
      <c r="D50" s="114">
        <f t="shared" si="4"/>
        <v>3.1347753486597643E-2</v>
      </c>
      <c r="E50" s="1124">
        <f t="shared" si="4"/>
        <v>-0.59766521701552</v>
      </c>
      <c r="F50" s="1124">
        <f t="shared" si="4"/>
        <v>-0.49588963810988107</v>
      </c>
      <c r="G50" s="1125">
        <f t="shared" si="4"/>
        <v>6819.5967000000001</v>
      </c>
      <c r="H50" s="1126">
        <f t="shared" si="4"/>
        <v>1.8884794830384175E-2</v>
      </c>
      <c r="I50" s="1127">
        <f t="shared" si="4"/>
        <v>3.9295455833111754</v>
      </c>
      <c r="J50" s="1127">
        <f t="shared" si="4"/>
        <v>1.2175677021960365</v>
      </c>
      <c r="K50" s="1128">
        <f t="shared" si="4"/>
        <v>4.9270605931091591</v>
      </c>
      <c r="L50" s="1124">
        <f t="shared" si="4"/>
        <v>-0.26680842971581226</v>
      </c>
      <c r="M50" s="1129">
        <f t="shared" si="5"/>
        <v>4.0325018858098245</v>
      </c>
      <c r="N50" s="1130">
        <f t="shared" si="5"/>
        <v>0.5805147103617575</v>
      </c>
      <c r="O50" s="1131">
        <f t="shared" si="5"/>
        <v>8.4948466413752491E-2</v>
      </c>
      <c r="P50" s="1132">
        <f t="shared" si="5"/>
        <v>0.6264024463118032</v>
      </c>
      <c r="Q50" s="1130">
        <f t="shared" si="5"/>
        <v>0.51826084585195908</v>
      </c>
      <c r="R50" s="1131">
        <f t="shared" si="5"/>
        <v>0.40005999871326348</v>
      </c>
      <c r="S50" s="1132">
        <f t="shared" si="5"/>
        <v>0.58973938770950263</v>
      </c>
      <c r="T50" s="1130">
        <f t="shared" si="5"/>
        <v>0.5495689942142129</v>
      </c>
      <c r="U50" s="1131">
        <f t="shared" si="5"/>
        <v>0.40637993517884302</v>
      </c>
      <c r="V50" s="1132">
        <f t="shared" si="5"/>
        <v>0.63323863537070213</v>
      </c>
      <c r="W50" s="1124">
        <f t="shared" si="6"/>
        <v>3.1308148362253818E-2</v>
      </c>
      <c r="X50" s="1124">
        <f t="shared" si="6"/>
        <v>6.0410020577161203E-2</v>
      </c>
      <c r="Y50" s="1133" t="str">
        <f t="shared" si="6"/>
        <v>BBB-</v>
      </c>
      <c r="Z50" s="1134" t="str">
        <f t="shared" si="6"/>
        <v>=  ¯ =</v>
      </c>
      <c r="AA50" s="1128">
        <f t="shared" si="6"/>
        <v>2.643581803383519</v>
      </c>
      <c r="AB50" s="1135">
        <f t="shared" si="6"/>
        <v>2.8580691559688957E-2</v>
      </c>
      <c r="AC50" s="1129">
        <f t="shared" si="6"/>
        <v>2.5466878830879209</v>
      </c>
    </row>
    <row r="51" spans="1:57">
      <c r="A51" s="1156" t="s">
        <v>323</v>
      </c>
      <c r="B51" s="726" t="s">
        <v>772</v>
      </c>
      <c r="C51" s="1069">
        <f t="shared" si="4"/>
        <v>7616.907214285714</v>
      </c>
      <c r="D51" s="1070">
        <f t="shared" si="4"/>
        <v>1.9516371039653539E-2</v>
      </c>
      <c r="E51" s="1136">
        <f t="shared" si="4"/>
        <v>-0.33365525120929096</v>
      </c>
      <c r="F51" s="1136">
        <f t="shared" si="4"/>
        <v>-0.23187967230365203</v>
      </c>
      <c r="G51" s="1137">
        <f t="shared" si="4"/>
        <v>5825.8631999999998</v>
      </c>
      <c r="H51" s="1138">
        <f t="shared" si="4"/>
        <v>1.6132952736323161E-2</v>
      </c>
      <c r="I51" s="1139">
        <f t="shared" si="4"/>
        <v>2.4107651340270966</v>
      </c>
      <c r="J51" s="1139">
        <f t="shared" si="4"/>
        <v>2.0327505931612002</v>
      </c>
      <c r="K51" s="1140">
        <f t="shared" si="4"/>
        <v>4.8426442674927213</v>
      </c>
      <c r="L51" s="1136">
        <f t="shared" si="4"/>
        <v>0.1951757211867983</v>
      </c>
      <c r="M51" s="1141">
        <f t="shared" si="5"/>
        <v>4.6619962755533297</v>
      </c>
      <c r="N51" s="1142">
        <f t="shared" si="5"/>
        <v>0.37158673775730477</v>
      </c>
      <c r="O51" s="1143">
        <f t="shared" si="5"/>
        <v>-0.1153634304384116</v>
      </c>
      <c r="P51" s="1144">
        <f t="shared" si="5"/>
        <v>0.36037883142173305</v>
      </c>
      <c r="Q51" s="1142">
        <f t="shared" si="5"/>
        <v>0.17383796150947908</v>
      </c>
      <c r="R51" s="1143">
        <f t="shared" si="5"/>
        <v>0.54445307336528614</v>
      </c>
      <c r="S51" s="1144">
        <f t="shared" si="5"/>
        <v>0.26356163003804695</v>
      </c>
      <c r="T51" s="1142">
        <f t="shared" si="5"/>
        <v>0.19702478682132593</v>
      </c>
      <c r="U51" s="1143">
        <f t="shared" si="5"/>
        <v>0.50034734616182497</v>
      </c>
      <c r="V51" s="1144">
        <f t="shared" si="5"/>
        <v>0.28756363720088318</v>
      </c>
      <c r="W51" s="1136">
        <f t="shared" si="6"/>
        <v>2.3186825311846848E-2</v>
      </c>
      <c r="X51" s="1136">
        <f t="shared" si="6"/>
        <v>0.13338182932260462</v>
      </c>
      <c r="Y51" s="1145" t="str">
        <f t="shared" si="6"/>
        <v>A</v>
      </c>
      <c r="Z51" s="1146" t="str">
        <f t="shared" si="6"/>
        <v>=  =  -</v>
      </c>
      <c r="AA51" s="1140">
        <f t="shared" si="6"/>
        <v>0.93248540191552354</v>
      </c>
      <c r="AB51" s="1147">
        <f t="shared" si="6"/>
        <v>0.78949919521054279</v>
      </c>
      <c r="AC51" s="1141">
        <f t="shared" si="6"/>
        <v>1.3109622071604587</v>
      </c>
    </row>
    <row r="52" spans="1:57">
      <c r="A52" s="1155" t="s">
        <v>19</v>
      </c>
      <c r="B52" s="73" t="s">
        <v>287</v>
      </c>
      <c r="C52" s="116">
        <f t="shared" ref="C52:L62" si="7">VLOOKUP($B52,$B$7:$AC$28,C$37+1,FALSE)</f>
        <v>6002.7646707914537</v>
      </c>
      <c r="D52" s="114">
        <f t="shared" si="7"/>
        <v>1.538054479108892E-2</v>
      </c>
      <c r="E52" s="1124">
        <f t="shared" si="7"/>
        <v>1.7468659495150733</v>
      </c>
      <c r="F52" s="1124">
        <f t="shared" si="7"/>
        <v>1.8486415284207123</v>
      </c>
      <c r="G52" s="1125">
        <f t="shared" si="7"/>
        <v>9571.524995540176</v>
      </c>
      <c r="H52" s="1126">
        <f t="shared" si="7"/>
        <v>2.6505421611613778E-2</v>
      </c>
      <c r="I52" s="1127">
        <f t="shared" si="7"/>
        <v>4.1497848696984878</v>
      </c>
      <c r="J52" s="1127">
        <f t="shared" si="7"/>
        <v>5.1075046454025781</v>
      </c>
      <c r="K52" s="1128">
        <f t="shared" si="7"/>
        <v>7.8889454092528393</v>
      </c>
      <c r="L52" s="1124">
        <f t="shared" si="7"/>
        <v>0.8464659845431286</v>
      </c>
      <c r="M52" s="1129">
        <f t="shared" ref="M52:Y62" si="8">VLOOKUP($B52,$B$7:$AC$28,M$37+1,FALSE)</f>
        <v>9.6719476082953495</v>
      </c>
      <c r="N52" s="1130">
        <f t="shared" si="8"/>
        <v>9.1630231095150338E-2</v>
      </c>
      <c r="O52" s="1148" t="str">
        <f t="shared" si="8"/>
        <v>¥</v>
      </c>
      <c r="P52" s="1132">
        <f t="shared" si="8"/>
        <v>0.34976819018989347</v>
      </c>
      <c r="Q52" s="1130">
        <f t="shared" si="8"/>
        <v>0.13477545507373562</v>
      </c>
      <c r="R52" s="1131">
        <f t="shared" si="8"/>
        <v>-0.4264373226073967</v>
      </c>
      <c r="S52" s="1132">
        <f t="shared" si="8"/>
        <v>9.7905485588969735E-2</v>
      </c>
      <c r="T52" s="1130">
        <f t="shared" si="8"/>
        <v>0.16024846762312819</v>
      </c>
      <c r="U52" s="1131">
        <f t="shared" si="8"/>
        <v>-0.25253039609468159</v>
      </c>
      <c r="V52" s="1132">
        <f t="shared" si="8"/>
        <v>0.12849893093161849</v>
      </c>
      <c r="W52" s="1124">
        <f t="shared" si="8"/>
        <v>2.5473012549392576E-2</v>
      </c>
      <c r="X52" s="1124">
        <f t="shared" si="8"/>
        <v>0.18900335031669008</v>
      </c>
      <c r="Y52" s="1133" t="str">
        <f t="shared" si="8"/>
        <v>Not rated</v>
      </c>
      <c r="Z52" s="1134"/>
      <c r="AA52" s="1128">
        <f t="shared" ref="AA52:AC62" si="9">VLOOKUP($B52,$B$7:$AC$28,AA$37+1,FALSE)</f>
        <v>1.265551414722516</v>
      </c>
      <c r="AB52" s="1135">
        <f t="shared" si="9"/>
        <v>0.38040351489576829</v>
      </c>
      <c r="AC52" s="1129">
        <f t="shared" si="9"/>
        <v>1.242834927692577</v>
      </c>
    </row>
    <row r="53" spans="1:57">
      <c r="A53" s="1155" t="s">
        <v>507</v>
      </c>
      <c r="B53" s="73" t="s">
        <v>282</v>
      </c>
      <c r="C53" s="116">
        <f t="shared" si="7"/>
        <v>5769.8566757446433</v>
      </c>
      <c r="D53" s="114">
        <f t="shared" si="7"/>
        <v>1.4783777793466828E-2</v>
      </c>
      <c r="E53" s="1124">
        <f t="shared" si="7"/>
        <v>-0.24705029723080094</v>
      </c>
      <c r="F53" s="1124">
        <f t="shared" si="7"/>
        <v>-0.14527471832516198</v>
      </c>
      <c r="G53" s="1125">
        <f t="shared" si="7"/>
        <v>4026.3480952657014</v>
      </c>
      <c r="H53" s="1126">
        <f t="shared" si="7"/>
        <v>1.1149744044952231E-2</v>
      </c>
      <c r="I53" s="1127">
        <f t="shared" si="7"/>
        <v>2.446298838298576</v>
      </c>
      <c r="J53" s="1127">
        <f t="shared" si="7"/>
        <v>1.6476276710656086</v>
      </c>
      <c r="K53" s="1128">
        <f t="shared" si="7"/>
        <v>6.6837223425180285</v>
      </c>
      <c r="L53" s="1124">
        <f t="shared" si="7"/>
        <v>1.2127469272410992E-3</v>
      </c>
      <c r="M53" s="1129">
        <f t="shared" si="8"/>
        <v>5.5145354419406587</v>
      </c>
      <c r="N53" s="1130">
        <f t="shared" si="8"/>
        <v>0.67083419702973635</v>
      </c>
      <c r="O53" s="1131">
        <f t="shared" si="8"/>
        <v>-0.11335389957676706</v>
      </c>
      <c r="P53" s="1132">
        <f t="shared" si="8"/>
        <v>0.63639387890884902</v>
      </c>
      <c r="Q53" s="1130">
        <f t="shared" si="8"/>
        <v>0.1536920907726812</v>
      </c>
      <c r="R53" s="1131">
        <f t="shared" si="8"/>
        <v>1.6283818604559013</v>
      </c>
      <c r="S53" s="1132">
        <f t="shared" si="8"/>
        <v>0.2022242346359609</v>
      </c>
      <c r="T53" s="1130">
        <f t="shared" si="8"/>
        <v>0.20961441125119315</v>
      </c>
      <c r="U53" s="1131">
        <f t="shared" si="8"/>
        <v>0.84200521424561081</v>
      </c>
      <c r="V53" s="1132">
        <f t="shared" si="8"/>
        <v>0.28147528322389997</v>
      </c>
      <c r="W53" s="1124">
        <f t="shared" si="8"/>
        <v>5.592232047851195E-2</v>
      </c>
      <c r="X53" s="1124">
        <f t="shared" si="8"/>
        <v>0.36385945559959909</v>
      </c>
      <c r="Y53" s="1133" t="str">
        <f t="shared" si="8"/>
        <v>Not rated</v>
      </c>
      <c r="Z53" s="1134"/>
      <c r="AA53" s="1128">
        <f t="shared" si="9"/>
        <v>1.4399592566697517</v>
      </c>
      <c r="AB53" s="1135">
        <f t="shared" si="9"/>
        <v>0.8442860967329926</v>
      </c>
      <c r="AC53" s="1129">
        <f t="shared" si="9"/>
        <v>1.5521418473212367</v>
      </c>
    </row>
    <row r="54" spans="1:57">
      <c r="A54" s="1155" t="s">
        <v>545</v>
      </c>
      <c r="B54" s="73" t="s">
        <v>39</v>
      </c>
      <c r="C54" s="116">
        <f t="shared" si="7"/>
        <v>5059.5155870714543</v>
      </c>
      <c r="D54" s="114">
        <f t="shared" si="7"/>
        <v>1.2963710952524294E-2</v>
      </c>
      <c r="E54" s="1124">
        <f t="shared" si="7"/>
        <v>-0.13366823909704381</v>
      </c>
      <c r="F54" s="1124">
        <f t="shared" si="7"/>
        <v>-3.1892660191404867E-2</v>
      </c>
      <c r="G54" s="1125">
        <f t="shared" si="7"/>
        <v>5057.8123335929276</v>
      </c>
      <c r="H54" s="1126">
        <f t="shared" si="7"/>
        <v>1.4006069920599414E-2</v>
      </c>
      <c r="I54" s="1127">
        <f t="shared" si="7"/>
        <v>1.6858649053444912</v>
      </c>
      <c r="J54" s="1127">
        <f t="shared" si="7"/>
        <v>1.7703056194544857</v>
      </c>
      <c r="K54" s="1128">
        <f t="shared" si="7"/>
        <v>5.8927844479191869</v>
      </c>
      <c r="L54" s="1124">
        <f t="shared" si="7"/>
        <v>-0.19036897853308513</v>
      </c>
      <c r="M54" s="1129">
        <f t="shared" si="8"/>
        <v>5.9052222685092017</v>
      </c>
      <c r="N54" s="1130">
        <f t="shared" si="8"/>
        <v>0.31054928118178421</v>
      </c>
      <c r="O54" s="1131">
        <f t="shared" si="8"/>
        <v>-0.11491916916279199</v>
      </c>
      <c r="P54" s="1132">
        <f t="shared" si="8"/>
        <v>0.28165979767703259</v>
      </c>
      <c r="Q54" s="1130">
        <f t="shared" si="8"/>
        <v>0.3899242463002407</v>
      </c>
      <c r="R54" s="1131">
        <f t="shared" si="8"/>
        <v>-0.1197676600756727</v>
      </c>
      <c r="S54" s="1132">
        <f t="shared" si="8"/>
        <v>0.37944762378701169</v>
      </c>
      <c r="T54" s="1130">
        <f t="shared" si="8"/>
        <v>0.45093517146474416</v>
      </c>
      <c r="U54" s="1131">
        <f t="shared" si="8"/>
        <v>-8.3572610535330494E-2</v>
      </c>
      <c r="V54" s="1132">
        <f t="shared" si="8"/>
        <v>0.43916945384982109</v>
      </c>
      <c r="W54" s="1124">
        <f t="shared" si="8"/>
        <v>6.101092516450346E-2</v>
      </c>
      <c r="X54" s="1124">
        <f t="shared" si="8"/>
        <v>0.15646866216553562</v>
      </c>
      <c r="Y54" s="1133" t="str">
        <f t="shared" si="8"/>
        <v>BBB</v>
      </c>
      <c r="Z54" s="1134" t="str">
        <f t="shared" ref="Z54:Z60" si="10">VLOOKUP($B54,$B$7:$AC$28,Z$37+1,FALSE)</f>
        <v>­  = =</v>
      </c>
      <c r="AA54" s="1128">
        <f t="shared" si="9"/>
        <v>2.6587814840492587</v>
      </c>
      <c r="AB54" s="1135">
        <f t="shared" si="9"/>
        <v>-0.25803195656746131</v>
      </c>
      <c r="AC54" s="1129">
        <f t="shared" si="9"/>
        <v>2.5933932385229874</v>
      </c>
    </row>
    <row r="55" spans="1:57">
      <c r="A55" s="1155" t="s">
        <v>27</v>
      </c>
      <c r="B55" s="73" t="s">
        <v>54</v>
      </c>
      <c r="C55" s="116">
        <f t="shared" si="7"/>
        <v>4745.1447857142857</v>
      </c>
      <c r="D55" s="114">
        <f t="shared" si="7"/>
        <v>1.2158216408516635E-2</v>
      </c>
      <c r="E55" s="1124">
        <f t="shared" si="7"/>
        <v>-0.63447330491761056</v>
      </c>
      <c r="F55" s="1124">
        <f t="shared" si="7"/>
        <v>-0.53269772601197163</v>
      </c>
      <c r="G55" s="1125">
        <f t="shared" si="7"/>
        <v>2680.5724</v>
      </c>
      <c r="H55" s="1126">
        <f t="shared" si="7"/>
        <v>7.4230283738025878E-3</v>
      </c>
      <c r="I55" s="1127">
        <f t="shared" si="7"/>
        <v>1.3569881249181368</v>
      </c>
      <c r="J55" s="1127">
        <f t="shared" si="7"/>
        <v>1.0332545966156574</v>
      </c>
      <c r="K55" s="1128">
        <f t="shared" si="7"/>
        <v>6.4063105209788551</v>
      </c>
      <c r="L55" s="1124">
        <f t="shared" si="7"/>
        <v>-0.24924595564935845</v>
      </c>
      <c r="M55" s="1129">
        <f t="shared" si="8"/>
        <v>5.3369406950798908</v>
      </c>
      <c r="N55" s="1130">
        <f t="shared" si="8"/>
        <v>0.48460704112825509</v>
      </c>
      <c r="O55" s="1131">
        <f t="shared" si="8"/>
        <v>-0.18079580514885477</v>
      </c>
      <c r="P55" s="1132">
        <f t="shared" si="8"/>
        <v>0.49497857034449522</v>
      </c>
      <c r="Q55" s="1130">
        <f t="shared" si="8"/>
        <v>0.56717095077467305</v>
      </c>
      <c r="R55" s="1131">
        <f t="shared" si="8"/>
        <v>0.64731222518720821</v>
      </c>
      <c r="S55" s="1132">
        <f t="shared" si="8"/>
        <v>0.74754623070756221</v>
      </c>
      <c r="T55" s="1130">
        <f t="shared" si="8"/>
        <v>0.5748403529709204</v>
      </c>
      <c r="U55" s="1131">
        <f t="shared" si="8"/>
        <v>0.5906099669472562</v>
      </c>
      <c r="V55" s="1132">
        <f t="shared" si="8"/>
        <v>0.7506672643344422</v>
      </c>
      <c r="W55" s="1124">
        <f t="shared" si="8"/>
        <v>7.6694021962473435E-3</v>
      </c>
      <c r="X55" s="1124">
        <f t="shared" si="8"/>
        <v>1.3522205581530675E-2</v>
      </c>
      <c r="Y55" s="1133" t="str">
        <f t="shared" si="8"/>
        <v>BBB-</v>
      </c>
      <c r="Z55" s="1134" t="str">
        <f t="shared" si="10"/>
        <v>¯  ¯ ¯</v>
      </c>
      <c r="AA55" s="1128">
        <f t="shared" si="9"/>
        <v>3.4278891827637503</v>
      </c>
      <c r="AB55" s="1135">
        <f t="shared" si="9"/>
        <v>0.24423537898737996</v>
      </c>
      <c r="AC55" s="1129">
        <f t="shared" si="9"/>
        <v>3.8230610288109381</v>
      </c>
    </row>
    <row r="56" spans="1:57">
      <c r="A56" s="1155" t="s">
        <v>506</v>
      </c>
      <c r="B56" s="73" t="s">
        <v>289</v>
      </c>
      <c r="C56" s="116">
        <f t="shared" si="7"/>
        <v>4580.8423286191064</v>
      </c>
      <c r="D56" s="114">
        <f t="shared" si="7"/>
        <v>1.1737233504933111E-2</v>
      </c>
      <c r="E56" s="1124">
        <f t="shared" si="7"/>
        <v>-0.49577837871365099</v>
      </c>
      <c r="F56" s="1124">
        <f t="shared" si="7"/>
        <v>-0.39400279980801206</v>
      </c>
      <c r="G56" s="1125">
        <f t="shared" si="7"/>
        <v>2322.4005110115481</v>
      </c>
      <c r="H56" s="1126">
        <f t="shared" si="7"/>
        <v>6.4311804779353665E-3</v>
      </c>
      <c r="I56" s="1127">
        <f t="shared" si="7"/>
        <v>1.4234279787340207</v>
      </c>
      <c r="J56" s="1127">
        <f t="shared" si="7"/>
        <v>0.8056764866383116</v>
      </c>
      <c r="K56" s="1128">
        <f t="shared" si="7"/>
        <v>4.3871958272574467</v>
      </c>
      <c r="L56" s="1124">
        <f t="shared" si="7"/>
        <v>-8.1025400882275472E-2</v>
      </c>
      <c r="M56" s="1129">
        <f t="shared" si="8"/>
        <v>3.4400754167452243</v>
      </c>
      <c r="N56" s="1130">
        <f t="shared" si="8"/>
        <v>0.42290073595624156</v>
      </c>
      <c r="O56" s="1131">
        <f t="shared" si="8"/>
        <v>-9.0086339251873371E-2</v>
      </c>
      <c r="P56" s="1132">
        <f t="shared" si="8"/>
        <v>0.44946685046944856</v>
      </c>
      <c r="Q56" s="1130">
        <f t="shared" si="8"/>
        <v>0.16307046534988884</v>
      </c>
      <c r="R56" s="1131">
        <f t="shared" si="8"/>
        <v>1.3005419282788433</v>
      </c>
      <c r="S56" s="1132">
        <f t="shared" si="8"/>
        <v>0.30950096360373897</v>
      </c>
      <c r="T56" s="1130">
        <f t="shared" si="8"/>
        <v>0.18570292678335293</v>
      </c>
      <c r="U56" s="1131">
        <f t="shared" si="8"/>
        <v>1.251733079461073</v>
      </c>
      <c r="V56" s="1132">
        <f t="shared" si="8"/>
        <v>0.34197601038246805</v>
      </c>
      <c r="W56" s="1124">
        <f t="shared" si="8"/>
        <v>2.2632461433464091E-2</v>
      </c>
      <c r="X56" s="1124">
        <f t="shared" si="8"/>
        <v>0.13878945758144007</v>
      </c>
      <c r="Y56" s="1133" t="str">
        <f t="shared" si="8"/>
        <v>BBB</v>
      </c>
      <c r="Z56" s="1134" t="str">
        <f t="shared" si="10"/>
        <v>=  ¯ -</v>
      </c>
      <c r="AA56" s="1128">
        <f t="shared" si="9"/>
        <v>0.77886477042851432</v>
      </c>
      <c r="AB56" s="1135">
        <f t="shared" si="9"/>
        <v>1.0703005310133176</v>
      </c>
      <c r="AC56" s="1129">
        <f t="shared" si="9"/>
        <v>1.1762690733772538</v>
      </c>
    </row>
    <row r="57" spans="1:57">
      <c r="A57" s="1155" t="s">
        <v>389</v>
      </c>
      <c r="B57" s="73" t="s">
        <v>278</v>
      </c>
      <c r="C57" s="116">
        <f t="shared" si="7"/>
        <v>3544.0522571428578</v>
      </c>
      <c r="D57" s="114">
        <f t="shared" si="7"/>
        <v>9.0807248780183369E-3</v>
      </c>
      <c r="E57" s="1124">
        <f t="shared" si="7"/>
        <v>-0.4675424361384804</v>
      </c>
      <c r="F57" s="1124">
        <f t="shared" si="7"/>
        <v>-0.36576685723284147</v>
      </c>
      <c r="G57" s="1125">
        <f t="shared" si="7"/>
        <v>2152.6311000000001</v>
      </c>
      <c r="H57" s="1126">
        <f t="shared" si="7"/>
        <v>5.9610558303255963E-3</v>
      </c>
      <c r="I57" s="1127">
        <f t="shared" si="7"/>
        <v>3.4941691326062152</v>
      </c>
      <c r="J57" s="1127">
        <f t="shared" si="7"/>
        <v>2.2961398399999999</v>
      </c>
      <c r="K57" s="1128">
        <f t="shared" si="7"/>
        <v>4.4503654862327</v>
      </c>
      <c r="L57" s="1124">
        <f t="shared" si="7"/>
        <v>-2.9835823683801648E-2</v>
      </c>
      <c r="M57" s="1129">
        <f t="shared" si="8"/>
        <v>4.0530525032062261</v>
      </c>
      <c r="N57" s="1130">
        <f t="shared" si="8"/>
        <v>0.60910298289809772</v>
      </c>
      <c r="O57" s="1131">
        <f t="shared" si="8"/>
        <v>-5.2071170724915891E-2</v>
      </c>
      <c r="P57" s="1132">
        <f t="shared" si="8"/>
        <v>0.6207941242005639</v>
      </c>
      <c r="Q57" s="1130">
        <f t="shared" si="8"/>
        <v>0.49050145598877937</v>
      </c>
      <c r="R57" s="1131">
        <f t="shared" si="8"/>
        <v>0.42102559519407173</v>
      </c>
      <c r="S57" s="1132">
        <f t="shared" si="8"/>
        <v>0.61744816018521742</v>
      </c>
      <c r="T57" s="1130">
        <f t="shared" si="8"/>
        <v>0.49698573886957192</v>
      </c>
      <c r="U57" s="1131">
        <f t="shared" si="8"/>
        <v>0.41032171167013903</v>
      </c>
      <c r="V57" s="1132">
        <f t="shared" si="8"/>
        <v>0.62319136029119382</v>
      </c>
      <c r="W57" s="1124">
        <f t="shared" si="8"/>
        <v>6.4842828807925579E-3</v>
      </c>
      <c r="X57" s="1124">
        <f t="shared" si="8"/>
        <v>1.3219701596443154E-2</v>
      </c>
      <c r="Y57" s="1133" t="str">
        <f t="shared" si="8"/>
        <v>BBB</v>
      </c>
      <c r="Z57" s="1134" t="str">
        <f t="shared" si="10"/>
        <v>=  ¯ -</v>
      </c>
      <c r="AA57" s="1128">
        <f t="shared" si="9"/>
        <v>2.1902281092407181</v>
      </c>
      <c r="AB57" s="1135">
        <f t="shared" si="9"/>
        <v>0.36844726500440206</v>
      </c>
      <c r="AC57" s="1129">
        <f t="shared" si="9"/>
        <v>2.5252968522290931</v>
      </c>
    </row>
    <row r="58" spans="1:57">
      <c r="A58" s="1156" t="s">
        <v>323</v>
      </c>
      <c r="B58" s="726" t="s">
        <v>774</v>
      </c>
      <c r="C58" s="1069">
        <f t="shared" si="7"/>
        <v>3541.6238999999996</v>
      </c>
      <c r="D58" s="1070">
        <f t="shared" si="7"/>
        <v>9.0745028357006995E-3</v>
      </c>
      <c r="E58" s="1136">
        <f t="shared" si="7"/>
        <v>0.67327297771392325</v>
      </c>
      <c r="F58" s="1136">
        <f t="shared" si="7"/>
        <v>0.77504855661956218</v>
      </c>
      <c r="G58" s="1137">
        <f t="shared" si="7"/>
        <v>4048.9897999999998</v>
      </c>
      <c r="H58" s="1138">
        <f t="shared" si="7"/>
        <v>1.1212443346293226E-2</v>
      </c>
      <c r="I58" s="1139">
        <f t="shared" si="7"/>
        <v>-1.4186196832586249</v>
      </c>
      <c r="J58" s="1139">
        <f t="shared" si="7"/>
        <v>-2.7147098893731143</v>
      </c>
      <c r="K58" s="1140">
        <f t="shared" si="7"/>
        <v>8.6861758729657641</v>
      </c>
      <c r="L58" s="1136">
        <f t="shared" si="7"/>
        <v>0.26215680659638446</v>
      </c>
      <c r="M58" s="1141">
        <f t="shared" si="8"/>
        <v>9.0506669895995948</v>
      </c>
      <c r="N58" s="1142">
        <f t="shared" si="8"/>
        <v>6.4385445236561381E-2</v>
      </c>
      <c r="O58" s="1143">
        <f t="shared" si="8"/>
        <v>14.697799124913645</v>
      </c>
      <c r="P58" s="1144">
        <f t="shared" si="8"/>
        <v>0.15462918080465343</v>
      </c>
      <c r="Q58" s="1142">
        <f t="shared" si="8"/>
        <v>0.42399287000325037</v>
      </c>
      <c r="R58" s="1143">
        <f t="shared" si="8"/>
        <v>4.5742782667206161E-2</v>
      </c>
      <c r="S58" s="1144">
        <f t="shared" si="8"/>
        <v>0.48144640266975475</v>
      </c>
      <c r="T58" s="1142">
        <f t="shared" si="8"/>
        <v>0.42695023434228802</v>
      </c>
      <c r="U58" s="1143">
        <f t="shared" si="8"/>
        <v>4.1366838913311048E-2</v>
      </c>
      <c r="V58" s="1144">
        <f t="shared" si="8"/>
        <v>0.4832654138496531</v>
      </c>
      <c r="W58" s="1136">
        <f t="shared" si="8"/>
        <v>2.9573643390376492E-3</v>
      </c>
      <c r="X58" s="1136">
        <f t="shared" si="8"/>
        <v>6.9750331863245195E-3</v>
      </c>
      <c r="Y58" s="1145" t="str">
        <f t="shared" si="8"/>
        <v>B+</v>
      </c>
      <c r="Z58" s="1146" t="str">
        <f t="shared" si="10"/>
        <v>=  =  =</v>
      </c>
      <c r="AA58" s="1140">
        <f t="shared" si="9"/>
        <v>3.7014756930154613</v>
      </c>
      <c r="AB58" s="1147">
        <f t="shared" si="9"/>
        <v>0.31334582285320112</v>
      </c>
      <c r="AC58" s="1141">
        <f t="shared" si="9"/>
        <v>4.3704719780651446</v>
      </c>
    </row>
    <row r="59" spans="1:57">
      <c r="A59" s="1155" t="s">
        <v>73</v>
      </c>
      <c r="B59" s="73" t="s">
        <v>285</v>
      </c>
      <c r="C59" s="116">
        <f t="shared" si="7"/>
        <v>2461.5190857142857</v>
      </c>
      <c r="D59" s="114">
        <f t="shared" si="7"/>
        <v>6.3070112903421734E-3</v>
      </c>
      <c r="E59" s="1124">
        <f t="shared" si="7"/>
        <v>6.738754525599433E-2</v>
      </c>
      <c r="F59" s="1124">
        <f t="shared" si="7"/>
        <v>0.16916312416163326</v>
      </c>
      <c r="G59" s="1125">
        <f t="shared" si="7"/>
        <v>2364.3629999999998</v>
      </c>
      <c r="H59" s="1126">
        <f t="shared" si="7"/>
        <v>6.5473828033777437E-3</v>
      </c>
      <c r="I59" s="1127">
        <f t="shared" si="7"/>
        <v>3.1397518024733277</v>
      </c>
      <c r="J59" s="1127">
        <f t="shared" si="7"/>
        <v>3.0995844257996854</v>
      </c>
      <c r="K59" s="1128">
        <f t="shared" si="7"/>
        <v>6.7052926466266065</v>
      </c>
      <c r="L59" s="1124">
        <f t="shared" si="7"/>
        <v>0.14721542174528052</v>
      </c>
      <c r="M59" s="1129">
        <f t="shared" si="8"/>
        <v>7.0127743881429545</v>
      </c>
      <c r="N59" s="1130">
        <f t="shared" si="8"/>
        <v>0.62657499999999999</v>
      </c>
      <c r="O59" s="1131">
        <f t="shared" si="8"/>
        <v>5.5614710459497153E-2</v>
      </c>
      <c r="P59" s="1132">
        <f t="shared" si="8"/>
        <v>0.64439999999999997</v>
      </c>
      <c r="Q59" s="1130">
        <f t="shared" si="8"/>
        <v>0.24190098439360719</v>
      </c>
      <c r="R59" s="1131">
        <f t="shared" si="8"/>
        <v>0.20667512064869559</v>
      </c>
      <c r="S59" s="1132">
        <f t="shared" si="8"/>
        <v>0.30597960586046052</v>
      </c>
      <c r="T59" s="1130">
        <f t="shared" si="8"/>
        <v>0.2616424852780464</v>
      </c>
      <c r="U59" s="1131">
        <f t="shared" si="8"/>
        <v>0.20296552626351777</v>
      </c>
      <c r="V59" s="1132">
        <f t="shared" si="8"/>
        <v>0.32061814749302248</v>
      </c>
      <c r="W59" s="1124">
        <f t="shared" si="8"/>
        <v>1.9741500884439211E-2</v>
      </c>
      <c r="X59" s="1124">
        <f t="shared" si="8"/>
        <v>8.1609841042717679E-2</v>
      </c>
      <c r="Y59" s="1133" t="str">
        <f t="shared" si="8"/>
        <v>BBB</v>
      </c>
      <c r="Z59" s="1134" t="str">
        <f t="shared" si="10"/>
        <v>=  =  -</v>
      </c>
      <c r="AA59" s="1128">
        <f t="shared" si="9"/>
        <v>1.7511002028712532</v>
      </c>
      <c r="AB59" s="1135">
        <f t="shared" si="9"/>
        <v>0.37093258903528414</v>
      </c>
      <c r="AC59" s="1129">
        <f t="shared" si="9"/>
        <v>2.2311132077757287</v>
      </c>
    </row>
    <row r="60" spans="1:57">
      <c r="A60" s="1155" t="s">
        <v>378</v>
      </c>
      <c r="B60" s="73" t="s">
        <v>42</v>
      </c>
      <c r="C60" s="116">
        <f t="shared" si="7"/>
        <v>2432.5463571428577</v>
      </c>
      <c r="D60" s="114">
        <f t="shared" si="7"/>
        <v>6.2327761047315808E-3</v>
      </c>
      <c r="E60" s="1124">
        <f t="shared" si="7"/>
        <v>-3.2258071946582277E-2</v>
      </c>
      <c r="F60" s="1124">
        <f t="shared" si="7"/>
        <v>6.9517506959056674E-2</v>
      </c>
      <c r="G60" s="1125">
        <f t="shared" si="7"/>
        <v>2940.9023000000002</v>
      </c>
      <c r="H60" s="1126">
        <f t="shared" si="7"/>
        <v>8.143932697912316E-3</v>
      </c>
      <c r="I60" s="1127">
        <f t="shared" si="7"/>
        <v>1.2689619717468461</v>
      </c>
      <c r="J60" s="1127">
        <f t="shared" si="7"/>
        <v>1.312316956715752</v>
      </c>
      <c r="K60" s="1128">
        <f t="shared" si="7"/>
        <v>3.7488610975650749</v>
      </c>
      <c r="L60" s="1124">
        <f t="shared" si="7"/>
        <v>3.4291324439135469E-2</v>
      </c>
      <c r="M60" s="1129">
        <f t="shared" si="8"/>
        <v>3.7439277362047823</v>
      </c>
      <c r="N60" s="1130">
        <f t="shared" si="8"/>
        <v>0.56323171407839789</v>
      </c>
      <c r="O60" s="1131">
        <f t="shared" si="8"/>
        <v>-0.12023286586287618</v>
      </c>
      <c r="P60" s="1132">
        <f t="shared" si="8"/>
        <v>0.53987730061349704</v>
      </c>
      <c r="Q60" s="1130">
        <f t="shared" si="8"/>
        <v>0.60887331285954671</v>
      </c>
      <c r="R60" s="1131">
        <f t="shared" si="8"/>
        <v>-0.37303497156800469</v>
      </c>
      <c r="S60" s="1132">
        <f t="shared" si="8"/>
        <v>0.37659759063604481</v>
      </c>
      <c r="T60" s="1130">
        <f t="shared" si="8"/>
        <v>0.63388271448107447</v>
      </c>
      <c r="U60" s="1131">
        <f t="shared" si="8"/>
        <v>-0.25869992498286548</v>
      </c>
      <c r="V60" s="1132">
        <f t="shared" si="8"/>
        <v>0.44527495080222473</v>
      </c>
      <c r="W60" s="1124">
        <f t="shared" si="8"/>
        <v>2.500940162152776E-2</v>
      </c>
      <c r="X60" s="1124">
        <f t="shared" si="8"/>
        <v>4.1074885519406669E-2</v>
      </c>
      <c r="Y60" s="1133" t="str">
        <f t="shared" si="8"/>
        <v>B-</v>
      </c>
      <c r="Z60" s="1134" t="str">
        <f t="shared" si="10"/>
        <v>=  =  -</v>
      </c>
      <c r="AA60" s="1128">
        <f t="shared" si="9"/>
        <v>2.172629043332774</v>
      </c>
      <c r="AB60" s="1135">
        <f t="shared" si="9"/>
        <v>-0.22035736928264804</v>
      </c>
      <c r="AC60" s="1129">
        <f t="shared" si="9"/>
        <v>1.5517268924243866</v>
      </c>
    </row>
    <row r="61" spans="1:57">
      <c r="A61" s="1156" t="s">
        <v>323</v>
      </c>
      <c r="B61" s="726" t="s">
        <v>773</v>
      </c>
      <c r="C61" s="1069">
        <f t="shared" si="7"/>
        <v>2121.4584571428572</v>
      </c>
      <c r="D61" s="1070">
        <f t="shared" si="7"/>
        <v>5.4356931534045982E-3</v>
      </c>
      <c r="E61" s="1136">
        <f t="shared" si="7"/>
        <v>-0.63331383871554725</v>
      </c>
      <c r="F61" s="1136">
        <f t="shared" si="7"/>
        <v>-0.53153825980990832</v>
      </c>
      <c r="G61" s="1137">
        <f t="shared" si="7"/>
        <v>960.23059999999998</v>
      </c>
      <c r="H61" s="1138">
        <f t="shared" si="7"/>
        <v>2.6590660223142948E-3</v>
      </c>
      <c r="I61" s="1139">
        <f t="shared" si="7"/>
        <v>6.3820660890696566</v>
      </c>
      <c r="J61" s="1139">
        <f t="shared" si="7"/>
        <v>3.126768479322696</v>
      </c>
      <c r="K61" s="1140">
        <f t="shared" si="7"/>
        <v>4.9107929634600707</v>
      </c>
      <c r="L61" s="1136">
        <f t="shared" si="7"/>
        <v>-0.2975700901517318</v>
      </c>
      <c r="M61" s="1141">
        <f t="shared" si="8"/>
        <v>3.6764587184436395</v>
      </c>
      <c r="N61" s="1142">
        <f t="shared" si="8"/>
        <v>0.95644485424869818</v>
      </c>
      <c r="O61" s="1143">
        <f t="shared" si="8"/>
        <v>5.7346309608293736E-3</v>
      </c>
      <c r="P61" s="1144">
        <f t="shared" si="8"/>
        <v>0.97265268915223335</v>
      </c>
      <c r="Q61" s="1142">
        <f t="shared" si="8"/>
        <v>0.16489915086810925</v>
      </c>
      <c r="R61" s="1143">
        <f t="shared" si="8"/>
        <v>2.0043608623878186</v>
      </c>
      <c r="S61" s="1144">
        <f t="shared" si="8"/>
        <v>0.32988338723452482</v>
      </c>
      <c r="T61" s="1142">
        <f t="shared" si="8"/>
        <v>0.27218937885351913</v>
      </c>
      <c r="U61" s="1143">
        <f t="shared" si="8"/>
        <v>1.2181747217666232</v>
      </c>
      <c r="V61" s="1144">
        <f t="shared" si="8"/>
        <v>0.4561905930983241</v>
      </c>
      <c r="W61" s="1136">
        <f t="shared" si="8"/>
        <v>0.10729022798540988</v>
      </c>
      <c r="X61" s="1136">
        <f t="shared" si="8"/>
        <v>0.65064148250965514</v>
      </c>
      <c r="Y61" s="1145" t="str">
        <f t="shared" si="8"/>
        <v>Not rated</v>
      </c>
      <c r="Z61" s="1146"/>
      <c r="AA61" s="1140">
        <f t="shared" si="9"/>
        <v>1.2440956586918632</v>
      </c>
      <c r="AB61" s="1147">
        <f t="shared" si="9"/>
        <v>0.5581122698382367</v>
      </c>
      <c r="AC61" s="1141">
        <f t="shared" si="9"/>
        <v>1.6771658832683087</v>
      </c>
    </row>
    <row r="62" spans="1:57">
      <c r="A62" s="1155" t="s">
        <v>27</v>
      </c>
      <c r="B62" s="73" t="s">
        <v>357</v>
      </c>
      <c r="C62" s="116">
        <f t="shared" si="7"/>
        <v>504.56125714285719</v>
      </c>
      <c r="D62" s="114">
        <f t="shared" si="7"/>
        <v>1.292808804099037E-3</v>
      </c>
      <c r="E62" s="1124">
        <f t="shared" si="7"/>
        <v>0.11241291049139049</v>
      </c>
      <c r="F62" s="1124">
        <f t="shared" si="7"/>
        <v>0.21418848939702945</v>
      </c>
      <c r="G62" s="1125">
        <f t="shared" si="7"/>
        <v>562.64409999999998</v>
      </c>
      <c r="H62" s="1126">
        <f t="shared" si="7"/>
        <v>1.5580713726115437E-3</v>
      </c>
      <c r="I62" s="1127">
        <f t="shared" si="7"/>
        <v>0.48825120153947199</v>
      </c>
      <c r="J62" s="1127">
        <f t="shared" si="7"/>
        <v>0.52140126030951717</v>
      </c>
      <c r="K62" s="1128">
        <f t="shared" si="7"/>
        <v>3.8552632920912293</v>
      </c>
      <c r="L62" s="1124">
        <f t="shared" si="7"/>
        <v>-0.11001004882442665</v>
      </c>
      <c r="M62" s="1129">
        <f t="shared" si="8"/>
        <v>3.9063069179772585</v>
      </c>
      <c r="N62" s="1124">
        <f t="shared" si="8"/>
        <v>0.90539538726018864</v>
      </c>
      <c r="O62" s="1131">
        <f t="shared" si="8"/>
        <v>-4.1189056985539901E-2</v>
      </c>
      <c r="P62" s="1132">
        <f t="shared" si="8"/>
        <v>0.90138346931536006</v>
      </c>
      <c r="Q62" s="1130">
        <f t="shared" si="8"/>
        <v>0.38160323267486906</v>
      </c>
      <c r="R62" s="1131">
        <f t="shared" si="8"/>
        <v>0.13281779457810056</v>
      </c>
      <c r="S62" s="1132">
        <f t="shared" si="8"/>
        <v>0.39444904186551905</v>
      </c>
      <c r="T62" s="1130">
        <f t="shared" si="8"/>
        <v>0.47841518539184064</v>
      </c>
      <c r="U62" s="1131">
        <f t="shared" si="8"/>
        <v>1.1717685634717274E-2</v>
      </c>
      <c r="V62" s="1132">
        <f t="shared" si="8"/>
        <v>0.46507375880431212</v>
      </c>
      <c r="W62" s="1124">
        <f t="shared" si="8"/>
        <v>9.6811952716971572E-2</v>
      </c>
      <c r="X62" s="1124">
        <f t="shared" si="8"/>
        <v>0.25369793656715856</v>
      </c>
      <c r="Y62" s="1133" t="str">
        <f t="shared" si="8"/>
        <v>Not rated</v>
      </c>
      <c r="Z62" s="1134"/>
      <c r="AA62" s="1128">
        <f t="shared" si="9"/>
        <v>1.832329792526622</v>
      </c>
      <c r="AB62" s="1135">
        <f t="shared" si="9"/>
        <v>-9.9442962217240083E-2</v>
      </c>
      <c r="AC62" s="1129">
        <f t="shared" si="9"/>
        <v>1.8160302149559577</v>
      </c>
    </row>
    <row r="64" spans="1:57" s="1305" customFormat="1">
      <c r="A64" s="1155"/>
      <c r="D64" s="120"/>
      <c r="H64" s="120"/>
      <c r="I64" s="120"/>
      <c r="J64" s="120"/>
      <c r="AG64" s="2896"/>
      <c r="AR64" s="111"/>
      <c r="AS64" s="111"/>
      <c r="AT64" s="111"/>
      <c r="BE64" s="2143"/>
    </row>
    <row r="65" spans="1:57" s="1305" customFormat="1">
      <c r="A65" s="1252" t="s">
        <v>1073</v>
      </c>
      <c r="B65" s="1123" t="s">
        <v>1278</v>
      </c>
      <c r="D65" s="120"/>
      <c r="H65" s="120"/>
      <c r="I65" s="120"/>
      <c r="J65" s="120"/>
      <c r="AG65" s="2896"/>
      <c r="AR65" s="111"/>
      <c r="AS65" s="111"/>
      <c r="AT65" s="111"/>
      <c r="BE65" s="2143"/>
    </row>
    <row r="66" spans="1:57" s="1305" customFormat="1">
      <c r="A66" s="1155" t="s">
        <v>32</v>
      </c>
      <c r="B66" s="73" t="s">
        <v>279</v>
      </c>
      <c r="C66" s="1334">
        <f t="shared" ref="C66:L74" si="11">VLOOKUP($B66,$B$7:$AC$28,C$37+1,FALSE)</f>
        <v>103061.53572524291</v>
      </c>
      <c r="D66" s="1335">
        <f t="shared" si="11"/>
        <v>0.26406875054982143</v>
      </c>
      <c r="E66" s="1124">
        <f t="shared" si="11"/>
        <v>7.5306160052783275E-2</v>
      </c>
      <c r="F66" s="1124">
        <f t="shared" si="11"/>
        <v>0.17708173895842222</v>
      </c>
      <c r="G66" s="118">
        <f t="shared" si="11"/>
        <v>106720.85775234729</v>
      </c>
      <c r="H66" s="115">
        <f t="shared" si="11"/>
        <v>0.29553089301830604</v>
      </c>
      <c r="I66" s="1127">
        <f t="shared" si="11"/>
        <v>1.0837821931217524</v>
      </c>
      <c r="J66" s="1127">
        <f t="shared" si="11"/>
        <v>1.259272460269286</v>
      </c>
      <c r="K66" s="1128">
        <f t="shared" si="11"/>
        <v>7.5360879751187033</v>
      </c>
      <c r="L66" s="1124">
        <f t="shared" si="11"/>
        <v>0.12910548637067604</v>
      </c>
      <c r="M66" s="1129">
        <f t="shared" ref="M66:V74" si="12">VLOOKUP($B66,$B$7:$AC$28,M$37+1,FALSE)</f>
        <v>8.6584668441025876</v>
      </c>
      <c r="N66" s="1130">
        <f t="shared" si="12"/>
        <v>0.91487499999999988</v>
      </c>
      <c r="O66" s="1131">
        <f t="shared" si="12"/>
        <v>-4.3736501079913587E-2</v>
      </c>
      <c r="P66" s="1132">
        <f t="shared" si="12"/>
        <v>0.89481420237931208</v>
      </c>
      <c r="Q66" s="1130">
        <f t="shared" si="12"/>
        <v>0.24509229252810941</v>
      </c>
      <c r="R66" s="1131">
        <f t="shared" si="12"/>
        <v>-0.16501821733667812</v>
      </c>
      <c r="S66" s="1132">
        <f t="shared" si="12"/>
        <v>0.23828807339295358</v>
      </c>
      <c r="T66" s="1130">
        <f t="shared" si="12"/>
        <v>0.27870192226407053</v>
      </c>
      <c r="U66" s="1131">
        <f t="shared" si="12"/>
        <v>-0.14309331637647091</v>
      </c>
      <c r="V66" s="1132">
        <f t="shared" si="12"/>
        <v>0.2718321660431175</v>
      </c>
      <c r="W66" s="1124">
        <f t="shared" ref="W66:AC74" si="13">VLOOKUP($B66,$B$7:$AC$28,W$37+1,FALSE)</f>
        <v>3.3609629735961127E-2</v>
      </c>
      <c r="X66" s="1124">
        <f t="shared" si="13"/>
        <v>0.13713050455108242</v>
      </c>
      <c r="Y66" s="1133" t="str">
        <f t="shared" si="13"/>
        <v>A-</v>
      </c>
      <c r="Z66" s="1134" t="str">
        <f t="shared" si="13"/>
        <v>=  =  =</v>
      </c>
      <c r="AA66" s="1128">
        <f t="shared" si="13"/>
        <v>2.0880314655341889</v>
      </c>
      <c r="AB66" s="1135">
        <f t="shared" si="13"/>
        <v>-3.7762767487534328E-2</v>
      </c>
      <c r="AC66" s="1129">
        <f t="shared" si="13"/>
        <v>2.3348198024327131</v>
      </c>
      <c r="AG66" s="2896"/>
      <c r="AR66" s="111"/>
      <c r="AS66" s="111"/>
      <c r="AT66" s="111"/>
      <c r="BE66" s="2143"/>
    </row>
    <row r="67" spans="1:57" s="111" customFormat="1" ht="13.2" customHeight="1">
      <c r="A67" s="1155" t="s">
        <v>219</v>
      </c>
      <c r="B67" s="73" t="s">
        <v>53</v>
      </c>
      <c r="C67" s="1334">
        <f t="shared" si="11"/>
        <v>60036.853628571422</v>
      </c>
      <c r="D67" s="1335">
        <f t="shared" si="11"/>
        <v>0.15382903828354536</v>
      </c>
      <c r="E67" s="1124">
        <f t="shared" si="11"/>
        <v>-0.3618479655094986</v>
      </c>
      <c r="F67" s="1124">
        <f t="shared" si="11"/>
        <v>-0.26007238660385967</v>
      </c>
      <c r="G67" s="118">
        <f t="shared" si="11"/>
        <v>44430.485000000001</v>
      </c>
      <c r="H67" s="115">
        <f t="shared" si="11"/>
        <v>0.1230366882897139</v>
      </c>
      <c r="I67" s="1127">
        <f t="shared" si="11"/>
        <v>2.2644833808097031</v>
      </c>
      <c r="J67" s="1127">
        <f t="shared" si="11"/>
        <v>1.7716210773954304</v>
      </c>
      <c r="K67" s="1128">
        <f t="shared" si="11"/>
        <v>5.6943354572509941</v>
      </c>
      <c r="L67" s="1124">
        <f t="shared" si="11"/>
        <v>-7.3155042359885195E-2</v>
      </c>
      <c r="M67" s="1129">
        <f t="shared" si="12"/>
        <v>5.1937231412225326</v>
      </c>
      <c r="N67" s="1130">
        <f t="shared" si="12"/>
        <v>0.6158872479982318</v>
      </c>
      <c r="O67" s="1131">
        <f t="shared" si="12"/>
        <v>0.11044311863454735</v>
      </c>
      <c r="P67" s="1132">
        <f t="shared" si="12"/>
        <v>0.66127040038880336</v>
      </c>
      <c r="Q67" s="1130">
        <f t="shared" si="12"/>
        <v>0.48384306036910518</v>
      </c>
      <c r="R67" s="1131">
        <f t="shared" si="12"/>
        <v>0.2595878527386451</v>
      </c>
      <c r="S67" s="1132">
        <f t="shared" si="12"/>
        <v>0.54381370963962039</v>
      </c>
      <c r="T67" s="1130">
        <f t="shared" si="12"/>
        <v>0.51513010935716153</v>
      </c>
      <c r="U67" s="1131">
        <f t="shared" si="12"/>
        <v>0.26130995158024306</v>
      </c>
      <c r="V67" s="1132">
        <f t="shared" si="12"/>
        <v>0.57929804018594233</v>
      </c>
      <c r="W67" s="1124">
        <f t="shared" si="13"/>
        <v>3.1287048988056343E-2</v>
      </c>
      <c r="X67" s="1124">
        <f t="shared" si="13"/>
        <v>6.4663630732222685E-2</v>
      </c>
      <c r="Y67" s="1133" t="str">
        <f t="shared" si="13"/>
        <v>BBB</v>
      </c>
      <c r="Z67" s="1134" t="str">
        <f t="shared" si="13"/>
        <v>¯  ¯ ¯</v>
      </c>
      <c r="AA67" s="1128">
        <f t="shared" si="13"/>
        <v>2.7929780820851775</v>
      </c>
      <c r="AB67" s="1135">
        <f t="shared" si="13"/>
        <v>0.12404595260605845</v>
      </c>
      <c r="AC67" s="1129">
        <f t="shared" si="13"/>
        <v>2.8353348809740444</v>
      </c>
      <c r="BE67" s="2125"/>
    </row>
    <row r="68" spans="1:57" s="111" customFormat="1" ht="13.2" customHeight="1">
      <c r="A68" s="1155" t="s">
        <v>502</v>
      </c>
      <c r="B68" s="73" t="s">
        <v>52</v>
      </c>
      <c r="C68" s="1334">
        <f t="shared" si="11"/>
        <v>40464.923042857146</v>
      </c>
      <c r="D68" s="1335">
        <f t="shared" si="11"/>
        <v>0.1036809862557167</v>
      </c>
      <c r="E68" s="1124">
        <f t="shared" si="11"/>
        <v>-6.1458653761923776E-2</v>
      </c>
      <c r="F68" s="1124">
        <f t="shared" si="11"/>
        <v>4.0316925143715168E-2</v>
      </c>
      <c r="G68" s="118">
        <f t="shared" si="11"/>
        <v>39791.94</v>
      </c>
      <c r="H68" s="115">
        <f t="shared" si="11"/>
        <v>0.1101916514803518</v>
      </c>
      <c r="I68" s="1127">
        <f t="shared" si="11"/>
        <v>1.0840589348936991</v>
      </c>
      <c r="J68" s="1127">
        <f t="shared" si="11"/>
        <v>1.2733420800000002</v>
      </c>
      <c r="K68" s="1128">
        <f t="shared" si="11"/>
        <v>4.9905713850513198</v>
      </c>
      <c r="L68" s="1124">
        <f t="shared" si="11"/>
        <v>0.1448238320606966</v>
      </c>
      <c r="M68" s="1129">
        <f t="shared" si="12"/>
        <v>5.2964626193065953</v>
      </c>
      <c r="N68" s="1130">
        <f t="shared" si="12"/>
        <v>0.61</v>
      </c>
      <c r="O68" s="1131">
        <f t="shared" si="12"/>
        <v>0</v>
      </c>
      <c r="P68" s="1132">
        <f t="shared" si="12"/>
        <v>0.62983042679437373</v>
      </c>
      <c r="Q68" s="1130">
        <f t="shared" si="12"/>
        <v>0.51528895508035288</v>
      </c>
      <c r="R68" s="1131">
        <f t="shared" si="12"/>
        <v>-2.4931247740904369E-2</v>
      </c>
      <c r="S68" s="1132">
        <f t="shared" si="12"/>
        <v>0.51939744871548044</v>
      </c>
      <c r="T68" s="1130">
        <f t="shared" si="12"/>
        <v>0.58808850315066874</v>
      </c>
      <c r="U68" s="1131">
        <f t="shared" si="12"/>
        <v>-2.8226553900756759E-2</v>
      </c>
      <c r="V68" s="1132">
        <f t="shared" si="12"/>
        <v>0.59074959904524027</v>
      </c>
      <c r="W68" s="1124">
        <f t="shared" si="13"/>
        <v>7.2799548070315856E-2</v>
      </c>
      <c r="X68" s="1124">
        <f t="shared" si="13"/>
        <v>0.14127907721011346</v>
      </c>
      <c r="Y68" s="1133" t="str">
        <f t="shared" si="13"/>
        <v>BBB+</v>
      </c>
      <c r="Z68" s="1134" t="str">
        <f t="shared" si="13"/>
        <v>=  =  =</v>
      </c>
      <c r="AA68" s="1128">
        <f t="shared" si="13"/>
        <v>2.7906818261625395</v>
      </c>
      <c r="AB68" s="1135">
        <f t="shared" si="13"/>
        <v>8.5841806528642844E-2</v>
      </c>
      <c r="AC68" s="1129">
        <f t="shared" si="13"/>
        <v>2.9178287645268703</v>
      </c>
      <c r="BE68" s="2125"/>
    </row>
    <row r="69" spans="1:57" s="1305" customFormat="1">
      <c r="A69" s="1155" t="s">
        <v>32</v>
      </c>
      <c r="B69" s="73" t="s">
        <v>50</v>
      </c>
      <c r="C69" s="1334">
        <f t="shared" si="11"/>
        <v>19515.355899391296</v>
      </c>
      <c r="D69" s="1335">
        <f t="shared" si="11"/>
        <v>5.0003093905237848E-2</v>
      </c>
      <c r="E69" s="1124">
        <f t="shared" si="11"/>
        <v>1.1994936816856254</v>
      </c>
      <c r="F69" s="1124">
        <f t="shared" si="11"/>
        <v>1.3012692605912644</v>
      </c>
      <c r="G69" s="118">
        <f t="shared" si="11"/>
        <v>28491.576306321644</v>
      </c>
      <c r="H69" s="115">
        <f t="shared" si="11"/>
        <v>7.8898737947233621E-2</v>
      </c>
      <c r="I69" s="1127">
        <f t="shared" si="11"/>
        <v>-0.89894076859195104</v>
      </c>
      <c r="J69" s="1127">
        <f t="shared" si="11"/>
        <v>39.625784878048783</v>
      </c>
      <c r="K69" s="1128">
        <f t="shared" si="11"/>
        <v>4.6985221679038922</v>
      </c>
      <c r="L69" s="1124">
        <f t="shared" si="11"/>
        <v>0.4140020451008824</v>
      </c>
      <c r="M69" s="1129">
        <f t="shared" si="12"/>
        <v>5.7096258695546744</v>
      </c>
      <c r="N69" s="1130">
        <f t="shared" si="12"/>
        <v>0</v>
      </c>
      <c r="O69" s="1131">
        <f t="shared" si="12"/>
        <v>0</v>
      </c>
      <c r="P69" s="1132">
        <f t="shared" si="12"/>
        <v>0</v>
      </c>
      <c r="Q69" s="1130">
        <f t="shared" si="12"/>
        <v>0.37025195227815472</v>
      </c>
      <c r="R69" s="1131">
        <f t="shared" si="12"/>
        <v>-0.46222821771061889</v>
      </c>
      <c r="S69" s="1132">
        <f t="shared" si="12"/>
        <v>0.26403640782716253</v>
      </c>
      <c r="T69" s="1130">
        <f t="shared" si="12"/>
        <v>0.48927059752514818</v>
      </c>
      <c r="U69" s="1131">
        <f t="shared" si="12"/>
        <v>-0.38189416595312975</v>
      </c>
      <c r="V69" s="1132">
        <f t="shared" si="12"/>
        <v>0.37414035756341019</v>
      </c>
      <c r="W69" s="1124">
        <f t="shared" si="13"/>
        <v>0.11901864524699346</v>
      </c>
      <c r="X69" s="1124">
        <f t="shared" si="13"/>
        <v>0.32145312000294263</v>
      </c>
      <c r="Y69" s="1133" t="str">
        <f t="shared" si="13"/>
        <v>BBB</v>
      </c>
      <c r="Z69" s="1134" t="str">
        <f t="shared" si="13"/>
        <v xml:space="preserve">=  -  = </v>
      </c>
      <c r="AA69" s="1128">
        <f t="shared" si="13"/>
        <v>2.2664974928712622</v>
      </c>
      <c r="AB69" s="1135">
        <f t="shared" si="13"/>
        <v>-0.12537902502142731</v>
      </c>
      <c r="AC69" s="1129">
        <f t="shared" si="13"/>
        <v>2.136201464388483</v>
      </c>
      <c r="AG69" s="2896"/>
      <c r="AR69" s="111"/>
      <c r="AS69" s="111"/>
      <c r="AT69" s="111"/>
      <c r="BE69" s="2143"/>
    </row>
    <row r="70" spans="1:57" s="1305" customFormat="1">
      <c r="A70" s="1155" t="s">
        <v>504</v>
      </c>
      <c r="B70" s="73" t="s">
        <v>281</v>
      </c>
      <c r="C70" s="1334">
        <f t="shared" si="11"/>
        <v>20617.292984255655</v>
      </c>
      <c r="D70" s="1335">
        <f t="shared" si="11"/>
        <v>5.2826525044090682E-2</v>
      </c>
      <c r="E70" s="1124">
        <f t="shared" si="11"/>
        <v>0.37985561177970401</v>
      </c>
      <c r="F70" s="1124">
        <f t="shared" si="11"/>
        <v>0.48163119068534294</v>
      </c>
      <c r="G70" s="118">
        <f t="shared" si="11"/>
        <v>23766.623796323693</v>
      </c>
      <c r="H70" s="115">
        <f t="shared" si="11"/>
        <v>6.5814421871090864E-2</v>
      </c>
      <c r="I70" s="1127">
        <f t="shared" si="11"/>
        <v>1.8990159277875758</v>
      </c>
      <c r="J70" s="1127">
        <f t="shared" si="11"/>
        <v>2.509154465418888</v>
      </c>
      <c r="K70" s="1128">
        <f t="shared" si="11"/>
        <v>5.8033589040079683</v>
      </c>
      <c r="L70" s="1124">
        <f t="shared" si="11"/>
        <v>4.5724350121793801E-2</v>
      </c>
      <c r="M70" s="1129">
        <f t="shared" si="12"/>
        <v>6.1939465303838475</v>
      </c>
      <c r="N70" s="1130">
        <f t="shared" si="12"/>
        <v>0.7344324868237998</v>
      </c>
      <c r="O70" s="1131">
        <f t="shared" si="12"/>
        <v>0.10784712869930438</v>
      </c>
      <c r="P70" s="1132">
        <f t="shared" si="12"/>
        <v>0.74956908795771016</v>
      </c>
      <c r="Q70" s="1130">
        <f t="shared" si="12"/>
        <v>0.14726898954609682</v>
      </c>
      <c r="R70" s="1131">
        <f t="shared" si="12"/>
        <v>4.9939774449528171E-2</v>
      </c>
      <c r="S70" s="1132">
        <f t="shared" si="12"/>
        <v>0.17272839211728983</v>
      </c>
      <c r="T70" s="1130">
        <f t="shared" si="12"/>
        <v>0.18443136241749356</v>
      </c>
      <c r="U70" s="1131">
        <f t="shared" si="12"/>
        <v>-5.7258906752796622E-2</v>
      </c>
      <c r="V70" s="1132">
        <f t="shared" si="12"/>
        <v>0.198117589718218</v>
      </c>
      <c r="W70" s="1124">
        <f t="shared" si="13"/>
        <v>3.7162372871396732E-2</v>
      </c>
      <c r="X70" s="1124">
        <f t="shared" si="13"/>
        <v>0.25234350412762557</v>
      </c>
      <c r="Y70" s="1133" t="str">
        <f t="shared" si="13"/>
        <v>A-</v>
      </c>
      <c r="Z70" s="1134" t="str">
        <f t="shared" si="13"/>
        <v>=  =  -</v>
      </c>
      <c r="AA70" s="1128">
        <f t="shared" si="13"/>
        <v>1.0395975936863313</v>
      </c>
      <c r="AB70" s="1135">
        <f t="shared" si="13"/>
        <v>2.9438923535487854E-2</v>
      </c>
      <c r="AC70" s="1129">
        <f t="shared" si="13"/>
        <v>1.2087727199953455</v>
      </c>
      <c r="AG70" s="2896"/>
      <c r="AR70" s="111"/>
      <c r="AS70" s="111"/>
      <c r="AT70" s="111"/>
      <c r="BE70" s="2143"/>
    </row>
    <row r="71" spans="1:57" s="1305" customFormat="1">
      <c r="A71" s="1155" t="s">
        <v>507</v>
      </c>
      <c r="B71" s="73" t="s">
        <v>284</v>
      </c>
      <c r="C71" s="1334">
        <f t="shared" si="11"/>
        <v>22949.481858519866</v>
      </c>
      <c r="D71" s="1335">
        <f t="shared" si="11"/>
        <v>5.8802160840116385E-2</v>
      </c>
      <c r="E71" s="1124">
        <f t="shared" si="11"/>
        <v>-8.3288171902550459E-2</v>
      </c>
      <c r="F71" s="1124">
        <f t="shared" si="11"/>
        <v>1.8487407003088485E-2</v>
      </c>
      <c r="G71" s="118">
        <f t="shared" si="11"/>
        <v>21731.57918967646</v>
      </c>
      <c r="H71" s="115">
        <f t="shared" si="11"/>
        <v>6.0178986000343146E-2</v>
      </c>
      <c r="I71" s="1127">
        <f t="shared" si="11"/>
        <v>1.7647070716020126</v>
      </c>
      <c r="J71" s="1127">
        <f t="shared" si="11"/>
        <v>1.7786623686113903</v>
      </c>
      <c r="K71" s="1128">
        <f t="shared" si="11"/>
        <v>7.5421176018870622</v>
      </c>
      <c r="L71" s="1124">
        <f t="shared" si="11"/>
        <v>2.1076957712408067E-2</v>
      </c>
      <c r="M71" s="1129">
        <f t="shared" si="12"/>
        <v>7.6896404016441506</v>
      </c>
      <c r="N71" s="1130">
        <f t="shared" si="12"/>
        <v>0.67984865616162071</v>
      </c>
      <c r="O71" s="1131">
        <f t="shared" si="12"/>
        <v>0.13956056160252914</v>
      </c>
      <c r="P71" s="1132">
        <f t="shared" si="12"/>
        <v>0.7167630057803468</v>
      </c>
      <c r="Q71" s="1130">
        <f t="shared" si="12"/>
        <v>0.23215418017261674</v>
      </c>
      <c r="R71" s="1131">
        <f t="shared" si="12"/>
        <v>0.36187217108516367</v>
      </c>
      <c r="S71" s="1132">
        <f t="shared" si="12"/>
        <v>0.26525179681706468</v>
      </c>
      <c r="T71" s="1130">
        <f t="shared" si="12"/>
        <v>0.2501311526811702</v>
      </c>
      <c r="U71" s="1131">
        <f t="shared" si="12"/>
        <v>0.31916438327965047</v>
      </c>
      <c r="V71" s="1132">
        <f t="shared" si="12"/>
        <v>0.28287599661626001</v>
      </c>
      <c r="W71" s="1124">
        <f t="shared" si="13"/>
        <v>1.7976972508553457E-2</v>
      </c>
      <c r="X71" s="1124">
        <f t="shared" si="13"/>
        <v>7.7435489187344358E-2</v>
      </c>
      <c r="Y71" s="1133" t="str">
        <f t="shared" si="13"/>
        <v>A-</v>
      </c>
      <c r="Z71" s="1134" t="str">
        <f t="shared" si="13"/>
        <v>=  =  =</v>
      </c>
      <c r="AA71" s="1128">
        <f t="shared" si="13"/>
        <v>1.845874038975184</v>
      </c>
      <c r="AB71" s="1135">
        <f t="shared" si="13"/>
        <v>0.36079457239176377</v>
      </c>
      <c r="AC71" s="1129">
        <f t="shared" si="13"/>
        <v>2.1424428051274771</v>
      </c>
      <c r="AG71" s="2896"/>
      <c r="AR71" s="111"/>
      <c r="AS71" s="111"/>
      <c r="AT71" s="111"/>
      <c r="BE71" s="2143"/>
    </row>
    <row r="72" spans="1:57" s="1305" customFormat="1">
      <c r="A72" s="1155" t="s">
        <v>19</v>
      </c>
      <c r="B72" s="152" t="s">
        <v>288</v>
      </c>
      <c r="C72" s="1334">
        <f t="shared" si="11"/>
        <v>31174.883771428573</v>
      </c>
      <c r="D72" s="1335">
        <f t="shared" si="11"/>
        <v>7.9877643469276421E-2</v>
      </c>
      <c r="E72" s="1124">
        <f t="shared" si="11"/>
        <v>-0.49416922878378883</v>
      </c>
      <c r="F72" s="1124">
        <f t="shared" si="11"/>
        <v>-0.3923936498781499</v>
      </c>
      <c r="G72" s="118">
        <f t="shared" si="11"/>
        <v>19124.593099999998</v>
      </c>
      <c r="H72" s="115">
        <f t="shared" si="11"/>
        <v>5.2959732488004868E-2</v>
      </c>
      <c r="I72" s="1127">
        <f t="shared" si="11"/>
        <v>1.0546425468926217</v>
      </c>
      <c r="J72" s="1127">
        <f t="shared" si="11"/>
        <v>0.72989058468819168</v>
      </c>
      <c r="K72" s="1128">
        <f t="shared" si="11"/>
        <v>4.7838493303826084</v>
      </c>
      <c r="L72" s="1124">
        <f t="shared" si="11"/>
        <v>-0.19812930900653591</v>
      </c>
      <c r="M72" s="1129">
        <f t="shared" si="12"/>
        <v>4.438539176760524</v>
      </c>
      <c r="N72" s="1130">
        <f t="shared" si="12"/>
        <v>0.60741568747204655</v>
      </c>
      <c r="O72" s="1131">
        <f t="shared" si="12"/>
        <v>4.0950219141690898E-2</v>
      </c>
      <c r="P72" s="1132">
        <f t="shared" si="12"/>
        <v>0.62738172243152124</v>
      </c>
      <c r="Q72" s="1130">
        <f t="shared" si="12"/>
        <v>0.50834561454306215</v>
      </c>
      <c r="R72" s="1131">
        <f t="shared" si="12"/>
        <v>0.27477182203191691</v>
      </c>
      <c r="S72" s="1132">
        <f t="shared" si="12"/>
        <v>0.61196382356206247</v>
      </c>
      <c r="T72" s="1130">
        <f t="shared" si="12"/>
        <v>0.54898628094174651</v>
      </c>
      <c r="U72" s="1131">
        <f t="shared" si="12"/>
        <v>0.26756473067663017</v>
      </c>
      <c r="V72" s="1132">
        <f t="shared" si="12"/>
        <v>0.65530118542007598</v>
      </c>
      <c r="W72" s="1124">
        <f t="shared" si="13"/>
        <v>4.0640666398684355E-2</v>
      </c>
      <c r="X72" s="1124">
        <f t="shared" si="13"/>
        <v>7.9946920433679999E-2</v>
      </c>
      <c r="Y72" s="1133" t="str">
        <f t="shared" si="13"/>
        <v>BBB+</v>
      </c>
      <c r="Z72" s="1134" t="str">
        <f t="shared" si="13"/>
        <v>=  ¯ ¯</v>
      </c>
      <c r="AA72" s="1128">
        <f t="shared" si="13"/>
        <v>2.5321561588471506</v>
      </c>
      <c r="AB72" s="1135">
        <f t="shared" si="13"/>
        <v>1.3257606300410854E-2</v>
      </c>
      <c r="AC72" s="1129">
        <f t="shared" si="13"/>
        <v>2.8138910595815916</v>
      </c>
      <c r="AG72" s="2896"/>
      <c r="AR72" s="111"/>
      <c r="AS72" s="111"/>
      <c r="AT72" s="111"/>
      <c r="BE72" s="2143"/>
    </row>
    <row r="73" spans="1:57" s="1305" customFormat="1">
      <c r="A73" s="1155" t="s">
        <v>508</v>
      </c>
      <c r="B73" s="73" t="s">
        <v>290</v>
      </c>
      <c r="C73" s="1334">
        <f t="shared" si="11"/>
        <v>16250.837973523972</v>
      </c>
      <c r="D73" s="1335">
        <f t="shared" si="11"/>
        <v>4.1638604052015776E-2</v>
      </c>
      <c r="E73" s="1124">
        <f t="shared" si="11"/>
        <v>0.20894195471198634</v>
      </c>
      <c r="F73" s="1124">
        <f t="shared" si="11"/>
        <v>0.31071753361762527</v>
      </c>
      <c r="G73" s="118">
        <f t="shared" si="11"/>
        <v>17428.290742138299</v>
      </c>
      <c r="H73" s="115">
        <f t="shared" si="11"/>
        <v>4.826234004564605E-2</v>
      </c>
      <c r="I73" s="1127">
        <f t="shared" si="11"/>
        <v>4.0995220850209826</v>
      </c>
      <c r="J73" s="1127">
        <f t="shared" si="11"/>
        <v>4.5731712273212377</v>
      </c>
      <c r="K73" s="1128">
        <f t="shared" si="11"/>
        <v>6.7995363362554677</v>
      </c>
      <c r="L73" s="1124">
        <f t="shared" si="11"/>
        <v>0.2149868566781509</v>
      </c>
      <c r="M73" s="1129">
        <f t="shared" si="12"/>
        <v>7.5822149145373468</v>
      </c>
      <c r="N73" s="1130">
        <f t="shared" si="12"/>
        <v>0.32615050588405037</v>
      </c>
      <c r="O73" s="1131">
        <f t="shared" si="12"/>
        <v>-8.7660674172335792E-2</v>
      </c>
      <c r="P73" s="1132">
        <f t="shared" si="12"/>
        <v>0.30985103942866765</v>
      </c>
      <c r="Q73" s="1130">
        <f t="shared" si="12"/>
        <v>0.30558583418722468</v>
      </c>
      <c r="R73" s="1131">
        <f t="shared" si="12"/>
        <v>-0.13620468181810452</v>
      </c>
      <c r="S73" s="1132">
        <f t="shared" si="12"/>
        <v>0.29018390059321952</v>
      </c>
      <c r="T73" s="1130">
        <f t="shared" si="12"/>
        <v>0.31922230141848357</v>
      </c>
      <c r="U73" s="1131">
        <f t="shared" si="12"/>
        <v>-0.13496032758973828</v>
      </c>
      <c r="V73" s="1132">
        <f t="shared" si="12"/>
        <v>0.30362227391248225</v>
      </c>
      <c r="W73" s="1124">
        <f t="shared" si="13"/>
        <v>1.3636467231258886E-2</v>
      </c>
      <c r="X73" s="1124">
        <f t="shared" si="13"/>
        <v>4.4624016252350789E-2</v>
      </c>
      <c r="Y73" s="1133" t="str">
        <f t="shared" si="13"/>
        <v>A</v>
      </c>
      <c r="Z73" s="1134" t="str">
        <f t="shared" si="13"/>
        <v>=  =  -</v>
      </c>
      <c r="AA73" s="1128">
        <f t="shared" si="13"/>
        <v>2.1579177629636748</v>
      </c>
      <c r="AB73" s="1135">
        <f t="shared" si="13"/>
        <v>6.0078851309961184E-2</v>
      </c>
      <c r="AC73" s="1129">
        <f t="shared" si="13"/>
        <v>2.3009327536910358</v>
      </c>
      <c r="AG73" s="2896"/>
      <c r="AR73" s="111"/>
      <c r="AS73" s="111"/>
      <c r="AT73" s="111"/>
      <c r="BE73" s="2143"/>
    </row>
    <row r="74" spans="1:57" s="1305" customFormat="1">
      <c r="A74" s="1155" t="s">
        <v>503</v>
      </c>
      <c r="B74" s="73" t="s">
        <v>286</v>
      </c>
      <c r="C74" s="1334">
        <f t="shared" si="11"/>
        <v>15596.516285714286</v>
      </c>
      <c r="D74" s="1335">
        <f t="shared" si="11"/>
        <v>3.9962072557101963E-2</v>
      </c>
      <c r="E74" s="1124">
        <f t="shared" si="11"/>
        <v>-0.41209116095583281</v>
      </c>
      <c r="F74" s="1124">
        <f t="shared" si="11"/>
        <v>-0.31031558205019388</v>
      </c>
      <c r="G74" s="118">
        <f t="shared" si="11"/>
        <v>10295.917100000001</v>
      </c>
      <c r="H74" s="115">
        <f t="shared" si="11"/>
        <v>2.8511404790864545E-2</v>
      </c>
      <c r="I74" s="1127">
        <f t="shared" si="11"/>
        <v>0.58081043687158529</v>
      </c>
      <c r="J74" s="1127">
        <f t="shared" si="11"/>
        <v>0.5027794267018264</v>
      </c>
      <c r="K74" s="1128">
        <f t="shared" si="11"/>
        <v>4.5606838408134944</v>
      </c>
      <c r="L74" s="1124">
        <f t="shared" si="11"/>
        <v>-0.18379111287045302</v>
      </c>
      <c r="M74" s="1129">
        <f t="shared" si="12"/>
        <v>4.0606354500113753</v>
      </c>
      <c r="N74" s="1130">
        <f t="shared" si="12"/>
        <v>0.34534166666666666</v>
      </c>
      <c r="O74" s="1131">
        <f t="shared" si="12"/>
        <v>-5.4500069338510607E-2</v>
      </c>
      <c r="P74" s="1132">
        <f t="shared" si="12"/>
        <v>0.3626280111015483</v>
      </c>
      <c r="Q74" s="1130">
        <f t="shared" si="12"/>
        <v>0.67997702229572432</v>
      </c>
      <c r="R74" s="1131">
        <f t="shared" si="12"/>
        <v>0.10658020511075152</v>
      </c>
      <c r="S74" s="1132">
        <f t="shared" si="12"/>
        <v>0.75270955685414354</v>
      </c>
      <c r="T74" s="1130">
        <f t="shared" si="12"/>
        <v>0.68457317243488636</v>
      </c>
      <c r="U74" s="1131">
        <f t="shared" si="12"/>
        <v>0.10522314957078965</v>
      </c>
      <c r="V74" s="1132">
        <f t="shared" si="12"/>
        <v>0.75672107111582532</v>
      </c>
      <c r="W74" s="1124">
        <f t="shared" si="13"/>
        <v>4.5961501391620363E-3</v>
      </c>
      <c r="X74" s="1124">
        <f t="shared" si="13"/>
        <v>6.7592727231349809E-3</v>
      </c>
      <c r="Y74" s="1133" t="str">
        <f t="shared" si="13"/>
        <v>BBB-</v>
      </c>
      <c r="Z74" s="1134" t="str">
        <f t="shared" si="13"/>
        <v>=  ¯ ¯</v>
      </c>
      <c r="AA74" s="1128">
        <f t="shared" si="13"/>
        <v>2.9152503149286035</v>
      </c>
      <c r="AB74" s="1135">
        <f t="shared" si="13"/>
        <v>-0.14664752669478531</v>
      </c>
      <c r="AC74" s="1129">
        <f t="shared" si="13"/>
        <v>2.8370691340232916</v>
      </c>
      <c r="AG74" s="2896"/>
      <c r="AR74" s="111"/>
      <c r="AS74" s="111"/>
      <c r="AT74" s="111"/>
      <c r="BE74" s="2143"/>
    </row>
    <row r="75" spans="1:57" s="1305" customFormat="1">
      <c r="A75" s="1155" t="s">
        <v>19</v>
      </c>
      <c r="B75" s="73" t="s">
        <v>287</v>
      </c>
      <c r="C75" s="1334">
        <f t="shared" ref="C75:L87" si="14">VLOOKUP($B75,$B$7:$AC$28,C$37+1,FALSE)</f>
        <v>6002.7646707914537</v>
      </c>
      <c r="D75" s="1335">
        <f t="shared" si="14"/>
        <v>1.538054479108892E-2</v>
      </c>
      <c r="E75" s="1124">
        <f t="shared" si="14"/>
        <v>1.7468659495150733</v>
      </c>
      <c r="F75" s="1124">
        <f t="shared" si="14"/>
        <v>1.8486415284207123</v>
      </c>
      <c r="G75" s="118">
        <f t="shared" si="14"/>
        <v>9571.524995540176</v>
      </c>
      <c r="H75" s="115">
        <f t="shared" si="14"/>
        <v>2.6505421611613778E-2</v>
      </c>
      <c r="I75" s="1127">
        <f t="shared" si="14"/>
        <v>4.1497848696984878</v>
      </c>
      <c r="J75" s="1127">
        <f t="shared" si="14"/>
        <v>5.1075046454025781</v>
      </c>
      <c r="K75" s="1128">
        <f t="shared" si="14"/>
        <v>7.8889454092528393</v>
      </c>
      <c r="L75" s="1124">
        <f t="shared" si="14"/>
        <v>0.8464659845431286</v>
      </c>
      <c r="M75" s="1129">
        <f t="shared" ref="M75:Y87" si="15">VLOOKUP($B75,$B$7:$AC$28,M$37+1,FALSE)</f>
        <v>9.6719476082953495</v>
      </c>
      <c r="N75" s="1130">
        <f t="shared" si="15"/>
        <v>9.1630231095150338E-2</v>
      </c>
      <c r="O75" s="1148" t="str">
        <f t="shared" si="15"/>
        <v>¥</v>
      </c>
      <c r="P75" s="1132">
        <f t="shared" si="15"/>
        <v>0.34976819018989347</v>
      </c>
      <c r="Q75" s="1130">
        <f t="shared" si="15"/>
        <v>0.13477545507373562</v>
      </c>
      <c r="R75" s="1131">
        <f t="shared" si="15"/>
        <v>-0.4264373226073967</v>
      </c>
      <c r="S75" s="1132">
        <f t="shared" si="15"/>
        <v>9.7905485588969735E-2</v>
      </c>
      <c r="T75" s="1130">
        <f t="shared" si="15"/>
        <v>0.16024846762312819</v>
      </c>
      <c r="U75" s="1131">
        <f t="shared" si="15"/>
        <v>-0.25253039609468159</v>
      </c>
      <c r="V75" s="1132">
        <f t="shared" si="15"/>
        <v>0.12849893093161849</v>
      </c>
      <c r="W75" s="1124">
        <f t="shared" si="15"/>
        <v>2.5473012549392576E-2</v>
      </c>
      <c r="X75" s="1124">
        <f t="shared" si="15"/>
        <v>0.18900335031669008</v>
      </c>
      <c r="Y75" s="1133" t="str">
        <f t="shared" si="15"/>
        <v>Not rated</v>
      </c>
      <c r="Z75" s="1134"/>
      <c r="AA75" s="1128">
        <f t="shared" ref="AA75:AC87" si="16">VLOOKUP($B75,$B$7:$AC$28,AA$37+1,FALSE)</f>
        <v>1.265551414722516</v>
      </c>
      <c r="AB75" s="1135">
        <f t="shared" si="16"/>
        <v>0.38040351489576829</v>
      </c>
      <c r="AC75" s="1129">
        <f t="shared" si="16"/>
        <v>1.242834927692577</v>
      </c>
      <c r="AG75" s="2896"/>
      <c r="AR75" s="111"/>
      <c r="AS75" s="111"/>
      <c r="AT75" s="111"/>
      <c r="BE75" s="2143"/>
    </row>
    <row r="76" spans="1:57" s="1305" customFormat="1">
      <c r="A76" s="1155" t="s">
        <v>505</v>
      </c>
      <c r="B76" s="73" t="s">
        <v>44</v>
      </c>
      <c r="C76" s="1334">
        <f t="shared" si="14"/>
        <v>12234.494271428572</v>
      </c>
      <c r="D76" s="1335">
        <f t="shared" si="14"/>
        <v>3.1347753486597643E-2</v>
      </c>
      <c r="E76" s="1124">
        <f t="shared" si="14"/>
        <v>-0.59766521701552</v>
      </c>
      <c r="F76" s="1124">
        <f t="shared" si="14"/>
        <v>-0.49588963810988107</v>
      </c>
      <c r="G76" s="118">
        <f t="shared" si="14"/>
        <v>6819.5967000000001</v>
      </c>
      <c r="H76" s="115">
        <f t="shared" si="14"/>
        <v>1.8884794830384175E-2</v>
      </c>
      <c r="I76" s="1127">
        <f t="shared" si="14"/>
        <v>3.9295455833111754</v>
      </c>
      <c r="J76" s="1127">
        <f t="shared" si="14"/>
        <v>1.2175677021960365</v>
      </c>
      <c r="K76" s="1128">
        <f t="shared" si="14"/>
        <v>4.9270605931091591</v>
      </c>
      <c r="L76" s="1124">
        <f t="shared" si="14"/>
        <v>-0.26680842971581226</v>
      </c>
      <c r="M76" s="1129">
        <f t="shared" si="15"/>
        <v>4.0325018858098245</v>
      </c>
      <c r="N76" s="1130">
        <f t="shared" si="15"/>
        <v>0.5805147103617575</v>
      </c>
      <c r="O76" s="1131">
        <f t="shared" si="15"/>
        <v>8.4948466413752491E-2</v>
      </c>
      <c r="P76" s="1132">
        <f t="shared" si="15"/>
        <v>0.6264024463118032</v>
      </c>
      <c r="Q76" s="1130">
        <f t="shared" si="15"/>
        <v>0.51826084585195908</v>
      </c>
      <c r="R76" s="1131">
        <f t="shared" si="15"/>
        <v>0.40005999871326348</v>
      </c>
      <c r="S76" s="1132">
        <f t="shared" si="15"/>
        <v>0.58973938770950263</v>
      </c>
      <c r="T76" s="1130">
        <f t="shared" si="15"/>
        <v>0.5495689942142129</v>
      </c>
      <c r="U76" s="1131">
        <f t="shared" si="15"/>
        <v>0.40637993517884302</v>
      </c>
      <c r="V76" s="1132">
        <f t="shared" si="15"/>
        <v>0.63323863537070213</v>
      </c>
      <c r="W76" s="1124">
        <f t="shared" si="15"/>
        <v>3.1308148362253818E-2</v>
      </c>
      <c r="X76" s="1124">
        <f t="shared" si="15"/>
        <v>6.0410020577161203E-2</v>
      </c>
      <c r="Y76" s="1133" t="str">
        <f t="shared" si="15"/>
        <v>BBB-</v>
      </c>
      <c r="Z76" s="1134" t="str">
        <f>VLOOKUP($B76,$B$7:$AC$28,Z$37+1,FALSE)</f>
        <v>=  ¯ =</v>
      </c>
      <c r="AA76" s="1128">
        <f t="shared" si="16"/>
        <v>2.643581803383519</v>
      </c>
      <c r="AB76" s="1135">
        <f t="shared" si="16"/>
        <v>2.8580691559688957E-2</v>
      </c>
      <c r="AC76" s="1129">
        <f t="shared" si="16"/>
        <v>2.5466878830879209</v>
      </c>
      <c r="AG76" s="2896"/>
      <c r="AR76" s="111"/>
      <c r="AS76" s="111"/>
      <c r="AT76" s="111"/>
      <c r="BE76" s="2143"/>
    </row>
    <row r="77" spans="1:57" s="1305" customFormat="1">
      <c r="A77" s="1156" t="s">
        <v>323</v>
      </c>
      <c r="B77" s="726" t="s">
        <v>772</v>
      </c>
      <c r="C77" s="1336">
        <f t="shared" si="14"/>
        <v>7616.907214285714</v>
      </c>
      <c r="D77" s="1337">
        <f t="shared" si="14"/>
        <v>1.9516371039653539E-2</v>
      </c>
      <c r="E77" s="1136">
        <f t="shared" si="14"/>
        <v>-0.33365525120929096</v>
      </c>
      <c r="F77" s="1136">
        <f t="shared" si="14"/>
        <v>-0.23187967230365203</v>
      </c>
      <c r="G77" s="1072">
        <f t="shared" si="14"/>
        <v>5825.8631999999998</v>
      </c>
      <c r="H77" s="1073">
        <f t="shared" si="14"/>
        <v>1.6132952736323161E-2</v>
      </c>
      <c r="I77" s="1139">
        <f t="shared" si="14"/>
        <v>2.4107651340270966</v>
      </c>
      <c r="J77" s="1139">
        <f t="shared" si="14"/>
        <v>2.0327505931612002</v>
      </c>
      <c r="K77" s="1140">
        <f t="shared" si="14"/>
        <v>4.8426442674927213</v>
      </c>
      <c r="L77" s="1136">
        <f t="shared" si="14"/>
        <v>0.1951757211867983</v>
      </c>
      <c r="M77" s="1141">
        <f t="shared" si="15"/>
        <v>4.6619962755533297</v>
      </c>
      <c r="N77" s="1142">
        <f t="shared" si="15"/>
        <v>0.37158673775730477</v>
      </c>
      <c r="O77" s="1143">
        <f t="shared" si="15"/>
        <v>-0.1153634304384116</v>
      </c>
      <c r="P77" s="1144">
        <f t="shared" si="15"/>
        <v>0.36037883142173305</v>
      </c>
      <c r="Q77" s="1142">
        <f t="shared" si="15"/>
        <v>0.17383796150947908</v>
      </c>
      <c r="R77" s="1143">
        <f t="shared" si="15"/>
        <v>0.54445307336528614</v>
      </c>
      <c r="S77" s="1144">
        <f t="shared" si="15"/>
        <v>0.26356163003804695</v>
      </c>
      <c r="T77" s="1142">
        <f t="shared" si="15"/>
        <v>0.19702478682132593</v>
      </c>
      <c r="U77" s="1143">
        <f t="shared" si="15"/>
        <v>0.50034734616182497</v>
      </c>
      <c r="V77" s="1144">
        <f t="shared" si="15"/>
        <v>0.28756363720088318</v>
      </c>
      <c r="W77" s="1136">
        <f t="shared" si="15"/>
        <v>2.3186825311846848E-2</v>
      </c>
      <c r="X77" s="1136">
        <f t="shared" si="15"/>
        <v>0.13338182932260462</v>
      </c>
      <c r="Y77" s="1145" t="str">
        <f t="shared" si="15"/>
        <v>A</v>
      </c>
      <c r="Z77" s="1146" t="str">
        <f>VLOOKUP($B77,$B$7:$AC$28,Z$37+1,FALSE)</f>
        <v>=  =  -</v>
      </c>
      <c r="AA77" s="1140">
        <f t="shared" si="16"/>
        <v>0.93248540191552354</v>
      </c>
      <c r="AB77" s="1147">
        <f t="shared" si="16"/>
        <v>0.78949919521054279</v>
      </c>
      <c r="AC77" s="1141">
        <f t="shared" si="16"/>
        <v>1.3109622071604587</v>
      </c>
      <c r="AG77" s="2896"/>
      <c r="AR77" s="111"/>
      <c r="AS77" s="111"/>
      <c r="AT77" s="111"/>
      <c r="BE77" s="2143"/>
    </row>
    <row r="78" spans="1:57" s="1305" customFormat="1">
      <c r="A78" s="1155" t="s">
        <v>545</v>
      </c>
      <c r="B78" s="73" t="s">
        <v>39</v>
      </c>
      <c r="C78" s="1334">
        <f t="shared" si="14"/>
        <v>5059.5155870714543</v>
      </c>
      <c r="D78" s="1335">
        <f t="shared" si="14"/>
        <v>1.2963710952524294E-2</v>
      </c>
      <c r="E78" s="1124">
        <f t="shared" si="14"/>
        <v>-0.13366823909704381</v>
      </c>
      <c r="F78" s="1124">
        <f t="shared" si="14"/>
        <v>-3.1892660191404867E-2</v>
      </c>
      <c r="G78" s="118">
        <f t="shared" si="14"/>
        <v>5057.8123335929276</v>
      </c>
      <c r="H78" s="115">
        <f t="shared" si="14"/>
        <v>1.4006069920599414E-2</v>
      </c>
      <c r="I78" s="1127">
        <f t="shared" si="14"/>
        <v>1.6858649053444912</v>
      </c>
      <c r="J78" s="1127">
        <f t="shared" si="14"/>
        <v>1.7703056194544857</v>
      </c>
      <c r="K78" s="1128">
        <f t="shared" si="14"/>
        <v>5.8927844479191869</v>
      </c>
      <c r="L78" s="1124">
        <f t="shared" si="14"/>
        <v>-0.19036897853308513</v>
      </c>
      <c r="M78" s="1129">
        <f t="shared" si="15"/>
        <v>5.9052222685092017</v>
      </c>
      <c r="N78" s="1130">
        <f t="shared" si="15"/>
        <v>0.31054928118178421</v>
      </c>
      <c r="O78" s="1131">
        <f t="shared" si="15"/>
        <v>-0.11491916916279199</v>
      </c>
      <c r="P78" s="1132">
        <f t="shared" si="15"/>
        <v>0.28165979767703259</v>
      </c>
      <c r="Q78" s="1130">
        <f t="shared" si="15"/>
        <v>0.3899242463002407</v>
      </c>
      <c r="R78" s="1131">
        <f t="shared" si="15"/>
        <v>-0.1197676600756727</v>
      </c>
      <c r="S78" s="1132">
        <f t="shared" si="15"/>
        <v>0.37944762378701169</v>
      </c>
      <c r="T78" s="1130">
        <f t="shared" si="15"/>
        <v>0.45093517146474416</v>
      </c>
      <c r="U78" s="1131">
        <f t="shared" si="15"/>
        <v>-8.3572610535330494E-2</v>
      </c>
      <c r="V78" s="1132">
        <f t="shared" si="15"/>
        <v>0.43916945384982109</v>
      </c>
      <c r="W78" s="1124">
        <f t="shared" si="15"/>
        <v>6.101092516450346E-2</v>
      </c>
      <c r="X78" s="1124">
        <f t="shared" si="15"/>
        <v>0.15646866216553562</v>
      </c>
      <c r="Y78" s="1133" t="str">
        <f t="shared" si="15"/>
        <v>BBB</v>
      </c>
      <c r="Z78" s="1134" t="str">
        <f>VLOOKUP($B78,$B$7:$AC$28,Z$37+1,FALSE)</f>
        <v>­  = =</v>
      </c>
      <c r="AA78" s="1128">
        <f t="shared" si="16"/>
        <v>2.6587814840492587</v>
      </c>
      <c r="AB78" s="1135">
        <f t="shared" si="16"/>
        <v>-0.25803195656746131</v>
      </c>
      <c r="AC78" s="1129">
        <f t="shared" si="16"/>
        <v>2.5933932385229874</v>
      </c>
      <c r="AG78" s="2896"/>
      <c r="AR78" s="111"/>
      <c r="AS78" s="111"/>
      <c r="AT78" s="111"/>
      <c r="BE78" s="2143"/>
    </row>
    <row r="79" spans="1:57" s="1305" customFormat="1">
      <c r="A79" s="1156" t="s">
        <v>323</v>
      </c>
      <c r="B79" s="726" t="s">
        <v>774</v>
      </c>
      <c r="C79" s="1336">
        <f t="shared" si="14"/>
        <v>3541.6238999999996</v>
      </c>
      <c r="D79" s="1337">
        <f t="shared" si="14"/>
        <v>9.0745028357006995E-3</v>
      </c>
      <c r="E79" s="1136">
        <f t="shared" si="14"/>
        <v>0.67327297771392325</v>
      </c>
      <c r="F79" s="1136">
        <f t="shared" si="14"/>
        <v>0.77504855661956218</v>
      </c>
      <c r="G79" s="1072">
        <f t="shared" si="14"/>
        <v>4048.9897999999998</v>
      </c>
      <c r="H79" s="1073">
        <f t="shared" si="14"/>
        <v>1.1212443346293226E-2</v>
      </c>
      <c r="I79" s="1139">
        <f t="shared" si="14"/>
        <v>-1.4186196832586249</v>
      </c>
      <c r="J79" s="1139">
        <f t="shared" si="14"/>
        <v>-2.7147098893731143</v>
      </c>
      <c r="K79" s="1140">
        <f t="shared" si="14"/>
        <v>8.6861758729657641</v>
      </c>
      <c r="L79" s="1136">
        <f t="shared" si="14"/>
        <v>0.26215680659638446</v>
      </c>
      <c r="M79" s="1141">
        <f t="shared" si="15"/>
        <v>9.0506669895995948</v>
      </c>
      <c r="N79" s="1142">
        <f t="shared" si="15"/>
        <v>6.4385445236561381E-2</v>
      </c>
      <c r="O79" s="1143">
        <f t="shared" si="15"/>
        <v>14.697799124913645</v>
      </c>
      <c r="P79" s="1144">
        <f t="shared" si="15"/>
        <v>0.15462918080465343</v>
      </c>
      <c r="Q79" s="1142">
        <f t="shared" si="15"/>
        <v>0.42399287000325037</v>
      </c>
      <c r="R79" s="1143">
        <f t="shared" si="15"/>
        <v>4.5742782667206161E-2</v>
      </c>
      <c r="S79" s="1144">
        <f t="shared" si="15"/>
        <v>0.48144640266975475</v>
      </c>
      <c r="T79" s="1142">
        <f t="shared" si="15"/>
        <v>0.42695023434228802</v>
      </c>
      <c r="U79" s="1143">
        <f t="shared" si="15"/>
        <v>4.1366838913311048E-2</v>
      </c>
      <c r="V79" s="1144">
        <f t="shared" si="15"/>
        <v>0.4832654138496531</v>
      </c>
      <c r="W79" s="1136">
        <f t="shared" si="15"/>
        <v>2.9573643390376492E-3</v>
      </c>
      <c r="X79" s="1136">
        <f t="shared" si="15"/>
        <v>6.9750331863245195E-3</v>
      </c>
      <c r="Y79" s="1145" t="str">
        <f t="shared" si="15"/>
        <v>B+</v>
      </c>
      <c r="Z79" s="1146" t="str">
        <f>VLOOKUP($B79,$B$7:$AC$28,Z$37+1,FALSE)</f>
        <v>=  =  =</v>
      </c>
      <c r="AA79" s="1140">
        <f t="shared" si="16"/>
        <v>3.7014756930154613</v>
      </c>
      <c r="AB79" s="1147">
        <f t="shared" si="16"/>
        <v>0.31334582285320112</v>
      </c>
      <c r="AC79" s="1141">
        <f t="shared" si="16"/>
        <v>4.3704719780651446</v>
      </c>
      <c r="AG79" s="2896"/>
      <c r="AR79" s="111"/>
      <c r="AS79" s="111"/>
      <c r="AT79" s="111"/>
      <c r="BE79" s="2143"/>
    </row>
    <row r="80" spans="1:57" s="1305" customFormat="1">
      <c r="A80" s="1155" t="s">
        <v>507</v>
      </c>
      <c r="B80" s="73" t="s">
        <v>282</v>
      </c>
      <c r="C80" s="1334">
        <f t="shared" si="14"/>
        <v>5769.8566757446433</v>
      </c>
      <c r="D80" s="1335">
        <f t="shared" si="14"/>
        <v>1.4783777793466828E-2</v>
      </c>
      <c r="E80" s="1124">
        <f t="shared" si="14"/>
        <v>-0.24705029723080094</v>
      </c>
      <c r="F80" s="1124">
        <f t="shared" si="14"/>
        <v>-0.14527471832516198</v>
      </c>
      <c r="G80" s="118">
        <f t="shared" si="14"/>
        <v>4026.3480952657014</v>
      </c>
      <c r="H80" s="115">
        <f t="shared" si="14"/>
        <v>1.1149744044952231E-2</v>
      </c>
      <c r="I80" s="1127">
        <f t="shared" si="14"/>
        <v>2.446298838298576</v>
      </c>
      <c r="J80" s="1127">
        <f t="shared" si="14"/>
        <v>1.6476276710656086</v>
      </c>
      <c r="K80" s="1128">
        <f t="shared" si="14"/>
        <v>6.6837223425180285</v>
      </c>
      <c r="L80" s="1124">
        <f t="shared" si="14"/>
        <v>1.2127469272410992E-3</v>
      </c>
      <c r="M80" s="1129">
        <f t="shared" si="15"/>
        <v>5.5145354419406587</v>
      </c>
      <c r="N80" s="1130">
        <f t="shared" si="15"/>
        <v>0.67083419702973635</v>
      </c>
      <c r="O80" s="1131">
        <f t="shared" si="15"/>
        <v>-0.11335389957676706</v>
      </c>
      <c r="P80" s="1132">
        <f t="shared" si="15"/>
        <v>0.63639387890884902</v>
      </c>
      <c r="Q80" s="1130">
        <f t="shared" si="15"/>
        <v>0.1536920907726812</v>
      </c>
      <c r="R80" s="1131">
        <f t="shared" si="15"/>
        <v>1.6283818604559013</v>
      </c>
      <c r="S80" s="1132">
        <f t="shared" si="15"/>
        <v>0.2022242346359609</v>
      </c>
      <c r="T80" s="1130">
        <f t="shared" si="15"/>
        <v>0.20961441125119315</v>
      </c>
      <c r="U80" s="1131">
        <f t="shared" si="15"/>
        <v>0.84200521424561081</v>
      </c>
      <c r="V80" s="1132">
        <f t="shared" si="15"/>
        <v>0.28147528322389997</v>
      </c>
      <c r="W80" s="1124">
        <f t="shared" si="15"/>
        <v>5.592232047851195E-2</v>
      </c>
      <c r="X80" s="1124">
        <f t="shared" si="15"/>
        <v>0.36385945559959909</v>
      </c>
      <c r="Y80" s="1133" t="str">
        <f t="shared" si="15"/>
        <v>Not rated</v>
      </c>
      <c r="Z80" s="1134"/>
      <c r="AA80" s="1128">
        <f t="shared" si="16"/>
        <v>1.4399592566697517</v>
      </c>
      <c r="AB80" s="1135">
        <f t="shared" si="16"/>
        <v>0.8442860967329926</v>
      </c>
      <c r="AC80" s="1129">
        <f t="shared" si="16"/>
        <v>1.5521418473212367</v>
      </c>
      <c r="AG80" s="2896"/>
      <c r="AR80" s="111"/>
      <c r="AS80" s="111"/>
      <c r="AT80" s="111"/>
      <c r="BE80" s="2143"/>
    </row>
    <row r="81" spans="1:57" s="1305" customFormat="1">
      <c r="A81" s="1155" t="s">
        <v>378</v>
      </c>
      <c r="B81" s="73" t="s">
        <v>42</v>
      </c>
      <c r="C81" s="1334">
        <f t="shared" si="14"/>
        <v>2432.5463571428577</v>
      </c>
      <c r="D81" s="1335">
        <f t="shared" si="14"/>
        <v>6.2327761047315808E-3</v>
      </c>
      <c r="E81" s="1124">
        <f t="shared" si="14"/>
        <v>-3.2258071946582277E-2</v>
      </c>
      <c r="F81" s="1124">
        <f t="shared" si="14"/>
        <v>6.9517506959056674E-2</v>
      </c>
      <c r="G81" s="118">
        <f t="shared" si="14"/>
        <v>2940.9023000000002</v>
      </c>
      <c r="H81" s="115">
        <f t="shared" si="14"/>
        <v>8.143932697912316E-3</v>
      </c>
      <c r="I81" s="1127">
        <f t="shared" si="14"/>
        <v>1.2689619717468461</v>
      </c>
      <c r="J81" s="1127">
        <f t="shared" si="14"/>
        <v>1.312316956715752</v>
      </c>
      <c r="K81" s="1128">
        <f t="shared" si="14"/>
        <v>3.7488610975650749</v>
      </c>
      <c r="L81" s="1124">
        <f t="shared" si="14"/>
        <v>3.4291324439135469E-2</v>
      </c>
      <c r="M81" s="1129">
        <f t="shared" si="15"/>
        <v>3.7439277362047823</v>
      </c>
      <c r="N81" s="1130">
        <f t="shared" si="15"/>
        <v>0.56323171407839789</v>
      </c>
      <c r="O81" s="1131">
        <f t="shared" si="15"/>
        <v>-0.12023286586287618</v>
      </c>
      <c r="P81" s="1132">
        <f t="shared" si="15"/>
        <v>0.53987730061349704</v>
      </c>
      <c r="Q81" s="1130">
        <f t="shared" si="15"/>
        <v>0.60887331285954671</v>
      </c>
      <c r="R81" s="1131">
        <f t="shared" si="15"/>
        <v>-0.37303497156800469</v>
      </c>
      <c r="S81" s="1132">
        <f t="shared" si="15"/>
        <v>0.37659759063604481</v>
      </c>
      <c r="T81" s="1130">
        <f t="shared" si="15"/>
        <v>0.63388271448107447</v>
      </c>
      <c r="U81" s="1131">
        <f t="shared" si="15"/>
        <v>-0.25869992498286548</v>
      </c>
      <c r="V81" s="1132">
        <f t="shared" si="15"/>
        <v>0.44527495080222473</v>
      </c>
      <c r="W81" s="1124">
        <f t="shared" si="15"/>
        <v>2.500940162152776E-2</v>
      </c>
      <c r="X81" s="1124">
        <f t="shared" si="15"/>
        <v>4.1074885519406669E-2</v>
      </c>
      <c r="Y81" s="1133" t="str">
        <f t="shared" si="15"/>
        <v>B-</v>
      </c>
      <c r="Z81" s="1134" t="str">
        <f>VLOOKUP($B81,$B$7:$AC$28,Z$37+1,FALSE)</f>
        <v>=  =  -</v>
      </c>
      <c r="AA81" s="1128">
        <f t="shared" si="16"/>
        <v>2.172629043332774</v>
      </c>
      <c r="AB81" s="1135">
        <f t="shared" si="16"/>
        <v>-0.22035736928264804</v>
      </c>
      <c r="AC81" s="1129">
        <f t="shared" si="16"/>
        <v>1.5517268924243866</v>
      </c>
      <c r="AG81" s="2896"/>
      <c r="AR81" s="111"/>
      <c r="AS81" s="111"/>
      <c r="AT81" s="111"/>
      <c r="BE81" s="2143"/>
    </row>
    <row r="82" spans="1:57" s="1305" customFormat="1">
      <c r="A82" s="1155" t="s">
        <v>27</v>
      </c>
      <c r="B82" s="73" t="s">
        <v>54</v>
      </c>
      <c r="C82" s="1334">
        <f t="shared" si="14"/>
        <v>4745.1447857142857</v>
      </c>
      <c r="D82" s="1335">
        <f t="shared" si="14"/>
        <v>1.2158216408516635E-2</v>
      </c>
      <c r="E82" s="1124">
        <f t="shared" si="14"/>
        <v>-0.63447330491761056</v>
      </c>
      <c r="F82" s="1124">
        <f t="shared" si="14"/>
        <v>-0.53269772601197163</v>
      </c>
      <c r="G82" s="118">
        <f t="shared" si="14"/>
        <v>2680.5724</v>
      </c>
      <c r="H82" s="115">
        <f t="shared" si="14"/>
        <v>7.4230283738025878E-3</v>
      </c>
      <c r="I82" s="1127">
        <f t="shared" si="14"/>
        <v>1.3569881249181368</v>
      </c>
      <c r="J82" s="1127">
        <f t="shared" si="14"/>
        <v>1.0332545966156574</v>
      </c>
      <c r="K82" s="1128">
        <f t="shared" si="14"/>
        <v>6.4063105209788551</v>
      </c>
      <c r="L82" s="1124">
        <f t="shared" si="14"/>
        <v>-0.24924595564935845</v>
      </c>
      <c r="M82" s="1129">
        <f t="shared" si="15"/>
        <v>5.3369406950798908</v>
      </c>
      <c r="N82" s="1130">
        <f t="shared" si="15"/>
        <v>0.48460704112825509</v>
      </c>
      <c r="O82" s="1131">
        <f t="shared" si="15"/>
        <v>-0.18079580514885477</v>
      </c>
      <c r="P82" s="1132">
        <f t="shared" si="15"/>
        <v>0.49497857034449522</v>
      </c>
      <c r="Q82" s="1130">
        <f t="shared" si="15"/>
        <v>0.56717095077467305</v>
      </c>
      <c r="R82" s="1131">
        <f t="shared" si="15"/>
        <v>0.64731222518720821</v>
      </c>
      <c r="S82" s="1132">
        <f t="shared" si="15"/>
        <v>0.74754623070756221</v>
      </c>
      <c r="T82" s="1130">
        <f t="shared" si="15"/>
        <v>0.5748403529709204</v>
      </c>
      <c r="U82" s="1131">
        <f t="shared" si="15"/>
        <v>0.5906099669472562</v>
      </c>
      <c r="V82" s="1132">
        <f t="shared" si="15"/>
        <v>0.7506672643344422</v>
      </c>
      <c r="W82" s="1124">
        <f t="shared" si="15"/>
        <v>7.6694021962473435E-3</v>
      </c>
      <c r="X82" s="1124">
        <f t="shared" si="15"/>
        <v>1.3522205581530675E-2</v>
      </c>
      <c r="Y82" s="1133" t="str">
        <f t="shared" si="15"/>
        <v>BBB-</v>
      </c>
      <c r="Z82" s="1134" t="str">
        <f>VLOOKUP($B82,$B$7:$AC$28,Z$37+1,FALSE)</f>
        <v>¯  ¯ ¯</v>
      </c>
      <c r="AA82" s="1128">
        <f t="shared" si="16"/>
        <v>3.4278891827637503</v>
      </c>
      <c r="AB82" s="1135">
        <f t="shared" si="16"/>
        <v>0.24423537898737996</v>
      </c>
      <c r="AC82" s="1129">
        <f t="shared" si="16"/>
        <v>3.8230610288109381</v>
      </c>
      <c r="AG82" s="2896"/>
      <c r="AR82" s="111"/>
      <c r="AS82" s="111"/>
      <c r="AT82" s="111"/>
      <c r="BE82" s="2143"/>
    </row>
    <row r="83" spans="1:57" s="1305" customFormat="1">
      <c r="A83" s="1155" t="s">
        <v>73</v>
      </c>
      <c r="B83" s="73" t="s">
        <v>285</v>
      </c>
      <c r="C83" s="1334">
        <f t="shared" si="14"/>
        <v>2461.5190857142857</v>
      </c>
      <c r="D83" s="1335">
        <f t="shared" si="14"/>
        <v>6.3070112903421734E-3</v>
      </c>
      <c r="E83" s="1124">
        <f t="shared" si="14"/>
        <v>6.738754525599433E-2</v>
      </c>
      <c r="F83" s="1124">
        <f t="shared" si="14"/>
        <v>0.16916312416163326</v>
      </c>
      <c r="G83" s="118">
        <f t="shared" si="14"/>
        <v>2364.3629999999998</v>
      </c>
      <c r="H83" s="115">
        <f t="shared" si="14"/>
        <v>6.5473828033777437E-3</v>
      </c>
      <c r="I83" s="1127">
        <f t="shared" si="14"/>
        <v>3.1397518024733277</v>
      </c>
      <c r="J83" s="1127">
        <f t="shared" si="14"/>
        <v>3.0995844257996854</v>
      </c>
      <c r="K83" s="1128">
        <f t="shared" si="14"/>
        <v>6.7052926466266065</v>
      </c>
      <c r="L83" s="1124">
        <f t="shared" si="14"/>
        <v>0.14721542174528052</v>
      </c>
      <c r="M83" s="1129">
        <f t="shared" si="15"/>
        <v>7.0127743881429545</v>
      </c>
      <c r="N83" s="1130">
        <f t="shared" si="15"/>
        <v>0.62657499999999999</v>
      </c>
      <c r="O83" s="1131">
        <f t="shared" si="15"/>
        <v>5.5614710459497153E-2</v>
      </c>
      <c r="P83" s="1132">
        <f t="shared" si="15"/>
        <v>0.64439999999999997</v>
      </c>
      <c r="Q83" s="1130">
        <f t="shared" si="15"/>
        <v>0.24190098439360719</v>
      </c>
      <c r="R83" s="1131">
        <f t="shared" si="15"/>
        <v>0.20667512064869559</v>
      </c>
      <c r="S83" s="1132">
        <f t="shared" si="15"/>
        <v>0.30597960586046052</v>
      </c>
      <c r="T83" s="1130">
        <f t="shared" si="15"/>
        <v>0.2616424852780464</v>
      </c>
      <c r="U83" s="1131">
        <f t="shared" si="15"/>
        <v>0.20296552626351777</v>
      </c>
      <c r="V83" s="1132">
        <f t="shared" si="15"/>
        <v>0.32061814749302248</v>
      </c>
      <c r="W83" s="1124">
        <f t="shared" si="15"/>
        <v>1.9741500884439211E-2</v>
      </c>
      <c r="X83" s="1124">
        <f t="shared" si="15"/>
        <v>8.1609841042717679E-2</v>
      </c>
      <c r="Y83" s="1133" t="str">
        <f t="shared" si="15"/>
        <v>BBB</v>
      </c>
      <c r="Z83" s="1134" t="str">
        <f>VLOOKUP($B83,$B$7:$AC$28,Z$37+1,FALSE)</f>
        <v>=  =  -</v>
      </c>
      <c r="AA83" s="1128">
        <f t="shared" si="16"/>
        <v>1.7511002028712532</v>
      </c>
      <c r="AB83" s="1135">
        <f t="shared" si="16"/>
        <v>0.37093258903528414</v>
      </c>
      <c r="AC83" s="1129">
        <f t="shared" si="16"/>
        <v>2.2311132077757287</v>
      </c>
      <c r="AG83" s="2896"/>
      <c r="AR83" s="111"/>
      <c r="AS83" s="111"/>
      <c r="AT83" s="111"/>
      <c r="BE83" s="2143"/>
    </row>
    <row r="84" spans="1:57" s="1305" customFormat="1">
      <c r="A84" s="1155" t="s">
        <v>506</v>
      </c>
      <c r="B84" s="73" t="s">
        <v>289</v>
      </c>
      <c r="C84" s="1334">
        <f t="shared" si="14"/>
        <v>4580.8423286191064</v>
      </c>
      <c r="D84" s="1335">
        <f t="shared" si="14"/>
        <v>1.1737233504933111E-2</v>
      </c>
      <c r="E84" s="1124">
        <f t="shared" si="14"/>
        <v>-0.49577837871365099</v>
      </c>
      <c r="F84" s="1124">
        <f t="shared" si="14"/>
        <v>-0.39400279980801206</v>
      </c>
      <c r="G84" s="118">
        <f t="shared" si="14"/>
        <v>2322.4005110115481</v>
      </c>
      <c r="H84" s="115">
        <f t="shared" si="14"/>
        <v>6.4311804779353665E-3</v>
      </c>
      <c r="I84" s="1127">
        <f t="shared" si="14"/>
        <v>1.4234279787340207</v>
      </c>
      <c r="J84" s="1127">
        <f t="shared" si="14"/>
        <v>0.8056764866383116</v>
      </c>
      <c r="K84" s="1128">
        <f t="shared" si="14"/>
        <v>4.3871958272574467</v>
      </c>
      <c r="L84" s="1124">
        <f t="shared" si="14"/>
        <v>-8.1025400882275472E-2</v>
      </c>
      <c r="M84" s="1129">
        <f t="shared" si="15"/>
        <v>3.4400754167452243</v>
      </c>
      <c r="N84" s="1130">
        <f t="shared" si="15"/>
        <v>0.42290073595624156</v>
      </c>
      <c r="O84" s="1131">
        <f t="shared" si="15"/>
        <v>-9.0086339251873371E-2</v>
      </c>
      <c r="P84" s="1132">
        <f t="shared" si="15"/>
        <v>0.44946685046944856</v>
      </c>
      <c r="Q84" s="1130">
        <f t="shared" si="15"/>
        <v>0.16307046534988884</v>
      </c>
      <c r="R84" s="1131">
        <f t="shared" si="15"/>
        <v>1.3005419282788433</v>
      </c>
      <c r="S84" s="1132">
        <f t="shared" si="15"/>
        <v>0.30950096360373897</v>
      </c>
      <c r="T84" s="1130">
        <f t="shared" si="15"/>
        <v>0.18570292678335293</v>
      </c>
      <c r="U84" s="1131">
        <f t="shared" si="15"/>
        <v>1.251733079461073</v>
      </c>
      <c r="V84" s="1132">
        <f t="shared" si="15"/>
        <v>0.34197601038246805</v>
      </c>
      <c r="W84" s="1124">
        <f t="shared" si="15"/>
        <v>2.2632461433464091E-2</v>
      </c>
      <c r="X84" s="1124">
        <f t="shared" si="15"/>
        <v>0.13878945758144007</v>
      </c>
      <c r="Y84" s="1133" t="str">
        <f t="shared" si="15"/>
        <v>BBB</v>
      </c>
      <c r="Z84" s="1134" t="str">
        <f>VLOOKUP($B84,$B$7:$AC$28,Z$37+1,FALSE)</f>
        <v>=  ¯ -</v>
      </c>
      <c r="AA84" s="1128">
        <f t="shared" si="16"/>
        <v>0.77886477042851432</v>
      </c>
      <c r="AB84" s="1135">
        <f t="shared" si="16"/>
        <v>1.0703005310133176</v>
      </c>
      <c r="AC84" s="1129">
        <f t="shared" si="16"/>
        <v>1.1762690733772538</v>
      </c>
      <c r="AG84" s="2896"/>
      <c r="AR84" s="111"/>
      <c r="AS84" s="111"/>
      <c r="AT84" s="111"/>
      <c r="BE84" s="2143"/>
    </row>
    <row r="85" spans="1:57" s="1305" customFormat="1">
      <c r="A85" s="1155" t="s">
        <v>389</v>
      </c>
      <c r="B85" s="73" t="s">
        <v>278</v>
      </c>
      <c r="C85" s="1334">
        <f t="shared" si="14"/>
        <v>3544.0522571428578</v>
      </c>
      <c r="D85" s="1335">
        <f t="shared" si="14"/>
        <v>9.0807248780183369E-3</v>
      </c>
      <c r="E85" s="1124">
        <f t="shared" si="14"/>
        <v>-0.4675424361384804</v>
      </c>
      <c r="F85" s="1124">
        <f t="shared" si="14"/>
        <v>-0.36576685723284147</v>
      </c>
      <c r="G85" s="118">
        <f t="shared" si="14"/>
        <v>2152.6311000000001</v>
      </c>
      <c r="H85" s="115">
        <f t="shared" si="14"/>
        <v>5.9610558303255963E-3</v>
      </c>
      <c r="I85" s="1127">
        <f t="shared" si="14"/>
        <v>3.4941691326062152</v>
      </c>
      <c r="J85" s="1127">
        <f t="shared" si="14"/>
        <v>2.2961398399999999</v>
      </c>
      <c r="K85" s="1128">
        <f t="shared" si="14"/>
        <v>4.4503654862327</v>
      </c>
      <c r="L85" s="1124">
        <f t="shared" si="14"/>
        <v>-2.9835823683801648E-2</v>
      </c>
      <c r="M85" s="1129">
        <f t="shared" si="15"/>
        <v>4.0530525032062261</v>
      </c>
      <c r="N85" s="1130">
        <f t="shared" si="15"/>
        <v>0.60910298289809772</v>
      </c>
      <c r="O85" s="1131">
        <f t="shared" si="15"/>
        <v>-5.2071170724915891E-2</v>
      </c>
      <c r="P85" s="1132">
        <f t="shared" si="15"/>
        <v>0.6207941242005639</v>
      </c>
      <c r="Q85" s="1130">
        <f t="shared" si="15"/>
        <v>0.49050145598877937</v>
      </c>
      <c r="R85" s="1131">
        <f t="shared" si="15"/>
        <v>0.42102559519407173</v>
      </c>
      <c r="S85" s="1132">
        <f t="shared" si="15"/>
        <v>0.61744816018521742</v>
      </c>
      <c r="T85" s="1130">
        <f t="shared" si="15"/>
        <v>0.49698573886957192</v>
      </c>
      <c r="U85" s="1131">
        <f t="shared" si="15"/>
        <v>0.41032171167013903</v>
      </c>
      <c r="V85" s="1132">
        <f t="shared" si="15"/>
        <v>0.62319136029119382</v>
      </c>
      <c r="W85" s="1124">
        <f t="shared" si="15"/>
        <v>6.4842828807925579E-3</v>
      </c>
      <c r="X85" s="1124">
        <f t="shared" si="15"/>
        <v>1.3219701596443154E-2</v>
      </c>
      <c r="Y85" s="1133" t="str">
        <f t="shared" si="15"/>
        <v>BBB</v>
      </c>
      <c r="Z85" s="1134" t="str">
        <f>VLOOKUP($B85,$B$7:$AC$28,Z$37+1,FALSE)</f>
        <v>=  ¯ -</v>
      </c>
      <c r="AA85" s="1128">
        <f t="shared" si="16"/>
        <v>2.1902281092407181</v>
      </c>
      <c r="AB85" s="1135">
        <f t="shared" si="16"/>
        <v>0.36844726500440206</v>
      </c>
      <c r="AC85" s="1129">
        <f t="shared" si="16"/>
        <v>2.5252968522290931</v>
      </c>
      <c r="AG85" s="2896"/>
      <c r="AR85" s="111"/>
      <c r="AS85" s="111"/>
      <c r="AT85" s="111"/>
      <c r="BE85" s="2143"/>
    </row>
    <row r="86" spans="1:57" s="1305" customFormat="1">
      <c r="A86" s="1156" t="s">
        <v>323</v>
      </c>
      <c r="B86" s="726" t="s">
        <v>773</v>
      </c>
      <c r="C86" s="1336">
        <f t="shared" si="14"/>
        <v>2121.4584571428572</v>
      </c>
      <c r="D86" s="1337">
        <f t="shared" si="14"/>
        <v>5.4356931534045982E-3</v>
      </c>
      <c r="E86" s="1136">
        <f t="shared" si="14"/>
        <v>-0.63331383871554725</v>
      </c>
      <c r="F86" s="1136">
        <f t="shared" si="14"/>
        <v>-0.53153825980990832</v>
      </c>
      <c r="G86" s="1072">
        <f t="shared" si="14"/>
        <v>960.23059999999998</v>
      </c>
      <c r="H86" s="1073">
        <f t="shared" si="14"/>
        <v>2.6590660223142948E-3</v>
      </c>
      <c r="I86" s="1139">
        <f t="shared" si="14"/>
        <v>6.3820660890696566</v>
      </c>
      <c r="J86" s="1139">
        <f t="shared" si="14"/>
        <v>3.126768479322696</v>
      </c>
      <c r="K86" s="1140">
        <f t="shared" si="14"/>
        <v>4.9107929634600707</v>
      </c>
      <c r="L86" s="1136">
        <f t="shared" si="14"/>
        <v>-0.2975700901517318</v>
      </c>
      <c r="M86" s="1141">
        <f t="shared" si="15"/>
        <v>3.6764587184436395</v>
      </c>
      <c r="N86" s="1142">
        <f t="shared" si="15"/>
        <v>0.95644485424869818</v>
      </c>
      <c r="O86" s="1143">
        <f t="shared" si="15"/>
        <v>5.7346309608293736E-3</v>
      </c>
      <c r="P86" s="1144">
        <f t="shared" si="15"/>
        <v>0.97265268915223335</v>
      </c>
      <c r="Q86" s="1142">
        <f t="shared" si="15"/>
        <v>0.16489915086810925</v>
      </c>
      <c r="R86" s="1143">
        <f t="shared" si="15"/>
        <v>2.0043608623878186</v>
      </c>
      <c r="S86" s="1144">
        <f t="shared" si="15"/>
        <v>0.32988338723452482</v>
      </c>
      <c r="T86" s="1142">
        <f t="shared" si="15"/>
        <v>0.27218937885351913</v>
      </c>
      <c r="U86" s="1143">
        <f t="shared" si="15"/>
        <v>1.2181747217666232</v>
      </c>
      <c r="V86" s="1144">
        <f t="shared" si="15"/>
        <v>0.4561905930983241</v>
      </c>
      <c r="W86" s="1136">
        <f t="shared" si="15"/>
        <v>0.10729022798540988</v>
      </c>
      <c r="X86" s="1136">
        <f t="shared" si="15"/>
        <v>0.65064148250965514</v>
      </c>
      <c r="Y86" s="1145" t="str">
        <f t="shared" si="15"/>
        <v>Not rated</v>
      </c>
      <c r="Z86" s="1146"/>
      <c r="AA86" s="1140">
        <f t="shared" si="16"/>
        <v>1.2440956586918632</v>
      </c>
      <c r="AB86" s="1147">
        <f t="shared" si="16"/>
        <v>0.5581122698382367</v>
      </c>
      <c r="AC86" s="1141">
        <f t="shared" si="16"/>
        <v>1.6771658832683087</v>
      </c>
      <c r="AG86" s="2896"/>
      <c r="AR86" s="111"/>
      <c r="AS86" s="111"/>
      <c r="AT86" s="111"/>
      <c r="BE86" s="2143"/>
    </row>
    <row r="87" spans="1:57" s="1305" customFormat="1">
      <c r="A87" s="1155" t="s">
        <v>27</v>
      </c>
      <c r="B87" s="73" t="s">
        <v>357</v>
      </c>
      <c r="C87" s="1334">
        <f t="shared" si="14"/>
        <v>504.56125714285719</v>
      </c>
      <c r="D87" s="1335">
        <f t="shared" si="14"/>
        <v>1.292808804099037E-3</v>
      </c>
      <c r="E87" s="1124">
        <f t="shared" si="14"/>
        <v>0.11241291049139049</v>
      </c>
      <c r="F87" s="1124">
        <f t="shared" si="14"/>
        <v>0.21418848939702945</v>
      </c>
      <c r="G87" s="118">
        <f t="shared" si="14"/>
        <v>562.64409999999998</v>
      </c>
      <c r="H87" s="115">
        <f t="shared" si="14"/>
        <v>1.5580713726115437E-3</v>
      </c>
      <c r="I87" s="1127">
        <f t="shared" si="14"/>
        <v>0.48825120153947199</v>
      </c>
      <c r="J87" s="1127">
        <f t="shared" si="14"/>
        <v>0.52140126030951717</v>
      </c>
      <c r="K87" s="1128">
        <f t="shared" si="14"/>
        <v>3.8552632920912293</v>
      </c>
      <c r="L87" s="1124">
        <f t="shared" si="14"/>
        <v>-0.11001004882442665</v>
      </c>
      <c r="M87" s="1129">
        <f t="shared" si="15"/>
        <v>3.9063069179772585</v>
      </c>
      <c r="N87" s="1124">
        <f t="shared" si="15"/>
        <v>0.90539538726018864</v>
      </c>
      <c r="O87" s="1131">
        <f t="shared" si="15"/>
        <v>-4.1189056985539901E-2</v>
      </c>
      <c r="P87" s="1132">
        <f t="shared" si="15"/>
        <v>0.90138346931536006</v>
      </c>
      <c r="Q87" s="1130">
        <f t="shared" si="15"/>
        <v>0.38160323267486906</v>
      </c>
      <c r="R87" s="1131">
        <f t="shared" si="15"/>
        <v>0.13281779457810056</v>
      </c>
      <c r="S87" s="1132">
        <f t="shared" si="15"/>
        <v>0.39444904186551905</v>
      </c>
      <c r="T87" s="1130">
        <f t="shared" si="15"/>
        <v>0.47841518539184064</v>
      </c>
      <c r="U87" s="1131">
        <f t="shared" si="15"/>
        <v>1.1717685634717274E-2</v>
      </c>
      <c r="V87" s="1132">
        <f t="shared" si="15"/>
        <v>0.46507375880431212</v>
      </c>
      <c r="W87" s="1124">
        <f t="shared" si="15"/>
        <v>9.6811952716971572E-2</v>
      </c>
      <c r="X87" s="1124">
        <f t="shared" si="15"/>
        <v>0.25369793656715856</v>
      </c>
      <c r="Y87" s="1133" t="str">
        <f t="shared" si="15"/>
        <v>Not rated</v>
      </c>
      <c r="Z87" s="1134"/>
      <c r="AA87" s="1128">
        <f t="shared" si="16"/>
        <v>1.832329792526622</v>
      </c>
      <c r="AB87" s="1135">
        <f t="shared" si="16"/>
        <v>-9.9442962217240083E-2</v>
      </c>
      <c r="AC87" s="1129">
        <f t="shared" si="16"/>
        <v>1.8160302149559577</v>
      </c>
      <c r="AG87" s="2896"/>
      <c r="AR87" s="111"/>
      <c r="AS87" s="111"/>
      <c r="AT87" s="111"/>
      <c r="BE87" s="2143"/>
    </row>
    <row r="88" spans="1:57" s="1305" customFormat="1">
      <c r="A88" s="1155"/>
      <c r="D88" s="120"/>
      <c r="H88" s="120"/>
      <c r="I88" s="120"/>
      <c r="J88" s="120"/>
      <c r="AG88" s="2896"/>
      <c r="AR88" s="111"/>
      <c r="AS88" s="111"/>
      <c r="AT88" s="111"/>
      <c r="BE88" s="2143"/>
    </row>
    <row r="89" spans="1:57" s="1068" customFormat="1">
      <c r="A89" s="1155"/>
      <c r="D89" s="120"/>
      <c r="H89" s="120"/>
      <c r="I89" s="120"/>
      <c r="J89" s="120"/>
      <c r="AG89" s="2896"/>
      <c r="AR89" s="111"/>
      <c r="AS89" s="111"/>
      <c r="AT89" s="111"/>
      <c r="BE89" s="2143"/>
    </row>
    <row r="90" spans="1:57">
      <c r="A90" s="1252" t="s">
        <v>1074</v>
      </c>
      <c r="B90" s="1123" t="s">
        <v>1076</v>
      </c>
    </row>
    <row r="91" spans="1:57">
      <c r="A91" s="1155" t="s">
        <v>19</v>
      </c>
      <c r="B91" s="73" t="s">
        <v>287</v>
      </c>
      <c r="C91" s="1149">
        <f t="shared" ref="C91:L100" si="17">VLOOKUP($B91,$B$7:$AC$28,C$37+1,FALSE)</f>
        <v>6002.7646707914537</v>
      </c>
      <c r="D91" s="1150">
        <f t="shared" si="17"/>
        <v>1.538054479108892E-2</v>
      </c>
      <c r="E91" s="117">
        <f t="shared" si="17"/>
        <v>1.7468659495150733</v>
      </c>
      <c r="F91" s="117">
        <f t="shared" si="17"/>
        <v>1.8486415284207123</v>
      </c>
      <c r="G91" s="1125">
        <f t="shared" si="17"/>
        <v>9571.524995540176</v>
      </c>
      <c r="H91" s="1126">
        <f t="shared" si="17"/>
        <v>2.6505421611613778E-2</v>
      </c>
      <c r="I91" s="1127">
        <f t="shared" si="17"/>
        <v>4.1497848696984878</v>
      </c>
      <c r="J91" s="1127">
        <f t="shared" si="17"/>
        <v>5.1075046454025781</v>
      </c>
      <c r="K91" s="1128">
        <f t="shared" si="17"/>
        <v>7.8889454092528393</v>
      </c>
      <c r="L91" s="1124">
        <f t="shared" si="17"/>
        <v>0.8464659845431286</v>
      </c>
      <c r="M91" s="1129">
        <f t="shared" ref="M91:Y100" si="18">VLOOKUP($B91,$B$7:$AC$28,M$37+1,FALSE)</f>
        <v>9.6719476082953495</v>
      </c>
      <c r="N91" s="1130">
        <f t="shared" si="18"/>
        <v>9.1630231095150338E-2</v>
      </c>
      <c r="O91" s="1148" t="str">
        <f t="shared" si="18"/>
        <v>¥</v>
      </c>
      <c r="P91" s="1132">
        <f t="shared" si="18"/>
        <v>0.34976819018989347</v>
      </c>
      <c r="Q91" s="1130">
        <f t="shared" si="18"/>
        <v>0.13477545507373562</v>
      </c>
      <c r="R91" s="1131">
        <f t="shared" si="18"/>
        <v>-0.4264373226073967</v>
      </c>
      <c r="S91" s="1132">
        <f t="shared" si="18"/>
        <v>9.7905485588969735E-2</v>
      </c>
      <c r="T91" s="1130">
        <f t="shared" si="18"/>
        <v>0.16024846762312819</v>
      </c>
      <c r="U91" s="1131">
        <f t="shared" si="18"/>
        <v>-0.25253039609468159</v>
      </c>
      <c r="V91" s="1132">
        <f t="shared" si="18"/>
        <v>0.12849893093161849</v>
      </c>
      <c r="W91" s="1124">
        <f t="shared" si="18"/>
        <v>2.5473012549392576E-2</v>
      </c>
      <c r="X91" s="1124">
        <f t="shared" si="18"/>
        <v>0.18900335031669008</v>
      </c>
      <c r="Y91" s="1133" t="str">
        <f t="shared" si="18"/>
        <v>Not rated</v>
      </c>
      <c r="Z91" s="1134"/>
      <c r="AA91" s="1128">
        <f t="shared" ref="AA91:AC112" si="19">VLOOKUP($B91,$B$7:$AC$28,AA$37+1,FALSE)</f>
        <v>1.265551414722516</v>
      </c>
      <c r="AB91" s="1135">
        <f t="shared" si="19"/>
        <v>0.38040351489576829</v>
      </c>
      <c r="AC91" s="1129">
        <f t="shared" si="19"/>
        <v>1.242834927692577</v>
      </c>
    </row>
    <row r="92" spans="1:57">
      <c r="A92" s="1155" t="s">
        <v>32</v>
      </c>
      <c r="B92" s="73" t="s">
        <v>50</v>
      </c>
      <c r="C92" s="1149">
        <f t="shared" si="17"/>
        <v>19515.355899391296</v>
      </c>
      <c r="D92" s="1150">
        <f t="shared" si="17"/>
        <v>5.0003093905237848E-2</v>
      </c>
      <c r="E92" s="117">
        <f t="shared" si="17"/>
        <v>1.1994936816856254</v>
      </c>
      <c r="F92" s="117">
        <f t="shared" si="17"/>
        <v>1.3012692605912644</v>
      </c>
      <c r="G92" s="1125">
        <f t="shared" si="17"/>
        <v>28491.576306321644</v>
      </c>
      <c r="H92" s="1126">
        <f t="shared" si="17"/>
        <v>7.8898737947233621E-2</v>
      </c>
      <c r="I92" s="1127">
        <f t="shared" si="17"/>
        <v>-0.89894076859195104</v>
      </c>
      <c r="J92" s="1127">
        <f t="shared" si="17"/>
        <v>39.625784878048783</v>
      </c>
      <c r="K92" s="1128">
        <f t="shared" si="17"/>
        <v>4.6985221679038922</v>
      </c>
      <c r="L92" s="1124">
        <f t="shared" si="17"/>
        <v>0.4140020451008824</v>
      </c>
      <c r="M92" s="1129">
        <f t="shared" si="18"/>
        <v>5.7096258695546744</v>
      </c>
      <c r="N92" s="1130">
        <f t="shared" si="18"/>
        <v>0</v>
      </c>
      <c r="O92" s="1131">
        <f t="shared" si="18"/>
        <v>0</v>
      </c>
      <c r="P92" s="1132">
        <f t="shared" si="18"/>
        <v>0</v>
      </c>
      <c r="Q92" s="1130">
        <f t="shared" si="18"/>
        <v>0.37025195227815472</v>
      </c>
      <c r="R92" s="1131">
        <f t="shared" si="18"/>
        <v>-0.46222821771061889</v>
      </c>
      <c r="S92" s="1132">
        <f t="shared" si="18"/>
        <v>0.26403640782716253</v>
      </c>
      <c r="T92" s="1130">
        <f t="shared" si="18"/>
        <v>0.48927059752514818</v>
      </c>
      <c r="U92" s="1131">
        <f t="shared" si="18"/>
        <v>-0.38189416595312975</v>
      </c>
      <c r="V92" s="1132">
        <f t="shared" si="18"/>
        <v>0.37414035756341019</v>
      </c>
      <c r="W92" s="1124">
        <f t="shared" si="18"/>
        <v>0.11901864524699346</v>
      </c>
      <c r="X92" s="1124">
        <f t="shared" si="18"/>
        <v>0.32145312000294263</v>
      </c>
      <c r="Y92" s="1133" t="str">
        <f t="shared" si="18"/>
        <v>BBB</v>
      </c>
      <c r="Z92" s="1134" t="str">
        <f>VLOOKUP($B92,$B$7:$AC$28,Z$37+1,FALSE)</f>
        <v xml:space="preserve">=  -  = </v>
      </c>
      <c r="AA92" s="1128">
        <f t="shared" si="19"/>
        <v>2.2664974928712622</v>
      </c>
      <c r="AB92" s="1135">
        <f t="shared" si="19"/>
        <v>-0.12537902502142731</v>
      </c>
      <c r="AC92" s="1129">
        <f t="shared" si="19"/>
        <v>2.136201464388483</v>
      </c>
    </row>
    <row r="93" spans="1:57">
      <c r="A93" s="1156" t="s">
        <v>323</v>
      </c>
      <c r="B93" s="726" t="s">
        <v>774</v>
      </c>
      <c r="C93" s="1151">
        <f t="shared" si="17"/>
        <v>3541.6238999999996</v>
      </c>
      <c r="D93" s="1152">
        <f t="shared" si="17"/>
        <v>9.0745028357006995E-3</v>
      </c>
      <c r="E93" s="1071">
        <f t="shared" si="17"/>
        <v>0.67327297771392325</v>
      </c>
      <c r="F93" s="1071">
        <f t="shared" si="17"/>
        <v>0.77504855661956218</v>
      </c>
      <c r="G93" s="1137">
        <f t="shared" si="17"/>
        <v>4048.9897999999998</v>
      </c>
      <c r="H93" s="1138">
        <f t="shared" si="17"/>
        <v>1.1212443346293226E-2</v>
      </c>
      <c r="I93" s="1139">
        <f t="shared" si="17"/>
        <v>-1.4186196832586249</v>
      </c>
      <c r="J93" s="1139">
        <f t="shared" si="17"/>
        <v>-2.7147098893731143</v>
      </c>
      <c r="K93" s="1140">
        <f t="shared" si="17"/>
        <v>8.6861758729657641</v>
      </c>
      <c r="L93" s="1136">
        <f t="shared" si="17"/>
        <v>0.26215680659638446</v>
      </c>
      <c r="M93" s="1141">
        <f t="shared" si="18"/>
        <v>9.0506669895995948</v>
      </c>
      <c r="N93" s="1142">
        <f t="shared" si="18"/>
        <v>6.4385445236561381E-2</v>
      </c>
      <c r="O93" s="1143">
        <f t="shared" si="18"/>
        <v>14.697799124913645</v>
      </c>
      <c r="P93" s="1144">
        <f t="shared" si="18"/>
        <v>0.15462918080465343</v>
      </c>
      <c r="Q93" s="1142">
        <f t="shared" si="18"/>
        <v>0.42399287000325037</v>
      </c>
      <c r="R93" s="1143">
        <f t="shared" si="18"/>
        <v>4.5742782667206161E-2</v>
      </c>
      <c r="S93" s="1144">
        <f t="shared" si="18"/>
        <v>0.48144640266975475</v>
      </c>
      <c r="T93" s="1142">
        <f t="shared" si="18"/>
        <v>0.42695023434228802</v>
      </c>
      <c r="U93" s="1143">
        <f t="shared" si="18"/>
        <v>4.1366838913311048E-2</v>
      </c>
      <c r="V93" s="1144">
        <f t="shared" si="18"/>
        <v>0.4832654138496531</v>
      </c>
      <c r="W93" s="1136">
        <f t="shared" si="18"/>
        <v>2.9573643390376492E-3</v>
      </c>
      <c r="X93" s="1136">
        <f t="shared" si="18"/>
        <v>6.9750331863245195E-3</v>
      </c>
      <c r="Y93" s="1145" t="str">
        <f t="shared" si="18"/>
        <v>B+</v>
      </c>
      <c r="Z93" s="1146" t="str">
        <f>VLOOKUP($B93,$B$7:$AC$28,Z$37+1,FALSE)</f>
        <v>=  =  =</v>
      </c>
      <c r="AA93" s="1140">
        <f t="shared" si="19"/>
        <v>3.7014756930154613</v>
      </c>
      <c r="AB93" s="1147">
        <f t="shared" si="19"/>
        <v>0.31334582285320112</v>
      </c>
      <c r="AC93" s="1141">
        <f t="shared" si="19"/>
        <v>4.3704719780651446</v>
      </c>
    </row>
    <row r="94" spans="1:57">
      <c r="A94" s="1155" t="s">
        <v>504</v>
      </c>
      <c r="B94" s="73" t="s">
        <v>281</v>
      </c>
      <c r="C94" s="1149">
        <f t="shared" si="17"/>
        <v>20617.292984255655</v>
      </c>
      <c r="D94" s="1150">
        <f t="shared" si="17"/>
        <v>5.2826525044090682E-2</v>
      </c>
      <c r="E94" s="117">
        <f t="shared" si="17"/>
        <v>0.37985561177970401</v>
      </c>
      <c r="F94" s="117">
        <f t="shared" si="17"/>
        <v>0.48163119068534294</v>
      </c>
      <c r="G94" s="1125">
        <f t="shared" si="17"/>
        <v>23766.623796323693</v>
      </c>
      <c r="H94" s="1126">
        <f t="shared" si="17"/>
        <v>6.5814421871090864E-2</v>
      </c>
      <c r="I94" s="1127">
        <f t="shared" si="17"/>
        <v>1.8990159277875758</v>
      </c>
      <c r="J94" s="1127">
        <f t="shared" si="17"/>
        <v>2.509154465418888</v>
      </c>
      <c r="K94" s="1128">
        <f t="shared" si="17"/>
        <v>5.8033589040079683</v>
      </c>
      <c r="L94" s="1124">
        <f t="shared" si="17"/>
        <v>4.5724350121793801E-2</v>
      </c>
      <c r="M94" s="1129">
        <f t="shared" si="18"/>
        <v>6.1939465303838475</v>
      </c>
      <c r="N94" s="1130">
        <f t="shared" si="18"/>
        <v>0.7344324868237998</v>
      </c>
      <c r="O94" s="1131">
        <f t="shared" si="18"/>
        <v>0.10784712869930438</v>
      </c>
      <c r="P94" s="1132">
        <f t="shared" si="18"/>
        <v>0.74956908795771016</v>
      </c>
      <c r="Q94" s="1130">
        <f t="shared" si="18"/>
        <v>0.14726898954609682</v>
      </c>
      <c r="R94" s="1131">
        <f t="shared" si="18"/>
        <v>4.9939774449528171E-2</v>
      </c>
      <c r="S94" s="1132">
        <f t="shared" si="18"/>
        <v>0.17272839211728983</v>
      </c>
      <c r="T94" s="1130">
        <f t="shared" si="18"/>
        <v>0.18443136241749356</v>
      </c>
      <c r="U94" s="1131">
        <f t="shared" si="18"/>
        <v>-5.7258906752796622E-2</v>
      </c>
      <c r="V94" s="1132">
        <f t="shared" si="18"/>
        <v>0.198117589718218</v>
      </c>
      <c r="W94" s="1124">
        <f t="shared" si="18"/>
        <v>3.7162372871396732E-2</v>
      </c>
      <c r="X94" s="1124">
        <f t="shared" si="18"/>
        <v>0.25234350412762557</v>
      </c>
      <c r="Y94" s="1133" t="str">
        <f t="shared" si="18"/>
        <v>A-</v>
      </c>
      <c r="Z94" s="1134" t="str">
        <f>VLOOKUP($B94,$B$7:$AC$28,Z$37+1,FALSE)</f>
        <v>=  =  -</v>
      </c>
      <c r="AA94" s="1128">
        <f t="shared" si="19"/>
        <v>1.0395975936863313</v>
      </c>
      <c r="AB94" s="1135">
        <f t="shared" si="19"/>
        <v>2.9438923535487854E-2</v>
      </c>
      <c r="AC94" s="1129">
        <f t="shared" si="19"/>
        <v>1.2087727199953455</v>
      </c>
    </row>
    <row r="95" spans="1:57">
      <c r="A95" s="1155" t="s">
        <v>508</v>
      </c>
      <c r="B95" s="73" t="s">
        <v>290</v>
      </c>
      <c r="C95" s="1149">
        <f t="shared" si="17"/>
        <v>16250.837973523972</v>
      </c>
      <c r="D95" s="1150">
        <f t="shared" si="17"/>
        <v>4.1638604052015776E-2</v>
      </c>
      <c r="E95" s="117">
        <f t="shared" si="17"/>
        <v>0.20894195471198634</v>
      </c>
      <c r="F95" s="117">
        <f t="shared" si="17"/>
        <v>0.31071753361762527</v>
      </c>
      <c r="G95" s="1125">
        <f t="shared" si="17"/>
        <v>17428.290742138299</v>
      </c>
      <c r="H95" s="1126">
        <f t="shared" si="17"/>
        <v>4.826234004564605E-2</v>
      </c>
      <c r="I95" s="1127">
        <f t="shared" si="17"/>
        <v>4.0995220850209826</v>
      </c>
      <c r="J95" s="1127">
        <f t="shared" si="17"/>
        <v>4.5731712273212377</v>
      </c>
      <c r="K95" s="1128">
        <f t="shared" si="17"/>
        <v>6.7995363362554677</v>
      </c>
      <c r="L95" s="1124">
        <f t="shared" si="17"/>
        <v>0.2149868566781509</v>
      </c>
      <c r="M95" s="1129">
        <f t="shared" si="18"/>
        <v>7.5822149145373468</v>
      </c>
      <c r="N95" s="1130">
        <f t="shared" si="18"/>
        <v>0.32615050588405037</v>
      </c>
      <c r="O95" s="1131">
        <f t="shared" si="18"/>
        <v>-8.7660674172335792E-2</v>
      </c>
      <c r="P95" s="1132">
        <f t="shared" si="18"/>
        <v>0.30985103942866765</v>
      </c>
      <c r="Q95" s="1130">
        <f t="shared" si="18"/>
        <v>0.30558583418722468</v>
      </c>
      <c r="R95" s="1131">
        <f t="shared" si="18"/>
        <v>-0.13620468181810452</v>
      </c>
      <c r="S95" s="1132">
        <f t="shared" si="18"/>
        <v>0.29018390059321952</v>
      </c>
      <c r="T95" s="1130">
        <f t="shared" si="18"/>
        <v>0.31922230141848357</v>
      </c>
      <c r="U95" s="1131">
        <f t="shared" si="18"/>
        <v>-0.13496032758973828</v>
      </c>
      <c r="V95" s="1132">
        <f t="shared" si="18"/>
        <v>0.30362227391248225</v>
      </c>
      <c r="W95" s="1124">
        <f t="shared" si="18"/>
        <v>1.3636467231258886E-2</v>
      </c>
      <c r="X95" s="1124">
        <f t="shared" si="18"/>
        <v>4.4624016252350789E-2</v>
      </c>
      <c r="Y95" s="1133" t="str">
        <f t="shared" si="18"/>
        <v>A</v>
      </c>
      <c r="Z95" s="1134" t="str">
        <f>VLOOKUP($B95,$B$7:$AC$28,Z$37+1,FALSE)</f>
        <v>=  =  -</v>
      </c>
      <c r="AA95" s="1128">
        <f t="shared" si="19"/>
        <v>2.1579177629636748</v>
      </c>
      <c r="AB95" s="1135">
        <f t="shared" si="19"/>
        <v>6.0078851309961184E-2</v>
      </c>
      <c r="AC95" s="1129">
        <f t="shared" si="19"/>
        <v>2.3009327536910358</v>
      </c>
    </row>
    <row r="96" spans="1:57">
      <c r="A96" s="1155" t="s">
        <v>27</v>
      </c>
      <c r="B96" s="73" t="s">
        <v>357</v>
      </c>
      <c r="C96" s="1149">
        <f t="shared" si="17"/>
        <v>504.56125714285719</v>
      </c>
      <c r="D96" s="1150">
        <f t="shared" si="17"/>
        <v>1.292808804099037E-3</v>
      </c>
      <c r="E96" s="117">
        <f t="shared" si="17"/>
        <v>0.11241291049139049</v>
      </c>
      <c r="F96" s="117">
        <f t="shared" si="17"/>
        <v>0.21418848939702945</v>
      </c>
      <c r="G96" s="1125">
        <f t="shared" si="17"/>
        <v>562.64409999999998</v>
      </c>
      <c r="H96" s="1126">
        <f t="shared" si="17"/>
        <v>1.5580713726115437E-3</v>
      </c>
      <c r="I96" s="1127">
        <f t="shared" si="17"/>
        <v>0.48825120153947199</v>
      </c>
      <c r="J96" s="1127">
        <f t="shared" si="17"/>
        <v>0.52140126030951717</v>
      </c>
      <c r="K96" s="1128">
        <f t="shared" si="17"/>
        <v>3.8552632920912293</v>
      </c>
      <c r="L96" s="1124">
        <f t="shared" si="17"/>
        <v>-0.11001004882442665</v>
      </c>
      <c r="M96" s="1129">
        <f t="shared" si="18"/>
        <v>3.9063069179772585</v>
      </c>
      <c r="N96" s="1130">
        <f t="shared" si="18"/>
        <v>0.90539538726018864</v>
      </c>
      <c r="O96" s="1131">
        <f t="shared" si="18"/>
        <v>-4.1189056985539901E-2</v>
      </c>
      <c r="P96" s="1132">
        <f t="shared" si="18"/>
        <v>0.90138346931536006</v>
      </c>
      <c r="Q96" s="1130">
        <f t="shared" si="18"/>
        <v>0.38160323267486906</v>
      </c>
      <c r="R96" s="1131">
        <f t="shared" si="18"/>
        <v>0.13281779457810056</v>
      </c>
      <c r="S96" s="1132">
        <f t="shared" si="18"/>
        <v>0.39444904186551905</v>
      </c>
      <c r="T96" s="1130">
        <f t="shared" si="18"/>
        <v>0.47841518539184064</v>
      </c>
      <c r="U96" s="1131">
        <f t="shared" si="18"/>
        <v>1.1717685634717274E-2</v>
      </c>
      <c r="V96" s="1132">
        <f t="shared" si="18"/>
        <v>0.46507375880431212</v>
      </c>
      <c r="W96" s="1124">
        <f t="shared" si="18"/>
        <v>9.6811952716971572E-2</v>
      </c>
      <c r="X96" s="1124">
        <f t="shared" si="18"/>
        <v>0.25369793656715856</v>
      </c>
      <c r="Y96" s="1133" t="str">
        <f t="shared" si="18"/>
        <v>Not rated</v>
      </c>
      <c r="Z96" s="1134"/>
      <c r="AA96" s="1128">
        <f t="shared" si="19"/>
        <v>1.832329792526622</v>
      </c>
      <c r="AB96" s="1135">
        <f t="shared" si="19"/>
        <v>-9.9442962217240083E-2</v>
      </c>
      <c r="AC96" s="1129">
        <f t="shared" si="19"/>
        <v>1.8160302149559577</v>
      </c>
    </row>
    <row r="97" spans="1:29">
      <c r="A97" s="1155" t="s">
        <v>32</v>
      </c>
      <c r="B97" s="73" t="s">
        <v>279</v>
      </c>
      <c r="C97" s="1149">
        <f t="shared" si="17"/>
        <v>103061.53572524291</v>
      </c>
      <c r="D97" s="1150">
        <f t="shared" si="17"/>
        <v>0.26406875054982143</v>
      </c>
      <c r="E97" s="117">
        <f t="shared" si="17"/>
        <v>7.5306160052783275E-2</v>
      </c>
      <c r="F97" s="117">
        <f t="shared" si="17"/>
        <v>0.17708173895842222</v>
      </c>
      <c r="G97" s="1125">
        <f t="shared" si="17"/>
        <v>106720.85775234729</v>
      </c>
      <c r="H97" s="1126">
        <f t="shared" si="17"/>
        <v>0.29553089301830604</v>
      </c>
      <c r="I97" s="1127">
        <f t="shared" si="17"/>
        <v>1.0837821931217524</v>
      </c>
      <c r="J97" s="1127">
        <f t="shared" si="17"/>
        <v>1.259272460269286</v>
      </c>
      <c r="K97" s="1128">
        <f t="shared" si="17"/>
        <v>7.5360879751187033</v>
      </c>
      <c r="L97" s="1124">
        <f t="shared" si="17"/>
        <v>0.12910548637067604</v>
      </c>
      <c r="M97" s="1129">
        <f t="shared" si="18"/>
        <v>8.6584668441025876</v>
      </c>
      <c r="N97" s="1130">
        <f t="shared" si="18"/>
        <v>0.91487499999999988</v>
      </c>
      <c r="O97" s="1131">
        <f t="shared" si="18"/>
        <v>-4.3736501079913587E-2</v>
      </c>
      <c r="P97" s="1132">
        <f t="shared" si="18"/>
        <v>0.89481420237931208</v>
      </c>
      <c r="Q97" s="1130">
        <f t="shared" si="18"/>
        <v>0.24509229252810941</v>
      </c>
      <c r="R97" s="1131">
        <f t="shared" si="18"/>
        <v>-0.16501821733667812</v>
      </c>
      <c r="S97" s="1132">
        <f t="shared" si="18"/>
        <v>0.23828807339295358</v>
      </c>
      <c r="T97" s="1130">
        <f t="shared" si="18"/>
        <v>0.27870192226407053</v>
      </c>
      <c r="U97" s="1131">
        <f t="shared" si="18"/>
        <v>-0.14309331637647091</v>
      </c>
      <c r="V97" s="1132">
        <f t="shared" si="18"/>
        <v>0.2718321660431175</v>
      </c>
      <c r="W97" s="1124">
        <f t="shared" si="18"/>
        <v>3.3609629735961127E-2</v>
      </c>
      <c r="X97" s="1124">
        <f t="shared" si="18"/>
        <v>0.13713050455108242</v>
      </c>
      <c r="Y97" s="1133" t="str">
        <f t="shared" si="18"/>
        <v>A-</v>
      </c>
      <c r="Z97" s="1134" t="str">
        <f t="shared" ref="Z97:Z102" si="20">VLOOKUP($B97,$B$7:$AC$28,Z$37+1,FALSE)</f>
        <v>=  =  =</v>
      </c>
      <c r="AA97" s="1128">
        <f t="shared" si="19"/>
        <v>2.0880314655341889</v>
      </c>
      <c r="AB97" s="1135">
        <f t="shared" si="19"/>
        <v>-3.7762767487534328E-2</v>
      </c>
      <c r="AC97" s="1129">
        <f t="shared" si="19"/>
        <v>2.3348198024327131</v>
      </c>
    </row>
    <row r="98" spans="1:29">
      <c r="A98" s="1155" t="s">
        <v>73</v>
      </c>
      <c r="B98" s="73" t="s">
        <v>285</v>
      </c>
      <c r="C98" s="1149">
        <f t="shared" si="17"/>
        <v>2461.5190857142857</v>
      </c>
      <c r="D98" s="1150">
        <f t="shared" si="17"/>
        <v>6.3070112903421734E-3</v>
      </c>
      <c r="E98" s="117">
        <f t="shared" si="17"/>
        <v>6.738754525599433E-2</v>
      </c>
      <c r="F98" s="117">
        <f t="shared" si="17"/>
        <v>0.16916312416163326</v>
      </c>
      <c r="G98" s="1125">
        <f t="shared" si="17"/>
        <v>2364.3629999999998</v>
      </c>
      <c r="H98" s="1126">
        <f t="shared" si="17"/>
        <v>6.5473828033777437E-3</v>
      </c>
      <c r="I98" s="1127">
        <f t="shared" si="17"/>
        <v>3.1397518024733277</v>
      </c>
      <c r="J98" s="1127">
        <f t="shared" si="17"/>
        <v>3.0995844257996854</v>
      </c>
      <c r="K98" s="1128">
        <f t="shared" si="17"/>
        <v>6.7052926466266065</v>
      </c>
      <c r="L98" s="1124">
        <f t="shared" si="17"/>
        <v>0.14721542174528052</v>
      </c>
      <c r="M98" s="1129">
        <f t="shared" si="18"/>
        <v>7.0127743881429545</v>
      </c>
      <c r="N98" s="1130">
        <f t="shared" si="18"/>
        <v>0.62657499999999999</v>
      </c>
      <c r="O98" s="1131">
        <f t="shared" si="18"/>
        <v>5.5614710459497153E-2</v>
      </c>
      <c r="P98" s="1132">
        <f t="shared" si="18"/>
        <v>0.64439999999999997</v>
      </c>
      <c r="Q98" s="1130">
        <f t="shared" si="18"/>
        <v>0.24190098439360719</v>
      </c>
      <c r="R98" s="1131">
        <f t="shared" si="18"/>
        <v>0.20667512064869559</v>
      </c>
      <c r="S98" s="1132">
        <f t="shared" si="18"/>
        <v>0.30597960586046052</v>
      </c>
      <c r="T98" s="1130">
        <f t="shared" si="18"/>
        <v>0.2616424852780464</v>
      </c>
      <c r="U98" s="1131">
        <f t="shared" si="18"/>
        <v>0.20296552626351777</v>
      </c>
      <c r="V98" s="1132">
        <f t="shared" si="18"/>
        <v>0.32061814749302248</v>
      </c>
      <c r="W98" s="1124">
        <f t="shared" si="18"/>
        <v>1.9741500884439211E-2</v>
      </c>
      <c r="X98" s="1124">
        <f t="shared" si="18"/>
        <v>8.1609841042717679E-2</v>
      </c>
      <c r="Y98" s="1133" t="str">
        <f t="shared" si="18"/>
        <v>BBB</v>
      </c>
      <c r="Z98" s="1134" t="str">
        <f t="shared" si="20"/>
        <v>=  =  -</v>
      </c>
      <c r="AA98" s="1128">
        <f t="shared" si="19"/>
        <v>1.7511002028712532</v>
      </c>
      <c r="AB98" s="1135">
        <f t="shared" si="19"/>
        <v>0.37093258903528414</v>
      </c>
      <c r="AC98" s="1129">
        <f t="shared" si="19"/>
        <v>2.2311132077757287</v>
      </c>
    </row>
    <row r="99" spans="1:29">
      <c r="A99" s="1155" t="s">
        <v>378</v>
      </c>
      <c r="B99" s="73" t="s">
        <v>42</v>
      </c>
      <c r="C99" s="1149">
        <f t="shared" si="17"/>
        <v>2432.5463571428577</v>
      </c>
      <c r="D99" s="1150">
        <f t="shared" si="17"/>
        <v>6.2327761047315808E-3</v>
      </c>
      <c r="E99" s="117">
        <f t="shared" si="17"/>
        <v>-3.2258071946582277E-2</v>
      </c>
      <c r="F99" s="117">
        <f t="shared" si="17"/>
        <v>6.9517506959056674E-2</v>
      </c>
      <c r="G99" s="1125">
        <f t="shared" si="17"/>
        <v>2940.9023000000002</v>
      </c>
      <c r="H99" s="1126">
        <f t="shared" si="17"/>
        <v>8.143932697912316E-3</v>
      </c>
      <c r="I99" s="1127">
        <f t="shared" si="17"/>
        <v>1.2689619717468461</v>
      </c>
      <c r="J99" s="1127">
        <f t="shared" si="17"/>
        <v>1.312316956715752</v>
      </c>
      <c r="K99" s="1128">
        <f t="shared" si="17"/>
        <v>3.7488610975650749</v>
      </c>
      <c r="L99" s="1124">
        <f t="shared" si="17"/>
        <v>3.4291324439135469E-2</v>
      </c>
      <c r="M99" s="1129">
        <f t="shared" si="18"/>
        <v>3.7439277362047823</v>
      </c>
      <c r="N99" s="1130">
        <f t="shared" si="18"/>
        <v>0.56323171407839789</v>
      </c>
      <c r="O99" s="1131">
        <f t="shared" si="18"/>
        <v>-0.12023286586287618</v>
      </c>
      <c r="P99" s="1132">
        <f t="shared" si="18"/>
        <v>0.53987730061349704</v>
      </c>
      <c r="Q99" s="1130">
        <f t="shared" si="18"/>
        <v>0.60887331285954671</v>
      </c>
      <c r="R99" s="1131">
        <f t="shared" si="18"/>
        <v>-0.37303497156800469</v>
      </c>
      <c r="S99" s="1132">
        <f t="shared" si="18"/>
        <v>0.37659759063604481</v>
      </c>
      <c r="T99" s="1130">
        <f t="shared" si="18"/>
        <v>0.63388271448107447</v>
      </c>
      <c r="U99" s="1131">
        <f t="shared" si="18"/>
        <v>-0.25869992498286548</v>
      </c>
      <c r="V99" s="1132">
        <f t="shared" si="18"/>
        <v>0.44527495080222473</v>
      </c>
      <c r="W99" s="1124">
        <f t="shared" si="18"/>
        <v>2.500940162152776E-2</v>
      </c>
      <c r="X99" s="1124">
        <f t="shared" si="18"/>
        <v>4.1074885519406669E-2</v>
      </c>
      <c r="Y99" s="1133" t="str">
        <f t="shared" si="18"/>
        <v>B-</v>
      </c>
      <c r="Z99" s="1134" t="str">
        <f t="shared" si="20"/>
        <v>=  =  -</v>
      </c>
      <c r="AA99" s="1128">
        <f t="shared" si="19"/>
        <v>2.172629043332774</v>
      </c>
      <c r="AB99" s="1135">
        <f t="shared" si="19"/>
        <v>-0.22035736928264804</v>
      </c>
      <c r="AC99" s="1129">
        <f t="shared" si="19"/>
        <v>1.5517268924243866</v>
      </c>
    </row>
    <row r="100" spans="1:29">
      <c r="A100" s="1155" t="s">
        <v>502</v>
      </c>
      <c r="B100" s="73" t="s">
        <v>52</v>
      </c>
      <c r="C100" s="1149">
        <f t="shared" si="17"/>
        <v>40464.923042857146</v>
      </c>
      <c r="D100" s="1150">
        <f t="shared" si="17"/>
        <v>0.1036809862557167</v>
      </c>
      <c r="E100" s="117">
        <f t="shared" si="17"/>
        <v>-6.1458653761923776E-2</v>
      </c>
      <c r="F100" s="117">
        <f t="shared" si="17"/>
        <v>4.0316925143715168E-2</v>
      </c>
      <c r="G100" s="1125">
        <f t="shared" si="17"/>
        <v>39791.94</v>
      </c>
      <c r="H100" s="1126">
        <f t="shared" si="17"/>
        <v>0.1101916514803518</v>
      </c>
      <c r="I100" s="1127">
        <f t="shared" si="17"/>
        <v>1.0840589348936991</v>
      </c>
      <c r="J100" s="1127">
        <f t="shared" si="17"/>
        <v>1.2733420800000002</v>
      </c>
      <c r="K100" s="1128">
        <f t="shared" si="17"/>
        <v>4.9905713850513198</v>
      </c>
      <c r="L100" s="1124">
        <f t="shared" si="17"/>
        <v>0.1448238320606966</v>
      </c>
      <c r="M100" s="1129">
        <f t="shared" si="18"/>
        <v>5.2964626193065953</v>
      </c>
      <c r="N100" s="1130">
        <f t="shared" si="18"/>
        <v>0.61</v>
      </c>
      <c r="O100" s="1131">
        <f t="shared" si="18"/>
        <v>0</v>
      </c>
      <c r="P100" s="1132">
        <f t="shared" si="18"/>
        <v>0.62983042679437373</v>
      </c>
      <c r="Q100" s="1130">
        <f t="shared" si="18"/>
        <v>0.51528895508035288</v>
      </c>
      <c r="R100" s="1131">
        <f t="shared" si="18"/>
        <v>-2.4931247740904369E-2</v>
      </c>
      <c r="S100" s="1132">
        <f t="shared" si="18"/>
        <v>0.51939744871548044</v>
      </c>
      <c r="T100" s="1130">
        <f t="shared" si="18"/>
        <v>0.58808850315066874</v>
      </c>
      <c r="U100" s="1131">
        <f t="shared" si="18"/>
        <v>-2.8226553900756759E-2</v>
      </c>
      <c r="V100" s="1132">
        <f t="shared" si="18"/>
        <v>0.59074959904524027</v>
      </c>
      <c r="W100" s="1124">
        <f t="shared" si="18"/>
        <v>7.2799548070315856E-2</v>
      </c>
      <c r="X100" s="1124">
        <f t="shared" si="18"/>
        <v>0.14127907721011346</v>
      </c>
      <c r="Y100" s="1133" t="str">
        <f t="shared" si="18"/>
        <v>BBB+</v>
      </c>
      <c r="Z100" s="1134" t="str">
        <f t="shared" si="20"/>
        <v>=  =  =</v>
      </c>
      <c r="AA100" s="1128">
        <f t="shared" si="19"/>
        <v>2.7906818261625395</v>
      </c>
      <c r="AB100" s="1135">
        <f t="shared" si="19"/>
        <v>8.5841806528642844E-2</v>
      </c>
      <c r="AC100" s="1129">
        <f t="shared" si="19"/>
        <v>2.9178287645268703</v>
      </c>
    </row>
    <row r="101" spans="1:29">
      <c r="A101" s="1155" t="s">
        <v>507</v>
      </c>
      <c r="B101" s="73" t="s">
        <v>284</v>
      </c>
      <c r="C101" s="1149">
        <f t="shared" ref="C101:L112" si="21">VLOOKUP($B101,$B$7:$AC$28,C$37+1,FALSE)</f>
        <v>22949.481858519866</v>
      </c>
      <c r="D101" s="1150">
        <f t="shared" si="21"/>
        <v>5.8802160840116385E-2</v>
      </c>
      <c r="E101" s="117">
        <f t="shared" si="21"/>
        <v>-8.3288171902550459E-2</v>
      </c>
      <c r="F101" s="117">
        <f t="shared" si="21"/>
        <v>1.8487407003088485E-2</v>
      </c>
      <c r="G101" s="1125">
        <f t="shared" si="21"/>
        <v>21731.57918967646</v>
      </c>
      <c r="H101" s="1126">
        <f t="shared" si="21"/>
        <v>6.0178986000343146E-2</v>
      </c>
      <c r="I101" s="1127">
        <f t="shared" si="21"/>
        <v>1.7647070716020126</v>
      </c>
      <c r="J101" s="1127">
        <f t="shared" si="21"/>
        <v>1.7786623686113903</v>
      </c>
      <c r="K101" s="1128">
        <f t="shared" si="21"/>
        <v>7.5421176018870622</v>
      </c>
      <c r="L101" s="1124">
        <f t="shared" si="21"/>
        <v>2.1076957712408067E-2</v>
      </c>
      <c r="M101" s="1129">
        <f t="shared" ref="M101:Y112" si="22">VLOOKUP($B101,$B$7:$AC$28,M$37+1,FALSE)</f>
        <v>7.6896404016441506</v>
      </c>
      <c r="N101" s="1130">
        <f t="shared" si="22"/>
        <v>0.67984865616162071</v>
      </c>
      <c r="O101" s="1131">
        <f t="shared" si="22"/>
        <v>0.13956056160252914</v>
      </c>
      <c r="P101" s="1132">
        <f t="shared" si="22"/>
        <v>0.7167630057803468</v>
      </c>
      <c r="Q101" s="1130">
        <f t="shared" si="22"/>
        <v>0.23215418017261674</v>
      </c>
      <c r="R101" s="1131">
        <f t="shared" si="22"/>
        <v>0.36187217108516367</v>
      </c>
      <c r="S101" s="1132">
        <f t="shared" si="22"/>
        <v>0.26525179681706468</v>
      </c>
      <c r="T101" s="1130">
        <f t="shared" si="22"/>
        <v>0.2501311526811702</v>
      </c>
      <c r="U101" s="1131">
        <f t="shared" si="22"/>
        <v>0.31916438327965047</v>
      </c>
      <c r="V101" s="1132">
        <f t="shared" si="22"/>
        <v>0.28287599661626001</v>
      </c>
      <c r="W101" s="1124">
        <f t="shared" si="22"/>
        <v>1.7976972508553457E-2</v>
      </c>
      <c r="X101" s="1124">
        <f t="shared" si="22"/>
        <v>7.7435489187344358E-2</v>
      </c>
      <c r="Y101" s="1133" t="str">
        <f t="shared" si="22"/>
        <v>A-</v>
      </c>
      <c r="Z101" s="1134" t="str">
        <f t="shared" si="20"/>
        <v>=  =  =</v>
      </c>
      <c r="AA101" s="1128">
        <f t="shared" si="19"/>
        <v>1.845874038975184</v>
      </c>
      <c r="AB101" s="1135">
        <f t="shared" si="19"/>
        <v>0.36079457239176377</v>
      </c>
      <c r="AC101" s="1129">
        <f t="shared" si="19"/>
        <v>2.1424428051274771</v>
      </c>
    </row>
    <row r="102" spans="1:29">
      <c r="A102" s="1155" t="s">
        <v>545</v>
      </c>
      <c r="B102" s="73" t="s">
        <v>39</v>
      </c>
      <c r="C102" s="1149">
        <f t="shared" si="21"/>
        <v>5059.5155870714543</v>
      </c>
      <c r="D102" s="1150">
        <f t="shared" si="21"/>
        <v>1.2963710952524294E-2</v>
      </c>
      <c r="E102" s="117">
        <f t="shared" si="21"/>
        <v>-0.13366823909704381</v>
      </c>
      <c r="F102" s="117">
        <f t="shared" si="21"/>
        <v>-3.1892660191404867E-2</v>
      </c>
      <c r="G102" s="1125">
        <f t="shared" si="21"/>
        <v>5057.8123335929276</v>
      </c>
      <c r="H102" s="1126">
        <f t="shared" si="21"/>
        <v>1.4006069920599414E-2</v>
      </c>
      <c r="I102" s="1127">
        <f t="shared" si="21"/>
        <v>1.6858649053444912</v>
      </c>
      <c r="J102" s="1127">
        <f t="shared" si="21"/>
        <v>1.7703056194544857</v>
      </c>
      <c r="K102" s="1128">
        <f t="shared" si="21"/>
        <v>5.8927844479191869</v>
      </c>
      <c r="L102" s="1124">
        <f t="shared" si="21"/>
        <v>-0.19036897853308513</v>
      </c>
      <c r="M102" s="1129">
        <f t="shared" si="22"/>
        <v>5.9052222685092017</v>
      </c>
      <c r="N102" s="1130">
        <f t="shared" si="22"/>
        <v>0.31054928118178421</v>
      </c>
      <c r="O102" s="1131">
        <f t="shared" si="22"/>
        <v>-0.11491916916279199</v>
      </c>
      <c r="P102" s="1132">
        <f t="shared" si="22"/>
        <v>0.28165979767703259</v>
      </c>
      <c r="Q102" s="1130">
        <f t="shared" si="22"/>
        <v>0.3899242463002407</v>
      </c>
      <c r="R102" s="1131">
        <f t="shared" si="22"/>
        <v>-0.1197676600756727</v>
      </c>
      <c r="S102" s="1132">
        <f t="shared" si="22"/>
        <v>0.37944762378701169</v>
      </c>
      <c r="T102" s="1130">
        <f t="shared" si="22"/>
        <v>0.45093517146474416</v>
      </c>
      <c r="U102" s="1131">
        <f t="shared" si="22"/>
        <v>-8.3572610535330494E-2</v>
      </c>
      <c r="V102" s="1132">
        <f t="shared" si="22"/>
        <v>0.43916945384982109</v>
      </c>
      <c r="W102" s="1124">
        <f t="shared" si="22"/>
        <v>6.101092516450346E-2</v>
      </c>
      <c r="X102" s="1124">
        <f t="shared" si="22"/>
        <v>0.15646866216553562</v>
      </c>
      <c r="Y102" s="1133" t="str">
        <f t="shared" si="22"/>
        <v>BBB</v>
      </c>
      <c r="Z102" s="1134" t="str">
        <f t="shared" si="20"/>
        <v>­  = =</v>
      </c>
      <c r="AA102" s="1128">
        <f t="shared" si="19"/>
        <v>2.6587814840492587</v>
      </c>
      <c r="AB102" s="1135">
        <f t="shared" si="19"/>
        <v>-0.25803195656746131</v>
      </c>
      <c r="AC102" s="1129">
        <f t="shared" si="19"/>
        <v>2.5933932385229874</v>
      </c>
    </row>
    <row r="103" spans="1:29">
      <c r="A103" s="1155" t="s">
        <v>507</v>
      </c>
      <c r="B103" s="73" t="s">
        <v>282</v>
      </c>
      <c r="C103" s="1149">
        <f t="shared" si="21"/>
        <v>5769.8566757446433</v>
      </c>
      <c r="D103" s="1150">
        <f t="shared" si="21"/>
        <v>1.4783777793466828E-2</v>
      </c>
      <c r="E103" s="117">
        <f t="shared" si="21"/>
        <v>-0.24705029723080094</v>
      </c>
      <c r="F103" s="117">
        <f t="shared" si="21"/>
        <v>-0.14527471832516198</v>
      </c>
      <c r="G103" s="1125">
        <f t="shared" si="21"/>
        <v>4026.3480952657014</v>
      </c>
      <c r="H103" s="1126">
        <f t="shared" si="21"/>
        <v>1.1149744044952231E-2</v>
      </c>
      <c r="I103" s="1127">
        <f t="shared" si="21"/>
        <v>2.446298838298576</v>
      </c>
      <c r="J103" s="1127">
        <f t="shared" si="21"/>
        <v>1.6476276710656086</v>
      </c>
      <c r="K103" s="1128">
        <f t="shared" si="21"/>
        <v>6.6837223425180285</v>
      </c>
      <c r="L103" s="1124">
        <f t="shared" si="21"/>
        <v>1.2127469272410992E-3</v>
      </c>
      <c r="M103" s="1129">
        <f t="shared" si="22"/>
        <v>5.5145354419406587</v>
      </c>
      <c r="N103" s="1130">
        <f t="shared" si="22"/>
        <v>0.67083419702973635</v>
      </c>
      <c r="O103" s="1131">
        <f t="shared" si="22"/>
        <v>-0.11335389957676706</v>
      </c>
      <c r="P103" s="1132">
        <f t="shared" si="22"/>
        <v>0.63639387890884902</v>
      </c>
      <c r="Q103" s="1130">
        <f t="shared" si="22"/>
        <v>0.1536920907726812</v>
      </c>
      <c r="R103" s="1131">
        <f t="shared" si="22"/>
        <v>1.6283818604559013</v>
      </c>
      <c r="S103" s="1132">
        <f t="shared" si="22"/>
        <v>0.2022242346359609</v>
      </c>
      <c r="T103" s="1130">
        <f t="shared" si="22"/>
        <v>0.20961441125119315</v>
      </c>
      <c r="U103" s="1131">
        <f t="shared" si="22"/>
        <v>0.84200521424561081</v>
      </c>
      <c r="V103" s="1132">
        <f t="shared" si="22"/>
        <v>0.28147528322389997</v>
      </c>
      <c r="W103" s="1124">
        <f t="shared" si="22"/>
        <v>5.592232047851195E-2</v>
      </c>
      <c r="X103" s="1124">
        <f t="shared" si="22"/>
        <v>0.36385945559959909</v>
      </c>
      <c r="Y103" s="1133" t="str">
        <f t="shared" si="22"/>
        <v>Not rated</v>
      </c>
      <c r="Z103" s="1134"/>
      <c r="AA103" s="1128">
        <f t="shared" si="19"/>
        <v>1.4399592566697517</v>
      </c>
      <c r="AB103" s="1135">
        <f t="shared" si="19"/>
        <v>0.8442860967329926</v>
      </c>
      <c r="AC103" s="1129">
        <f t="shared" si="19"/>
        <v>1.5521418473212367</v>
      </c>
    </row>
    <row r="104" spans="1:29">
      <c r="A104" s="1156" t="s">
        <v>323</v>
      </c>
      <c r="B104" s="726" t="s">
        <v>772</v>
      </c>
      <c r="C104" s="1151">
        <f t="shared" si="21"/>
        <v>7616.907214285714</v>
      </c>
      <c r="D104" s="1152">
        <f t="shared" si="21"/>
        <v>1.9516371039653539E-2</v>
      </c>
      <c r="E104" s="1071">
        <f t="shared" si="21"/>
        <v>-0.33365525120929096</v>
      </c>
      <c r="F104" s="1071">
        <f t="shared" si="21"/>
        <v>-0.23187967230365203</v>
      </c>
      <c r="G104" s="1137">
        <f t="shared" si="21"/>
        <v>5825.8631999999998</v>
      </c>
      <c r="H104" s="1138">
        <f t="shared" si="21"/>
        <v>1.6132952736323161E-2</v>
      </c>
      <c r="I104" s="1139">
        <f t="shared" si="21"/>
        <v>2.4107651340270966</v>
      </c>
      <c r="J104" s="1139">
        <f t="shared" si="21"/>
        <v>2.0327505931612002</v>
      </c>
      <c r="K104" s="1140">
        <f t="shared" si="21"/>
        <v>4.8426442674927213</v>
      </c>
      <c r="L104" s="1136">
        <f t="shared" si="21"/>
        <v>0.1951757211867983</v>
      </c>
      <c r="M104" s="1141">
        <f t="shared" si="22"/>
        <v>4.6619962755533297</v>
      </c>
      <c r="N104" s="1142">
        <f t="shared" si="22"/>
        <v>0.37158673775730477</v>
      </c>
      <c r="O104" s="1143">
        <f t="shared" si="22"/>
        <v>-0.1153634304384116</v>
      </c>
      <c r="P104" s="1144">
        <f t="shared" si="22"/>
        <v>0.36037883142173305</v>
      </c>
      <c r="Q104" s="1142">
        <f t="shared" si="22"/>
        <v>0.17383796150947908</v>
      </c>
      <c r="R104" s="1143">
        <f t="shared" si="22"/>
        <v>0.54445307336528614</v>
      </c>
      <c r="S104" s="1144">
        <f t="shared" si="22"/>
        <v>0.26356163003804695</v>
      </c>
      <c r="T104" s="1142">
        <f t="shared" si="22"/>
        <v>0.19702478682132593</v>
      </c>
      <c r="U104" s="1143">
        <f t="shared" si="22"/>
        <v>0.50034734616182497</v>
      </c>
      <c r="V104" s="1144">
        <f t="shared" si="22"/>
        <v>0.28756363720088318</v>
      </c>
      <c r="W104" s="1136">
        <f t="shared" si="22"/>
        <v>2.3186825311846848E-2</v>
      </c>
      <c r="X104" s="1136">
        <f t="shared" si="22"/>
        <v>0.13338182932260462</v>
      </c>
      <c r="Y104" s="1145" t="str">
        <f t="shared" si="22"/>
        <v>A</v>
      </c>
      <c r="Z104" s="1146" t="str">
        <f t="shared" ref="Z104:Z110" si="23">VLOOKUP($B104,$B$7:$AC$28,Z$37+1,FALSE)</f>
        <v>=  =  -</v>
      </c>
      <c r="AA104" s="1140">
        <f t="shared" si="19"/>
        <v>0.93248540191552354</v>
      </c>
      <c r="AB104" s="1147">
        <f t="shared" si="19"/>
        <v>0.78949919521054279</v>
      </c>
      <c r="AC104" s="1141">
        <f t="shared" si="19"/>
        <v>1.3109622071604587</v>
      </c>
    </row>
    <row r="105" spans="1:29">
      <c r="A105" s="1155" t="s">
        <v>219</v>
      </c>
      <c r="B105" s="73" t="s">
        <v>53</v>
      </c>
      <c r="C105" s="1149">
        <f t="shared" si="21"/>
        <v>60036.853628571422</v>
      </c>
      <c r="D105" s="1150">
        <f t="shared" si="21"/>
        <v>0.15382903828354536</v>
      </c>
      <c r="E105" s="117">
        <f t="shared" si="21"/>
        <v>-0.3618479655094986</v>
      </c>
      <c r="F105" s="117">
        <f t="shared" si="21"/>
        <v>-0.26007238660385967</v>
      </c>
      <c r="G105" s="1125">
        <f t="shared" si="21"/>
        <v>44430.485000000001</v>
      </c>
      <c r="H105" s="1126">
        <f t="shared" si="21"/>
        <v>0.1230366882897139</v>
      </c>
      <c r="I105" s="1127">
        <f t="shared" si="21"/>
        <v>2.2644833808097031</v>
      </c>
      <c r="J105" s="1127">
        <f t="shared" si="21"/>
        <v>1.7716210773954304</v>
      </c>
      <c r="K105" s="1128">
        <f t="shared" si="21"/>
        <v>5.6943354572509941</v>
      </c>
      <c r="L105" s="1124">
        <f t="shared" si="21"/>
        <v>-7.3155042359885195E-2</v>
      </c>
      <c r="M105" s="1129">
        <f t="shared" si="22"/>
        <v>5.1937231412225326</v>
      </c>
      <c r="N105" s="1130">
        <f t="shared" si="22"/>
        <v>0.6158872479982318</v>
      </c>
      <c r="O105" s="1131">
        <f t="shared" si="22"/>
        <v>0.11044311863454735</v>
      </c>
      <c r="P105" s="1132">
        <f t="shared" si="22"/>
        <v>0.66127040038880336</v>
      </c>
      <c r="Q105" s="1130">
        <f t="shared" si="22"/>
        <v>0.48384306036910518</v>
      </c>
      <c r="R105" s="1131">
        <f t="shared" si="22"/>
        <v>0.2595878527386451</v>
      </c>
      <c r="S105" s="1132">
        <f t="shared" si="22"/>
        <v>0.54381370963962039</v>
      </c>
      <c r="T105" s="1130">
        <f t="shared" si="22"/>
        <v>0.51513010935716153</v>
      </c>
      <c r="U105" s="1131">
        <f t="shared" si="22"/>
        <v>0.26130995158024306</v>
      </c>
      <c r="V105" s="1132">
        <f t="shared" si="22"/>
        <v>0.57929804018594233</v>
      </c>
      <c r="W105" s="1124">
        <f t="shared" si="22"/>
        <v>3.1287048988056343E-2</v>
      </c>
      <c r="X105" s="1124">
        <f t="shared" si="22"/>
        <v>6.4663630732222685E-2</v>
      </c>
      <c r="Y105" s="1133" t="str">
        <f t="shared" si="22"/>
        <v>BBB</v>
      </c>
      <c r="Z105" s="1134" t="str">
        <f t="shared" si="23"/>
        <v>¯  ¯ ¯</v>
      </c>
      <c r="AA105" s="1128">
        <f t="shared" si="19"/>
        <v>2.7929780820851775</v>
      </c>
      <c r="AB105" s="1135">
        <f t="shared" si="19"/>
        <v>0.12404595260605845</v>
      </c>
      <c r="AC105" s="1129">
        <f t="shared" si="19"/>
        <v>2.8353348809740444</v>
      </c>
    </row>
    <row r="106" spans="1:29">
      <c r="A106" s="1155" t="s">
        <v>503</v>
      </c>
      <c r="B106" s="73" t="s">
        <v>286</v>
      </c>
      <c r="C106" s="1149">
        <f t="shared" si="21"/>
        <v>15596.516285714286</v>
      </c>
      <c r="D106" s="1150">
        <f t="shared" si="21"/>
        <v>3.9962072557101963E-2</v>
      </c>
      <c r="E106" s="117">
        <f t="shared" si="21"/>
        <v>-0.41209116095583281</v>
      </c>
      <c r="F106" s="117">
        <f t="shared" si="21"/>
        <v>-0.31031558205019388</v>
      </c>
      <c r="G106" s="1125">
        <f t="shared" si="21"/>
        <v>10295.917100000001</v>
      </c>
      <c r="H106" s="1126">
        <f t="shared" si="21"/>
        <v>2.8511404790864545E-2</v>
      </c>
      <c r="I106" s="1127">
        <f t="shared" si="21"/>
        <v>0.58081043687158529</v>
      </c>
      <c r="J106" s="1127">
        <f t="shared" si="21"/>
        <v>0.5027794267018264</v>
      </c>
      <c r="K106" s="1128">
        <f t="shared" si="21"/>
        <v>4.5606838408134944</v>
      </c>
      <c r="L106" s="1124">
        <f t="shared" si="21"/>
        <v>-0.18379111287045302</v>
      </c>
      <c r="M106" s="1129">
        <f t="shared" si="22"/>
        <v>4.0606354500113753</v>
      </c>
      <c r="N106" s="1130">
        <f t="shared" si="22"/>
        <v>0.34534166666666666</v>
      </c>
      <c r="O106" s="1131">
        <f t="shared" si="22"/>
        <v>-5.4500069338510607E-2</v>
      </c>
      <c r="P106" s="1132">
        <f t="shared" si="22"/>
        <v>0.3626280111015483</v>
      </c>
      <c r="Q106" s="1130">
        <f t="shared" si="22"/>
        <v>0.67997702229572432</v>
      </c>
      <c r="R106" s="1131">
        <f t="shared" si="22"/>
        <v>0.10658020511075152</v>
      </c>
      <c r="S106" s="1132">
        <f t="shared" si="22"/>
        <v>0.75270955685414354</v>
      </c>
      <c r="T106" s="1130">
        <f t="shared" si="22"/>
        <v>0.68457317243488636</v>
      </c>
      <c r="U106" s="1131">
        <f t="shared" si="22"/>
        <v>0.10522314957078965</v>
      </c>
      <c r="V106" s="1132">
        <f t="shared" si="22"/>
        <v>0.75672107111582532</v>
      </c>
      <c r="W106" s="1124">
        <f t="shared" si="22"/>
        <v>4.5961501391620363E-3</v>
      </c>
      <c r="X106" s="1124">
        <f t="shared" si="22"/>
        <v>6.7592727231349809E-3</v>
      </c>
      <c r="Y106" s="1133" t="str">
        <f t="shared" si="22"/>
        <v>BBB-</v>
      </c>
      <c r="Z106" s="1134" t="str">
        <f t="shared" si="23"/>
        <v>=  ¯ ¯</v>
      </c>
      <c r="AA106" s="1128">
        <f t="shared" si="19"/>
        <v>2.9152503149286035</v>
      </c>
      <c r="AB106" s="1135">
        <f t="shared" si="19"/>
        <v>-0.14664752669478531</v>
      </c>
      <c r="AC106" s="1129">
        <f t="shared" si="19"/>
        <v>2.8370691340232916</v>
      </c>
    </row>
    <row r="107" spans="1:29">
      <c r="A107" s="1155" t="s">
        <v>389</v>
      </c>
      <c r="B107" s="73" t="s">
        <v>278</v>
      </c>
      <c r="C107" s="1149">
        <f t="shared" si="21"/>
        <v>3544.0522571428578</v>
      </c>
      <c r="D107" s="1150">
        <f t="shared" si="21"/>
        <v>9.0807248780183369E-3</v>
      </c>
      <c r="E107" s="117">
        <f t="shared" si="21"/>
        <v>-0.4675424361384804</v>
      </c>
      <c r="F107" s="117">
        <f t="shared" si="21"/>
        <v>-0.36576685723284147</v>
      </c>
      <c r="G107" s="1125">
        <f t="shared" si="21"/>
        <v>2152.6311000000001</v>
      </c>
      <c r="H107" s="1126">
        <f t="shared" si="21"/>
        <v>5.9610558303255963E-3</v>
      </c>
      <c r="I107" s="1127">
        <f t="shared" si="21"/>
        <v>3.4941691326062152</v>
      </c>
      <c r="J107" s="1127">
        <f t="shared" si="21"/>
        <v>2.2961398399999999</v>
      </c>
      <c r="K107" s="1128">
        <f t="shared" si="21"/>
        <v>4.4503654862327</v>
      </c>
      <c r="L107" s="1124">
        <f t="shared" si="21"/>
        <v>-2.9835823683801648E-2</v>
      </c>
      <c r="M107" s="1129">
        <f t="shared" si="22"/>
        <v>4.0530525032062261</v>
      </c>
      <c r="N107" s="1130">
        <f t="shared" si="22"/>
        <v>0.60910298289809772</v>
      </c>
      <c r="O107" s="1131">
        <f t="shared" si="22"/>
        <v>-5.2071170724915891E-2</v>
      </c>
      <c r="P107" s="1132">
        <f t="shared" si="22"/>
        <v>0.6207941242005639</v>
      </c>
      <c r="Q107" s="1130">
        <f t="shared" si="22"/>
        <v>0.49050145598877937</v>
      </c>
      <c r="R107" s="1131">
        <f t="shared" si="22"/>
        <v>0.42102559519407173</v>
      </c>
      <c r="S107" s="1132">
        <f t="shared" si="22"/>
        <v>0.61744816018521742</v>
      </c>
      <c r="T107" s="1130">
        <f t="shared" si="22"/>
        <v>0.49698573886957192</v>
      </c>
      <c r="U107" s="1131">
        <f t="shared" si="22"/>
        <v>0.41032171167013903</v>
      </c>
      <c r="V107" s="1132">
        <f t="shared" si="22"/>
        <v>0.62319136029119382</v>
      </c>
      <c r="W107" s="1124">
        <f t="shared" si="22"/>
        <v>6.4842828807925579E-3</v>
      </c>
      <c r="X107" s="1124">
        <f t="shared" si="22"/>
        <v>1.3219701596443154E-2</v>
      </c>
      <c r="Y107" s="1133" t="str">
        <f t="shared" si="22"/>
        <v>BBB</v>
      </c>
      <c r="Z107" s="1134" t="str">
        <f t="shared" si="23"/>
        <v>=  ¯ -</v>
      </c>
      <c r="AA107" s="1128">
        <f t="shared" si="19"/>
        <v>2.1902281092407181</v>
      </c>
      <c r="AB107" s="1135">
        <f t="shared" si="19"/>
        <v>0.36844726500440206</v>
      </c>
      <c r="AC107" s="1129">
        <f t="shared" si="19"/>
        <v>2.5252968522290931</v>
      </c>
    </row>
    <row r="108" spans="1:29">
      <c r="A108" s="1155" t="s">
        <v>19</v>
      </c>
      <c r="B108" s="152" t="s">
        <v>288</v>
      </c>
      <c r="C108" s="1149">
        <f t="shared" si="21"/>
        <v>31174.883771428573</v>
      </c>
      <c r="D108" s="1150">
        <f t="shared" si="21"/>
        <v>7.9877643469276421E-2</v>
      </c>
      <c r="E108" s="117">
        <f t="shared" si="21"/>
        <v>-0.49416922878378883</v>
      </c>
      <c r="F108" s="117">
        <f t="shared" si="21"/>
        <v>-0.3923936498781499</v>
      </c>
      <c r="G108" s="1125">
        <f t="shared" si="21"/>
        <v>19124.593099999998</v>
      </c>
      <c r="H108" s="1126">
        <f t="shared" si="21"/>
        <v>5.2959732488004868E-2</v>
      </c>
      <c r="I108" s="1127">
        <f t="shared" si="21"/>
        <v>1.0546425468926217</v>
      </c>
      <c r="J108" s="1127">
        <f t="shared" si="21"/>
        <v>0.72989058468819168</v>
      </c>
      <c r="K108" s="1128">
        <f t="shared" si="21"/>
        <v>4.7838493303826084</v>
      </c>
      <c r="L108" s="1124">
        <f t="shared" si="21"/>
        <v>-0.19812930900653591</v>
      </c>
      <c r="M108" s="1129">
        <f t="shared" si="22"/>
        <v>4.438539176760524</v>
      </c>
      <c r="N108" s="1130">
        <f t="shared" si="22"/>
        <v>0.60741568747204655</v>
      </c>
      <c r="O108" s="1131">
        <f t="shared" si="22"/>
        <v>4.0950219141690898E-2</v>
      </c>
      <c r="P108" s="1132">
        <f t="shared" si="22"/>
        <v>0.62738172243152124</v>
      </c>
      <c r="Q108" s="1130">
        <f t="shared" si="22"/>
        <v>0.50834561454306215</v>
      </c>
      <c r="R108" s="1131">
        <f t="shared" si="22"/>
        <v>0.27477182203191691</v>
      </c>
      <c r="S108" s="1132">
        <f t="shared" si="22"/>
        <v>0.61196382356206247</v>
      </c>
      <c r="T108" s="1130">
        <f t="shared" si="22"/>
        <v>0.54898628094174651</v>
      </c>
      <c r="U108" s="1131">
        <f t="shared" si="22"/>
        <v>0.26756473067663017</v>
      </c>
      <c r="V108" s="1132">
        <f t="shared" si="22"/>
        <v>0.65530118542007598</v>
      </c>
      <c r="W108" s="1124">
        <f t="shared" si="22"/>
        <v>4.0640666398684355E-2</v>
      </c>
      <c r="X108" s="1124">
        <f t="shared" si="22"/>
        <v>7.9946920433679999E-2</v>
      </c>
      <c r="Y108" s="1133" t="str">
        <f t="shared" si="22"/>
        <v>BBB+</v>
      </c>
      <c r="Z108" s="1134" t="str">
        <f t="shared" si="23"/>
        <v>=  ¯ ¯</v>
      </c>
      <c r="AA108" s="1128">
        <f t="shared" si="19"/>
        <v>2.5321561588471506</v>
      </c>
      <c r="AB108" s="1135">
        <f t="shared" si="19"/>
        <v>1.3257606300410854E-2</v>
      </c>
      <c r="AC108" s="1129">
        <f t="shared" si="19"/>
        <v>2.8138910595815916</v>
      </c>
    </row>
    <row r="109" spans="1:29">
      <c r="A109" s="1155" t="s">
        <v>506</v>
      </c>
      <c r="B109" s="73" t="s">
        <v>289</v>
      </c>
      <c r="C109" s="1149">
        <f t="shared" si="21"/>
        <v>4580.8423286191064</v>
      </c>
      <c r="D109" s="1150">
        <f t="shared" si="21"/>
        <v>1.1737233504933111E-2</v>
      </c>
      <c r="E109" s="117">
        <f t="shared" si="21"/>
        <v>-0.49577837871365099</v>
      </c>
      <c r="F109" s="117">
        <f t="shared" si="21"/>
        <v>-0.39400279980801206</v>
      </c>
      <c r="G109" s="1125">
        <f t="shared" si="21"/>
        <v>2322.4005110115481</v>
      </c>
      <c r="H109" s="1126">
        <f t="shared" si="21"/>
        <v>6.4311804779353665E-3</v>
      </c>
      <c r="I109" s="1127">
        <f t="shared" si="21"/>
        <v>1.4234279787340207</v>
      </c>
      <c r="J109" s="1127">
        <f t="shared" si="21"/>
        <v>0.8056764866383116</v>
      </c>
      <c r="K109" s="1128">
        <f t="shared" si="21"/>
        <v>4.3871958272574467</v>
      </c>
      <c r="L109" s="1124">
        <f t="shared" si="21"/>
        <v>-8.1025400882275472E-2</v>
      </c>
      <c r="M109" s="1129">
        <f t="shared" si="22"/>
        <v>3.4400754167452243</v>
      </c>
      <c r="N109" s="1130">
        <f t="shared" si="22"/>
        <v>0.42290073595624156</v>
      </c>
      <c r="O109" s="1131">
        <f t="shared" si="22"/>
        <v>-9.0086339251873371E-2</v>
      </c>
      <c r="P109" s="1132">
        <f t="shared" si="22"/>
        <v>0.44946685046944856</v>
      </c>
      <c r="Q109" s="1130">
        <f t="shared" si="22"/>
        <v>0.16307046534988884</v>
      </c>
      <c r="R109" s="1131">
        <f t="shared" si="22"/>
        <v>1.3005419282788433</v>
      </c>
      <c r="S109" s="1132">
        <f t="shared" si="22"/>
        <v>0.30950096360373897</v>
      </c>
      <c r="T109" s="1130">
        <f t="shared" si="22"/>
        <v>0.18570292678335293</v>
      </c>
      <c r="U109" s="1131">
        <f t="shared" si="22"/>
        <v>1.251733079461073</v>
      </c>
      <c r="V109" s="1132">
        <f t="shared" si="22"/>
        <v>0.34197601038246805</v>
      </c>
      <c r="W109" s="1124">
        <f t="shared" si="22"/>
        <v>2.2632461433464091E-2</v>
      </c>
      <c r="X109" s="1124">
        <f t="shared" si="22"/>
        <v>0.13878945758144007</v>
      </c>
      <c r="Y109" s="1133" t="str">
        <f t="shared" si="22"/>
        <v>BBB</v>
      </c>
      <c r="Z109" s="1134" t="str">
        <f t="shared" si="23"/>
        <v>=  ¯ -</v>
      </c>
      <c r="AA109" s="1128">
        <f t="shared" si="19"/>
        <v>0.77886477042851432</v>
      </c>
      <c r="AB109" s="1135">
        <f t="shared" si="19"/>
        <v>1.0703005310133176</v>
      </c>
      <c r="AC109" s="1129">
        <f t="shared" si="19"/>
        <v>1.1762690733772538</v>
      </c>
    </row>
    <row r="110" spans="1:29">
      <c r="A110" s="1155" t="s">
        <v>505</v>
      </c>
      <c r="B110" s="73" t="s">
        <v>44</v>
      </c>
      <c r="C110" s="1149">
        <f t="shared" si="21"/>
        <v>12234.494271428572</v>
      </c>
      <c r="D110" s="1150">
        <f t="shared" si="21"/>
        <v>3.1347753486597643E-2</v>
      </c>
      <c r="E110" s="117">
        <f t="shared" si="21"/>
        <v>-0.59766521701552</v>
      </c>
      <c r="F110" s="117">
        <f t="shared" si="21"/>
        <v>-0.49588963810988107</v>
      </c>
      <c r="G110" s="1125">
        <f t="shared" si="21"/>
        <v>6819.5967000000001</v>
      </c>
      <c r="H110" s="1126">
        <f t="shared" si="21"/>
        <v>1.8884794830384175E-2</v>
      </c>
      <c r="I110" s="1127">
        <f t="shared" si="21"/>
        <v>3.9295455833111754</v>
      </c>
      <c r="J110" s="1127">
        <f t="shared" si="21"/>
        <v>1.2175677021960365</v>
      </c>
      <c r="K110" s="1128">
        <f t="shared" si="21"/>
        <v>4.9270605931091591</v>
      </c>
      <c r="L110" s="1124">
        <f t="shared" si="21"/>
        <v>-0.26680842971581226</v>
      </c>
      <c r="M110" s="1129">
        <f t="shared" si="22"/>
        <v>4.0325018858098245</v>
      </c>
      <c r="N110" s="1130">
        <f t="shared" si="22"/>
        <v>0.5805147103617575</v>
      </c>
      <c r="O110" s="1131">
        <f t="shared" si="22"/>
        <v>8.4948466413752491E-2</v>
      </c>
      <c r="P110" s="1132">
        <f t="shared" si="22"/>
        <v>0.6264024463118032</v>
      </c>
      <c r="Q110" s="1130">
        <f t="shared" si="22"/>
        <v>0.51826084585195908</v>
      </c>
      <c r="R110" s="1131">
        <f t="shared" si="22"/>
        <v>0.40005999871326348</v>
      </c>
      <c r="S110" s="1132">
        <f t="shared" si="22"/>
        <v>0.58973938770950263</v>
      </c>
      <c r="T110" s="1130">
        <f t="shared" si="22"/>
        <v>0.5495689942142129</v>
      </c>
      <c r="U110" s="1131">
        <f t="shared" si="22"/>
        <v>0.40637993517884302</v>
      </c>
      <c r="V110" s="1132">
        <f t="shared" si="22"/>
        <v>0.63323863537070213</v>
      </c>
      <c r="W110" s="1124">
        <f t="shared" si="22"/>
        <v>3.1308148362253818E-2</v>
      </c>
      <c r="X110" s="1124">
        <f t="shared" si="22"/>
        <v>6.0410020577161203E-2</v>
      </c>
      <c r="Y110" s="1133" t="str">
        <f t="shared" si="22"/>
        <v>BBB-</v>
      </c>
      <c r="Z110" s="1134" t="str">
        <f t="shared" si="23"/>
        <v>=  ¯ =</v>
      </c>
      <c r="AA110" s="1128">
        <f t="shared" si="19"/>
        <v>2.643581803383519</v>
      </c>
      <c r="AB110" s="1135">
        <f t="shared" si="19"/>
        <v>2.8580691559688957E-2</v>
      </c>
      <c r="AC110" s="1129">
        <f t="shared" si="19"/>
        <v>2.5466878830879209</v>
      </c>
    </row>
    <row r="111" spans="1:29">
      <c r="A111" s="1156" t="s">
        <v>323</v>
      </c>
      <c r="B111" s="726" t="s">
        <v>773</v>
      </c>
      <c r="C111" s="1151">
        <f t="shared" si="21"/>
        <v>2121.4584571428572</v>
      </c>
      <c r="D111" s="1152">
        <f t="shared" si="21"/>
        <v>5.4356931534045982E-3</v>
      </c>
      <c r="E111" s="1071">
        <f t="shared" si="21"/>
        <v>-0.63331383871554725</v>
      </c>
      <c r="F111" s="1071">
        <f t="shared" si="21"/>
        <v>-0.53153825980990832</v>
      </c>
      <c r="G111" s="1137">
        <f t="shared" si="21"/>
        <v>960.23059999999998</v>
      </c>
      <c r="H111" s="1138">
        <f t="shared" si="21"/>
        <v>2.6590660223142948E-3</v>
      </c>
      <c r="I111" s="1139">
        <f t="shared" si="21"/>
        <v>6.3820660890696566</v>
      </c>
      <c r="J111" s="1139">
        <f t="shared" si="21"/>
        <v>3.126768479322696</v>
      </c>
      <c r="K111" s="1140">
        <f t="shared" si="21"/>
        <v>4.9107929634600707</v>
      </c>
      <c r="L111" s="1136">
        <f t="shared" si="21"/>
        <v>-0.2975700901517318</v>
      </c>
      <c r="M111" s="1141">
        <f t="shared" si="22"/>
        <v>3.6764587184436395</v>
      </c>
      <c r="N111" s="1142">
        <f t="shared" si="22"/>
        <v>0.95644485424869818</v>
      </c>
      <c r="O111" s="1143">
        <f t="shared" si="22"/>
        <v>5.7346309608293736E-3</v>
      </c>
      <c r="P111" s="1144">
        <f t="shared" si="22"/>
        <v>0.97265268915223335</v>
      </c>
      <c r="Q111" s="1142">
        <f t="shared" si="22"/>
        <v>0.16489915086810925</v>
      </c>
      <c r="R111" s="1143">
        <f t="shared" si="22"/>
        <v>2.0043608623878186</v>
      </c>
      <c r="S111" s="1144">
        <f t="shared" si="22"/>
        <v>0.32988338723452482</v>
      </c>
      <c r="T111" s="1142">
        <f t="shared" si="22"/>
        <v>0.27218937885351913</v>
      </c>
      <c r="U111" s="1143">
        <f t="shared" si="22"/>
        <v>1.2181747217666232</v>
      </c>
      <c r="V111" s="1144">
        <f t="shared" si="22"/>
        <v>0.4561905930983241</v>
      </c>
      <c r="W111" s="1136">
        <f t="shared" si="22"/>
        <v>0.10729022798540988</v>
      </c>
      <c r="X111" s="1136">
        <f t="shared" si="22"/>
        <v>0.65064148250965514</v>
      </c>
      <c r="Y111" s="1145" t="str">
        <f t="shared" si="22"/>
        <v>Not rated</v>
      </c>
      <c r="Z111" s="1146"/>
      <c r="AA111" s="1140">
        <f t="shared" si="19"/>
        <v>1.2440956586918632</v>
      </c>
      <c r="AB111" s="1147">
        <f t="shared" si="19"/>
        <v>0.5581122698382367</v>
      </c>
      <c r="AC111" s="1141">
        <f t="shared" si="19"/>
        <v>1.6771658832683087</v>
      </c>
    </row>
    <row r="112" spans="1:29">
      <c r="A112" s="1155" t="s">
        <v>27</v>
      </c>
      <c r="B112" s="73" t="s">
        <v>54</v>
      </c>
      <c r="C112" s="1149">
        <f t="shared" si="21"/>
        <v>4745.1447857142857</v>
      </c>
      <c r="D112" s="1150">
        <f t="shared" si="21"/>
        <v>1.2158216408516635E-2</v>
      </c>
      <c r="E112" s="117">
        <f t="shared" si="21"/>
        <v>-0.63447330491761056</v>
      </c>
      <c r="F112" s="117">
        <f t="shared" si="21"/>
        <v>-0.53269772601197163</v>
      </c>
      <c r="G112" s="1125">
        <f t="shared" si="21"/>
        <v>2680.5724</v>
      </c>
      <c r="H112" s="1126">
        <f t="shared" si="21"/>
        <v>7.4230283738025878E-3</v>
      </c>
      <c r="I112" s="1127">
        <f t="shared" si="21"/>
        <v>1.3569881249181368</v>
      </c>
      <c r="J112" s="1127">
        <f t="shared" si="21"/>
        <v>1.0332545966156574</v>
      </c>
      <c r="K112" s="1128">
        <f t="shared" si="21"/>
        <v>6.4063105209788551</v>
      </c>
      <c r="L112" s="1124">
        <f t="shared" si="21"/>
        <v>-0.24924595564935845</v>
      </c>
      <c r="M112" s="1129">
        <f t="shared" si="22"/>
        <v>5.3369406950798908</v>
      </c>
      <c r="N112" s="1124">
        <f t="shared" si="22"/>
        <v>0.48460704112825509</v>
      </c>
      <c r="O112" s="1131">
        <f t="shared" si="22"/>
        <v>-0.18079580514885477</v>
      </c>
      <c r="P112" s="1132">
        <f t="shared" si="22"/>
        <v>0.49497857034449522</v>
      </c>
      <c r="Q112" s="1130">
        <f t="shared" si="22"/>
        <v>0.56717095077467305</v>
      </c>
      <c r="R112" s="1131">
        <f t="shared" si="22"/>
        <v>0.64731222518720821</v>
      </c>
      <c r="S112" s="1132">
        <f t="shared" si="22"/>
        <v>0.74754623070756221</v>
      </c>
      <c r="T112" s="1130">
        <f t="shared" si="22"/>
        <v>0.5748403529709204</v>
      </c>
      <c r="U112" s="1131">
        <f t="shared" si="22"/>
        <v>0.5906099669472562</v>
      </c>
      <c r="V112" s="1132">
        <f t="shared" si="22"/>
        <v>0.7506672643344422</v>
      </c>
      <c r="W112" s="1124">
        <f t="shared" si="22"/>
        <v>7.6694021962473435E-3</v>
      </c>
      <c r="X112" s="1124">
        <f t="shared" si="22"/>
        <v>1.3522205581530675E-2</v>
      </c>
      <c r="Y112" s="1133" t="str">
        <f t="shared" si="22"/>
        <v>BBB-</v>
      </c>
      <c r="Z112" s="1134" t="str">
        <f>VLOOKUP($B112,$B$7:$AC$28,Z$37+1,FALSE)</f>
        <v>¯  ¯ ¯</v>
      </c>
      <c r="AA112" s="1128">
        <f t="shared" si="19"/>
        <v>3.4278891827637503</v>
      </c>
      <c r="AB112" s="1135">
        <f t="shared" si="19"/>
        <v>0.24423537898737996</v>
      </c>
      <c r="AC112" s="1129">
        <f t="shared" si="19"/>
        <v>3.8230610288109381</v>
      </c>
    </row>
    <row r="115" spans="1:33">
      <c r="A115" s="1252" t="s">
        <v>792</v>
      </c>
      <c r="B115" s="1123" t="s">
        <v>1075</v>
      </c>
      <c r="C115" s="1068"/>
      <c r="E115" s="1068"/>
      <c r="F115" s="1068"/>
      <c r="G115" s="1068"/>
      <c r="K115" s="1068"/>
      <c r="L115" s="1068"/>
      <c r="M115" s="1068"/>
      <c r="N115" s="1068"/>
      <c r="O115" s="1068"/>
      <c r="P115" s="1068"/>
      <c r="T115" s="1068"/>
      <c r="U115" s="1068"/>
      <c r="V115" s="1068"/>
      <c r="Y115" s="1068"/>
      <c r="Z115" s="1068"/>
      <c r="AA115" s="1068"/>
      <c r="AB115" s="1068"/>
      <c r="AC115" s="1068"/>
      <c r="AE115" s="1153" t="s">
        <v>1075</v>
      </c>
      <c r="AF115" s="1153" t="s">
        <v>2607</v>
      </c>
      <c r="AG115" s="1153"/>
    </row>
    <row r="116" spans="1:33">
      <c r="A116" s="1156" t="s">
        <v>323</v>
      </c>
      <c r="B116" s="726" t="s">
        <v>774</v>
      </c>
      <c r="C116" s="1151">
        <f t="shared" ref="C116:AC116" si="24">VLOOKUP($B116,$B$7:$AC$28,C$37+1,FALSE)</f>
        <v>3541.6238999999996</v>
      </c>
      <c r="D116" s="1152">
        <f t="shared" si="24"/>
        <v>9.0745028357006995E-3</v>
      </c>
      <c r="E116" s="1136">
        <f t="shared" si="24"/>
        <v>0.67327297771392325</v>
      </c>
      <c r="F116" s="1136">
        <f t="shared" si="24"/>
        <v>0.77504855661956218</v>
      </c>
      <c r="G116" s="1137">
        <f t="shared" si="24"/>
        <v>4048.9897999999998</v>
      </c>
      <c r="H116" s="1138">
        <f t="shared" si="24"/>
        <v>1.1212443346293226E-2</v>
      </c>
      <c r="I116" s="1139">
        <f t="shared" si="24"/>
        <v>-1.4186196832586249</v>
      </c>
      <c r="J116" s="1139">
        <f t="shared" si="24"/>
        <v>-2.7147098893731143</v>
      </c>
      <c r="K116" s="1074">
        <f t="shared" si="24"/>
        <v>8.6861758729657641</v>
      </c>
      <c r="L116" s="1136">
        <f t="shared" si="24"/>
        <v>0.26215680659638446</v>
      </c>
      <c r="M116" s="1141">
        <f t="shared" si="24"/>
        <v>9.0506669895995948</v>
      </c>
      <c r="N116" s="1142">
        <f t="shared" si="24"/>
        <v>6.4385445236561381E-2</v>
      </c>
      <c r="O116" s="1143">
        <f t="shared" si="24"/>
        <v>14.697799124913645</v>
      </c>
      <c r="P116" s="1144">
        <f t="shared" si="24"/>
        <v>0.15462918080465343</v>
      </c>
      <c r="Q116" s="1142">
        <f t="shared" si="24"/>
        <v>0.42399287000325037</v>
      </c>
      <c r="R116" s="1143">
        <f t="shared" si="24"/>
        <v>4.5742782667206161E-2</v>
      </c>
      <c r="S116" s="1144">
        <f t="shared" si="24"/>
        <v>0.48144640266975475</v>
      </c>
      <c r="T116" s="1142">
        <f t="shared" si="24"/>
        <v>0.42695023434228802</v>
      </c>
      <c r="U116" s="1143">
        <f t="shared" si="24"/>
        <v>4.1366838913311048E-2</v>
      </c>
      <c r="V116" s="1144">
        <f t="shared" si="24"/>
        <v>0.4832654138496531</v>
      </c>
      <c r="W116" s="1136">
        <f t="shared" si="24"/>
        <v>2.9573643390376492E-3</v>
      </c>
      <c r="X116" s="1136">
        <f t="shared" si="24"/>
        <v>6.9750331863245195E-3</v>
      </c>
      <c r="Y116" s="1145" t="str">
        <f t="shared" si="24"/>
        <v>B+</v>
      </c>
      <c r="Z116" s="1146" t="str">
        <f t="shared" si="24"/>
        <v>=  =  =</v>
      </c>
      <c r="AA116" s="1140">
        <f t="shared" si="24"/>
        <v>3.7014756930154613</v>
      </c>
      <c r="AB116" s="1147">
        <f t="shared" si="24"/>
        <v>0.31334582285320112</v>
      </c>
      <c r="AC116" s="1141">
        <f t="shared" si="24"/>
        <v>4.3704719780651446</v>
      </c>
      <c r="AE116" s="2025" t="s">
        <v>774</v>
      </c>
      <c r="AF116" s="2372">
        <f>CALCULATIONS!EH9</f>
        <v>8.7131538461538458</v>
      </c>
      <c r="AG116" s="3142">
        <f>K116-AF116</f>
        <v>-2.6977973188081705E-2</v>
      </c>
    </row>
    <row r="117" spans="1:33">
      <c r="A117" s="1155" t="s">
        <v>19</v>
      </c>
      <c r="B117" s="73" t="s">
        <v>287</v>
      </c>
      <c r="C117" s="1149">
        <f t="shared" ref="C117:L126" si="25">VLOOKUP($B117,$B$7:$AC$28,C$37+1,FALSE)</f>
        <v>6002.7646707914537</v>
      </c>
      <c r="D117" s="1150">
        <f t="shared" si="25"/>
        <v>1.538054479108892E-2</v>
      </c>
      <c r="E117" s="1124">
        <f t="shared" si="25"/>
        <v>1.7468659495150733</v>
      </c>
      <c r="F117" s="1124">
        <f t="shared" si="25"/>
        <v>1.8486415284207123</v>
      </c>
      <c r="G117" s="1125">
        <f t="shared" si="25"/>
        <v>9571.524995540176</v>
      </c>
      <c r="H117" s="1126">
        <f t="shared" si="25"/>
        <v>2.6505421611613778E-2</v>
      </c>
      <c r="I117" s="1127">
        <f t="shared" si="25"/>
        <v>4.1497848696984878</v>
      </c>
      <c r="J117" s="1127">
        <f t="shared" si="25"/>
        <v>5.1075046454025781</v>
      </c>
      <c r="K117" s="132">
        <f t="shared" si="25"/>
        <v>7.8889454092528393</v>
      </c>
      <c r="L117" s="1124">
        <f t="shared" si="25"/>
        <v>0.8464659845431286</v>
      </c>
      <c r="M117" s="1129">
        <f t="shared" ref="M117:Y126" si="26">VLOOKUP($B117,$B$7:$AC$28,M$37+1,FALSE)</f>
        <v>9.6719476082953495</v>
      </c>
      <c r="N117" s="1130">
        <f t="shared" si="26"/>
        <v>9.1630231095150338E-2</v>
      </c>
      <c r="O117" s="1148" t="str">
        <f t="shared" si="26"/>
        <v>¥</v>
      </c>
      <c r="P117" s="1132">
        <f t="shared" si="26"/>
        <v>0.34976819018989347</v>
      </c>
      <c r="Q117" s="1130">
        <f t="shared" si="26"/>
        <v>0.13477545507373562</v>
      </c>
      <c r="R117" s="1131">
        <f t="shared" si="26"/>
        <v>-0.4264373226073967</v>
      </c>
      <c r="S117" s="1132">
        <f t="shared" si="26"/>
        <v>9.7905485588969735E-2</v>
      </c>
      <c r="T117" s="1130">
        <f t="shared" si="26"/>
        <v>0.16024846762312819</v>
      </c>
      <c r="U117" s="1131">
        <f t="shared" si="26"/>
        <v>-0.25253039609468159</v>
      </c>
      <c r="V117" s="1132">
        <f t="shared" si="26"/>
        <v>0.12849893093161849</v>
      </c>
      <c r="W117" s="1124">
        <f t="shared" si="26"/>
        <v>2.5473012549392576E-2</v>
      </c>
      <c r="X117" s="1124">
        <f t="shared" si="26"/>
        <v>0.18900335031669008</v>
      </c>
      <c r="Y117" s="1133" t="str">
        <f t="shared" si="26"/>
        <v>Not rated</v>
      </c>
      <c r="Z117" s="1134"/>
      <c r="AA117" s="1128">
        <f t="shared" ref="AA117:AC137" si="27">VLOOKUP($B117,$B$7:$AC$28,AA$37+1,FALSE)</f>
        <v>1.265551414722516</v>
      </c>
      <c r="AB117" s="1135">
        <f t="shared" si="27"/>
        <v>0.38040351489576829</v>
      </c>
      <c r="AC117" s="1129">
        <f t="shared" si="27"/>
        <v>1.242834927692577</v>
      </c>
      <c r="AE117" s="2024" t="s">
        <v>287</v>
      </c>
      <c r="AF117" s="1763">
        <f>CALCULATIONS!EH13</f>
        <v>7.9689265918365058</v>
      </c>
      <c r="AG117" s="136">
        <f t="shared" ref="AG117:AG137" si="28">K117-AF117</f>
        <v>-7.9981182583666488E-2</v>
      </c>
    </row>
    <row r="118" spans="1:33">
      <c r="A118" s="1155" t="s">
        <v>507</v>
      </c>
      <c r="B118" s="73" t="s">
        <v>284</v>
      </c>
      <c r="C118" s="1149">
        <f t="shared" si="25"/>
        <v>22949.481858519866</v>
      </c>
      <c r="D118" s="1150">
        <f t="shared" si="25"/>
        <v>5.8802160840116385E-2</v>
      </c>
      <c r="E118" s="1124">
        <f t="shared" si="25"/>
        <v>-8.3288171902550459E-2</v>
      </c>
      <c r="F118" s="1124">
        <f t="shared" si="25"/>
        <v>1.8487407003088485E-2</v>
      </c>
      <c r="G118" s="1125">
        <f t="shared" si="25"/>
        <v>21731.57918967646</v>
      </c>
      <c r="H118" s="1126">
        <f t="shared" si="25"/>
        <v>6.0178986000343146E-2</v>
      </c>
      <c r="I118" s="1127">
        <f t="shared" si="25"/>
        <v>1.7647070716020126</v>
      </c>
      <c r="J118" s="1127">
        <f t="shared" si="25"/>
        <v>1.7786623686113903</v>
      </c>
      <c r="K118" s="132">
        <f t="shared" si="25"/>
        <v>7.5421176018870622</v>
      </c>
      <c r="L118" s="1124">
        <f t="shared" si="25"/>
        <v>2.1076957712408067E-2</v>
      </c>
      <c r="M118" s="1129">
        <f t="shared" si="26"/>
        <v>7.6896404016441506</v>
      </c>
      <c r="N118" s="1130">
        <f t="shared" si="26"/>
        <v>0.67984865616162071</v>
      </c>
      <c r="O118" s="1131">
        <f t="shared" si="26"/>
        <v>0.13956056160252914</v>
      </c>
      <c r="P118" s="1132">
        <f t="shared" si="26"/>
        <v>0.7167630057803468</v>
      </c>
      <c r="Q118" s="1130">
        <f t="shared" si="26"/>
        <v>0.23215418017261674</v>
      </c>
      <c r="R118" s="1131">
        <f t="shared" si="26"/>
        <v>0.36187217108516367</v>
      </c>
      <c r="S118" s="1132">
        <f t="shared" si="26"/>
        <v>0.26525179681706468</v>
      </c>
      <c r="T118" s="1130">
        <f t="shared" si="26"/>
        <v>0.2501311526811702</v>
      </c>
      <c r="U118" s="1131">
        <f t="shared" si="26"/>
        <v>0.31916438327965047</v>
      </c>
      <c r="V118" s="1132">
        <f t="shared" si="26"/>
        <v>0.28287599661626001</v>
      </c>
      <c r="W118" s="1124">
        <f t="shared" si="26"/>
        <v>1.7976972508553457E-2</v>
      </c>
      <c r="X118" s="1124">
        <f t="shared" si="26"/>
        <v>7.7435489187344358E-2</v>
      </c>
      <c r="Y118" s="1133" t="str">
        <f t="shared" si="26"/>
        <v>A-</v>
      </c>
      <c r="Z118" s="1134" t="str">
        <f>VLOOKUP($B118,$B$7:$AC$28,Z$37+1,FALSE)</f>
        <v>=  =  =</v>
      </c>
      <c r="AA118" s="1128">
        <f t="shared" si="27"/>
        <v>1.845874038975184</v>
      </c>
      <c r="AB118" s="1135">
        <f t="shared" si="27"/>
        <v>0.36079457239176377</v>
      </c>
      <c r="AC118" s="1129">
        <f t="shared" si="27"/>
        <v>2.1424428051274771</v>
      </c>
      <c r="AE118" s="2024" t="s">
        <v>279</v>
      </c>
      <c r="AF118" s="1763">
        <f>CALCULATIONS!EH22</f>
        <v>7.5914538461538452</v>
      </c>
      <c r="AG118" s="136">
        <f t="shared" si="28"/>
        <v>-4.9336244266783069E-2</v>
      </c>
    </row>
    <row r="119" spans="1:33">
      <c r="A119" s="1155" t="s">
        <v>32</v>
      </c>
      <c r="B119" s="73" t="s">
        <v>279</v>
      </c>
      <c r="C119" s="1149">
        <f t="shared" si="25"/>
        <v>103061.53572524291</v>
      </c>
      <c r="D119" s="1150">
        <f t="shared" si="25"/>
        <v>0.26406875054982143</v>
      </c>
      <c r="E119" s="1124">
        <f t="shared" si="25"/>
        <v>7.5306160052783275E-2</v>
      </c>
      <c r="F119" s="1124">
        <f t="shared" si="25"/>
        <v>0.17708173895842222</v>
      </c>
      <c r="G119" s="1125">
        <f t="shared" si="25"/>
        <v>106720.85775234729</v>
      </c>
      <c r="H119" s="1126">
        <f t="shared" si="25"/>
        <v>0.29553089301830604</v>
      </c>
      <c r="I119" s="1127">
        <f t="shared" si="25"/>
        <v>1.0837821931217524</v>
      </c>
      <c r="J119" s="1127">
        <f t="shared" si="25"/>
        <v>1.259272460269286</v>
      </c>
      <c r="K119" s="132">
        <f t="shared" si="25"/>
        <v>7.5360879751187033</v>
      </c>
      <c r="L119" s="1124">
        <f t="shared" si="25"/>
        <v>0.12910548637067604</v>
      </c>
      <c r="M119" s="1129">
        <f t="shared" si="26"/>
        <v>8.6584668441025876</v>
      </c>
      <c r="N119" s="1130">
        <f t="shared" si="26"/>
        <v>0.91487499999999988</v>
      </c>
      <c r="O119" s="1131">
        <f t="shared" si="26"/>
        <v>-4.3736501079913587E-2</v>
      </c>
      <c r="P119" s="1132">
        <f t="shared" si="26"/>
        <v>0.89481420237931208</v>
      </c>
      <c r="Q119" s="1130">
        <f t="shared" si="26"/>
        <v>0.24509229252810941</v>
      </c>
      <c r="R119" s="1131">
        <f t="shared" si="26"/>
        <v>-0.16501821733667812</v>
      </c>
      <c r="S119" s="1132">
        <f t="shared" si="26"/>
        <v>0.23828807339295358</v>
      </c>
      <c r="T119" s="1130">
        <f t="shared" si="26"/>
        <v>0.27870192226407053</v>
      </c>
      <c r="U119" s="1131">
        <f t="shared" si="26"/>
        <v>-0.14309331637647091</v>
      </c>
      <c r="V119" s="1132">
        <f t="shared" si="26"/>
        <v>0.2718321660431175</v>
      </c>
      <c r="W119" s="1124">
        <f t="shared" si="26"/>
        <v>3.3609629735961127E-2</v>
      </c>
      <c r="X119" s="1124">
        <f t="shared" si="26"/>
        <v>0.13713050455108242</v>
      </c>
      <c r="Y119" s="1133" t="str">
        <f t="shared" si="26"/>
        <v>A-</v>
      </c>
      <c r="Z119" s="1134" t="str">
        <f>VLOOKUP($B119,$B$7:$AC$28,Z$37+1,FALSE)</f>
        <v>=  =  =</v>
      </c>
      <c r="AA119" s="1128">
        <f t="shared" si="27"/>
        <v>2.0880314655341889</v>
      </c>
      <c r="AB119" s="1135">
        <f t="shared" si="27"/>
        <v>-3.7762767487534328E-2</v>
      </c>
      <c r="AC119" s="1129">
        <f t="shared" si="27"/>
        <v>2.3348198024327131</v>
      </c>
      <c r="AE119" s="2024" t="s">
        <v>284</v>
      </c>
      <c r="AF119" s="1763">
        <f>CALCULATIONS!EH23</f>
        <v>7.5677461538461541</v>
      </c>
      <c r="AG119" s="136">
        <f t="shared" si="28"/>
        <v>-3.1658178727450803E-2</v>
      </c>
    </row>
    <row r="120" spans="1:33">
      <c r="A120" s="1155" t="s">
        <v>508</v>
      </c>
      <c r="B120" s="73" t="s">
        <v>290</v>
      </c>
      <c r="C120" s="1149">
        <f t="shared" si="25"/>
        <v>16250.837973523972</v>
      </c>
      <c r="D120" s="1150">
        <f t="shared" si="25"/>
        <v>4.1638604052015776E-2</v>
      </c>
      <c r="E120" s="1124">
        <f t="shared" si="25"/>
        <v>0.20894195471198634</v>
      </c>
      <c r="F120" s="1124">
        <f t="shared" si="25"/>
        <v>0.31071753361762527</v>
      </c>
      <c r="G120" s="1125">
        <f t="shared" si="25"/>
        <v>17428.290742138299</v>
      </c>
      <c r="H120" s="1126">
        <f t="shared" si="25"/>
        <v>4.826234004564605E-2</v>
      </c>
      <c r="I120" s="1127">
        <f t="shared" si="25"/>
        <v>4.0995220850209826</v>
      </c>
      <c r="J120" s="1127">
        <f t="shared" si="25"/>
        <v>4.5731712273212377</v>
      </c>
      <c r="K120" s="132">
        <f t="shared" si="25"/>
        <v>6.7995363362554677</v>
      </c>
      <c r="L120" s="1124">
        <f t="shared" si="25"/>
        <v>0.2149868566781509</v>
      </c>
      <c r="M120" s="1129">
        <f t="shared" si="26"/>
        <v>7.5822149145373468</v>
      </c>
      <c r="N120" s="1130">
        <f t="shared" si="26"/>
        <v>0.32615050588405037</v>
      </c>
      <c r="O120" s="1131">
        <f t="shared" si="26"/>
        <v>-8.7660674172335792E-2</v>
      </c>
      <c r="P120" s="1132">
        <f t="shared" si="26"/>
        <v>0.30985103942866765</v>
      </c>
      <c r="Q120" s="1130">
        <f t="shared" si="26"/>
        <v>0.30558583418722468</v>
      </c>
      <c r="R120" s="1131">
        <f t="shared" si="26"/>
        <v>-0.13620468181810452</v>
      </c>
      <c r="S120" s="1132">
        <f t="shared" si="26"/>
        <v>0.29018390059321952</v>
      </c>
      <c r="T120" s="1130">
        <f t="shared" si="26"/>
        <v>0.31922230141848357</v>
      </c>
      <c r="U120" s="1131">
        <f t="shared" si="26"/>
        <v>-0.13496032758973828</v>
      </c>
      <c r="V120" s="1132">
        <f t="shared" si="26"/>
        <v>0.30362227391248225</v>
      </c>
      <c r="W120" s="1124">
        <f t="shared" si="26"/>
        <v>1.3636467231258886E-2</v>
      </c>
      <c r="X120" s="1124">
        <f t="shared" si="26"/>
        <v>4.4624016252350789E-2</v>
      </c>
      <c r="Y120" s="1133" t="str">
        <f t="shared" si="26"/>
        <v>A</v>
      </c>
      <c r="Z120" s="1134" t="str">
        <f>VLOOKUP($B120,$B$7:$AC$28,Z$37+1,FALSE)</f>
        <v>=  =  -</v>
      </c>
      <c r="AA120" s="1128">
        <f t="shared" si="27"/>
        <v>2.1579177629636748</v>
      </c>
      <c r="AB120" s="1135">
        <f t="shared" si="27"/>
        <v>6.0078851309961184E-2</v>
      </c>
      <c r="AC120" s="1129">
        <f t="shared" si="27"/>
        <v>2.3009327536910358</v>
      </c>
      <c r="AE120" s="2024" t="s">
        <v>290</v>
      </c>
      <c r="AF120" s="1763">
        <f>CALCULATIONS!EH25</f>
        <v>6.8029538461538461</v>
      </c>
      <c r="AG120" s="136">
        <f t="shared" si="28"/>
        <v>-3.4175098983784125E-3</v>
      </c>
    </row>
    <row r="121" spans="1:33">
      <c r="A121" s="1155" t="s">
        <v>73</v>
      </c>
      <c r="B121" s="73" t="s">
        <v>285</v>
      </c>
      <c r="C121" s="1149">
        <f t="shared" si="25"/>
        <v>2461.5190857142857</v>
      </c>
      <c r="D121" s="1150">
        <f t="shared" si="25"/>
        <v>6.3070112903421734E-3</v>
      </c>
      <c r="E121" s="1124">
        <f t="shared" si="25"/>
        <v>6.738754525599433E-2</v>
      </c>
      <c r="F121" s="1124">
        <f t="shared" si="25"/>
        <v>0.16916312416163326</v>
      </c>
      <c r="G121" s="1125">
        <f t="shared" si="25"/>
        <v>2364.3629999999998</v>
      </c>
      <c r="H121" s="1126">
        <f t="shared" si="25"/>
        <v>6.5473828033777437E-3</v>
      </c>
      <c r="I121" s="1127">
        <f t="shared" si="25"/>
        <v>3.1397518024733277</v>
      </c>
      <c r="J121" s="1127">
        <f t="shared" si="25"/>
        <v>3.0995844257996854</v>
      </c>
      <c r="K121" s="132">
        <f t="shared" si="25"/>
        <v>6.7052926466266065</v>
      </c>
      <c r="L121" s="1124">
        <f t="shared" si="25"/>
        <v>0.14721542174528052</v>
      </c>
      <c r="M121" s="1129">
        <f t="shared" si="26"/>
        <v>7.0127743881429545</v>
      </c>
      <c r="N121" s="1130">
        <f t="shared" si="26"/>
        <v>0.62657499999999999</v>
      </c>
      <c r="O121" s="1131">
        <f t="shared" si="26"/>
        <v>5.5614710459497153E-2</v>
      </c>
      <c r="P121" s="1132">
        <f t="shared" si="26"/>
        <v>0.64439999999999997</v>
      </c>
      <c r="Q121" s="1130">
        <f t="shared" si="26"/>
        <v>0.24190098439360719</v>
      </c>
      <c r="R121" s="1131">
        <f t="shared" si="26"/>
        <v>0.20667512064869559</v>
      </c>
      <c r="S121" s="1132">
        <f t="shared" si="26"/>
        <v>0.30597960586046052</v>
      </c>
      <c r="T121" s="1130">
        <f t="shared" si="26"/>
        <v>0.2616424852780464</v>
      </c>
      <c r="U121" s="1131">
        <f t="shared" si="26"/>
        <v>0.20296552626351777</v>
      </c>
      <c r="V121" s="1132">
        <f t="shared" si="26"/>
        <v>0.32061814749302248</v>
      </c>
      <c r="W121" s="1124">
        <f t="shared" si="26"/>
        <v>1.9741500884439211E-2</v>
      </c>
      <c r="X121" s="1124">
        <f t="shared" si="26"/>
        <v>8.1609841042717679E-2</v>
      </c>
      <c r="Y121" s="1133" t="str">
        <f t="shared" si="26"/>
        <v>BBB</v>
      </c>
      <c r="Z121" s="1134" t="str">
        <f>VLOOKUP($B121,$B$7:$AC$28,Z$37+1,FALSE)</f>
        <v>=  =  -</v>
      </c>
      <c r="AA121" s="1128">
        <f t="shared" si="27"/>
        <v>1.7511002028712532</v>
      </c>
      <c r="AB121" s="1135">
        <f t="shared" si="27"/>
        <v>0.37093258903528414</v>
      </c>
      <c r="AC121" s="1129">
        <f t="shared" si="27"/>
        <v>2.2311132077757287</v>
      </c>
      <c r="AE121" s="2024" t="s">
        <v>285</v>
      </c>
      <c r="AF121" s="1763">
        <f>CALCULATIONS!EH12</f>
        <v>6.7117230769230778</v>
      </c>
      <c r="AG121" s="136">
        <f t="shared" si="28"/>
        <v>-6.430430296471279E-3</v>
      </c>
    </row>
    <row r="122" spans="1:33">
      <c r="A122" s="1155" t="s">
        <v>507</v>
      </c>
      <c r="B122" s="73" t="s">
        <v>282</v>
      </c>
      <c r="C122" s="1149">
        <f t="shared" si="25"/>
        <v>5769.8566757446433</v>
      </c>
      <c r="D122" s="1150">
        <f t="shared" si="25"/>
        <v>1.4783777793466828E-2</v>
      </c>
      <c r="E122" s="1124">
        <f t="shared" si="25"/>
        <v>-0.24705029723080094</v>
      </c>
      <c r="F122" s="1124">
        <f t="shared" si="25"/>
        <v>-0.14527471832516198</v>
      </c>
      <c r="G122" s="1125">
        <f t="shared" si="25"/>
        <v>4026.3480952657014</v>
      </c>
      <c r="H122" s="1126">
        <f t="shared" si="25"/>
        <v>1.1149744044952231E-2</v>
      </c>
      <c r="I122" s="1127">
        <f t="shared" si="25"/>
        <v>2.446298838298576</v>
      </c>
      <c r="J122" s="1127">
        <f t="shared" si="25"/>
        <v>1.6476276710656086</v>
      </c>
      <c r="K122" s="132">
        <f t="shared" si="25"/>
        <v>6.6837223425180285</v>
      </c>
      <c r="L122" s="1124">
        <f t="shared" si="25"/>
        <v>1.2127469272410992E-3</v>
      </c>
      <c r="M122" s="1129">
        <f t="shared" si="26"/>
        <v>5.5145354419406587</v>
      </c>
      <c r="N122" s="1130">
        <f t="shared" si="26"/>
        <v>0.67083419702973635</v>
      </c>
      <c r="O122" s="1131">
        <f t="shared" si="26"/>
        <v>-0.11335389957676706</v>
      </c>
      <c r="P122" s="1132">
        <f t="shared" si="26"/>
        <v>0.63639387890884902</v>
      </c>
      <c r="Q122" s="1130">
        <f t="shared" si="26"/>
        <v>0.1536920907726812</v>
      </c>
      <c r="R122" s="1131">
        <f t="shared" si="26"/>
        <v>1.6283818604559013</v>
      </c>
      <c r="S122" s="1132">
        <f t="shared" si="26"/>
        <v>0.2022242346359609</v>
      </c>
      <c r="T122" s="1130">
        <f t="shared" si="26"/>
        <v>0.20961441125119315</v>
      </c>
      <c r="U122" s="1131">
        <f t="shared" si="26"/>
        <v>0.84200521424561081</v>
      </c>
      <c r="V122" s="1132">
        <f t="shared" si="26"/>
        <v>0.28147528322389997</v>
      </c>
      <c r="W122" s="1124">
        <f t="shared" si="26"/>
        <v>5.592232047851195E-2</v>
      </c>
      <c r="X122" s="1124">
        <f t="shared" si="26"/>
        <v>0.36385945559959909</v>
      </c>
      <c r="Y122" s="1133" t="str">
        <f t="shared" si="26"/>
        <v>Not rated</v>
      </c>
      <c r="Z122" s="1134"/>
      <c r="AA122" s="1128">
        <f t="shared" si="27"/>
        <v>1.4399592566697517</v>
      </c>
      <c r="AB122" s="1135">
        <f t="shared" si="27"/>
        <v>0.8442860967329926</v>
      </c>
      <c r="AC122" s="1129">
        <f t="shared" si="27"/>
        <v>1.5521418473212367</v>
      </c>
      <c r="AE122" s="2024" t="s">
        <v>282</v>
      </c>
      <c r="AF122" s="1763">
        <f>CALCULATIONS!EH24</f>
        <v>6.700453846153847</v>
      </c>
      <c r="AG122" s="136">
        <f t="shared" si="28"/>
        <v>-1.6731503635818434E-2</v>
      </c>
    </row>
    <row r="123" spans="1:33">
      <c r="A123" s="1155" t="s">
        <v>27</v>
      </c>
      <c r="B123" s="73" t="s">
        <v>54</v>
      </c>
      <c r="C123" s="1149">
        <f t="shared" si="25"/>
        <v>4745.1447857142857</v>
      </c>
      <c r="D123" s="1150">
        <f t="shared" si="25"/>
        <v>1.2158216408516635E-2</v>
      </c>
      <c r="E123" s="1124">
        <f t="shared" si="25"/>
        <v>-0.63447330491761056</v>
      </c>
      <c r="F123" s="1124">
        <f t="shared" si="25"/>
        <v>-0.53269772601197163</v>
      </c>
      <c r="G123" s="1125">
        <f t="shared" si="25"/>
        <v>2680.5724</v>
      </c>
      <c r="H123" s="1126">
        <f t="shared" si="25"/>
        <v>7.4230283738025878E-3</v>
      </c>
      <c r="I123" s="1127">
        <f t="shared" si="25"/>
        <v>1.3569881249181368</v>
      </c>
      <c r="J123" s="1127">
        <f t="shared" si="25"/>
        <v>1.0332545966156574</v>
      </c>
      <c r="K123" s="132">
        <f t="shared" si="25"/>
        <v>6.4063105209788551</v>
      </c>
      <c r="L123" s="1124">
        <f t="shared" si="25"/>
        <v>-0.24924595564935845</v>
      </c>
      <c r="M123" s="1129">
        <f t="shared" si="26"/>
        <v>5.3369406950798908</v>
      </c>
      <c r="N123" s="1130">
        <f t="shared" si="26"/>
        <v>0.48460704112825509</v>
      </c>
      <c r="O123" s="1131">
        <f t="shared" si="26"/>
        <v>-0.18079580514885477</v>
      </c>
      <c r="P123" s="1132">
        <f t="shared" si="26"/>
        <v>0.49497857034449522</v>
      </c>
      <c r="Q123" s="1130">
        <f t="shared" si="26"/>
        <v>0.56717095077467305</v>
      </c>
      <c r="R123" s="1131">
        <f t="shared" si="26"/>
        <v>0.64731222518720821</v>
      </c>
      <c r="S123" s="1132">
        <f t="shared" si="26"/>
        <v>0.74754623070756221</v>
      </c>
      <c r="T123" s="1130">
        <f t="shared" si="26"/>
        <v>0.5748403529709204</v>
      </c>
      <c r="U123" s="1131">
        <f t="shared" si="26"/>
        <v>0.5906099669472562</v>
      </c>
      <c r="V123" s="1132">
        <f t="shared" si="26"/>
        <v>0.7506672643344422</v>
      </c>
      <c r="W123" s="1124">
        <f t="shared" si="26"/>
        <v>7.6694021962473435E-3</v>
      </c>
      <c r="X123" s="1124">
        <f t="shared" si="26"/>
        <v>1.3522205581530675E-2</v>
      </c>
      <c r="Y123" s="1133" t="str">
        <f t="shared" si="26"/>
        <v>BBB-</v>
      </c>
      <c r="Z123" s="1134" t="str">
        <f>VLOOKUP($B123,$B$7:$AC$28,Z$37+1,FALSE)</f>
        <v>¯  ¯ ¯</v>
      </c>
      <c r="AA123" s="1128">
        <f t="shared" si="27"/>
        <v>3.4278891827637503</v>
      </c>
      <c r="AB123" s="1135">
        <f t="shared" si="27"/>
        <v>0.24423537898737996</v>
      </c>
      <c r="AC123" s="1129">
        <f t="shared" si="27"/>
        <v>3.8230610288109381</v>
      </c>
      <c r="AE123" s="2024" t="s">
        <v>54</v>
      </c>
      <c r="AF123" s="1763">
        <f>CALCULATIONS!EH20</f>
        <v>6.4140395313242591</v>
      </c>
      <c r="AG123" s="136">
        <f t="shared" si="28"/>
        <v>-7.7290103454039638E-3</v>
      </c>
    </row>
    <row r="124" spans="1:33">
      <c r="A124" s="1155" t="s">
        <v>545</v>
      </c>
      <c r="B124" s="73" t="s">
        <v>39</v>
      </c>
      <c r="C124" s="1149">
        <f t="shared" si="25"/>
        <v>5059.5155870714543</v>
      </c>
      <c r="D124" s="1150">
        <f t="shared" si="25"/>
        <v>1.2963710952524294E-2</v>
      </c>
      <c r="E124" s="1124">
        <f t="shared" si="25"/>
        <v>-0.13366823909704381</v>
      </c>
      <c r="F124" s="1124">
        <f t="shared" si="25"/>
        <v>-3.1892660191404867E-2</v>
      </c>
      <c r="G124" s="1125">
        <f t="shared" si="25"/>
        <v>5057.8123335929276</v>
      </c>
      <c r="H124" s="1126">
        <f t="shared" si="25"/>
        <v>1.4006069920599414E-2</v>
      </c>
      <c r="I124" s="1127">
        <f t="shared" si="25"/>
        <v>1.6858649053444912</v>
      </c>
      <c r="J124" s="1127">
        <f t="shared" si="25"/>
        <v>1.7703056194544857</v>
      </c>
      <c r="K124" s="132">
        <f t="shared" si="25"/>
        <v>5.8927844479191869</v>
      </c>
      <c r="L124" s="1124">
        <f t="shared" si="25"/>
        <v>-0.19036897853308513</v>
      </c>
      <c r="M124" s="1129">
        <f t="shared" si="26"/>
        <v>5.9052222685092017</v>
      </c>
      <c r="N124" s="1130">
        <f t="shared" si="26"/>
        <v>0.31054928118178421</v>
      </c>
      <c r="O124" s="1131">
        <f t="shared" si="26"/>
        <v>-0.11491916916279199</v>
      </c>
      <c r="P124" s="1132">
        <f t="shared" si="26"/>
        <v>0.28165979767703259</v>
      </c>
      <c r="Q124" s="1130">
        <f t="shared" si="26"/>
        <v>0.3899242463002407</v>
      </c>
      <c r="R124" s="1131">
        <f t="shared" si="26"/>
        <v>-0.1197676600756727</v>
      </c>
      <c r="S124" s="1132">
        <f t="shared" si="26"/>
        <v>0.37944762378701169</v>
      </c>
      <c r="T124" s="1130">
        <f t="shared" si="26"/>
        <v>0.45093517146474416</v>
      </c>
      <c r="U124" s="1131">
        <f t="shared" si="26"/>
        <v>-8.3572610535330494E-2</v>
      </c>
      <c r="V124" s="1132">
        <f t="shared" si="26"/>
        <v>0.43916945384982109</v>
      </c>
      <c r="W124" s="1124">
        <f t="shared" si="26"/>
        <v>6.101092516450346E-2</v>
      </c>
      <c r="X124" s="1124">
        <f t="shared" si="26"/>
        <v>0.15646866216553562</v>
      </c>
      <c r="Y124" s="1133" t="str">
        <f t="shared" si="26"/>
        <v>BBB</v>
      </c>
      <c r="Z124" s="1134" t="str">
        <f>VLOOKUP($B124,$B$7:$AC$28,Z$37+1,FALSE)</f>
        <v>­  = =</v>
      </c>
      <c r="AA124" s="1128">
        <f t="shared" si="27"/>
        <v>2.6587814840492587</v>
      </c>
      <c r="AB124" s="1135">
        <f t="shared" si="27"/>
        <v>-0.25803195656746131</v>
      </c>
      <c r="AC124" s="1129">
        <f t="shared" si="27"/>
        <v>2.5933932385229874</v>
      </c>
      <c r="AE124" s="2024" t="s">
        <v>39</v>
      </c>
      <c r="AF124" s="1763">
        <f>CALCULATIONS!EH10</f>
        <v>5.8423769230769222</v>
      </c>
      <c r="AG124" s="136">
        <f t="shared" si="28"/>
        <v>5.0407524842264628E-2</v>
      </c>
    </row>
    <row r="125" spans="1:33">
      <c r="A125" s="1155" t="s">
        <v>504</v>
      </c>
      <c r="B125" s="73" t="s">
        <v>281</v>
      </c>
      <c r="C125" s="1149">
        <f t="shared" si="25"/>
        <v>20617.292984255655</v>
      </c>
      <c r="D125" s="1150">
        <f t="shared" si="25"/>
        <v>5.2826525044090682E-2</v>
      </c>
      <c r="E125" s="1124">
        <f t="shared" si="25"/>
        <v>0.37985561177970401</v>
      </c>
      <c r="F125" s="1124">
        <f t="shared" si="25"/>
        <v>0.48163119068534294</v>
      </c>
      <c r="G125" s="1125">
        <f t="shared" si="25"/>
        <v>23766.623796323693</v>
      </c>
      <c r="H125" s="1126">
        <f t="shared" si="25"/>
        <v>6.5814421871090864E-2</v>
      </c>
      <c r="I125" s="1127">
        <f t="shared" si="25"/>
        <v>1.8990159277875758</v>
      </c>
      <c r="J125" s="1127">
        <f t="shared" si="25"/>
        <v>2.509154465418888</v>
      </c>
      <c r="K125" s="132">
        <f t="shared" si="25"/>
        <v>5.8033589040079683</v>
      </c>
      <c r="L125" s="1124">
        <f t="shared" si="25"/>
        <v>4.5724350121793801E-2</v>
      </c>
      <c r="M125" s="1129">
        <f t="shared" si="26"/>
        <v>6.1939465303838475</v>
      </c>
      <c r="N125" s="1130">
        <f t="shared" si="26"/>
        <v>0.7344324868237998</v>
      </c>
      <c r="O125" s="1131">
        <f t="shared" si="26"/>
        <v>0.10784712869930438</v>
      </c>
      <c r="P125" s="1132">
        <f t="shared" si="26"/>
        <v>0.74956908795771016</v>
      </c>
      <c r="Q125" s="1130">
        <f t="shared" si="26"/>
        <v>0.14726898954609682</v>
      </c>
      <c r="R125" s="1131">
        <f t="shared" si="26"/>
        <v>4.9939774449528171E-2</v>
      </c>
      <c r="S125" s="1132">
        <f t="shared" si="26"/>
        <v>0.17272839211728983</v>
      </c>
      <c r="T125" s="1130">
        <f t="shared" si="26"/>
        <v>0.18443136241749356</v>
      </c>
      <c r="U125" s="1131">
        <f t="shared" si="26"/>
        <v>-5.7258906752796622E-2</v>
      </c>
      <c r="V125" s="1132">
        <f t="shared" si="26"/>
        <v>0.198117589718218</v>
      </c>
      <c r="W125" s="1124">
        <f t="shared" si="26"/>
        <v>3.7162372871396732E-2</v>
      </c>
      <c r="X125" s="1124">
        <f t="shared" si="26"/>
        <v>0.25234350412762557</v>
      </c>
      <c r="Y125" s="1133" t="str">
        <f t="shared" si="26"/>
        <v>A-</v>
      </c>
      <c r="Z125" s="1134" t="str">
        <f>VLOOKUP($B125,$B$7:$AC$28,Z$37+1,FALSE)</f>
        <v>=  =  -</v>
      </c>
      <c r="AA125" s="1128">
        <f t="shared" si="27"/>
        <v>1.0395975936863313</v>
      </c>
      <c r="AB125" s="1135">
        <f t="shared" si="27"/>
        <v>2.9438923535487854E-2</v>
      </c>
      <c r="AC125" s="1129">
        <f t="shared" si="27"/>
        <v>1.2087727199953455</v>
      </c>
      <c r="AE125" s="2024" t="s">
        <v>281</v>
      </c>
      <c r="AF125" s="1763">
        <f>CALCULATIONS!EH17</f>
        <v>5.7751384615384618</v>
      </c>
      <c r="AG125" s="136">
        <f t="shared" si="28"/>
        <v>2.8220442469506501E-2</v>
      </c>
    </row>
    <row r="126" spans="1:33">
      <c r="A126" s="1155" t="s">
        <v>219</v>
      </c>
      <c r="B126" s="73" t="s">
        <v>53</v>
      </c>
      <c r="C126" s="1149">
        <f t="shared" si="25"/>
        <v>60036.853628571422</v>
      </c>
      <c r="D126" s="1150">
        <f t="shared" si="25"/>
        <v>0.15382903828354536</v>
      </c>
      <c r="E126" s="1124">
        <f t="shared" si="25"/>
        <v>-0.3618479655094986</v>
      </c>
      <c r="F126" s="1124">
        <f t="shared" si="25"/>
        <v>-0.26007238660385967</v>
      </c>
      <c r="G126" s="1125">
        <f t="shared" si="25"/>
        <v>44430.485000000001</v>
      </c>
      <c r="H126" s="1126">
        <f t="shared" si="25"/>
        <v>0.1230366882897139</v>
      </c>
      <c r="I126" s="1127">
        <f t="shared" si="25"/>
        <v>2.2644833808097031</v>
      </c>
      <c r="J126" s="1127">
        <f t="shared" si="25"/>
        <v>1.7716210773954304</v>
      </c>
      <c r="K126" s="132">
        <f t="shared" si="25"/>
        <v>5.6943354572509941</v>
      </c>
      <c r="L126" s="1124">
        <f t="shared" si="25"/>
        <v>-7.3155042359885195E-2</v>
      </c>
      <c r="M126" s="1129">
        <f t="shared" si="26"/>
        <v>5.1937231412225326</v>
      </c>
      <c r="N126" s="1130">
        <f t="shared" si="26"/>
        <v>0.6158872479982318</v>
      </c>
      <c r="O126" s="1131">
        <f t="shared" si="26"/>
        <v>0.11044311863454735</v>
      </c>
      <c r="P126" s="1132">
        <f t="shared" si="26"/>
        <v>0.66127040038880336</v>
      </c>
      <c r="Q126" s="1130">
        <f t="shared" si="26"/>
        <v>0.48384306036910518</v>
      </c>
      <c r="R126" s="1131">
        <f t="shared" si="26"/>
        <v>0.2595878527386451</v>
      </c>
      <c r="S126" s="1132">
        <f t="shared" si="26"/>
        <v>0.54381370963962039</v>
      </c>
      <c r="T126" s="1130">
        <f t="shared" si="26"/>
        <v>0.51513010935716153</v>
      </c>
      <c r="U126" s="1131">
        <f t="shared" si="26"/>
        <v>0.26130995158024306</v>
      </c>
      <c r="V126" s="1132">
        <f t="shared" si="26"/>
        <v>0.57929804018594233</v>
      </c>
      <c r="W126" s="1124">
        <f t="shared" si="26"/>
        <v>3.1287048988056343E-2</v>
      </c>
      <c r="X126" s="1124">
        <f t="shared" si="26"/>
        <v>6.4663630732222685E-2</v>
      </c>
      <c r="Y126" s="1133" t="str">
        <f t="shared" si="26"/>
        <v>BBB</v>
      </c>
      <c r="Z126" s="1134" t="str">
        <f>VLOOKUP($B126,$B$7:$AC$28,Z$37+1,FALSE)</f>
        <v>¯  ¯ ¯</v>
      </c>
      <c r="AA126" s="1128">
        <f t="shared" si="27"/>
        <v>2.7929780820851775</v>
      </c>
      <c r="AB126" s="1135">
        <f t="shared" si="27"/>
        <v>0.12404595260605845</v>
      </c>
      <c r="AC126" s="1129">
        <f t="shared" si="27"/>
        <v>2.8353348809740444</v>
      </c>
      <c r="AE126" s="2024" t="s">
        <v>53</v>
      </c>
      <c r="AF126" s="1763">
        <f>CALCULATIONS!EH11</f>
        <v>5.6540307692307685</v>
      </c>
      <c r="AG126" s="136">
        <f t="shared" si="28"/>
        <v>4.0304688020225576E-2</v>
      </c>
    </row>
    <row r="127" spans="1:33">
      <c r="A127" s="1155" t="s">
        <v>502</v>
      </c>
      <c r="B127" s="73" t="s">
        <v>52</v>
      </c>
      <c r="C127" s="1149">
        <f t="shared" ref="C127:L137" si="29">VLOOKUP($B127,$B$7:$AC$28,C$37+1,FALSE)</f>
        <v>40464.923042857146</v>
      </c>
      <c r="D127" s="1150">
        <f t="shared" si="29"/>
        <v>0.1036809862557167</v>
      </c>
      <c r="E127" s="1124">
        <f t="shared" si="29"/>
        <v>-6.1458653761923776E-2</v>
      </c>
      <c r="F127" s="1124">
        <f t="shared" si="29"/>
        <v>4.0316925143715168E-2</v>
      </c>
      <c r="G127" s="1125">
        <f t="shared" si="29"/>
        <v>39791.94</v>
      </c>
      <c r="H127" s="1126">
        <f t="shared" si="29"/>
        <v>0.1101916514803518</v>
      </c>
      <c r="I127" s="1127">
        <f t="shared" si="29"/>
        <v>1.0840589348936991</v>
      </c>
      <c r="J127" s="1127">
        <f t="shared" si="29"/>
        <v>1.2733420800000002</v>
      </c>
      <c r="K127" s="132">
        <f t="shared" si="29"/>
        <v>4.9905713850513198</v>
      </c>
      <c r="L127" s="1124">
        <f t="shared" si="29"/>
        <v>0.1448238320606966</v>
      </c>
      <c r="M127" s="1129">
        <f t="shared" ref="M127:Y137" si="30">VLOOKUP($B127,$B$7:$AC$28,M$37+1,FALSE)</f>
        <v>5.2964626193065953</v>
      </c>
      <c r="N127" s="1130">
        <f t="shared" si="30"/>
        <v>0.61</v>
      </c>
      <c r="O127" s="1131">
        <f t="shared" si="30"/>
        <v>0</v>
      </c>
      <c r="P127" s="1132">
        <f t="shared" si="30"/>
        <v>0.62983042679437373</v>
      </c>
      <c r="Q127" s="1130">
        <f t="shared" si="30"/>
        <v>0.51528895508035288</v>
      </c>
      <c r="R127" s="1131">
        <f t="shared" si="30"/>
        <v>-2.4931247740904369E-2</v>
      </c>
      <c r="S127" s="1132">
        <f t="shared" si="30"/>
        <v>0.51939744871548044</v>
      </c>
      <c r="T127" s="1130">
        <f t="shared" si="30"/>
        <v>0.58808850315066874</v>
      </c>
      <c r="U127" s="1131">
        <f t="shared" si="30"/>
        <v>-2.8226553900756759E-2</v>
      </c>
      <c r="V127" s="1132">
        <f t="shared" si="30"/>
        <v>0.59074959904524027</v>
      </c>
      <c r="W127" s="1124">
        <f t="shared" si="30"/>
        <v>7.2799548070315856E-2</v>
      </c>
      <c r="X127" s="1124">
        <f t="shared" si="30"/>
        <v>0.14127907721011346</v>
      </c>
      <c r="Y127" s="1133" t="str">
        <f t="shared" si="30"/>
        <v>BBB+</v>
      </c>
      <c r="Z127" s="1134" t="str">
        <f>VLOOKUP($B127,$B$7:$AC$28,Z$37+1,FALSE)</f>
        <v>=  =  =</v>
      </c>
      <c r="AA127" s="1128">
        <f t="shared" si="27"/>
        <v>2.7906818261625395</v>
      </c>
      <c r="AB127" s="1135">
        <f t="shared" si="27"/>
        <v>8.5841806528642844E-2</v>
      </c>
      <c r="AC127" s="1129">
        <f t="shared" si="27"/>
        <v>2.9178287645268703</v>
      </c>
      <c r="AE127" s="2024" t="s">
        <v>44</v>
      </c>
      <c r="AF127" s="1763">
        <f>CALCULATIONS!EH18</f>
        <v>4.8451615384615376</v>
      </c>
      <c r="AG127" s="136">
        <f t="shared" si="28"/>
        <v>0.14540984658978218</v>
      </c>
    </row>
    <row r="128" spans="1:33">
      <c r="A128" s="1156" t="s">
        <v>323</v>
      </c>
      <c r="B128" s="726" t="s">
        <v>773</v>
      </c>
      <c r="C128" s="1151">
        <f t="shared" si="29"/>
        <v>2121.4584571428572</v>
      </c>
      <c r="D128" s="1152">
        <f t="shared" si="29"/>
        <v>5.4356931534045982E-3</v>
      </c>
      <c r="E128" s="1136">
        <f t="shared" si="29"/>
        <v>-0.63331383871554725</v>
      </c>
      <c r="F128" s="1136">
        <f t="shared" si="29"/>
        <v>-0.53153825980990832</v>
      </c>
      <c r="G128" s="1137">
        <f t="shared" si="29"/>
        <v>960.23059999999998</v>
      </c>
      <c r="H128" s="1138">
        <f t="shared" si="29"/>
        <v>2.6590660223142948E-3</v>
      </c>
      <c r="I128" s="1139">
        <f t="shared" si="29"/>
        <v>6.3820660890696566</v>
      </c>
      <c r="J128" s="1139">
        <f t="shared" si="29"/>
        <v>3.126768479322696</v>
      </c>
      <c r="K128" s="1074">
        <f t="shared" si="29"/>
        <v>4.9107929634600707</v>
      </c>
      <c r="L128" s="1136">
        <f t="shared" si="29"/>
        <v>-0.2975700901517318</v>
      </c>
      <c r="M128" s="1141">
        <f t="shared" si="30"/>
        <v>3.6764587184436395</v>
      </c>
      <c r="N128" s="1142">
        <f t="shared" si="30"/>
        <v>0.95644485424869818</v>
      </c>
      <c r="O128" s="1143">
        <f t="shared" si="30"/>
        <v>5.7346309608293736E-3</v>
      </c>
      <c r="P128" s="1144">
        <f t="shared" si="30"/>
        <v>0.97265268915223335</v>
      </c>
      <c r="Q128" s="1142">
        <f t="shared" si="30"/>
        <v>0.16489915086810925</v>
      </c>
      <c r="R128" s="1143">
        <f t="shared" si="30"/>
        <v>2.0043608623878186</v>
      </c>
      <c r="S128" s="1144">
        <f t="shared" si="30"/>
        <v>0.32988338723452482</v>
      </c>
      <c r="T128" s="1142">
        <f t="shared" si="30"/>
        <v>0.27218937885351913</v>
      </c>
      <c r="U128" s="1143">
        <f t="shared" si="30"/>
        <v>1.2181747217666232</v>
      </c>
      <c r="V128" s="1144">
        <f t="shared" si="30"/>
        <v>0.4561905930983241</v>
      </c>
      <c r="W128" s="1136">
        <f t="shared" si="30"/>
        <v>0.10729022798540988</v>
      </c>
      <c r="X128" s="1136">
        <f t="shared" si="30"/>
        <v>0.65064148250965514</v>
      </c>
      <c r="Y128" s="1145" t="str">
        <f t="shared" si="30"/>
        <v>Not rated</v>
      </c>
      <c r="Z128" s="1146"/>
      <c r="AA128" s="1140">
        <f t="shared" si="27"/>
        <v>1.2440956586918632</v>
      </c>
      <c r="AB128" s="1147">
        <f t="shared" si="27"/>
        <v>0.5581122698382367</v>
      </c>
      <c r="AC128" s="1141">
        <f t="shared" si="27"/>
        <v>1.6771658832683087</v>
      </c>
      <c r="AE128" s="2025" t="s">
        <v>772</v>
      </c>
      <c r="AF128" s="2372">
        <f>CALCULATIONS!EH7</f>
        <v>4.8064307692307704</v>
      </c>
      <c r="AG128" s="3142">
        <f t="shared" si="28"/>
        <v>0.10436219422930026</v>
      </c>
    </row>
    <row r="129" spans="1:33">
      <c r="A129" s="1155" t="s">
        <v>505</v>
      </c>
      <c r="B129" s="73" t="s">
        <v>44</v>
      </c>
      <c r="C129" s="1149">
        <f t="shared" si="29"/>
        <v>12234.494271428572</v>
      </c>
      <c r="D129" s="1150">
        <f t="shared" si="29"/>
        <v>3.1347753486597643E-2</v>
      </c>
      <c r="E129" s="1124">
        <f t="shared" si="29"/>
        <v>-0.59766521701552</v>
      </c>
      <c r="F129" s="1124">
        <f t="shared" si="29"/>
        <v>-0.49588963810988107</v>
      </c>
      <c r="G129" s="1125">
        <f t="shared" si="29"/>
        <v>6819.5967000000001</v>
      </c>
      <c r="H129" s="1126">
        <f t="shared" si="29"/>
        <v>1.8884794830384175E-2</v>
      </c>
      <c r="I129" s="1127">
        <f t="shared" si="29"/>
        <v>3.9295455833111754</v>
      </c>
      <c r="J129" s="1127">
        <f t="shared" si="29"/>
        <v>1.2175677021960365</v>
      </c>
      <c r="K129" s="132">
        <f t="shared" si="29"/>
        <v>4.9270605931091591</v>
      </c>
      <c r="L129" s="1124">
        <f t="shared" si="29"/>
        <v>-0.26680842971581226</v>
      </c>
      <c r="M129" s="1129">
        <f t="shared" si="30"/>
        <v>4.0325018858098245</v>
      </c>
      <c r="N129" s="1130">
        <f t="shared" si="30"/>
        <v>0.5805147103617575</v>
      </c>
      <c r="O129" s="1131">
        <f t="shared" si="30"/>
        <v>8.4948466413752491E-2</v>
      </c>
      <c r="P129" s="1132">
        <f t="shared" si="30"/>
        <v>0.6264024463118032</v>
      </c>
      <c r="Q129" s="1130">
        <f t="shared" si="30"/>
        <v>0.51826084585195908</v>
      </c>
      <c r="R129" s="1131">
        <f t="shared" si="30"/>
        <v>0.40005999871326348</v>
      </c>
      <c r="S129" s="1132">
        <f t="shared" si="30"/>
        <v>0.58973938770950263</v>
      </c>
      <c r="T129" s="1130">
        <f t="shared" si="30"/>
        <v>0.5495689942142129</v>
      </c>
      <c r="U129" s="1131">
        <f t="shared" si="30"/>
        <v>0.40637993517884302</v>
      </c>
      <c r="V129" s="1132">
        <f t="shared" si="30"/>
        <v>0.63323863537070213</v>
      </c>
      <c r="W129" s="1124">
        <f t="shared" si="30"/>
        <v>3.1308148362253818E-2</v>
      </c>
      <c r="X129" s="1124">
        <f t="shared" si="30"/>
        <v>6.0410020577161203E-2</v>
      </c>
      <c r="Y129" s="1133" t="str">
        <f t="shared" si="30"/>
        <v>BBB-</v>
      </c>
      <c r="Z129" s="1134" t="str">
        <f t="shared" ref="Z129:Z135" si="31">VLOOKUP($B129,$B$7:$AC$28,Z$37+1,FALSE)</f>
        <v>=  ¯ =</v>
      </c>
      <c r="AA129" s="1128">
        <f t="shared" si="27"/>
        <v>2.643581803383519</v>
      </c>
      <c r="AB129" s="1135">
        <f t="shared" si="27"/>
        <v>2.8580691559688957E-2</v>
      </c>
      <c r="AC129" s="1129">
        <f t="shared" si="27"/>
        <v>2.5466878830879209</v>
      </c>
      <c r="AE129" s="2024" t="s">
        <v>52</v>
      </c>
      <c r="AF129" s="1763">
        <f>CALCULATIONS!EH5</f>
        <v>4.8039846153846151</v>
      </c>
      <c r="AG129" s="136">
        <f t="shared" si="28"/>
        <v>0.12307597772454404</v>
      </c>
    </row>
    <row r="130" spans="1:33">
      <c r="A130" s="1156" t="s">
        <v>323</v>
      </c>
      <c r="B130" s="726" t="s">
        <v>772</v>
      </c>
      <c r="C130" s="1151">
        <f t="shared" si="29"/>
        <v>7616.907214285714</v>
      </c>
      <c r="D130" s="1152">
        <f t="shared" si="29"/>
        <v>1.9516371039653539E-2</v>
      </c>
      <c r="E130" s="1136">
        <f t="shared" si="29"/>
        <v>-0.33365525120929096</v>
      </c>
      <c r="F130" s="1136">
        <f t="shared" si="29"/>
        <v>-0.23187967230365203</v>
      </c>
      <c r="G130" s="1137">
        <f t="shared" si="29"/>
        <v>5825.8631999999998</v>
      </c>
      <c r="H130" s="1138">
        <f t="shared" si="29"/>
        <v>1.6132952736323161E-2</v>
      </c>
      <c r="I130" s="1139">
        <f t="shared" si="29"/>
        <v>2.4107651340270966</v>
      </c>
      <c r="J130" s="1139">
        <f t="shared" si="29"/>
        <v>2.0327505931612002</v>
      </c>
      <c r="K130" s="1074">
        <f t="shared" si="29"/>
        <v>4.8426442674927213</v>
      </c>
      <c r="L130" s="1136">
        <f t="shared" si="29"/>
        <v>0.1951757211867983</v>
      </c>
      <c r="M130" s="1141">
        <f t="shared" si="30"/>
        <v>4.6619962755533297</v>
      </c>
      <c r="N130" s="1142">
        <f t="shared" si="30"/>
        <v>0.37158673775730477</v>
      </c>
      <c r="O130" s="1143">
        <f t="shared" si="30"/>
        <v>-0.1153634304384116</v>
      </c>
      <c r="P130" s="1144">
        <f t="shared" si="30"/>
        <v>0.36037883142173305</v>
      </c>
      <c r="Q130" s="1142">
        <f t="shared" si="30"/>
        <v>0.17383796150947908</v>
      </c>
      <c r="R130" s="1143">
        <f t="shared" si="30"/>
        <v>0.54445307336528614</v>
      </c>
      <c r="S130" s="1144">
        <f t="shared" si="30"/>
        <v>0.26356163003804695</v>
      </c>
      <c r="T130" s="1142">
        <f t="shared" si="30"/>
        <v>0.19702478682132593</v>
      </c>
      <c r="U130" s="1143">
        <f t="shared" si="30"/>
        <v>0.50034734616182497</v>
      </c>
      <c r="V130" s="1144">
        <f t="shared" si="30"/>
        <v>0.28756363720088318</v>
      </c>
      <c r="W130" s="1136">
        <f t="shared" si="30"/>
        <v>2.3186825311846848E-2</v>
      </c>
      <c r="X130" s="1136">
        <f t="shared" si="30"/>
        <v>0.13338182932260462</v>
      </c>
      <c r="Y130" s="1145" t="str">
        <f t="shared" si="30"/>
        <v>A</v>
      </c>
      <c r="Z130" s="1146" t="str">
        <f t="shared" si="31"/>
        <v>=  =  -</v>
      </c>
      <c r="AA130" s="1140">
        <f t="shared" si="27"/>
        <v>0.93248540191552354</v>
      </c>
      <c r="AB130" s="1147">
        <f t="shared" si="27"/>
        <v>0.78949919521054279</v>
      </c>
      <c r="AC130" s="1141">
        <f t="shared" si="27"/>
        <v>1.3109622071604587</v>
      </c>
      <c r="AE130" s="2025" t="s">
        <v>773</v>
      </c>
      <c r="AF130" s="2372">
        <f>CALCULATIONS!EH8</f>
        <v>4.7652692307692304</v>
      </c>
      <c r="AG130" s="3142">
        <f t="shared" si="28"/>
        <v>7.7375036723490886E-2</v>
      </c>
    </row>
    <row r="131" spans="1:33">
      <c r="A131" s="1155" t="s">
        <v>19</v>
      </c>
      <c r="B131" s="152" t="s">
        <v>288</v>
      </c>
      <c r="C131" s="1149">
        <f t="shared" si="29"/>
        <v>31174.883771428573</v>
      </c>
      <c r="D131" s="1150">
        <f t="shared" si="29"/>
        <v>7.9877643469276421E-2</v>
      </c>
      <c r="E131" s="1124">
        <f t="shared" si="29"/>
        <v>-0.49416922878378883</v>
      </c>
      <c r="F131" s="1124">
        <f t="shared" si="29"/>
        <v>-0.3923936498781499</v>
      </c>
      <c r="G131" s="1125">
        <f t="shared" si="29"/>
        <v>19124.593099999998</v>
      </c>
      <c r="H131" s="1126">
        <f t="shared" si="29"/>
        <v>5.2959732488004868E-2</v>
      </c>
      <c r="I131" s="1127">
        <f t="shared" si="29"/>
        <v>1.0546425468926217</v>
      </c>
      <c r="J131" s="1127">
        <f t="shared" si="29"/>
        <v>0.72989058468819168</v>
      </c>
      <c r="K131" s="132">
        <f t="shared" si="29"/>
        <v>4.7838493303826084</v>
      </c>
      <c r="L131" s="1124">
        <f t="shared" si="29"/>
        <v>-0.19812930900653591</v>
      </c>
      <c r="M131" s="1129">
        <f t="shared" si="30"/>
        <v>4.438539176760524</v>
      </c>
      <c r="N131" s="1130">
        <f t="shared" si="30"/>
        <v>0.60741568747204655</v>
      </c>
      <c r="O131" s="1131">
        <f t="shared" si="30"/>
        <v>4.0950219141690898E-2</v>
      </c>
      <c r="P131" s="1132">
        <f t="shared" si="30"/>
        <v>0.62738172243152124</v>
      </c>
      <c r="Q131" s="1130">
        <f t="shared" si="30"/>
        <v>0.50834561454306215</v>
      </c>
      <c r="R131" s="1131">
        <f t="shared" si="30"/>
        <v>0.27477182203191691</v>
      </c>
      <c r="S131" s="1132">
        <f t="shared" si="30"/>
        <v>0.61196382356206247</v>
      </c>
      <c r="T131" s="1130">
        <f t="shared" si="30"/>
        <v>0.54898628094174651</v>
      </c>
      <c r="U131" s="1131">
        <f t="shared" si="30"/>
        <v>0.26756473067663017</v>
      </c>
      <c r="V131" s="1132">
        <f t="shared" si="30"/>
        <v>0.65530118542007598</v>
      </c>
      <c r="W131" s="1124">
        <f t="shared" si="30"/>
        <v>4.0640666398684355E-2</v>
      </c>
      <c r="X131" s="1124">
        <f t="shared" si="30"/>
        <v>7.9946920433679999E-2</v>
      </c>
      <c r="Y131" s="1133" t="str">
        <f t="shared" si="30"/>
        <v>BBB+</v>
      </c>
      <c r="Z131" s="1134" t="str">
        <f t="shared" si="31"/>
        <v>=  ¯ ¯</v>
      </c>
      <c r="AA131" s="1128">
        <f t="shared" si="27"/>
        <v>2.5321561588471506</v>
      </c>
      <c r="AB131" s="1135">
        <f t="shared" si="27"/>
        <v>1.3257606300410854E-2</v>
      </c>
      <c r="AC131" s="1129">
        <f t="shared" si="27"/>
        <v>2.8138910595815916</v>
      </c>
      <c r="AE131" s="2024" t="s">
        <v>288</v>
      </c>
      <c r="AF131" s="1763">
        <f>CALCULATIONS!EH14</f>
        <v>4.6694538461538473</v>
      </c>
      <c r="AG131" s="136">
        <f t="shared" si="28"/>
        <v>0.11439548422876111</v>
      </c>
    </row>
    <row r="132" spans="1:33">
      <c r="A132" s="1155" t="s">
        <v>32</v>
      </c>
      <c r="B132" s="73" t="s">
        <v>50</v>
      </c>
      <c r="C132" s="1149">
        <f t="shared" si="29"/>
        <v>19515.355899391296</v>
      </c>
      <c r="D132" s="1150">
        <f t="shared" si="29"/>
        <v>5.0003093905237848E-2</v>
      </c>
      <c r="E132" s="1124">
        <f t="shared" si="29"/>
        <v>1.1994936816856254</v>
      </c>
      <c r="F132" s="1124">
        <f t="shared" si="29"/>
        <v>1.3012692605912644</v>
      </c>
      <c r="G132" s="1125">
        <f t="shared" si="29"/>
        <v>28491.576306321644</v>
      </c>
      <c r="H132" s="1126">
        <f t="shared" si="29"/>
        <v>7.8898737947233621E-2</v>
      </c>
      <c r="I132" s="1127">
        <f t="shared" si="29"/>
        <v>-0.89894076859195104</v>
      </c>
      <c r="J132" s="1127">
        <f t="shared" si="29"/>
        <v>39.625784878048783</v>
      </c>
      <c r="K132" s="132">
        <f t="shared" si="29"/>
        <v>4.6985221679038922</v>
      </c>
      <c r="L132" s="1124">
        <f t="shared" si="29"/>
        <v>0.4140020451008824</v>
      </c>
      <c r="M132" s="1129">
        <f t="shared" si="30"/>
        <v>5.7096258695546744</v>
      </c>
      <c r="N132" s="1130">
        <f t="shared" si="30"/>
        <v>0</v>
      </c>
      <c r="O132" s="1131">
        <f t="shared" si="30"/>
        <v>0</v>
      </c>
      <c r="P132" s="1132">
        <f t="shared" si="30"/>
        <v>0</v>
      </c>
      <c r="Q132" s="1130">
        <f t="shared" si="30"/>
        <v>0.37025195227815472</v>
      </c>
      <c r="R132" s="1131">
        <f t="shared" si="30"/>
        <v>-0.46222821771061889</v>
      </c>
      <c r="S132" s="1132">
        <f t="shared" si="30"/>
        <v>0.26403640782716253</v>
      </c>
      <c r="T132" s="1130">
        <f t="shared" si="30"/>
        <v>0.48927059752514818</v>
      </c>
      <c r="U132" s="1131">
        <f t="shared" si="30"/>
        <v>-0.38189416595312975</v>
      </c>
      <c r="V132" s="1132">
        <f t="shared" si="30"/>
        <v>0.37414035756341019</v>
      </c>
      <c r="W132" s="1124">
        <f t="shared" si="30"/>
        <v>0.11901864524699346</v>
      </c>
      <c r="X132" s="1124">
        <f t="shared" si="30"/>
        <v>0.32145312000294263</v>
      </c>
      <c r="Y132" s="1133" t="str">
        <f t="shared" si="30"/>
        <v>BBB</v>
      </c>
      <c r="Z132" s="1134" t="str">
        <f t="shared" si="31"/>
        <v xml:space="preserve">=  -  = </v>
      </c>
      <c r="AA132" s="1128">
        <f t="shared" si="27"/>
        <v>2.2664974928712622</v>
      </c>
      <c r="AB132" s="1135">
        <f t="shared" si="27"/>
        <v>-0.12537902502142731</v>
      </c>
      <c r="AC132" s="1129">
        <f t="shared" si="27"/>
        <v>2.136201464388483</v>
      </c>
      <c r="AE132" s="2024" t="s">
        <v>286</v>
      </c>
      <c r="AF132" s="1763">
        <f>CALCULATIONS!EH16</f>
        <v>4.5437999999999992</v>
      </c>
      <c r="AG132" s="136">
        <f t="shared" si="28"/>
        <v>0.15472216790389304</v>
      </c>
    </row>
    <row r="133" spans="1:33">
      <c r="A133" s="1155" t="s">
        <v>503</v>
      </c>
      <c r="B133" s="73" t="s">
        <v>286</v>
      </c>
      <c r="C133" s="1149">
        <f t="shared" si="29"/>
        <v>15596.516285714286</v>
      </c>
      <c r="D133" s="1150">
        <f t="shared" si="29"/>
        <v>3.9962072557101963E-2</v>
      </c>
      <c r="E133" s="1124">
        <f t="shared" si="29"/>
        <v>-0.41209116095583281</v>
      </c>
      <c r="F133" s="1124">
        <f t="shared" si="29"/>
        <v>-0.31031558205019388</v>
      </c>
      <c r="G133" s="1125">
        <f t="shared" si="29"/>
        <v>10295.917100000001</v>
      </c>
      <c r="H133" s="1126">
        <f t="shared" si="29"/>
        <v>2.8511404790864545E-2</v>
      </c>
      <c r="I133" s="1127">
        <f t="shared" si="29"/>
        <v>0.58081043687158529</v>
      </c>
      <c r="J133" s="1127">
        <f t="shared" si="29"/>
        <v>0.5027794267018264</v>
      </c>
      <c r="K133" s="132">
        <f t="shared" si="29"/>
        <v>4.5606838408134944</v>
      </c>
      <c r="L133" s="1124">
        <f t="shared" si="29"/>
        <v>-0.18379111287045302</v>
      </c>
      <c r="M133" s="1129">
        <f t="shared" si="30"/>
        <v>4.0606354500113753</v>
      </c>
      <c r="N133" s="1130">
        <f t="shared" si="30"/>
        <v>0.34534166666666666</v>
      </c>
      <c r="O133" s="1131">
        <f t="shared" si="30"/>
        <v>-5.4500069338510607E-2</v>
      </c>
      <c r="P133" s="1132">
        <f t="shared" si="30"/>
        <v>0.3626280111015483</v>
      </c>
      <c r="Q133" s="1130">
        <f t="shared" si="30"/>
        <v>0.67997702229572432</v>
      </c>
      <c r="R133" s="1131">
        <f t="shared" si="30"/>
        <v>0.10658020511075152</v>
      </c>
      <c r="S133" s="1132">
        <f t="shared" si="30"/>
        <v>0.75270955685414354</v>
      </c>
      <c r="T133" s="1130">
        <f t="shared" si="30"/>
        <v>0.68457317243488636</v>
      </c>
      <c r="U133" s="1131">
        <f t="shared" si="30"/>
        <v>0.10522314957078965</v>
      </c>
      <c r="V133" s="1132">
        <f t="shared" si="30"/>
        <v>0.75672107111582532</v>
      </c>
      <c r="W133" s="1124">
        <f t="shared" si="30"/>
        <v>4.5961501391620363E-3</v>
      </c>
      <c r="X133" s="1124">
        <f t="shared" si="30"/>
        <v>6.7592727231349809E-3</v>
      </c>
      <c r="Y133" s="1133" t="str">
        <f t="shared" si="30"/>
        <v>BBB-</v>
      </c>
      <c r="Z133" s="1134" t="str">
        <f t="shared" si="31"/>
        <v>=  ¯ ¯</v>
      </c>
      <c r="AA133" s="1128">
        <f t="shared" si="27"/>
        <v>2.9152503149286035</v>
      </c>
      <c r="AB133" s="1135">
        <f t="shared" si="27"/>
        <v>-0.14664752669478531</v>
      </c>
      <c r="AC133" s="1129">
        <f t="shared" si="27"/>
        <v>2.8370691340232916</v>
      </c>
      <c r="AE133" s="2024" t="s">
        <v>278</v>
      </c>
      <c r="AF133" s="1763">
        <f>CALCULATIONS!EH6</f>
        <v>4.4325692307692313</v>
      </c>
      <c r="AG133" s="136">
        <f t="shared" si="28"/>
        <v>0.12811461004426317</v>
      </c>
    </row>
    <row r="134" spans="1:33">
      <c r="A134" s="1155" t="s">
        <v>389</v>
      </c>
      <c r="B134" s="73" t="s">
        <v>278</v>
      </c>
      <c r="C134" s="1149">
        <f t="shared" si="29"/>
        <v>3544.0522571428578</v>
      </c>
      <c r="D134" s="1150">
        <f t="shared" si="29"/>
        <v>9.0807248780183369E-3</v>
      </c>
      <c r="E134" s="1124">
        <f t="shared" si="29"/>
        <v>-0.4675424361384804</v>
      </c>
      <c r="F134" s="1124">
        <f t="shared" si="29"/>
        <v>-0.36576685723284147</v>
      </c>
      <c r="G134" s="1125">
        <f t="shared" si="29"/>
        <v>2152.6311000000001</v>
      </c>
      <c r="H134" s="1126">
        <f t="shared" si="29"/>
        <v>5.9610558303255963E-3</v>
      </c>
      <c r="I134" s="1127">
        <f t="shared" si="29"/>
        <v>3.4941691326062152</v>
      </c>
      <c r="J134" s="1127">
        <f t="shared" si="29"/>
        <v>2.2961398399999999</v>
      </c>
      <c r="K134" s="132">
        <f t="shared" si="29"/>
        <v>4.4503654862327</v>
      </c>
      <c r="L134" s="1124">
        <f t="shared" si="29"/>
        <v>-2.9835823683801648E-2</v>
      </c>
      <c r="M134" s="1129">
        <f t="shared" si="30"/>
        <v>4.0530525032062261</v>
      </c>
      <c r="N134" s="1130">
        <f t="shared" si="30"/>
        <v>0.60910298289809772</v>
      </c>
      <c r="O134" s="1131">
        <f t="shared" si="30"/>
        <v>-5.2071170724915891E-2</v>
      </c>
      <c r="P134" s="1132">
        <f t="shared" si="30"/>
        <v>0.6207941242005639</v>
      </c>
      <c r="Q134" s="1130">
        <f t="shared" si="30"/>
        <v>0.49050145598877937</v>
      </c>
      <c r="R134" s="1131">
        <f t="shared" si="30"/>
        <v>0.42102559519407173</v>
      </c>
      <c r="S134" s="1132">
        <f t="shared" si="30"/>
        <v>0.61744816018521742</v>
      </c>
      <c r="T134" s="1130">
        <f t="shared" si="30"/>
        <v>0.49698573886957192</v>
      </c>
      <c r="U134" s="1131">
        <f t="shared" si="30"/>
        <v>0.41032171167013903</v>
      </c>
      <c r="V134" s="1132">
        <f t="shared" si="30"/>
        <v>0.62319136029119382</v>
      </c>
      <c r="W134" s="1124">
        <f t="shared" si="30"/>
        <v>6.4842828807925579E-3</v>
      </c>
      <c r="X134" s="1124">
        <f t="shared" si="30"/>
        <v>1.3219701596443154E-2</v>
      </c>
      <c r="Y134" s="1133" t="str">
        <f t="shared" si="30"/>
        <v>BBB</v>
      </c>
      <c r="Z134" s="1134" t="str">
        <f t="shared" si="31"/>
        <v>=  ¯ -</v>
      </c>
      <c r="AA134" s="1128">
        <f t="shared" si="27"/>
        <v>2.1902281092407181</v>
      </c>
      <c r="AB134" s="1135">
        <f t="shared" si="27"/>
        <v>0.36844726500440206</v>
      </c>
      <c r="AC134" s="1129">
        <f t="shared" si="27"/>
        <v>2.5252968522290931</v>
      </c>
      <c r="AE134" s="2024" t="s">
        <v>50</v>
      </c>
      <c r="AF134" s="1763">
        <f>CALCULATIONS!EH21</f>
        <v>4.4203692307692313</v>
      </c>
      <c r="AG134" s="136">
        <f t="shared" si="28"/>
        <v>2.9996255463468735E-2</v>
      </c>
    </row>
    <row r="135" spans="1:33">
      <c r="A135" s="1155" t="s">
        <v>506</v>
      </c>
      <c r="B135" s="73" t="s">
        <v>289</v>
      </c>
      <c r="C135" s="1149">
        <f t="shared" si="29"/>
        <v>4580.8423286191064</v>
      </c>
      <c r="D135" s="1150">
        <f t="shared" si="29"/>
        <v>1.1737233504933111E-2</v>
      </c>
      <c r="E135" s="1124">
        <f t="shared" si="29"/>
        <v>-0.49577837871365099</v>
      </c>
      <c r="F135" s="1124">
        <f t="shared" si="29"/>
        <v>-0.39400279980801206</v>
      </c>
      <c r="G135" s="1125">
        <f t="shared" si="29"/>
        <v>2322.4005110115481</v>
      </c>
      <c r="H135" s="1126">
        <f t="shared" si="29"/>
        <v>6.4311804779353665E-3</v>
      </c>
      <c r="I135" s="1127">
        <f t="shared" si="29"/>
        <v>1.4234279787340207</v>
      </c>
      <c r="J135" s="1127">
        <f t="shared" si="29"/>
        <v>0.8056764866383116</v>
      </c>
      <c r="K135" s="132">
        <f t="shared" si="29"/>
        <v>4.3871958272574467</v>
      </c>
      <c r="L135" s="1124">
        <f t="shared" si="29"/>
        <v>-8.1025400882275472E-2</v>
      </c>
      <c r="M135" s="1129">
        <f t="shared" si="30"/>
        <v>3.4400754167452243</v>
      </c>
      <c r="N135" s="1130">
        <f t="shared" si="30"/>
        <v>0.42290073595624156</v>
      </c>
      <c r="O135" s="1131">
        <f t="shared" si="30"/>
        <v>-9.0086339251873371E-2</v>
      </c>
      <c r="P135" s="1132">
        <f t="shared" si="30"/>
        <v>0.44946685046944856</v>
      </c>
      <c r="Q135" s="1130">
        <f t="shared" si="30"/>
        <v>0.16307046534988884</v>
      </c>
      <c r="R135" s="1131">
        <f t="shared" si="30"/>
        <v>1.3005419282788433</v>
      </c>
      <c r="S135" s="1132">
        <f t="shared" si="30"/>
        <v>0.30950096360373897</v>
      </c>
      <c r="T135" s="1130">
        <f t="shared" si="30"/>
        <v>0.18570292678335293</v>
      </c>
      <c r="U135" s="1131">
        <f t="shared" si="30"/>
        <v>1.251733079461073</v>
      </c>
      <c r="V135" s="1132">
        <f t="shared" si="30"/>
        <v>0.34197601038246805</v>
      </c>
      <c r="W135" s="1124">
        <f t="shared" si="30"/>
        <v>2.2632461433464091E-2</v>
      </c>
      <c r="X135" s="1124">
        <f t="shared" si="30"/>
        <v>0.13878945758144007</v>
      </c>
      <c r="Y135" s="1133" t="str">
        <f t="shared" si="30"/>
        <v>BBB</v>
      </c>
      <c r="Z135" s="1134" t="str">
        <f t="shared" si="31"/>
        <v>=  ¯ -</v>
      </c>
      <c r="AA135" s="1128">
        <f t="shared" si="27"/>
        <v>0.77886477042851432</v>
      </c>
      <c r="AB135" s="1135">
        <f t="shared" si="27"/>
        <v>1.0703005310133176</v>
      </c>
      <c r="AC135" s="1129">
        <f t="shared" si="27"/>
        <v>1.1762690733772538</v>
      </c>
      <c r="AE135" s="2024" t="s">
        <v>289</v>
      </c>
      <c r="AF135" s="1763">
        <f>CALCULATIONS!EH19</f>
        <v>4.3466846153846159</v>
      </c>
      <c r="AG135" s="136">
        <f t="shared" si="28"/>
        <v>4.0511211872830799E-2</v>
      </c>
    </row>
    <row r="136" spans="1:33">
      <c r="A136" s="1155" t="s">
        <v>27</v>
      </c>
      <c r="B136" s="73" t="s">
        <v>357</v>
      </c>
      <c r="C136" s="1149">
        <f t="shared" si="29"/>
        <v>504.56125714285719</v>
      </c>
      <c r="D136" s="1150">
        <f t="shared" si="29"/>
        <v>1.292808804099037E-3</v>
      </c>
      <c r="E136" s="1124">
        <f t="shared" si="29"/>
        <v>0.11241291049139049</v>
      </c>
      <c r="F136" s="1124">
        <f t="shared" si="29"/>
        <v>0.21418848939702945</v>
      </c>
      <c r="G136" s="1125">
        <f t="shared" si="29"/>
        <v>562.64409999999998</v>
      </c>
      <c r="H136" s="1126">
        <f t="shared" si="29"/>
        <v>1.5580713726115437E-3</v>
      </c>
      <c r="I136" s="1127">
        <f t="shared" si="29"/>
        <v>0.48825120153947199</v>
      </c>
      <c r="J136" s="1127">
        <f t="shared" si="29"/>
        <v>0.52140126030951717</v>
      </c>
      <c r="K136" s="132">
        <f t="shared" si="29"/>
        <v>3.8552632920912293</v>
      </c>
      <c r="L136" s="1124">
        <f t="shared" si="29"/>
        <v>-0.11001004882442665</v>
      </c>
      <c r="M136" s="1129">
        <f t="shared" si="30"/>
        <v>3.9063069179772585</v>
      </c>
      <c r="N136" s="1130">
        <f t="shared" si="30"/>
        <v>0.90539538726018864</v>
      </c>
      <c r="O136" s="1131">
        <f t="shared" si="30"/>
        <v>-4.1189056985539901E-2</v>
      </c>
      <c r="P136" s="1132">
        <f t="shared" si="30"/>
        <v>0.90138346931536006</v>
      </c>
      <c r="Q136" s="1130">
        <f t="shared" si="30"/>
        <v>0.38160323267486906</v>
      </c>
      <c r="R136" s="1131">
        <f t="shared" si="30"/>
        <v>0.13281779457810056</v>
      </c>
      <c r="S136" s="1132">
        <f t="shared" si="30"/>
        <v>0.39444904186551905</v>
      </c>
      <c r="T136" s="1130">
        <f t="shared" si="30"/>
        <v>0.47841518539184064</v>
      </c>
      <c r="U136" s="1131">
        <f t="shared" si="30"/>
        <v>1.1717685634717274E-2</v>
      </c>
      <c r="V136" s="1132">
        <f t="shared" si="30"/>
        <v>0.46507375880431212</v>
      </c>
      <c r="W136" s="1124">
        <f t="shared" si="30"/>
        <v>9.6811952716971572E-2</v>
      </c>
      <c r="X136" s="1124">
        <f t="shared" si="30"/>
        <v>0.25369793656715856</v>
      </c>
      <c r="Y136" s="1133" t="str">
        <f t="shared" si="30"/>
        <v>Not rated</v>
      </c>
      <c r="Z136" s="1134"/>
      <c r="AA136" s="1128">
        <f t="shared" si="27"/>
        <v>1.832329792526622</v>
      </c>
      <c r="AB136" s="1135">
        <f t="shared" si="27"/>
        <v>-9.9442962217240083E-2</v>
      </c>
      <c r="AC136" s="1129">
        <f t="shared" si="27"/>
        <v>1.8160302149559577</v>
      </c>
      <c r="AE136" s="2024" t="s">
        <v>42</v>
      </c>
      <c r="AF136" s="1763">
        <f>CALCULATIONS!EH15</f>
        <v>3.687323076923076</v>
      </c>
      <c r="AG136" s="136">
        <f t="shared" si="28"/>
        <v>0.16794021516815327</v>
      </c>
    </row>
    <row r="137" spans="1:33">
      <c r="A137" s="1155" t="s">
        <v>378</v>
      </c>
      <c r="B137" s="73" t="s">
        <v>42</v>
      </c>
      <c r="C137" s="1149">
        <f t="shared" si="29"/>
        <v>2432.5463571428577</v>
      </c>
      <c r="D137" s="1150">
        <f t="shared" si="29"/>
        <v>6.2327761047315808E-3</v>
      </c>
      <c r="E137" s="1124">
        <f t="shared" si="29"/>
        <v>-3.2258071946582277E-2</v>
      </c>
      <c r="F137" s="1124">
        <f t="shared" si="29"/>
        <v>6.9517506959056674E-2</v>
      </c>
      <c r="G137" s="1125">
        <f t="shared" si="29"/>
        <v>2940.9023000000002</v>
      </c>
      <c r="H137" s="1126">
        <f t="shared" si="29"/>
        <v>8.143932697912316E-3</v>
      </c>
      <c r="I137" s="1127">
        <f t="shared" si="29"/>
        <v>1.2689619717468461</v>
      </c>
      <c r="J137" s="1127">
        <f t="shared" si="29"/>
        <v>1.312316956715752</v>
      </c>
      <c r="K137" s="132">
        <f t="shared" si="29"/>
        <v>3.7488610975650749</v>
      </c>
      <c r="L137" s="1124">
        <f t="shared" si="29"/>
        <v>3.4291324439135469E-2</v>
      </c>
      <c r="M137" s="1129">
        <f t="shared" si="30"/>
        <v>3.7439277362047823</v>
      </c>
      <c r="N137" s="1124">
        <f t="shared" si="30"/>
        <v>0.56323171407839789</v>
      </c>
      <c r="O137" s="1131">
        <f t="shared" si="30"/>
        <v>-0.12023286586287618</v>
      </c>
      <c r="P137" s="1132">
        <f t="shared" si="30"/>
        <v>0.53987730061349704</v>
      </c>
      <c r="Q137" s="1130">
        <f t="shared" si="30"/>
        <v>0.60887331285954671</v>
      </c>
      <c r="R137" s="1131">
        <f t="shared" si="30"/>
        <v>-0.37303497156800469</v>
      </c>
      <c r="S137" s="1132">
        <f t="shared" si="30"/>
        <v>0.37659759063604481</v>
      </c>
      <c r="T137" s="1130">
        <f t="shared" si="30"/>
        <v>0.63388271448107447</v>
      </c>
      <c r="U137" s="1131">
        <f t="shared" si="30"/>
        <v>-0.25869992498286548</v>
      </c>
      <c r="V137" s="1132">
        <f t="shared" si="30"/>
        <v>0.44527495080222473</v>
      </c>
      <c r="W137" s="1124">
        <f t="shared" si="30"/>
        <v>2.500940162152776E-2</v>
      </c>
      <c r="X137" s="1124">
        <f t="shared" si="30"/>
        <v>4.1074885519406669E-2</v>
      </c>
      <c r="Y137" s="1133" t="str">
        <f t="shared" si="30"/>
        <v>B-</v>
      </c>
      <c r="Z137" s="1134" t="str">
        <f>VLOOKUP($B137,$B$7:$AC$28,Z$37+1,FALSE)</f>
        <v>=  =  -</v>
      </c>
      <c r="AA137" s="1128">
        <f t="shared" si="27"/>
        <v>2.172629043332774</v>
      </c>
      <c r="AB137" s="1135">
        <f t="shared" si="27"/>
        <v>-0.22035736928264804</v>
      </c>
      <c r="AC137" s="1129">
        <f t="shared" si="27"/>
        <v>1.5517268924243866</v>
      </c>
      <c r="AE137" s="2024" t="s">
        <v>357</v>
      </c>
      <c r="AF137" s="1763">
        <f>CALCULATIONS!EH26</f>
        <v>3.6451000000000002</v>
      </c>
      <c r="AG137" s="136">
        <f t="shared" si="28"/>
        <v>0.10376109756507468</v>
      </c>
    </row>
    <row r="140" spans="1:33">
      <c r="A140" s="1252" t="s">
        <v>792</v>
      </c>
      <c r="B140" s="1123" t="s">
        <v>1278</v>
      </c>
      <c r="C140" s="1068"/>
      <c r="E140" s="1068"/>
      <c r="F140" s="1068"/>
      <c r="G140" s="1068"/>
      <c r="K140" s="1068"/>
      <c r="L140" s="1068"/>
      <c r="M140" s="1068"/>
      <c r="N140" s="1068"/>
      <c r="O140" s="1068"/>
      <c r="P140" s="1068"/>
      <c r="T140" s="1068"/>
      <c r="U140" s="1068"/>
      <c r="V140" s="1068"/>
      <c r="Y140" s="1068"/>
      <c r="Z140" s="1068"/>
      <c r="AA140" s="1068"/>
      <c r="AB140" s="1068"/>
      <c r="AC140" s="1068"/>
    </row>
    <row r="141" spans="1:33">
      <c r="A141" s="1155" t="s">
        <v>19</v>
      </c>
      <c r="B141" s="73" t="s">
        <v>287</v>
      </c>
      <c r="C141" s="1149">
        <f t="shared" ref="C141:L150" si="32">VLOOKUP($B141,$B$7:$AC$28,C$37+1,FALSE)</f>
        <v>6002.7646707914537</v>
      </c>
      <c r="D141" s="1150">
        <f t="shared" si="32"/>
        <v>1.538054479108892E-2</v>
      </c>
      <c r="E141" s="1124">
        <f t="shared" si="32"/>
        <v>1.7468659495150733</v>
      </c>
      <c r="F141" s="1124">
        <f t="shared" si="32"/>
        <v>1.8486415284207123</v>
      </c>
      <c r="G141" s="1125">
        <f t="shared" si="32"/>
        <v>9571.524995540176</v>
      </c>
      <c r="H141" s="1126">
        <f t="shared" si="32"/>
        <v>2.6505421611613778E-2</v>
      </c>
      <c r="I141" s="1127">
        <f t="shared" si="32"/>
        <v>4.1497848696984878</v>
      </c>
      <c r="J141" s="1127">
        <f t="shared" si="32"/>
        <v>5.1075046454025781</v>
      </c>
      <c r="K141" s="1128">
        <f t="shared" si="32"/>
        <v>7.8889454092528393</v>
      </c>
      <c r="L141" s="1124">
        <f t="shared" si="32"/>
        <v>0.8464659845431286</v>
      </c>
      <c r="M141" s="131">
        <f t="shared" ref="M141:Y150" si="33">VLOOKUP($B141,$B$7:$AC$28,M$37+1,FALSE)</f>
        <v>9.6719476082953495</v>
      </c>
      <c r="N141" s="1130">
        <f t="shared" si="33"/>
        <v>9.1630231095150338E-2</v>
      </c>
      <c r="O141" s="1148" t="str">
        <f t="shared" si="33"/>
        <v>¥</v>
      </c>
      <c r="P141" s="1132">
        <f t="shared" si="33"/>
        <v>0.34976819018989347</v>
      </c>
      <c r="Q141" s="1130">
        <f t="shared" si="33"/>
        <v>0.13477545507373562</v>
      </c>
      <c r="R141" s="1131">
        <f t="shared" si="33"/>
        <v>-0.4264373226073967</v>
      </c>
      <c r="S141" s="1132">
        <f t="shared" si="33"/>
        <v>9.7905485588969735E-2</v>
      </c>
      <c r="T141" s="1130">
        <f t="shared" si="33"/>
        <v>0.16024846762312819</v>
      </c>
      <c r="U141" s="1131">
        <f t="shared" si="33"/>
        <v>-0.25253039609468159</v>
      </c>
      <c r="V141" s="1132">
        <f t="shared" si="33"/>
        <v>0.12849893093161849</v>
      </c>
      <c r="W141" s="1124">
        <f t="shared" si="33"/>
        <v>2.5473012549392576E-2</v>
      </c>
      <c r="X141" s="1124">
        <f t="shared" si="33"/>
        <v>0.18900335031669008</v>
      </c>
      <c r="Y141" s="1133" t="str">
        <f t="shared" si="33"/>
        <v>Not rated</v>
      </c>
      <c r="Z141" s="1134"/>
      <c r="AA141" s="1128">
        <f t="shared" ref="AA141:AC162" si="34">VLOOKUP($B141,$B$7:$AC$28,AA$37+1,FALSE)</f>
        <v>1.265551414722516</v>
      </c>
      <c r="AB141" s="1135">
        <f t="shared" si="34"/>
        <v>0.38040351489576829</v>
      </c>
      <c r="AC141" s="1129">
        <f t="shared" si="34"/>
        <v>1.242834927692577</v>
      </c>
    </row>
    <row r="142" spans="1:33">
      <c r="A142" s="1156" t="s">
        <v>323</v>
      </c>
      <c r="B142" s="726" t="s">
        <v>774</v>
      </c>
      <c r="C142" s="1151">
        <f t="shared" si="32"/>
        <v>3541.6238999999996</v>
      </c>
      <c r="D142" s="1152">
        <f t="shared" si="32"/>
        <v>9.0745028357006995E-3</v>
      </c>
      <c r="E142" s="1136">
        <f t="shared" si="32"/>
        <v>0.67327297771392325</v>
      </c>
      <c r="F142" s="1136">
        <f t="shared" si="32"/>
        <v>0.77504855661956218</v>
      </c>
      <c r="G142" s="1137">
        <f t="shared" si="32"/>
        <v>4048.9897999999998</v>
      </c>
      <c r="H142" s="1138">
        <f t="shared" si="32"/>
        <v>1.1212443346293226E-2</v>
      </c>
      <c r="I142" s="1139">
        <f t="shared" si="32"/>
        <v>-1.4186196832586249</v>
      </c>
      <c r="J142" s="1139">
        <f t="shared" si="32"/>
        <v>-2.7147098893731143</v>
      </c>
      <c r="K142" s="1140">
        <f t="shared" si="32"/>
        <v>8.6861758729657641</v>
      </c>
      <c r="L142" s="1136">
        <f t="shared" si="32"/>
        <v>0.26215680659638446</v>
      </c>
      <c r="M142" s="1075">
        <f t="shared" si="33"/>
        <v>9.0506669895995948</v>
      </c>
      <c r="N142" s="1142">
        <f t="shared" si="33"/>
        <v>6.4385445236561381E-2</v>
      </c>
      <c r="O142" s="1143">
        <f t="shared" si="33"/>
        <v>14.697799124913645</v>
      </c>
      <c r="P142" s="1144">
        <f t="shared" si="33"/>
        <v>0.15462918080465343</v>
      </c>
      <c r="Q142" s="1142">
        <f t="shared" si="33"/>
        <v>0.42399287000325037</v>
      </c>
      <c r="R142" s="1143">
        <f t="shared" si="33"/>
        <v>4.5742782667206161E-2</v>
      </c>
      <c r="S142" s="1144">
        <f t="shared" si="33"/>
        <v>0.48144640266975475</v>
      </c>
      <c r="T142" s="1142">
        <f t="shared" si="33"/>
        <v>0.42695023434228802</v>
      </c>
      <c r="U142" s="1143">
        <f t="shared" si="33"/>
        <v>4.1366838913311048E-2</v>
      </c>
      <c r="V142" s="1144">
        <f t="shared" si="33"/>
        <v>0.4832654138496531</v>
      </c>
      <c r="W142" s="1136">
        <f t="shared" si="33"/>
        <v>2.9573643390376492E-3</v>
      </c>
      <c r="X142" s="1136">
        <f t="shared" si="33"/>
        <v>6.9750331863245195E-3</v>
      </c>
      <c r="Y142" s="1145" t="str">
        <f t="shared" si="33"/>
        <v>B+</v>
      </c>
      <c r="Z142" s="1146" t="str">
        <f t="shared" ref="Z142:Z149" si="35">VLOOKUP($B142,$B$7:$AC$28,Z$37+1,FALSE)</f>
        <v>=  =  =</v>
      </c>
      <c r="AA142" s="1140">
        <f t="shared" si="34"/>
        <v>3.7014756930154613</v>
      </c>
      <c r="AB142" s="1147">
        <f t="shared" si="34"/>
        <v>0.31334582285320112</v>
      </c>
      <c r="AC142" s="1141">
        <f t="shared" si="34"/>
        <v>4.3704719780651446</v>
      </c>
    </row>
    <row r="143" spans="1:33">
      <c r="A143" s="1155" t="s">
        <v>32</v>
      </c>
      <c r="B143" s="73" t="s">
        <v>279</v>
      </c>
      <c r="C143" s="1149">
        <f t="shared" si="32"/>
        <v>103061.53572524291</v>
      </c>
      <c r="D143" s="1150">
        <f t="shared" si="32"/>
        <v>0.26406875054982143</v>
      </c>
      <c r="E143" s="1124">
        <f t="shared" si="32"/>
        <v>7.5306160052783275E-2</v>
      </c>
      <c r="F143" s="1124">
        <f t="shared" si="32"/>
        <v>0.17708173895842222</v>
      </c>
      <c r="G143" s="1125">
        <f t="shared" si="32"/>
        <v>106720.85775234729</v>
      </c>
      <c r="H143" s="1126">
        <f t="shared" si="32"/>
        <v>0.29553089301830604</v>
      </c>
      <c r="I143" s="1127">
        <f t="shared" si="32"/>
        <v>1.0837821931217524</v>
      </c>
      <c r="J143" s="1127">
        <f t="shared" si="32"/>
        <v>1.259272460269286</v>
      </c>
      <c r="K143" s="1128">
        <f t="shared" si="32"/>
        <v>7.5360879751187033</v>
      </c>
      <c r="L143" s="1124">
        <f t="shared" si="32"/>
        <v>0.12910548637067604</v>
      </c>
      <c r="M143" s="131">
        <f t="shared" si="33"/>
        <v>8.6584668441025876</v>
      </c>
      <c r="N143" s="1130">
        <f t="shared" si="33"/>
        <v>0.91487499999999988</v>
      </c>
      <c r="O143" s="1131">
        <f t="shared" si="33"/>
        <v>-4.3736501079913587E-2</v>
      </c>
      <c r="P143" s="1132">
        <f t="shared" si="33"/>
        <v>0.89481420237931208</v>
      </c>
      <c r="Q143" s="1130">
        <f t="shared" si="33"/>
        <v>0.24509229252810941</v>
      </c>
      <c r="R143" s="1131">
        <f t="shared" si="33"/>
        <v>-0.16501821733667812</v>
      </c>
      <c r="S143" s="1132">
        <f t="shared" si="33"/>
        <v>0.23828807339295358</v>
      </c>
      <c r="T143" s="1130">
        <f t="shared" si="33"/>
        <v>0.27870192226407053</v>
      </c>
      <c r="U143" s="1131">
        <f t="shared" si="33"/>
        <v>-0.14309331637647091</v>
      </c>
      <c r="V143" s="1132">
        <f t="shared" si="33"/>
        <v>0.2718321660431175</v>
      </c>
      <c r="W143" s="1124">
        <f t="shared" si="33"/>
        <v>3.3609629735961127E-2</v>
      </c>
      <c r="X143" s="1124">
        <f t="shared" si="33"/>
        <v>0.13713050455108242</v>
      </c>
      <c r="Y143" s="1133" t="str">
        <f t="shared" si="33"/>
        <v>A-</v>
      </c>
      <c r="Z143" s="1134" t="str">
        <f t="shared" si="35"/>
        <v>=  =  =</v>
      </c>
      <c r="AA143" s="1128">
        <f t="shared" si="34"/>
        <v>2.0880314655341889</v>
      </c>
      <c r="AB143" s="1135">
        <f t="shared" si="34"/>
        <v>-3.7762767487534328E-2</v>
      </c>
      <c r="AC143" s="1129">
        <f t="shared" si="34"/>
        <v>2.3348198024327131</v>
      </c>
    </row>
    <row r="144" spans="1:33">
      <c r="A144" s="1155" t="s">
        <v>507</v>
      </c>
      <c r="B144" s="73" t="s">
        <v>284</v>
      </c>
      <c r="C144" s="1149">
        <f t="shared" si="32"/>
        <v>22949.481858519866</v>
      </c>
      <c r="D144" s="1150">
        <f t="shared" si="32"/>
        <v>5.8802160840116385E-2</v>
      </c>
      <c r="E144" s="1124">
        <f t="shared" si="32"/>
        <v>-8.3288171902550459E-2</v>
      </c>
      <c r="F144" s="1124">
        <f t="shared" si="32"/>
        <v>1.8487407003088485E-2</v>
      </c>
      <c r="G144" s="1125">
        <f t="shared" si="32"/>
        <v>21731.57918967646</v>
      </c>
      <c r="H144" s="1126">
        <f t="shared" si="32"/>
        <v>6.0178986000343146E-2</v>
      </c>
      <c r="I144" s="1127">
        <f t="shared" si="32"/>
        <v>1.7647070716020126</v>
      </c>
      <c r="J144" s="1127">
        <f t="shared" si="32"/>
        <v>1.7786623686113903</v>
      </c>
      <c r="K144" s="1128">
        <f t="shared" si="32"/>
        <v>7.5421176018870622</v>
      </c>
      <c r="L144" s="1124">
        <f t="shared" si="32"/>
        <v>2.1076957712408067E-2</v>
      </c>
      <c r="M144" s="131">
        <f t="shared" si="33"/>
        <v>7.6896404016441506</v>
      </c>
      <c r="N144" s="1130">
        <f t="shared" si="33"/>
        <v>0.67984865616162071</v>
      </c>
      <c r="O144" s="1131">
        <f t="shared" si="33"/>
        <v>0.13956056160252914</v>
      </c>
      <c r="P144" s="1132">
        <f t="shared" si="33"/>
        <v>0.7167630057803468</v>
      </c>
      <c r="Q144" s="1130">
        <f t="shared" si="33"/>
        <v>0.23215418017261674</v>
      </c>
      <c r="R144" s="1131">
        <f t="shared" si="33"/>
        <v>0.36187217108516367</v>
      </c>
      <c r="S144" s="1132">
        <f t="shared" si="33"/>
        <v>0.26525179681706468</v>
      </c>
      <c r="T144" s="1130">
        <f t="shared" si="33"/>
        <v>0.2501311526811702</v>
      </c>
      <c r="U144" s="1131">
        <f t="shared" si="33"/>
        <v>0.31916438327965047</v>
      </c>
      <c r="V144" s="1132">
        <f t="shared" si="33"/>
        <v>0.28287599661626001</v>
      </c>
      <c r="W144" s="1124">
        <f t="shared" si="33"/>
        <v>1.7976972508553457E-2</v>
      </c>
      <c r="X144" s="1124">
        <f t="shared" si="33"/>
        <v>7.7435489187344358E-2</v>
      </c>
      <c r="Y144" s="1133" t="str">
        <f t="shared" si="33"/>
        <v>A-</v>
      </c>
      <c r="Z144" s="1134" t="str">
        <f t="shared" si="35"/>
        <v>=  =  =</v>
      </c>
      <c r="AA144" s="1128">
        <f t="shared" si="34"/>
        <v>1.845874038975184</v>
      </c>
      <c r="AB144" s="1135">
        <f t="shared" si="34"/>
        <v>0.36079457239176377</v>
      </c>
      <c r="AC144" s="1129">
        <f t="shared" si="34"/>
        <v>2.1424428051274771</v>
      </c>
    </row>
    <row r="145" spans="1:29">
      <c r="A145" s="1155" t="s">
        <v>508</v>
      </c>
      <c r="B145" s="73" t="s">
        <v>290</v>
      </c>
      <c r="C145" s="1149">
        <f t="shared" si="32"/>
        <v>16250.837973523972</v>
      </c>
      <c r="D145" s="1150">
        <f t="shared" si="32"/>
        <v>4.1638604052015776E-2</v>
      </c>
      <c r="E145" s="1124">
        <f t="shared" si="32"/>
        <v>0.20894195471198634</v>
      </c>
      <c r="F145" s="1124">
        <f t="shared" si="32"/>
        <v>0.31071753361762527</v>
      </c>
      <c r="G145" s="1125">
        <f t="shared" si="32"/>
        <v>17428.290742138299</v>
      </c>
      <c r="H145" s="1126">
        <f t="shared" si="32"/>
        <v>4.826234004564605E-2</v>
      </c>
      <c r="I145" s="1127">
        <f t="shared" si="32"/>
        <v>4.0995220850209826</v>
      </c>
      <c r="J145" s="1127">
        <f t="shared" si="32"/>
        <v>4.5731712273212377</v>
      </c>
      <c r="K145" s="1128">
        <f t="shared" si="32"/>
        <v>6.7995363362554677</v>
      </c>
      <c r="L145" s="1124">
        <f t="shared" si="32"/>
        <v>0.2149868566781509</v>
      </c>
      <c r="M145" s="131">
        <f t="shared" si="33"/>
        <v>7.5822149145373468</v>
      </c>
      <c r="N145" s="1130">
        <f t="shared" si="33"/>
        <v>0.32615050588405037</v>
      </c>
      <c r="O145" s="1131">
        <f t="shared" si="33"/>
        <v>-8.7660674172335792E-2</v>
      </c>
      <c r="P145" s="1132">
        <f t="shared" si="33"/>
        <v>0.30985103942866765</v>
      </c>
      <c r="Q145" s="1130">
        <f t="shared" si="33"/>
        <v>0.30558583418722468</v>
      </c>
      <c r="R145" s="1131">
        <f t="shared" si="33"/>
        <v>-0.13620468181810452</v>
      </c>
      <c r="S145" s="1132">
        <f t="shared" si="33"/>
        <v>0.29018390059321952</v>
      </c>
      <c r="T145" s="1130">
        <f t="shared" si="33"/>
        <v>0.31922230141848357</v>
      </c>
      <c r="U145" s="1131">
        <f t="shared" si="33"/>
        <v>-0.13496032758973828</v>
      </c>
      <c r="V145" s="1132">
        <f t="shared" si="33"/>
        <v>0.30362227391248225</v>
      </c>
      <c r="W145" s="1124">
        <f t="shared" si="33"/>
        <v>1.3636467231258886E-2</v>
      </c>
      <c r="X145" s="1124">
        <f t="shared" si="33"/>
        <v>4.4624016252350789E-2</v>
      </c>
      <c r="Y145" s="1133" t="str">
        <f t="shared" si="33"/>
        <v>A</v>
      </c>
      <c r="Z145" s="1134" t="str">
        <f t="shared" si="35"/>
        <v>=  =  -</v>
      </c>
      <c r="AA145" s="1128">
        <f t="shared" si="34"/>
        <v>2.1579177629636748</v>
      </c>
      <c r="AB145" s="1135">
        <f t="shared" si="34"/>
        <v>6.0078851309961184E-2</v>
      </c>
      <c r="AC145" s="1129">
        <f t="shared" si="34"/>
        <v>2.3009327536910358</v>
      </c>
    </row>
    <row r="146" spans="1:29">
      <c r="A146" s="1155" t="s">
        <v>73</v>
      </c>
      <c r="B146" s="73" t="s">
        <v>285</v>
      </c>
      <c r="C146" s="1149">
        <f t="shared" si="32"/>
        <v>2461.5190857142857</v>
      </c>
      <c r="D146" s="1150">
        <f t="shared" si="32"/>
        <v>6.3070112903421734E-3</v>
      </c>
      <c r="E146" s="1124">
        <f t="shared" si="32"/>
        <v>6.738754525599433E-2</v>
      </c>
      <c r="F146" s="1124">
        <f t="shared" si="32"/>
        <v>0.16916312416163326</v>
      </c>
      <c r="G146" s="1125">
        <f t="shared" si="32"/>
        <v>2364.3629999999998</v>
      </c>
      <c r="H146" s="1126">
        <f t="shared" si="32"/>
        <v>6.5473828033777437E-3</v>
      </c>
      <c r="I146" s="1127">
        <f t="shared" si="32"/>
        <v>3.1397518024733277</v>
      </c>
      <c r="J146" s="1127">
        <f t="shared" si="32"/>
        <v>3.0995844257996854</v>
      </c>
      <c r="K146" s="1128">
        <f t="shared" si="32"/>
        <v>6.7052926466266065</v>
      </c>
      <c r="L146" s="1124">
        <f t="shared" si="32"/>
        <v>0.14721542174528052</v>
      </c>
      <c r="M146" s="131">
        <f t="shared" si="33"/>
        <v>7.0127743881429545</v>
      </c>
      <c r="N146" s="1130">
        <f t="shared" si="33"/>
        <v>0.62657499999999999</v>
      </c>
      <c r="O146" s="1131">
        <f t="shared" si="33"/>
        <v>5.5614710459497153E-2</v>
      </c>
      <c r="P146" s="1132">
        <f t="shared" si="33"/>
        <v>0.64439999999999997</v>
      </c>
      <c r="Q146" s="1130">
        <f t="shared" si="33"/>
        <v>0.24190098439360719</v>
      </c>
      <c r="R146" s="1131">
        <f t="shared" si="33"/>
        <v>0.20667512064869559</v>
      </c>
      <c r="S146" s="1132">
        <f t="shared" si="33"/>
        <v>0.30597960586046052</v>
      </c>
      <c r="T146" s="1130">
        <f t="shared" si="33"/>
        <v>0.2616424852780464</v>
      </c>
      <c r="U146" s="1131">
        <f t="shared" si="33"/>
        <v>0.20296552626351777</v>
      </c>
      <c r="V146" s="1132">
        <f t="shared" si="33"/>
        <v>0.32061814749302248</v>
      </c>
      <c r="W146" s="1124">
        <f t="shared" si="33"/>
        <v>1.9741500884439211E-2</v>
      </c>
      <c r="X146" s="1124">
        <f t="shared" si="33"/>
        <v>8.1609841042717679E-2</v>
      </c>
      <c r="Y146" s="1133" t="str">
        <f t="shared" si="33"/>
        <v>BBB</v>
      </c>
      <c r="Z146" s="1134" t="str">
        <f t="shared" si="35"/>
        <v>=  =  -</v>
      </c>
      <c r="AA146" s="1128">
        <f t="shared" si="34"/>
        <v>1.7511002028712532</v>
      </c>
      <c r="AB146" s="1135">
        <f t="shared" si="34"/>
        <v>0.37093258903528414</v>
      </c>
      <c r="AC146" s="1129">
        <f t="shared" si="34"/>
        <v>2.2311132077757287</v>
      </c>
    </row>
    <row r="147" spans="1:29">
      <c r="A147" s="1155" t="s">
        <v>504</v>
      </c>
      <c r="B147" s="73" t="s">
        <v>281</v>
      </c>
      <c r="C147" s="1149">
        <f t="shared" si="32"/>
        <v>20617.292984255655</v>
      </c>
      <c r="D147" s="1150">
        <f t="shared" si="32"/>
        <v>5.2826525044090682E-2</v>
      </c>
      <c r="E147" s="1124">
        <f t="shared" si="32"/>
        <v>0.37985561177970401</v>
      </c>
      <c r="F147" s="1124">
        <f t="shared" si="32"/>
        <v>0.48163119068534294</v>
      </c>
      <c r="G147" s="1125">
        <f t="shared" si="32"/>
        <v>23766.623796323693</v>
      </c>
      <c r="H147" s="1126">
        <f t="shared" si="32"/>
        <v>6.5814421871090864E-2</v>
      </c>
      <c r="I147" s="1127">
        <f t="shared" si="32"/>
        <v>1.8990159277875758</v>
      </c>
      <c r="J147" s="1127">
        <f t="shared" si="32"/>
        <v>2.509154465418888</v>
      </c>
      <c r="K147" s="1128">
        <f t="shared" si="32"/>
        <v>5.8033589040079683</v>
      </c>
      <c r="L147" s="1124">
        <f t="shared" si="32"/>
        <v>4.5724350121793801E-2</v>
      </c>
      <c r="M147" s="131">
        <f t="shared" si="33"/>
        <v>6.1939465303838475</v>
      </c>
      <c r="N147" s="1130">
        <f t="shared" si="33"/>
        <v>0.7344324868237998</v>
      </c>
      <c r="O147" s="1131">
        <f t="shared" si="33"/>
        <v>0.10784712869930438</v>
      </c>
      <c r="P147" s="1132">
        <f t="shared" si="33"/>
        <v>0.74956908795771016</v>
      </c>
      <c r="Q147" s="1130">
        <f t="shared" si="33"/>
        <v>0.14726898954609682</v>
      </c>
      <c r="R147" s="1131">
        <f t="shared" si="33"/>
        <v>4.9939774449528171E-2</v>
      </c>
      <c r="S147" s="1132">
        <f t="shared" si="33"/>
        <v>0.17272839211728983</v>
      </c>
      <c r="T147" s="1130">
        <f t="shared" si="33"/>
        <v>0.18443136241749356</v>
      </c>
      <c r="U147" s="1131">
        <f t="shared" si="33"/>
        <v>-5.7258906752796622E-2</v>
      </c>
      <c r="V147" s="1132">
        <f t="shared" si="33"/>
        <v>0.198117589718218</v>
      </c>
      <c r="W147" s="1124">
        <f t="shared" si="33"/>
        <v>3.7162372871396732E-2</v>
      </c>
      <c r="X147" s="1124">
        <f t="shared" si="33"/>
        <v>0.25234350412762557</v>
      </c>
      <c r="Y147" s="1133" t="str">
        <f t="shared" si="33"/>
        <v>A-</v>
      </c>
      <c r="Z147" s="1134" t="str">
        <f t="shared" si="35"/>
        <v>=  =  -</v>
      </c>
      <c r="AA147" s="1128">
        <f t="shared" si="34"/>
        <v>1.0395975936863313</v>
      </c>
      <c r="AB147" s="1135">
        <f t="shared" si="34"/>
        <v>2.9438923535487854E-2</v>
      </c>
      <c r="AC147" s="1129">
        <f t="shared" si="34"/>
        <v>1.2087727199953455</v>
      </c>
    </row>
    <row r="148" spans="1:29">
      <c r="A148" s="1155" t="s">
        <v>545</v>
      </c>
      <c r="B148" s="73" t="s">
        <v>39</v>
      </c>
      <c r="C148" s="1149">
        <f t="shared" si="32"/>
        <v>5059.5155870714543</v>
      </c>
      <c r="D148" s="1150">
        <f t="shared" si="32"/>
        <v>1.2963710952524294E-2</v>
      </c>
      <c r="E148" s="1124">
        <f t="shared" si="32"/>
        <v>-0.13366823909704381</v>
      </c>
      <c r="F148" s="1124">
        <f t="shared" si="32"/>
        <v>-3.1892660191404867E-2</v>
      </c>
      <c r="G148" s="1125">
        <f t="shared" si="32"/>
        <v>5057.8123335929276</v>
      </c>
      <c r="H148" s="1126">
        <f t="shared" si="32"/>
        <v>1.4006069920599414E-2</v>
      </c>
      <c r="I148" s="1127">
        <f t="shared" si="32"/>
        <v>1.6858649053444912</v>
      </c>
      <c r="J148" s="1127">
        <f t="shared" si="32"/>
        <v>1.7703056194544857</v>
      </c>
      <c r="K148" s="1128">
        <f t="shared" si="32"/>
        <v>5.8927844479191869</v>
      </c>
      <c r="L148" s="1124">
        <f t="shared" si="32"/>
        <v>-0.19036897853308513</v>
      </c>
      <c r="M148" s="131">
        <f t="shared" si="33"/>
        <v>5.9052222685092017</v>
      </c>
      <c r="N148" s="1130">
        <f t="shared" si="33"/>
        <v>0.31054928118178421</v>
      </c>
      <c r="O148" s="1131">
        <f t="shared" si="33"/>
        <v>-0.11491916916279199</v>
      </c>
      <c r="P148" s="1132">
        <f t="shared" si="33"/>
        <v>0.28165979767703259</v>
      </c>
      <c r="Q148" s="1130">
        <f t="shared" si="33"/>
        <v>0.3899242463002407</v>
      </c>
      <c r="R148" s="1131">
        <f t="shared" si="33"/>
        <v>-0.1197676600756727</v>
      </c>
      <c r="S148" s="1132">
        <f t="shared" si="33"/>
        <v>0.37944762378701169</v>
      </c>
      <c r="T148" s="1130">
        <f t="shared" si="33"/>
        <v>0.45093517146474416</v>
      </c>
      <c r="U148" s="1131">
        <f t="shared" si="33"/>
        <v>-8.3572610535330494E-2</v>
      </c>
      <c r="V148" s="1132">
        <f t="shared" si="33"/>
        <v>0.43916945384982109</v>
      </c>
      <c r="W148" s="1124">
        <f t="shared" si="33"/>
        <v>6.101092516450346E-2</v>
      </c>
      <c r="X148" s="1124">
        <f t="shared" si="33"/>
        <v>0.15646866216553562</v>
      </c>
      <c r="Y148" s="1133" t="str">
        <f t="shared" si="33"/>
        <v>BBB</v>
      </c>
      <c r="Z148" s="1134" t="str">
        <f t="shared" si="35"/>
        <v>­  = =</v>
      </c>
      <c r="AA148" s="1128">
        <f t="shared" si="34"/>
        <v>2.6587814840492587</v>
      </c>
      <c r="AB148" s="1135">
        <f t="shared" si="34"/>
        <v>-0.25803195656746131</v>
      </c>
      <c r="AC148" s="1129">
        <f t="shared" si="34"/>
        <v>2.5933932385229874</v>
      </c>
    </row>
    <row r="149" spans="1:29">
      <c r="A149" s="1155" t="s">
        <v>32</v>
      </c>
      <c r="B149" s="73" t="s">
        <v>50</v>
      </c>
      <c r="C149" s="1149">
        <f t="shared" si="32"/>
        <v>19515.355899391296</v>
      </c>
      <c r="D149" s="1150">
        <f t="shared" si="32"/>
        <v>5.0003093905237848E-2</v>
      </c>
      <c r="E149" s="1124">
        <f t="shared" si="32"/>
        <v>1.1994936816856254</v>
      </c>
      <c r="F149" s="1124">
        <f t="shared" si="32"/>
        <v>1.3012692605912644</v>
      </c>
      <c r="G149" s="1125">
        <f t="shared" si="32"/>
        <v>28491.576306321644</v>
      </c>
      <c r="H149" s="1126">
        <f t="shared" si="32"/>
        <v>7.8898737947233621E-2</v>
      </c>
      <c r="I149" s="1127">
        <f t="shared" si="32"/>
        <v>-0.89894076859195104</v>
      </c>
      <c r="J149" s="1127">
        <f t="shared" si="32"/>
        <v>39.625784878048783</v>
      </c>
      <c r="K149" s="1128">
        <f t="shared" si="32"/>
        <v>4.6985221679038922</v>
      </c>
      <c r="L149" s="1124">
        <f t="shared" si="32"/>
        <v>0.4140020451008824</v>
      </c>
      <c r="M149" s="131">
        <f t="shared" si="33"/>
        <v>5.7096258695546744</v>
      </c>
      <c r="N149" s="1130">
        <f t="shared" si="33"/>
        <v>0</v>
      </c>
      <c r="O149" s="1131">
        <f t="shared" si="33"/>
        <v>0</v>
      </c>
      <c r="P149" s="1132">
        <f t="shared" si="33"/>
        <v>0</v>
      </c>
      <c r="Q149" s="1130">
        <f t="shared" si="33"/>
        <v>0.37025195227815472</v>
      </c>
      <c r="R149" s="1131">
        <f t="shared" si="33"/>
        <v>-0.46222821771061889</v>
      </c>
      <c r="S149" s="1132">
        <f t="shared" si="33"/>
        <v>0.26403640782716253</v>
      </c>
      <c r="T149" s="1130">
        <f t="shared" si="33"/>
        <v>0.48927059752514818</v>
      </c>
      <c r="U149" s="1131">
        <f t="shared" si="33"/>
        <v>-0.38189416595312975</v>
      </c>
      <c r="V149" s="1132">
        <f t="shared" si="33"/>
        <v>0.37414035756341019</v>
      </c>
      <c r="W149" s="1124">
        <f t="shared" si="33"/>
        <v>0.11901864524699346</v>
      </c>
      <c r="X149" s="1124">
        <f t="shared" si="33"/>
        <v>0.32145312000294263</v>
      </c>
      <c r="Y149" s="1133" t="str">
        <f t="shared" si="33"/>
        <v>BBB</v>
      </c>
      <c r="Z149" s="1134" t="str">
        <f t="shared" si="35"/>
        <v xml:space="preserve">=  -  = </v>
      </c>
      <c r="AA149" s="1128">
        <f t="shared" si="34"/>
        <v>2.2664974928712622</v>
      </c>
      <c r="AB149" s="1135">
        <f t="shared" si="34"/>
        <v>-0.12537902502142731</v>
      </c>
      <c r="AC149" s="1129">
        <f t="shared" si="34"/>
        <v>2.136201464388483</v>
      </c>
    </row>
    <row r="150" spans="1:29">
      <c r="A150" s="1155" t="s">
        <v>507</v>
      </c>
      <c r="B150" s="73" t="s">
        <v>282</v>
      </c>
      <c r="C150" s="1149">
        <f t="shared" si="32"/>
        <v>5769.8566757446433</v>
      </c>
      <c r="D150" s="1150">
        <f t="shared" si="32"/>
        <v>1.4783777793466828E-2</v>
      </c>
      <c r="E150" s="1124">
        <f t="shared" si="32"/>
        <v>-0.24705029723080094</v>
      </c>
      <c r="F150" s="1124">
        <f t="shared" si="32"/>
        <v>-0.14527471832516198</v>
      </c>
      <c r="G150" s="1125">
        <f t="shared" si="32"/>
        <v>4026.3480952657014</v>
      </c>
      <c r="H150" s="1126">
        <f t="shared" si="32"/>
        <v>1.1149744044952231E-2</v>
      </c>
      <c r="I150" s="1127">
        <f t="shared" si="32"/>
        <v>2.446298838298576</v>
      </c>
      <c r="J150" s="1127">
        <f t="shared" si="32"/>
        <v>1.6476276710656086</v>
      </c>
      <c r="K150" s="1128">
        <f t="shared" si="32"/>
        <v>6.6837223425180285</v>
      </c>
      <c r="L150" s="1124">
        <f t="shared" si="32"/>
        <v>1.2127469272410992E-3</v>
      </c>
      <c r="M150" s="131">
        <f t="shared" si="33"/>
        <v>5.5145354419406587</v>
      </c>
      <c r="N150" s="1130">
        <f t="shared" si="33"/>
        <v>0.67083419702973635</v>
      </c>
      <c r="O150" s="1131">
        <f t="shared" si="33"/>
        <v>-0.11335389957676706</v>
      </c>
      <c r="P150" s="1132">
        <f t="shared" si="33"/>
        <v>0.63639387890884902</v>
      </c>
      <c r="Q150" s="1130">
        <f t="shared" si="33"/>
        <v>0.1536920907726812</v>
      </c>
      <c r="R150" s="1131">
        <f t="shared" si="33"/>
        <v>1.6283818604559013</v>
      </c>
      <c r="S150" s="1132">
        <f t="shared" si="33"/>
        <v>0.2022242346359609</v>
      </c>
      <c r="T150" s="1130">
        <f t="shared" si="33"/>
        <v>0.20961441125119315</v>
      </c>
      <c r="U150" s="1131">
        <f t="shared" si="33"/>
        <v>0.84200521424561081</v>
      </c>
      <c r="V150" s="1132">
        <f t="shared" si="33"/>
        <v>0.28147528322389997</v>
      </c>
      <c r="W150" s="1124">
        <f t="shared" si="33"/>
        <v>5.592232047851195E-2</v>
      </c>
      <c r="X150" s="1124">
        <f t="shared" si="33"/>
        <v>0.36385945559959909</v>
      </c>
      <c r="Y150" s="1133" t="str">
        <f t="shared" si="33"/>
        <v>Not rated</v>
      </c>
      <c r="Z150" s="1134"/>
      <c r="AA150" s="1128">
        <f t="shared" si="34"/>
        <v>1.4399592566697517</v>
      </c>
      <c r="AB150" s="1135">
        <f t="shared" si="34"/>
        <v>0.8442860967329926</v>
      </c>
      <c r="AC150" s="1129">
        <f t="shared" si="34"/>
        <v>1.5521418473212367</v>
      </c>
    </row>
    <row r="151" spans="1:29">
      <c r="A151" s="1155" t="s">
        <v>502</v>
      </c>
      <c r="B151" s="73" t="s">
        <v>52</v>
      </c>
      <c r="C151" s="1149">
        <f t="shared" ref="C151:L162" si="36">VLOOKUP($B151,$B$7:$AC$28,C$37+1,FALSE)</f>
        <v>40464.923042857146</v>
      </c>
      <c r="D151" s="1150">
        <f t="shared" si="36"/>
        <v>0.1036809862557167</v>
      </c>
      <c r="E151" s="1124">
        <f t="shared" si="36"/>
        <v>-6.1458653761923776E-2</v>
      </c>
      <c r="F151" s="1124">
        <f t="shared" si="36"/>
        <v>4.0316925143715168E-2</v>
      </c>
      <c r="G151" s="1125">
        <f t="shared" si="36"/>
        <v>39791.94</v>
      </c>
      <c r="H151" s="1126">
        <f t="shared" si="36"/>
        <v>0.1101916514803518</v>
      </c>
      <c r="I151" s="1127">
        <f t="shared" si="36"/>
        <v>1.0840589348936991</v>
      </c>
      <c r="J151" s="1127">
        <f t="shared" si="36"/>
        <v>1.2733420800000002</v>
      </c>
      <c r="K151" s="1128">
        <f t="shared" si="36"/>
        <v>4.9905713850513198</v>
      </c>
      <c r="L151" s="1124">
        <f t="shared" si="36"/>
        <v>0.1448238320606966</v>
      </c>
      <c r="M151" s="131">
        <f t="shared" ref="M151:Y162" si="37">VLOOKUP($B151,$B$7:$AC$28,M$37+1,FALSE)</f>
        <v>5.2964626193065953</v>
      </c>
      <c r="N151" s="1130">
        <f t="shared" si="37"/>
        <v>0.61</v>
      </c>
      <c r="O151" s="1131">
        <f t="shared" si="37"/>
        <v>0</v>
      </c>
      <c r="P151" s="1132">
        <f t="shared" si="37"/>
        <v>0.62983042679437373</v>
      </c>
      <c r="Q151" s="1130">
        <f t="shared" si="37"/>
        <v>0.51528895508035288</v>
      </c>
      <c r="R151" s="1131">
        <f t="shared" si="37"/>
        <v>-2.4931247740904369E-2</v>
      </c>
      <c r="S151" s="1132">
        <f t="shared" si="37"/>
        <v>0.51939744871548044</v>
      </c>
      <c r="T151" s="1130">
        <f t="shared" si="37"/>
        <v>0.58808850315066874</v>
      </c>
      <c r="U151" s="1131">
        <f t="shared" si="37"/>
        <v>-2.8226553900756759E-2</v>
      </c>
      <c r="V151" s="1132">
        <f t="shared" si="37"/>
        <v>0.59074959904524027</v>
      </c>
      <c r="W151" s="1124">
        <f t="shared" si="37"/>
        <v>7.2799548070315856E-2</v>
      </c>
      <c r="X151" s="1124">
        <f t="shared" si="37"/>
        <v>0.14127907721011346</v>
      </c>
      <c r="Y151" s="1133" t="str">
        <f t="shared" si="37"/>
        <v>BBB+</v>
      </c>
      <c r="Z151" s="1134" t="str">
        <f t="shared" ref="Z151:Z158" si="38">VLOOKUP($B151,$B$7:$AC$28,Z$37+1,FALSE)</f>
        <v>=  =  =</v>
      </c>
      <c r="AA151" s="1128">
        <f t="shared" si="34"/>
        <v>2.7906818261625395</v>
      </c>
      <c r="AB151" s="1135">
        <f t="shared" si="34"/>
        <v>8.5841806528642844E-2</v>
      </c>
      <c r="AC151" s="1129">
        <f t="shared" si="34"/>
        <v>2.9178287645268703</v>
      </c>
    </row>
    <row r="152" spans="1:29">
      <c r="A152" s="1155" t="s">
        <v>27</v>
      </c>
      <c r="B152" s="73" t="s">
        <v>54</v>
      </c>
      <c r="C152" s="1149">
        <f t="shared" si="36"/>
        <v>4745.1447857142857</v>
      </c>
      <c r="D152" s="1150">
        <f t="shared" si="36"/>
        <v>1.2158216408516635E-2</v>
      </c>
      <c r="E152" s="1124">
        <f t="shared" si="36"/>
        <v>-0.63447330491761056</v>
      </c>
      <c r="F152" s="1124">
        <f t="shared" si="36"/>
        <v>-0.53269772601197163</v>
      </c>
      <c r="G152" s="1125">
        <f t="shared" si="36"/>
        <v>2680.5724</v>
      </c>
      <c r="H152" s="1126">
        <f t="shared" si="36"/>
        <v>7.4230283738025878E-3</v>
      </c>
      <c r="I152" s="1127">
        <f t="shared" si="36"/>
        <v>1.3569881249181368</v>
      </c>
      <c r="J152" s="1127">
        <f t="shared" si="36"/>
        <v>1.0332545966156574</v>
      </c>
      <c r="K152" s="1128">
        <f t="shared" si="36"/>
        <v>6.4063105209788551</v>
      </c>
      <c r="L152" s="1124">
        <f t="shared" si="36"/>
        <v>-0.24924595564935845</v>
      </c>
      <c r="M152" s="131">
        <f t="shared" si="37"/>
        <v>5.3369406950798908</v>
      </c>
      <c r="N152" s="1130">
        <f t="shared" si="37"/>
        <v>0.48460704112825509</v>
      </c>
      <c r="O152" s="1131">
        <f t="shared" si="37"/>
        <v>-0.18079580514885477</v>
      </c>
      <c r="P152" s="1132">
        <f t="shared" si="37"/>
        <v>0.49497857034449522</v>
      </c>
      <c r="Q152" s="1130">
        <f t="shared" si="37"/>
        <v>0.56717095077467305</v>
      </c>
      <c r="R152" s="1131">
        <f t="shared" si="37"/>
        <v>0.64731222518720821</v>
      </c>
      <c r="S152" s="1132">
        <f t="shared" si="37"/>
        <v>0.74754623070756221</v>
      </c>
      <c r="T152" s="1130">
        <f t="shared" si="37"/>
        <v>0.5748403529709204</v>
      </c>
      <c r="U152" s="1131">
        <f t="shared" si="37"/>
        <v>0.5906099669472562</v>
      </c>
      <c r="V152" s="1132">
        <f t="shared" si="37"/>
        <v>0.7506672643344422</v>
      </c>
      <c r="W152" s="1124">
        <f t="shared" si="37"/>
        <v>7.6694021962473435E-3</v>
      </c>
      <c r="X152" s="1124">
        <f t="shared" si="37"/>
        <v>1.3522205581530675E-2</v>
      </c>
      <c r="Y152" s="1133" t="str">
        <f t="shared" si="37"/>
        <v>BBB-</v>
      </c>
      <c r="Z152" s="1134" t="str">
        <f t="shared" si="38"/>
        <v>¯  ¯ ¯</v>
      </c>
      <c r="AA152" s="1128">
        <f t="shared" si="34"/>
        <v>3.4278891827637503</v>
      </c>
      <c r="AB152" s="1135">
        <f t="shared" si="34"/>
        <v>0.24423537898737996</v>
      </c>
      <c r="AC152" s="1129">
        <f t="shared" si="34"/>
        <v>3.8230610288109381</v>
      </c>
    </row>
    <row r="153" spans="1:29">
      <c r="A153" s="1155" t="s">
        <v>219</v>
      </c>
      <c r="B153" s="73" t="s">
        <v>53</v>
      </c>
      <c r="C153" s="1149">
        <f t="shared" si="36"/>
        <v>60036.853628571422</v>
      </c>
      <c r="D153" s="1150">
        <f t="shared" si="36"/>
        <v>0.15382903828354536</v>
      </c>
      <c r="E153" s="1124">
        <f t="shared" si="36"/>
        <v>-0.3618479655094986</v>
      </c>
      <c r="F153" s="1124">
        <f t="shared" si="36"/>
        <v>-0.26007238660385967</v>
      </c>
      <c r="G153" s="1125">
        <f t="shared" si="36"/>
        <v>44430.485000000001</v>
      </c>
      <c r="H153" s="1126">
        <f t="shared" si="36"/>
        <v>0.1230366882897139</v>
      </c>
      <c r="I153" s="1127">
        <f t="shared" si="36"/>
        <v>2.2644833808097031</v>
      </c>
      <c r="J153" s="1127">
        <f t="shared" si="36"/>
        <v>1.7716210773954304</v>
      </c>
      <c r="K153" s="1128">
        <f t="shared" si="36"/>
        <v>5.6943354572509941</v>
      </c>
      <c r="L153" s="1124">
        <f t="shared" si="36"/>
        <v>-7.3155042359885195E-2</v>
      </c>
      <c r="M153" s="131">
        <f t="shared" si="37"/>
        <v>5.1937231412225326</v>
      </c>
      <c r="N153" s="1130">
        <f t="shared" si="37"/>
        <v>0.6158872479982318</v>
      </c>
      <c r="O153" s="1131">
        <f t="shared" si="37"/>
        <v>0.11044311863454735</v>
      </c>
      <c r="P153" s="1132">
        <f t="shared" si="37"/>
        <v>0.66127040038880336</v>
      </c>
      <c r="Q153" s="1130">
        <f t="shared" si="37"/>
        <v>0.48384306036910518</v>
      </c>
      <c r="R153" s="1131">
        <f t="shared" si="37"/>
        <v>0.2595878527386451</v>
      </c>
      <c r="S153" s="1132">
        <f t="shared" si="37"/>
        <v>0.54381370963962039</v>
      </c>
      <c r="T153" s="1130">
        <f t="shared" si="37"/>
        <v>0.51513010935716153</v>
      </c>
      <c r="U153" s="1131">
        <f t="shared" si="37"/>
        <v>0.26130995158024306</v>
      </c>
      <c r="V153" s="1132">
        <f t="shared" si="37"/>
        <v>0.57929804018594233</v>
      </c>
      <c r="W153" s="1124">
        <f t="shared" si="37"/>
        <v>3.1287048988056343E-2</v>
      </c>
      <c r="X153" s="1124">
        <f t="shared" si="37"/>
        <v>6.4663630732222685E-2</v>
      </c>
      <c r="Y153" s="1133" t="str">
        <f t="shared" si="37"/>
        <v>BBB</v>
      </c>
      <c r="Z153" s="1134" t="str">
        <f t="shared" si="38"/>
        <v>¯  ¯ ¯</v>
      </c>
      <c r="AA153" s="1128">
        <f t="shared" si="34"/>
        <v>2.7929780820851775</v>
      </c>
      <c r="AB153" s="1135">
        <f t="shared" si="34"/>
        <v>0.12404595260605845</v>
      </c>
      <c r="AC153" s="1129">
        <f t="shared" si="34"/>
        <v>2.8353348809740444</v>
      </c>
    </row>
    <row r="154" spans="1:29">
      <c r="A154" s="1156" t="s">
        <v>323</v>
      </c>
      <c r="B154" s="726" t="s">
        <v>772</v>
      </c>
      <c r="C154" s="1151">
        <f t="shared" si="36"/>
        <v>7616.907214285714</v>
      </c>
      <c r="D154" s="1152">
        <f t="shared" si="36"/>
        <v>1.9516371039653539E-2</v>
      </c>
      <c r="E154" s="1136">
        <f t="shared" si="36"/>
        <v>-0.33365525120929096</v>
      </c>
      <c r="F154" s="1136">
        <f t="shared" si="36"/>
        <v>-0.23187967230365203</v>
      </c>
      <c r="G154" s="1137">
        <f t="shared" si="36"/>
        <v>5825.8631999999998</v>
      </c>
      <c r="H154" s="1138">
        <f t="shared" si="36"/>
        <v>1.6132952736323161E-2</v>
      </c>
      <c r="I154" s="1139">
        <f t="shared" si="36"/>
        <v>2.4107651340270966</v>
      </c>
      <c r="J154" s="1139">
        <f t="shared" si="36"/>
        <v>2.0327505931612002</v>
      </c>
      <c r="K154" s="1140">
        <f t="shared" si="36"/>
        <v>4.8426442674927213</v>
      </c>
      <c r="L154" s="1136">
        <f t="shared" si="36"/>
        <v>0.1951757211867983</v>
      </c>
      <c r="M154" s="1075">
        <f t="shared" si="37"/>
        <v>4.6619962755533297</v>
      </c>
      <c r="N154" s="1142">
        <f t="shared" si="37"/>
        <v>0.37158673775730477</v>
      </c>
      <c r="O154" s="1143">
        <f t="shared" si="37"/>
        <v>-0.1153634304384116</v>
      </c>
      <c r="P154" s="1144">
        <f t="shared" si="37"/>
        <v>0.36037883142173305</v>
      </c>
      <c r="Q154" s="1142">
        <f t="shared" si="37"/>
        <v>0.17383796150947908</v>
      </c>
      <c r="R154" s="1143">
        <f t="shared" si="37"/>
        <v>0.54445307336528614</v>
      </c>
      <c r="S154" s="1144">
        <f t="shared" si="37"/>
        <v>0.26356163003804695</v>
      </c>
      <c r="T154" s="1142">
        <f t="shared" si="37"/>
        <v>0.19702478682132593</v>
      </c>
      <c r="U154" s="1143">
        <f t="shared" si="37"/>
        <v>0.50034734616182497</v>
      </c>
      <c r="V154" s="1144">
        <f t="shared" si="37"/>
        <v>0.28756363720088318</v>
      </c>
      <c r="W154" s="1136">
        <f t="shared" si="37"/>
        <v>2.3186825311846848E-2</v>
      </c>
      <c r="X154" s="1136">
        <f t="shared" si="37"/>
        <v>0.13338182932260462</v>
      </c>
      <c r="Y154" s="1145" t="str">
        <f t="shared" si="37"/>
        <v>A</v>
      </c>
      <c r="Z154" s="1146" t="str">
        <f t="shared" si="38"/>
        <v>=  =  -</v>
      </c>
      <c r="AA154" s="1140">
        <f t="shared" si="34"/>
        <v>0.93248540191552354</v>
      </c>
      <c r="AB154" s="1147">
        <f t="shared" si="34"/>
        <v>0.78949919521054279</v>
      </c>
      <c r="AC154" s="1141">
        <f t="shared" si="34"/>
        <v>1.3109622071604587</v>
      </c>
    </row>
    <row r="155" spans="1:29">
      <c r="A155" s="1155" t="s">
        <v>19</v>
      </c>
      <c r="B155" s="152" t="s">
        <v>288</v>
      </c>
      <c r="C155" s="1149">
        <f t="shared" si="36"/>
        <v>31174.883771428573</v>
      </c>
      <c r="D155" s="1150">
        <f t="shared" si="36"/>
        <v>7.9877643469276421E-2</v>
      </c>
      <c r="E155" s="1124">
        <f t="shared" si="36"/>
        <v>-0.49416922878378883</v>
      </c>
      <c r="F155" s="1124">
        <f t="shared" si="36"/>
        <v>-0.3923936498781499</v>
      </c>
      <c r="G155" s="1125">
        <f t="shared" si="36"/>
        <v>19124.593099999998</v>
      </c>
      <c r="H155" s="1126">
        <f t="shared" si="36"/>
        <v>5.2959732488004868E-2</v>
      </c>
      <c r="I155" s="1127">
        <f t="shared" si="36"/>
        <v>1.0546425468926217</v>
      </c>
      <c r="J155" s="1127">
        <f t="shared" si="36"/>
        <v>0.72989058468819168</v>
      </c>
      <c r="K155" s="1128">
        <f t="shared" si="36"/>
        <v>4.7838493303826084</v>
      </c>
      <c r="L155" s="1124">
        <f t="shared" si="36"/>
        <v>-0.19812930900653591</v>
      </c>
      <c r="M155" s="131">
        <f t="shared" si="37"/>
        <v>4.438539176760524</v>
      </c>
      <c r="N155" s="1130">
        <f t="shared" si="37"/>
        <v>0.60741568747204655</v>
      </c>
      <c r="O155" s="1131">
        <f t="shared" si="37"/>
        <v>4.0950219141690898E-2</v>
      </c>
      <c r="P155" s="1132">
        <f t="shared" si="37"/>
        <v>0.62738172243152124</v>
      </c>
      <c r="Q155" s="1130">
        <f t="shared" si="37"/>
        <v>0.50834561454306215</v>
      </c>
      <c r="R155" s="1131">
        <f t="shared" si="37"/>
        <v>0.27477182203191691</v>
      </c>
      <c r="S155" s="1132">
        <f t="shared" si="37"/>
        <v>0.61196382356206247</v>
      </c>
      <c r="T155" s="1130">
        <f t="shared" si="37"/>
        <v>0.54898628094174651</v>
      </c>
      <c r="U155" s="1131">
        <f t="shared" si="37"/>
        <v>0.26756473067663017</v>
      </c>
      <c r="V155" s="1132">
        <f t="shared" si="37"/>
        <v>0.65530118542007598</v>
      </c>
      <c r="W155" s="1124">
        <f t="shared" si="37"/>
        <v>4.0640666398684355E-2</v>
      </c>
      <c r="X155" s="1124">
        <f t="shared" si="37"/>
        <v>7.9946920433679999E-2</v>
      </c>
      <c r="Y155" s="1133" t="str">
        <f t="shared" si="37"/>
        <v>BBB+</v>
      </c>
      <c r="Z155" s="1134" t="str">
        <f t="shared" si="38"/>
        <v>=  ¯ ¯</v>
      </c>
      <c r="AA155" s="1128">
        <f t="shared" si="34"/>
        <v>2.5321561588471506</v>
      </c>
      <c r="AB155" s="1135">
        <f t="shared" si="34"/>
        <v>1.3257606300410854E-2</v>
      </c>
      <c r="AC155" s="1129">
        <f t="shared" si="34"/>
        <v>2.8138910595815916</v>
      </c>
    </row>
    <row r="156" spans="1:29">
      <c r="A156" s="1155" t="s">
        <v>505</v>
      </c>
      <c r="B156" s="73" t="s">
        <v>44</v>
      </c>
      <c r="C156" s="1149">
        <f t="shared" si="36"/>
        <v>12234.494271428572</v>
      </c>
      <c r="D156" s="1150">
        <f t="shared" si="36"/>
        <v>3.1347753486597643E-2</v>
      </c>
      <c r="E156" s="1124">
        <f t="shared" si="36"/>
        <v>-0.59766521701552</v>
      </c>
      <c r="F156" s="1124">
        <f t="shared" si="36"/>
        <v>-0.49588963810988107</v>
      </c>
      <c r="G156" s="1125">
        <f t="shared" si="36"/>
        <v>6819.5967000000001</v>
      </c>
      <c r="H156" s="1126">
        <f t="shared" si="36"/>
        <v>1.8884794830384175E-2</v>
      </c>
      <c r="I156" s="1127">
        <f t="shared" si="36"/>
        <v>3.9295455833111754</v>
      </c>
      <c r="J156" s="1127">
        <f t="shared" si="36"/>
        <v>1.2175677021960365</v>
      </c>
      <c r="K156" s="1128">
        <f t="shared" si="36"/>
        <v>4.9270605931091591</v>
      </c>
      <c r="L156" s="1124">
        <f t="shared" si="36"/>
        <v>-0.26680842971581226</v>
      </c>
      <c r="M156" s="131">
        <f t="shared" si="37"/>
        <v>4.0325018858098245</v>
      </c>
      <c r="N156" s="1130">
        <f t="shared" si="37"/>
        <v>0.5805147103617575</v>
      </c>
      <c r="O156" s="1131">
        <f t="shared" si="37"/>
        <v>8.4948466413752491E-2</v>
      </c>
      <c r="P156" s="1132">
        <f t="shared" si="37"/>
        <v>0.6264024463118032</v>
      </c>
      <c r="Q156" s="1130">
        <f t="shared" si="37"/>
        <v>0.51826084585195908</v>
      </c>
      <c r="R156" s="1131">
        <f t="shared" si="37"/>
        <v>0.40005999871326348</v>
      </c>
      <c r="S156" s="1132">
        <f t="shared" si="37"/>
        <v>0.58973938770950263</v>
      </c>
      <c r="T156" s="1130">
        <f t="shared" si="37"/>
        <v>0.5495689942142129</v>
      </c>
      <c r="U156" s="1131">
        <f t="shared" si="37"/>
        <v>0.40637993517884302</v>
      </c>
      <c r="V156" s="1132">
        <f t="shared" si="37"/>
        <v>0.63323863537070213</v>
      </c>
      <c r="W156" s="1124">
        <f t="shared" si="37"/>
        <v>3.1308148362253818E-2</v>
      </c>
      <c r="X156" s="1124">
        <f t="shared" si="37"/>
        <v>6.0410020577161203E-2</v>
      </c>
      <c r="Y156" s="1133" t="str">
        <f t="shared" si="37"/>
        <v>BBB-</v>
      </c>
      <c r="Z156" s="1134" t="str">
        <f t="shared" si="38"/>
        <v>=  ¯ =</v>
      </c>
      <c r="AA156" s="1128">
        <f t="shared" si="34"/>
        <v>2.643581803383519</v>
      </c>
      <c r="AB156" s="1135">
        <f t="shared" si="34"/>
        <v>2.8580691559688957E-2</v>
      </c>
      <c r="AC156" s="1129">
        <f t="shared" si="34"/>
        <v>2.5466878830879209</v>
      </c>
    </row>
    <row r="157" spans="1:29">
      <c r="A157" s="1155" t="s">
        <v>503</v>
      </c>
      <c r="B157" s="73" t="s">
        <v>286</v>
      </c>
      <c r="C157" s="1149">
        <f t="shared" si="36"/>
        <v>15596.516285714286</v>
      </c>
      <c r="D157" s="1150">
        <f t="shared" si="36"/>
        <v>3.9962072557101963E-2</v>
      </c>
      <c r="E157" s="1124">
        <f t="shared" si="36"/>
        <v>-0.41209116095583281</v>
      </c>
      <c r="F157" s="1124">
        <f t="shared" si="36"/>
        <v>-0.31031558205019388</v>
      </c>
      <c r="G157" s="1125">
        <f t="shared" si="36"/>
        <v>10295.917100000001</v>
      </c>
      <c r="H157" s="1126">
        <f t="shared" si="36"/>
        <v>2.8511404790864545E-2</v>
      </c>
      <c r="I157" s="1127">
        <f t="shared" si="36"/>
        <v>0.58081043687158529</v>
      </c>
      <c r="J157" s="1127">
        <f t="shared" si="36"/>
        <v>0.5027794267018264</v>
      </c>
      <c r="K157" s="1128">
        <f t="shared" si="36"/>
        <v>4.5606838408134944</v>
      </c>
      <c r="L157" s="1124">
        <f t="shared" si="36"/>
        <v>-0.18379111287045302</v>
      </c>
      <c r="M157" s="131">
        <f t="shared" si="37"/>
        <v>4.0606354500113753</v>
      </c>
      <c r="N157" s="1130">
        <f t="shared" si="37"/>
        <v>0.34534166666666666</v>
      </c>
      <c r="O157" s="1131">
        <f t="shared" si="37"/>
        <v>-5.4500069338510607E-2</v>
      </c>
      <c r="P157" s="1132">
        <f t="shared" si="37"/>
        <v>0.3626280111015483</v>
      </c>
      <c r="Q157" s="1130">
        <f t="shared" si="37"/>
        <v>0.67997702229572432</v>
      </c>
      <c r="R157" s="1131">
        <f t="shared" si="37"/>
        <v>0.10658020511075152</v>
      </c>
      <c r="S157" s="1132">
        <f t="shared" si="37"/>
        <v>0.75270955685414354</v>
      </c>
      <c r="T157" s="1130">
        <f t="shared" si="37"/>
        <v>0.68457317243488636</v>
      </c>
      <c r="U157" s="1131">
        <f t="shared" si="37"/>
        <v>0.10522314957078965</v>
      </c>
      <c r="V157" s="1132">
        <f t="shared" si="37"/>
        <v>0.75672107111582532</v>
      </c>
      <c r="W157" s="1124">
        <f t="shared" si="37"/>
        <v>4.5961501391620363E-3</v>
      </c>
      <c r="X157" s="1124">
        <f t="shared" si="37"/>
        <v>6.7592727231349809E-3</v>
      </c>
      <c r="Y157" s="1133" t="str">
        <f t="shared" si="37"/>
        <v>BBB-</v>
      </c>
      <c r="Z157" s="1134" t="str">
        <f t="shared" si="38"/>
        <v>=  ¯ ¯</v>
      </c>
      <c r="AA157" s="1128">
        <f t="shared" si="34"/>
        <v>2.9152503149286035</v>
      </c>
      <c r="AB157" s="1135">
        <f t="shared" si="34"/>
        <v>-0.14664752669478531</v>
      </c>
      <c r="AC157" s="1129">
        <f t="shared" si="34"/>
        <v>2.8370691340232916</v>
      </c>
    </row>
    <row r="158" spans="1:29">
      <c r="A158" s="1155" t="s">
        <v>389</v>
      </c>
      <c r="B158" s="73" t="s">
        <v>278</v>
      </c>
      <c r="C158" s="1149">
        <f t="shared" si="36"/>
        <v>3544.0522571428578</v>
      </c>
      <c r="D158" s="1150">
        <f t="shared" si="36"/>
        <v>9.0807248780183369E-3</v>
      </c>
      <c r="E158" s="1124">
        <f t="shared" si="36"/>
        <v>-0.4675424361384804</v>
      </c>
      <c r="F158" s="1124">
        <f t="shared" si="36"/>
        <v>-0.36576685723284147</v>
      </c>
      <c r="G158" s="1125">
        <f t="shared" si="36"/>
        <v>2152.6311000000001</v>
      </c>
      <c r="H158" s="1126">
        <f t="shared" si="36"/>
        <v>5.9610558303255963E-3</v>
      </c>
      <c r="I158" s="1127">
        <f t="shared" si="36"/>
        <v>3.4941691326062152</v>
      </c>
      <c r="J158" s="1127">
        <f t="shared" si="36"/>
        <v>2.2961398399999999</v>
      </c>
      <c r="K158" s="1128">
        <f t="shared" si="36"/>
        <v>4.4503654862327</v>
      </c>
      <c r="L158" s="1124">
        <f t="shared" si="36"/>
        <v>-2.9835823683801648E-2</v>
      </c>
      <c r="M158" s="131">
        <f t="shared" si="37"/>
        <v>4.0530525032062261</v>
      </c>
      <c r="N158" s="1130">
        <f t="shared" si="37"/>
        <v>0.60910298289809772</v>
      </c>
      <c r="O158" s="1131">
        <f t="shared" si="37"/>
        <v>-5.2071170724915891E-2</v>
      </c>
      <c r="P158" s="1132">
        <f t="shared" si="37"/>
        <v>0.6207941242005639</v>
      </c>
      <c r="Q158" s="1130">
        <f t="shared" si="37"/>
        <v>0.49050145598877937</v>
      </c>
      <c r="R158" s="1131">
        <f t="shared" si="37"/>
        <v>0.42102559519407173</v>
      </c>
      <c r="S158" s="1132">
        <f t="shared" si="37"/>
        <v>0.61744816018521742</v>
      </c>
      <c r="T158" s="1130">
        <f t="shared" si="37"/>
        <v>0.49698573886957192</v>
      </c>
      <c r="U158" s="1131">
        <f t="shared" si="37"/>
        <v>0.41032171167013903</v>
      </c>
      <c r="V158" s="1132">
        <f t="shared" si="37"/>
        <v>0.62319136029119382</v>
      </c>
      <c r="W158" s="1124">
        <f t="shared" si="37"/>
        <v>6.4842828807925579E-3</v>
      </c>
      <c r="X158" s="1124">
        <f t="shared" si="37"/>
        <v>1.3219701596443154E-2</v>
      </c>
      <c r="Y158" s="1133" t="str">
        <f t="shared" si="37"/>
        <v>BBB</v>
      </c>
      <c r="Z158" s="1134" t="str">
        <f t="shared" si="38"/>
        <v>=  ¯ -</v>
      </c>
      <c r="AA158" s="1128">
        <f t="shared" si="34"/>
        <v>2.1902281092407181</v>
      </c>
      <c r="AB158" s="1135">
        <f t="shared" si="34"/>
        <v>0.36844726500440206</v>
      </c>
      <c r="AC158" s="1129">
        <f t="shared" si="34"/>
        <v>2.5252968522290931</v>
      </c>
    </row>
    <row r="159" spans="1:29">
      <c r="A159" s="1155" t="s">
        <v>27</v>
      </c>
      <c r="B159" s="73" t="s">
        <v>357</v>
      </c>
      <c r="C159" s="1149">
        <f t="shared" si="36"/>
        <v>504.56125714285719</v>
      </c>
      <c r="D159" s="1150">
        <f t="shared" si="36"/>
        <v>1.292808804099037E-3</v>
      </c>
      <c r="E159" s="1124">
        <f t="shared" si="36"/>
        <v>0.11241291049139049</v>
      </c>
      <c r="F159" s="1124">
        <f t="shared" si="36"/>
        <v>0.21418848939702945</v>
      </c>
      <c r="G159" s="1125">
        <f t="shared" si="36"/>
        <v>562.64409999999998</v>
      </c>
      <c r="H159" s="1126">
        <f t="shared" si="36"/>
        <v>1.5580713726115437E-3</v>
      </c>
      <c r="I159" s="1127">
        <f t="shared" si="36"/>
        <v>0.48825120153947199</v>
      </c>
      <c r="J159" s="1127">
        <f t="shared" si="36"/>
        <v>0.52140126030951717</v>
      </c>
      <c r="K159" s="1128">
        <f t="shared" si="36"/>
        <v>3.8552632920912293</v>
      </c>
      <c r="L159" s="1124">
        <f t="shared" si="36"/>
        <v>-0.11001004882442665</v>
      </c>
      <c r="M159" s="131">
        <f t="shared" si="37"/>
        <v>3.9063069179772585</v>
      </c>
      <c r="N159" s="1130">
        <f t="shared" si="37"/>
        <v>0.90539538726018864</v>
      </c>
      <c r="O159" s="1131">
        <f t="shared" si="37"/>
        <v>-4.1189056985539901E-2</v>
      </c>
      <c r="P159" s="1132">
        <f t="shared" si="37"/>
        <v>0.90138346931536006</v>
      </c>
      <c r="Q159" s="1130">
        <f t="shared" si="37"/>
        <v>0.38160323267486906</v>
      </c>
      <c r="R159" s="1131">
        <f t="shared" si="37"/>
        <v>0.13281779457810056</v>
      </c>
      <c r="S159" s="1132">
        <f t="shared" si="37"/>
        <v>0.39444904186551905</v>
      </c>
      <c r="T159" s="1130">
        <f t="shared" si="37"/>
        <v>0.47841518539184064</v>
      </c>
      <c r="U159" s="1131">
        <f t="shared" si="37"/>
        <v>1.1717685634717274E-2</v>
      </c>
      <c r="V159" s="1132">
        <f t="shared" si="37"/>
        <v>0.46507375880431212</v>
      </c>
      <c r="W159" s="1124">
        <f t="shared" si="37"/>
        <v>9.6811952716971572E-2</v>
      </c>
      <c r="X159" s="1124">
        <f t="shared" si="37"/>
        <v>0.25369793656715856</v>
      </c>
      <c r="Y159" s="1133" t="str">
        <f t="shared" si="37"/>
        <v>Not rated</v>
      </c>
      <c r="Z159" s="1134"/>
      <c r="AA159" s="1128">
        <f t="shared" si="34"/>
        <v>1.832329792526622</v>
      </c>
      <c r="AB159" s="1135">
        <f t="shared" si="34"/>
        <v>-9.9442962217240083E-2</v>
      </c>
      <c r="AC159" s="1129">
        <f t="shared" si="34"/>
        <v>1.8160302149559577</v>
      </c>
    </row>
    <row r="160" spans="1:29">
      <c r="A160" s="1155" t="s">
        <v>378</v>
      </c>
      <c r="B160" s="73" t="s">
        <v>42</v>
      </c>
      <c r="C160" s="1149">
        <f t="shared" si="36"/>
        <v>2432.5463571428577</v>
      </c>
      <c r="D160" s="1150">
        <f t="shared" si="36"/>
        <v>6.2327761047315808E-3</v>
      </c>
      <c r="E160" s="1124">
        <f t="shared" si="36"/>
        <v>-3.2258071946582277E-2</v>
      </c>
      <c r="F160" s="1124">
        <f t="shared" si="36"/>
        <v>6.9517506959056674E-2</v>
      </c>
      <c r="G160" s="1125">
        <f t="shared" si="36"/>
        <v>2940.9023000000002</v>
      </c>
      <c r="H160" s="1126">
        <f t="shared" si="36"/>
        <v>8.143932697912316E-3</v>
      </c>
      <c r="I160" s="1127">
        <f t="shared" si="36"/>
        <v>1.2689619717468461</v>
      </c>
      <c r="J160" s="1127">
        <f t="shared" si="36"/>
        <v>1.312316956715752</v>
      </c>
      <c r="K160" s="1128">
        <f t="shared" si="36"/>
        <v>3.7488610975650749</v>
      </c>
      <c r="L160" s="1124">
        <f t="shared" si="36"/>
        <v>3.4291324439135469E-2</v>
      </c>
      <c r="M160" s="131">
        <f t="shared" si="37"/>
        <v>3.7439277362047823</v>
      </c>
      <c r="N160" s="1130">
        <f t="shared" si="37"/>
        <v>0.56323171407839789</v>
      </c>
      <c r="O160" s="1131">
        <f t="shared" si="37"/>
        <v>-0.12023286586287618</v>
      </c>
      <c r="P160" s="1132">
        <f t="shared" si="37"/>
        <v>0.53987730061349704</v>
      </c>
      <c r="Q160" s="1130">
        <f t="shared" si="37"/>
        <v>0.60887331285954671</v>
      </c>
      <c r="R160" s="1131">
        <f t="shared" si="37"/>
        <v>-0.37303497156800469</v>
      </c>
      <c r="S160" s="1132">
        <f t="shared" si="37"/>
        <v>0.37659759063604481</v>
      </c>
      <c r="T160" s="1130">
        <f t="shared" si="37"/>
        <v>0.63388271448107447</v>
      </c>
      <c r="U160" s="1131">
        <f t="shared" si="37"/>
        <v>-0.25869992498286548</v>
      </c>
      <c r="V160" s="1132">
        <f t="shared" si="37"/>
        <v>0.44527495080222473</v>
      </c>
      <c r="W160" s="1124">
        <f t="shared" si="37"/>
        <v>2.500940162152776E-2</v>
      </c>
      <c r="X160" s="1124">
        <f t="shared" si="37"/>
        <v>4.1074885519406669E-2</v>
      </c>
      <c r="Y160" s="1133" t="str">
        <f t="shared" si="37"/>
        <v>B-</v>
      </c>
      <c r="Z160" s="1134" t="str">
        <f>VLOOKUP($B160,$B$7:$AC$28,Z$37+1,FALSE)</f>
        <v>=  =  -</v>
      </c>
      <c r="AA160" s="1128">
        <f t="shared" si="34"/>
        <v>2.172629043332774</v>
      </c>
      <c r="AB160" s="1135">
        <f t="shared" si="34"/>
        <v>-0.22035736928264804</v>
      </c>
      <c r="AC160" s="1129">
        <f t="shared" si="34"/>
        <v>1.5517268924243866</v>
      </c>
    </row>
    <row r="161" spans="1:29">
      <c r="A161" s="1156" t="s">
        <v>323</v>
      </c>
      <c r="B161" s="726" t="s">
        <v>773</v>
      </c>
      <c r="C161" s="1151">
        <f t="shared" si="36"/>
        <v>2121.4584571428572</v>
      </c>
      <c r="D161" s="1152">
        <f t="shared" si="36"/>
        <v>5.4356931534045982E-3</v>
      </c>
      <c r="E161" s="1136">
        <f t="shared" si="36"/>
        <v>-0.63331383871554725</v>
      </c>
      <c r="F161" s="1136">
        <f t="shared" si="36"/>
        <v>-0.53153825980990832</v>
      </c>
      <c r="G161" s="1137">
        <f t="shared" si="36"/>
        <v>960.23059999999998</v>
      </c>
      <c r="H161" s="1138">
        <f t="shared" si="36"/>
        <v>2.6590660223142948E-3</v>
      </c>
      <c r="I161" s="1139">
        <f t="shared" si="36"/>
        <v>6.3820660890696566</v>
      </c>
      <c r="J161" s="1139">
        <f t="shared" si="36"/>
        <v>3.126768479322696</v>
      </c>
      <c r="K161" s="1140">
        <f t="shared" si="36"/>
        <v>4.9107929634600707</v>
      </c>
      <c r="L161" s="1136">
        <f t="shared" si="36"/>
        <v>-0.2975700901517318</v>
      </c>
      <c r="M161" s="1075">
        <f t="shared" si="37"/>
        <v>3.6764587184436395</v>
      </c>
      <c r="N161" s="1142">
        <f t="shared" si="37"/>
        <v>0.95644485424869818</v>
      </c>
      <c r="O161" s="1143">
        <f t="shared" si="37"/>
        <v>5.7346309608293736E-3</v>
      </c>
      <c r="P161" s="1144">
        <f t="shared" si="37"/>
        <v>0.97265268915223335</v>
      </c>
      <c r="Q161" s="1142">
        <f t="shared" si="37"/>
        <v>0.16489915086810925</v>
      </c>
      <c r="R161" s="1143">
        <f t="shared" si="37"/>
        <v>2.0043608623878186</v>
      </c>
      <c r="S161" s="1144">
        <f t="shared" si="37"/>
        <v>0.32988338723452482</v>
      </c>
      <c r="T161" s="1142">
        <f t="shared" si="37"/>
        <v>0.27218937885351913</v>
      </c>
      <c r="U161" s="1143">
        <f t="shared" si="37"/>
        <v>1.2181747217666232</v>
      </c>
      <c r="V161" s="1144">
        <f t="shared" si="37"/>
        <v>0.4561905930983241</v>
      </c>
      <c r="W161" s="1136">
        <f t="shared" si="37"/>
        <v>0.10729022798540988</v>
      </c>
      <c r="X161" s="1136">
        <f t="shared" si="37"/>
        <v>0.65064148250965514</v>
      </c>
      <c r="Y161" s="1145" t="str">
        <f t="shared" si="37"/>
        <v>Not rated</v>
      </c>
      <c r="Z161" s="1146"/>
      <c r="AA161" s="1140">
        <f t="shared" si="34"/>
        <v>1.2440956586918632</v>
      </c>
      <c r="AB161" s="1147">
        <f t="shared" si="34"/>
        <v>0.5581122698382367</v>
      </c>
      <c r="AC161" s="1141">
        <f t="shared" si="34"/>
        <v>1.6771658832683087</v>
      </c>
    </row>
    <row r="162" spans="1:29">
      <c r="A162" s="1155" t="s">
        <v>506</v>
      </c>
      <c r="B162" s="73" t="s">
        <v>289</v>
      </c>
      <c r="C162" s="1149">
        <f t="shared" si="36"/>
        <v>4580.8423286191064</v>
      </c>
      <c r="D162" s="1150">
        <f t="shared" si="36"/>
        <v>1.1737233504933111E-2</v>
      </c>
      <c r="E162" s="1124">
        <f t="shared" si="36"/>
        <v>-0.49577837871365099</v>
      </c>
      <c r="F162" s="1124">
        <f t="shared" si="36"/>
        <v>-0.39400279980801206</v>
      </c>
      <c r="G162" s="1125">
        <f t="shared" si="36"/>
        <v>2322.4005110115481</v>
      </c>
      <c r="H162" s="1126">
        <f t="shared" si="36"/>
        <v>6.4311804779353665E-3</v>
      </c>
      <c r="I162" s="1127">
        <f t="shared" si="36"/>
        <v>1.4234279787340207</v>
      </c>
      <c r="J162" s="1127">
        <f t="shared" si="36"/>
        <v>0.8056764866383116</v>
      </c>
      <c r="K162" s="1128">
        <f t="shared" si="36"/>
        <v>4.3871958272574467</v>
      </c>
      <c r="L162" s="1124">
        <f t="shared" si="36"/>
        <v>-8.1025400882275472E-2</v>
      </c>
      <c r="M162" s="131">
        <f t="shared" si="37"/>
        <v>3.4400754167452243</v>
      </c>
      <c r="N162" s="1124">
        <f t="shared" si="37"/>
        <v>0.42290073595624156</v>
      </c>
      <c r="O162" s="1131">
        <f t="shared" si="37"/>
        <v>-9.0086339251873371E-2</v>
      </c>
      <c r="P162" s="1132">
        <f t="shared" si="37"/>
        <v>0.44946685046944856</v>
      </c>
      <c r="Q162" s="1130">
        <f t="shared" si="37"/>
        <v>0.16307046534988884</v>
      </c>
      <c r="R162" s="1131">
        <f t="shared" si="37"/>
        <v>1.3005419282788433</v>
      </c>
      <c r="S162" s="1132">
        <f t="shared" si="37"/>
        <v>0.30950096360373897</v>
      </c>
      <c r="T162" s="1130">
        <f t="shared" si="37"/>
        <v>0.18570292678335293</v>
      </c>
      <c r="U162" s="1131">
        <f t="shared" si="37"/>
        <v>1.251733079461073</v>
      </c>
      <c r="V162" s="1132">
        <f t="shared" si="37"/>
        <v>0.34197601038246805</v>
      </c>
      <c r="W162" s="1124">
        <f t="shared" si="37"/>
        <v>2.2632461433464091E-2</v>
      </c>
      <c r="X162" s="1124">
        <f t="shared" si="37"/>
        <v>0.13878945758144007</v>
      </c>
      <c r="Y162" s="1133" t="str">
        <f t="shared" si="37"/>
        <v>BBB</v>
      </c>
      <c r="Z162" s="1134" t="str">
        <f>VLOOKUP($B162,$B$7:$AC$28,Z$37+1,FALSE)</f>
        <v>=  ¯ -</v>
      </c>
      <c r="AA162" s="1128">
        <f t="shared" si="34"/>
        <v>0.77886477042851432</v>
      </c>
      <c r="AB162" s="1135">
        <f t="shared" si="34"/>
        <v>1.0703005310133176</v>
      </c>
      <c r="AC162" s="1129">
        <f t="shared" si="34"/>
        <v>1.1762690733772538</v>
      </c>
    </row>
    <row r="165" spans="1:29">
      <c r="A165" s="1252" t="s">
        <v>1318</v>
      </c>
      <c r="B165" s="1123" t="s">
        <v>1075</v>
      </c>
      <c r="C165" s="1068"/>
      <c r="E165" s="1068"/>
      <c r="F165" s="1068"/>
      <c r="G165" s="1068"/>
      <c r="K165" s="1068"/>
      <c r="L165" s="1068"/>
      <c r="M165" s="1068"/>
      <c r="N165" s="1068"/>
      <c r="O165" s="1068"/>
      <c r="P165" s="1068"/>
      <c r="T165" s="1068"/>
      <c r="U165" s="1068"/>
      <c r="V165" s="1068"/>
      <c r="Y165" s="1068"/>
      <c r="Z165" s="1068"/>
      <c r="AA165" s="1068"/>
      <c r="AB165" s="1068"/>
      <c r="AC165" s="1068"/>
    </row>
    <row r="166" spans="1:29">
      <c r="A166" s="1156" t="s">
        <v>323</v>
      </c>
      <c r="B166" s="726" t="s">
        <v>773</v>
      </c>
      <c r="C166" s="1151">
        <f t="shared" ref="C166:L175" si="39">VLOOKUP($B166,$B$7:$AC$28,C$37+1,FALSE)</f>
        <v>2121.4584571428572</v>
      </c>
      <c r="D166" s="1152">
        <f t="shared" si="39"/>
        <v>5.4356931534045982E-3</v>
      </c>
      <c r="E166" s="1136">
        <f t="shared" si="39"/>
        <v>-0.63331383871554725</v>
      </c>
      <c r="F166" s="1136">
        <f t="shared" si="39"/>
        <v>-0.53153825980990832</v>
      </c>
      <c r="G166" s="1137">
        <f t="shared" si="39"/>
        <v>960.23059999999998</v>
      </c>
      <c r="H166" s="1138">
        <f t="shared" si="39"/>
        <v>2.6590660223142948E-3</v>
      </c>
      <c r="I166" s="1139">
        <f t="shared" si="39"/>
        <v>6.3820660890696566</v>
      </c>
      <c r="J166" s="1139">
        <f t="shared" si="39"/>
        <v>3.126768479322696</v>
      </c>
      <c r="K166" s="1140">
        <f t="shared" si="39"/>
        <v>4.9107929634600707</v>
      </c>
      <c r="L166" s="1136">
        <f t="shared" si="39"/>
        <v>-0.2975700901517318</v>
      </c>
      <c r="M166" s="1141">
        <f t="shared" ref="M166:Y175" si="40">VLOOKUP($B166,$B$7:$AC$28,M$37+1,FALSE)</f>
        <v>3.6764587184436395</v>
      </c>
      <c r="N166" s="1076">
        <f t="shared" si="40"/>
        <v>0.95644485424869818</v>
      </c>
      <c r="O166" s="1143">
        <f t="shared" si="40"/>
        <v>5.7346309608293736E-3</v>
      </c>
      <c r="P166" s="1144">
        <f t="shared" si="40"/>
        <v>0.97265268915223335</v>
      </c>
      <c r="Q166" s="1142">
        <f t="shared" si="40"/>
        <v>0.16489915086810925</v>
      </c>
      <c r="R166" s="1143">
        <f t="shared" si="40"/>
        <v>2.0043608623878186</v>
      </c>
      <c r="S166" s="1144">
        <f t="shared" si="40"/>
        <v>0.32988338723452482</v>
      </c>
      <c r="T166" s="1142">
        <f t="shared" si="40"/>
        <v>0.27218937885351913</v>
      </c>
      <c r="U166" s="1143">
        <f t="shared" si="40"/>
        <v>1.2181747217666232</v>
      </c>
      <c r="V166" s="1144">
        <f t="shared" si="40"/>
        <v>0.4561905930983241</v>
      </c>
      <c r="W166" s="1136">
        <f t="shared" si="40"/>
        <v>0.10729022798540988</v>
      </c>
      <c r="X166" s="1136">
        <f t="shared" si="40"/>
        <v>0.65064148250965514</v>
      </c>
      <c r="Y166" s="1145" t="str">
        <f t="shared" si="40"/>
        <v>Not rated</v>
      </c>
      <c r="Z166" s="1146"/>
      <c r="AA166" s="1140">
        <f t="shared" ref="AA166:AC187" si="41">VLOOKUP($B166,$B$7:$AC$28,AA$37+1,FALSE)</f>
        <v>1.2440956586918632</v>
      </c>
      <c r="AB166" s="1147">
        <f t="shared" si="41"/>
        <v>0.5581122698382367</v>
      </c>
      <c r="AC166" s="1141">
        <f t="shared" si="41"/>
        <v>1.6771658832683087</v>
      </c>
    </row>
    <row r="167" spans="1:29">
      <c r="A167" s="1155" t="s">
        <v>32</v>
      </c>
      <c r="B167" s="73" t="s">
        <v>279</v>
      </c>
      <c r="C167" s="1149">
        <f t="shared" si="39"/>
        <v>103061.53572524291</v>
      </c>
      <c r="D167" s="1150">
        <f t="shared" si="39"/>
        <v>0.26406875054982143</v>
      </c>
      <c r="E167" s="1124">
        <f t="shared" si="39"/>
        <v>7.5306160052783275E-2</v>
      </c>
      <c r="F167" s="1124">
        <f t="shared" si="39"/>
        <v>0.17708173895842222</v>
      </c>
      <c r="G167" s="1125">
        <f t="shared" si="39"/>
        <v>106720.85775234729</v>
      </c>
      <c r="H167" s="1126">
        <f t="shared" si="39"/>
        <v>0.29553089301830604</v>
      </c>
      <c r="I167" s="1127">
        <f t="shared" si="39"/>
        <v>1.0837821931217524</v>
      </c>
      <c r="J167" s="1127">
        <f t="shared" si="39"/>
        <v>1.259272460269286</v>
      </c>
      <c r="K167" s="1128">
        <f t="shared" si="39"/>
        <v>7.5360879751187033</v>
      </c>
      <c r="L167" s="1124">
        <f t="shared" si="39"/>
        <v>0.12910548637067604</v>
      </c>
      <c r="M167" s="1129">
        <f t="shared" si="40"/>
        <v>8.6584668441025876</v>
      </c>
      <c r="N167" s="103">
        <f t="shared" si="40"/>
        <v>0.91487499999999988</v>
      </c>
      <c r="O167" s="1131">
        <f t="shared" si="40"/>
        <v>-4.3736501079913587E-2</v>
      </c>
      <c r="P167" s="1132">
        <f t="shared" si="40"/>
        <v>0.89481420237931208</v>
      </c>
      <c r="Q167" s="1130">
        <f t="shared" si="40"/>
        <v>0.24509229252810941</v>
      </c>
      <c r="R167" s="1131">
        <f t="shared" si="40"/>
        <v>-0.16501821733667812</v>
      </c>
      <c r="S167" s="1132">
        <f t="shared" si="40"/>
        <v>0.23828807339295358</v>
      </c>
      <c r="T167" s="1130">
        <f t="shared" si="40"/>
        <v>0.27870192226407053</v>
      </c>
      <c r="U167" s="1131">
        <f t="shared" si="40"/>
        <v>-0.14309331637647091</v>
      </c>
      <c r="V167" s="1132">
        <f t="shared" si="40"/>
        <v>0.2718321660431175</v>
      </c>
      <c r="W167" s="1124">
        <f t="shared" si="40"/>
        <v>3.3609629735961127E-2</v>
      </c>
      <c r="X167" s="1124">
        <f t="shared" si="40"/>
        <v>0.13713050455108242</v>
      </c>
      <c r="Y167" s="1133" t="str">
        <f t="shared" si="40"/>
        <v>A-</v>
      </c>
      <c r="Z167" s="1134" t="str">
        <f>VLOOKUP($B167,$B$7:$AC$28,Z$37+1,FALSE)</f>
        <v>=  =  =</v>
      </c>
      <c r="AA167" s="1128">
        <f t="shared" si="41"/>
        <v>2.0880314655341889</v>
      </c>
      <c r="AB167" s="1135">
        <f t="shared" si="41"/>
        <v>-3.7762767487534328E-2</v>
      </c>
      <c r="AC167" s="1129">
        <f t="shared" si="41"/>
        <v>2.3348198024327131</v>
      </c>
    </row>
    <row r="168" spans="1:29">
      <c r="A168" s="1155" t="s">
        <v>27</v>
      </c>
      <c r="B168" s="73" t="s">
        <v>357</v>
      </c>
      <c r="C168" s="1149">
        <f t="shared" si="39"/>
        <v>504.56125714285719</v>
      </c>
      <c r="D168" s="1150">
        <f t="shared" si="39"/>
        <v>1.292808804099037E-3</v>
      </c>
      <c r="E168" s="1124">
        <f t="shared" si="39"/>
        <v>0.11241291049139049</v>
      </c>
      <c r="F168" s="1124">
        <f t="shared" si="39"/>
        <v>0.21418848939702945</v>
      </c>
      <c r="G168" s="1125">
        <f t="shared" si="39"/>
        <v>562.64409999999998</v>
      </c>
      <c r="H168" s="1126">
        <f t="shared" si="39"/>
        <v>1.5580713726115437E-3</v>
      </c>
      <c r="I168" s="1127">
        <f t="shared" si="39"/>
        <v>0.48825120153947199</v>
      </c>
      <c r="J168" s="1127">
        <f t="shared" si="39"/>
        <v>0.52140126030951717</v>
      </c>
      <c r="K168" s="1128">
        <f t="shared" si="39"/>
        <v>3.8552632920912293</v>
      </c>
      <c r="L168" s="1124">
        <f t="shared" si="39"/>
        <v>-0.11001004882442665</v>
      </c>
      <c r="M168" s="1129">
        <f t="shared" si="40"/>
        <v>3.9063069179772585</v>
      </c>
      <c r="N168" s="103">
        <f t="shared" si="40"/>
        <v>0.90539538726018864</v>
      </c>
      <c r="O168" s="1131">
        <f t="shared" si="40"/>
        <v>-4.1189056985539901E-2</v>
      </c>
      <c r="P168" s="1132">
        <f t="shared" si="40"/>
        <v>0.90138346931536006</v>
      </c>
      <c r="Q168" s="1130">
        <f t="shared" si="40"/>
        <v>0.38160323267486906</v>
      </c>
      <c r="R168" s="1131">
        <f t="shared" si="40"/>
        <v>0.13281779457810056</v>
      </c>
      <c r="S168" s="1132">
        <f t="shared" si="40"/>
        <v>0.39444904186551905</v>
      </c>
      <c r="T168" s="1130">
        <f t="shared" si="40"/>
        <v>0.47841518539184064</v>
      </c>
      <c r="U168" s="1131">
        <f t="shared" si="40"/>
        <v>1.1717685634717274E-2</v>
      </c>
      <c r="V168" s="1132">
        <f t="shared" si="40"/>
        <v>0.46507375880431212</v>
      </c>
      <c r="W168" s="1124">
        <f t="shared" si="40"/>
        <v>9.6811952716971572E-2</v>
      </c>
      <c r="X168" s="1124">
        <f t="shared" si="40"/>
        <v>0.25369793656715856</v>
      </c>
      <c r="Y168" s="1133" t="str">
        <f t="shared" si="40"/>
        <v>Not rated</v>
      </c>
      <c r="Z168" s="1134"/>
      <c r="AA168" s="1128">
        <f t="shared" si="41"/>
        <v>1.832329792526622</v>
      </c>
      <c r="AB168" s="1135">
        <f t="shared" si="41"/>
        <v>-9.9442962217240083E-2</v>
      </c>
      <c r="AC168" s="1129">
        <f t="shared" si="41"/>
        <v>1.8160302149559577</v>
      </c>
    </row>
    <row r="169" spans="1:29">
      <c r="A169" s="1155" t="s">
        <v>504</v>
      </c>
      <c r="B169" s="73" t="s">
        <v>281</v>
      </c>
      <c r="C169" s="1149">
        <f t="shared" si="39"/>
        <v>20617.292984255655</v>
      </c>
      <c r="D169" s="1150">
        <f t="shared" si="39"/>
        <v>5.2826525044090682E-2</v>
      </c>
      <c r="E169" s="1124">
        <f t="shared" si="39"/>
        <v>0.37985561177970401</v>
      </c>
      <c r="F169" s="1124">
        <f t="shared" si="39"/>
        <v>0.48163119068534294</v>
      </c>
      <c r="G169" s="1125">
        <f t="shared" si="39"/>
        <v>23766.623796323693</v>
      </c>
      <c r="H169" s="1126">
        <f t="shared" si="39"/>
        <v>6.5814421871090864E-2</v>
      </c>
      <c r="I169" s="1127">
        <f t="shared" si="39"/>
        <v>1.8990159277875758</v>
      </c>
      <c r="J169" s="1127">
        <f t="shared" si="39"/>
        <v>2.509154465418888</v>
      </c>
      <c r="K169" s="1128">
        <f t="shared" si="39"/>
        <v>5.8033589040079683</v>
      </c>
      <c r="L169" s="1124">
        <f t="shared" si="39"/>
        <v>4.5724350121793801E-2</v>
      </c>
      <c r="M169" s="1129">
        <f t="shared" si="40"/>
        <v>6.1939465303838475</v>
      </c>
      <c r="N169" s="103">
        <f t="shared" si="40"/>
        <v>0.7344324868237998</v>
      </c>
      <c r="O169" s="1131">
        <f t="shared" si="40"/>
        <v>0.10784712869930438</v>
      </c>
      <c r="P169" s="1132">
        <f t="shared" si="40"/>
        <v>0.74956908795771016</v>
      </c>
      <c r="Q169" s="1130">
        <f t="shared" si="40"/>
        <v>0.14726898954609682</v>
      </c>
      <c r="R169" s="1131">
        <f t="shared" si="40"/>
        <v>4.9939774449528171E-2</v>
      </c>
      <c r="S169" s="1132">
        <f t="shared" si="40"/>
        <v>0.17272839211728983</v>
      </c>
      <c r="T169" s="1130">
        <f t="shared" si="40"/>
        <v>0.18443136241749356</v>
      </c>
      <c r="U169" s="1131">
        <f t="shared" si="40"/>
        <v>-5.7258906752796622E-2</v>
      </c>
      <c r="V169" s="1132">
        <f t="shared" si="40"/>
        <v>0.198117589718218</v>
      </c>
      <c r="W169" s="1124">
        <f t="shared" si="40"/>
        <v>3.7162372871396732E-2</v>
      </c>
      <c r="X169" s="1124">
        <f t="shared" si="40"/>
        <v>0.25234350412762557</v>
      </c>
      <c r="Y169" s="1133" t="str">
        <f t="shared" si="40"/>
        <v>A-</v>
      </c>
      <c r="Z169" s="1134" t="str">
        <f>VLOOKUP($B169,$B$7:$AC$28,Z$37+1,FALSE)</f>
        <v>=  =  -</v>
      </c>
      <c r="AA169" s="1128">
        <f t="shared" si="41"/>
        <v>1.0395975936863313</v>
      </c>
      <c r="AB169" s="1135">
        <f t="shared" si="41"/>
        <v>2.9438923535487854E-2</v>
      </c>
      <c r="AC169" s="1129">
        <f t="shared" si="41"/>
        <v>1.2087727199953455</v>
      </c>
    </row>
    <row r="170" spans="1:29">
      <c r="A170" s="1155" t="s">
        <v>507</v>
      </c>
      <c r="B170" s="73" t="s">
        <v>284</v>
      </c>
      <c r="C170" s="1149">
        <f t="shared" si="39"/>
        <v>22949.481858519866</v>
      </c>
      <c r="D170" s="1150">
        <f t="shared" si="39"/>
        <v>5.8802160840116385E-2</v>
      </c>
      <c r="E170" s="1124">
        <f t="shared" si="39"/>
        <v>-8.3288171902550459E-2</v>
      </c>
      <c r="F170" s="1124">
        <f t="shared" si="39"/>
        <v>1.8487407003088485E-2</v>
      </c>
      <c r="G170" s="1125">
        <f t="shared" si="39"/>
        <v>21731.57918967646</v>
      </c>
      <c r="H170" s="1126">
        <f t="shared" si="39"/>
        <v>6.0178986000343146E-2</v>
      </c>
      <c r="I170" s="1127">
        <f t="shared" si="39"/>
        <v>1.7647070716020126</v>
      </c>
      <c r="J170" s="1127">
        <f t="shared" si="39"/>
        <v>1.7786623686113903</v>
      </c>
      <c r="K170" s="1128">
        <f t="shared" si="39"/>
        <v>7.5421176018870622</v>
      </c>
      <c r="L170" s="1124">
        <f t="shared" si="39"/>
        <v>2.1076957712408067E-2</v>
      </c>
      <c r="M170" s="1129">
        <f t="shared" si="40"/>
        <v>7.6896404016441506</v>
      </c>
      <c r="N170" s="103">
        <f t="shared" si="40"/>
        <v>0.67984865616162071</v>
      </c>
      <c r="O170" s="1131">
        <f t="shared" si="40"/>
        <v>0.13956056160252914</v>
      </c>
      <c r="P170" s="1132">
        <f t="shared" si="40"/>
        <v>0.7167630057803468</v>
      </c>
      <c r="Q170" s="1130">
        <f t="shared" si="40"/>
        <v>0.23215418017261674</v>
      </c>
      <c r="R170" s="1131">
        <f t="shared" si="40"/>
        <v>0.36187217108516367</v>
      </c>
      <c r="S170" s="1132">
        <f t="shared" si="40"/>
        <v>0.26525179681706468</v>
      </c>
      <c r="T170" s="1130">
        <f t="shared" si="40"/>
        <v>0.2501311526811702</v>
      </c>
      <c r="U170" s="1131">
        <f t="shared" si="40"/>
        <v>0.31916438327965047</v>
      </c>
      <c r="V170" s="1132">
        <f t="shared" si="40"/>
        <v>0.28287599661626001</v>
      </c>
      <c r="W170" s="1124">
        <f t="shared" si="40"/>
        <v>1.7976972508553457E-2</v>
      </c>
      <c r="X170" s="1124">
        <f t="shared" si="40"/>
        <v>7.7435489187344358E-2</v>
      </c>
      <c r="Y170" s="1133" t="str">
        <f t="shared" si="40"/>
        <v>A-</v>
      </c>
      <c r="Z170" s="1134" t="str">
        <f>VLOOKUP($B170,$B$7:$AC$28,Z$37+1,FALSE)</f>
        <v>=  =  =</v>
      </c>
      <c r="AA170" s="1128">
        <f t="shared" si="41"/>
        <v>1.845874038975184</v>
      </c>
      <c r="AB170" s="1135">
        <f t="shared" si="41"/>
        <v>0.36079457239176377</v>
      </c>
      <c r="AC170" s="1129">
        <f t="shared" si="41"/>
        <v>2.1424428051274771</v>
      </c>
    </row>
    <row r="171" spans="1:29">
      <c r="A171" s="1155" t="s">
        <v>507</v>
      </c>
      <c r="B171" s="73" t="s">
        <v>282</v>
      </c>
      <c r="C171" s="1149">
        <f t="shared" si="39"/>
        <v>5769.8566757446433</v>
      </c>
      <c r="D171" s="1150">
        <f t="shared" si="39"/>
        <v>1.4783777793466828E-2</v>
      </c>
      <c r="E171" s="1124">
        <f t="shared" si="39"/>
        <v>-0.24705029723080094</v>
      </c>
      <c r="F171" s="1124">
        <f t="shared" si="39"/>
        <v>-0.14527471832516198</v>
      </c>
      <c r="G171" s="1125">
        <f t="shared" si="39"/>
        <v>4026.3480952657014</v>
      </c>
      <c r="H171" s="1126">
        <f t="shared" si="39"/>
        <v>1.1149744044952231E-2</v>
      </c>
      <c r="I171" s="1127">
        <f t="shared" si="39"/>
        <v>2.446298838298576</v>
      </c>
      <c r="J171" s="1127">
        <f t="shared" si="39"/>
        <v>1.6476276710656086</v>
      </c>
      <c r="K171" s="1128">
        <f t="shared" si="39"/>
        <v>6.6837223425180285</v>
      </c>
      <c r="L171" s="1124">
        <f t="shared" si="39"/>
        <v>1.2127469272410992E-3</v>
      </c>
      <c r="M171" s="1129">
        <f t="shared" si="40"/>
        <v>5.5145354419406587</v>
      </c>
      <c r="N171" s="103">
        <f t="shared" si="40"/>
        <v>0.67083419702973635</v>
      </c>
      <c r="O171" s="1131">
        <f t="shared" si="40"/>
        <v>-0.11335389957676706</v>
      </c>
      <c r="P171" s="1132">
        <f t="shared" si="40"/>
        <v>0.63639387890884902</v>
      </c>
      <c r="Q171" s="1130">
        <f t="shared" si="40"/>
        <v>0.1536920907726812</v>
      </c>
      <c r="R171" s="1131">
        <f t="shared" si="40"/>
        <v>1.6283818604559013</v>
      </c>
      <c r="S171" s="1132">
        <f t="shared" si="40"/>
        <v>0.2022242346359609</v>
      </c>
      <c r="T171" s="1130">
        <f t="shared" si="40"/>
        <v>0.20961441125119315</v>
      </c>
      <c r="U171" s="1131">
        <f t="shared" si="40"/>
        <v>0.84200521424561081</v>
      </c>
      <c r="V171" s="1132">
        <f t="shared" si="40"/>
        <v>0.28147528322389997</v>
      </c>
      <c r="W171" s="1124">
        <f t="shared" si="40"/>
        <v>5.592232047851195E-2</v>
      </c>
      <c r="X171" s="1124">
        <f t="shared" si="40"/>
        <v>0.36385945559959909</v>
      </c>
      <c r="Y171" s="1133" t="str">
        <f t="shared" si="40"/>
        <v>Not rated</v>
      </c>
      <c r="Z171" s="1134"/>
      <c r="AA171" s="1128">
        <f t="shared" si="41"/>
        <v>1.4399592566697517</v>
      </c>
      <c r="AB171" s="1135">
        <f t="shared" si="41"/>
        <v>0.8442860967329926</v>
      </c>
      <c r="AC171" s="1129">
        <f t="shared" si="41"/>
        <v>1.5521418473212367</v>
      </c>
    </row>
    <row r="172" spans="1:29">
      <c r="A172" s="1155" t="s">
        <v>73</v>
      </c>
      <c r="B172" s="73" t="s">
        <v>285</v>
      </c>
      <c r="C172" s="1149">
        <f t="shared" si="39"/>
        <v>2461.5190857142857</v>
      </c>
      <c r="D172" s="1150">
        <f t="shared" si="39"/>
        <v>6.3070112903421734E-3</v>
      </c>
      <c r="E172" s="1124">
        <f t="shared" si="39"/>
        <v>6.738754525599433E-2</v>
      </c>
      <c r="F172" s="1124">
        <f t="shared" si="39"/>
        <v>0.16916312416163326</v>
      </c>
      <c r="G172" s="1125">
        <f t="shared" si="39"/>
        <v>2364.3629999999998</v>
      </c>
      <c r="H172" s="1126">
        <f t="shared" si="39"/>
        <v>6.5473828033777437E-3</v>
      </c>
      <c r="I172" s="1127">
        <f t="shared" si="39"/>
        <v>3.1397518024733277</v>
      </c>
      <c r="J172" s="1127">
        <f t="shared" si="39"/>
        <v>3.0995844257996854</v>
      </c>
      <c r="K172" s="1128">
        <f t="shared" si="39"/>
        <v>6.7052926466266065</v>
      </c>
      <c r="L172" s="1124">
        <f t="shared" si="39"/>
        <v>0.14721542174528052</v>
      </c>
      <c r="M172" s="1129">
        <f t="shared" si="40"/>
        <v>7.0127743881429545</v>
      </c>
      <c r="N172" s="103">
        <f t="shared" si="40"/>
        <v>0.62657499999999999</v>
      </c>
      <c r="O172" s="1131">
        <f t="shared" si="40"/>
        <v>5.5614710459497153E-2</v>
      </c>
      <c r="P172" s="1132">
        <f t="shared" si="40"/>
        <v>0.64439999999999997</v>
      </c>
      <c r="Q172" s="1130">
        <f t="shared" si="40"/>
        <v>0.24190098439360719</v>
      </c>
      <c r="R172" s="1131">
        <f t="shared" si="40"/>
        <v>0.20667512064869559</v>
      </c>
      <c r="S172" s="1132">
        <f t="shared" si="40"/>
        <v>0.30597960586046052</v>
      </c>
      <c r="T172" s="1130">
        <f t="shared" si="40"/>
        <v>0.2616424852780464</v>
      </c>
      <c r="U172" s="1131">
        <f t="shared" si="40"/>
        <v>0.20296552626351777</v>
      </c>
      <c r="V172" s="1132">
        <f t="shared" si="40"/>
        <v>0.32061814749302248</v>
      </c>
      <c r="W172" s="1124">
        <f t="shared" si="40"/>
        <v>1.9741500884439211E-2</v>
      </c>
      <c r="X172" s="1124">
        <f t="shared" si="40"/>
        <v>8.1609841042717679E-2</v>
      </c>
      <c r="Y172" s="1133" t="str">
        <f t="shared" si="40"/>
        <v>BBB</v>
      </c>
      <c r="Z172" s="1134" t="str">
        <f t="shared" ref="Z172:Z184" si="42">VLOOKUP($B172,$B$7:$AC$28,Z$37+1,FALSE)</f>
        <v>=  =  -</v>
      </c>
      <c r="AA172" s="1128">
        <f t="shared" si="41"/>
        <v>1.7511002028712532</v>
      </c>
      <c r="AB172" s="1135">
        <f t="shared" si="41"/>
        <v>0.37093258903528414</v>
      </c>
      <c r="AC172" s="1129">
        <f t="shared" si="41"/>
        <v>2.2311132077757287</v>
      </c>
    </row>
    <row r="173" spans="1:29">
      <c r="A173" s="1155" t="s">
        <v>219</v>
      </c>
      <c r="B173" s="73" t="s">
        <v>53</v>
      </c>
      <c r="C173" s="1149">
        <f t="shared" si="39"/>
        <v>60036.853628571422</v>
      </c>
      <c r="D173" s="1150">
        <f t="shared" si="39"/>
        <v>0.15382903828354536</v>
      </c>
      <c r="E173" s="1124">
        <f t="shared" si="39"/>
        <v>-0.3618479655094986</v>
      </c>
      <c r="F173" s="1124">
        <f t="shared" si="39"/>
        <v>-0.26007238660385967</v>
      </c>
      <c r="G173" s="1125">
        <f t="shared" si="39"/>
        <v>44430.485000000001</v>
      </c>
      <c r="H173" s="1126">
        <f t="shared" si="39"/>
        <v>0.1230366882897139</v>
      </c>
      <c r="I173" s="1127">
        <f t="shared" si="39"/>
        <v>2.2644833808097031</v>
      </c>
      <c r="J173" s="1127">
        <f t="shared" si="39"/>
        <v>1.7716210773954304</v>
      </c>
      <c r="K173" s="1128">
        <f t="shared" si="39"/>
        <v>5.6943354572509941</v>
      </c>
      <c r="L173" s="1124">
        <f t="shared" si="39"/>
        <v>-7.3155042359885195E-2</v>
      </c>
      <c r="M173" s="1129">
        <f t="shared" si="40"/>
        <v>5.1937231412225326</v>
      </c>
      <c r="N173" s="103">
        <f t="shared" si="40"/>
        <v>0.6158872479982318</v>
      </c>
      <c r="O173" s="1131">
        <f t="shared" si="40"/>
        <v>0.11044311863454735</v>
      </c>
      <c r="P173" s="1132">
        <f t="shared" si="40"/>
        <v>0.66127040038880336</v>
      </c>
      <c r="Q173" s="1130">
        <f t="shared" si="40"/>
        <v>0.48384306036910518</v>
      </c>
      <c r="R173" s="1131">
        <f t="shared" si="40"/>
        <v>0.2595878527386451</v>
      </c>
      <c r="S173" s="1132">
        <f t="shared" si="40"/>
        <v>0.54381370963962039</v>
      </c>
      <c r="T173" s="1130">
        <f t="shared" si="40"/>
        <v>0.51513010935716153</v>
      </c>
      <c r="U173" s="1131">
        <f t="shared" si="40"/>
        <v>0.26130995158024306</v>
      </c>
      <c r="V173" s="1132">
        <f t="shared" si="40"/>
        <v>0.57929804018594233</v>
      </c>
      <c r="W173" s="1124">
        <f t="shared" si="40"/>
        <v>3.1287048988056343E-2</v>
      </c>
      <c r="X173" s="1124">
        <f t="shared" si="40"/>
        <v>6.4663630732222685E-2</v>
      </c>
      <c r="Y173" s="1133" t="str">
        <f t="shared" si="40"/>
        <v>BBB</v>
      </c>
      <c r="Z173" s="1134" t="str">
        <f t="shared" si="42"/>
        <v>¯  ¯ ¯</v>
      </c>
      <c r="AA173" s="1128">
        <f t="shared" si="41"/>
        <v>2.7929780820851775</v>
      </c>
      <c r="AB173" s="1135">
        <f t="shared" si="41"/>
        <v>0.12404595260605845</v>
      </c>
      <c r="AC173" s="1129">
        <f t="shared" si="41"/>
        <v>2.8353348809740444</v>
      </c>
    </row>
    <row r="174" spans="1:29">
      <c r="A174" s="1155" t="s">
        <v>502</v>
      </c>
      <c r="B174" s="73" t="s">
        <v>52</v>
      </c>
      <c r="C174" s="1149">
        <f t="shared" si="39"/>
        <v>40464.923042857146</v>
      </c>
      <c r="D174" s="1150">
        <f t="shared" si="39"/>
        <v>0.1036809862557167</v>
      </c>
      <c r="E174" s="1124">
        <f t="shared" si="39"/>
        <v>-6.1458653761923776E-2</v>
      </c>
      <c r="F174" s="1124">
        <f t="shared" si="39"/>
        <v>4.0316925143715168E-2</v>
      </c>
      <c r="G174" s="1125">
        <f t="shared" si="39"/>
        <v>39791.94</v>
      </c>
      <c r="H174" s="1126">
        <f t="shared" si="39"/>
        <v>0.1101916514803518</v>
      </c>
      <c r="I174" s="1127">
        <f t="shared" si="39"/>
        <v>1.0840589348936991</v>
      </c>
      <c r="J174" s="1127">
        <f t="shared" si="39"/>
        <v>1.2733420800000002</v>
      </c>
      <c r="K174" s="1128">
        <f t="shared" si="39"/>
        <v>4.9905713850513198</v>
      </c>
      <c r="L174" s="1124">
        <f t="shared" si="39"/>
        <v>0.1448238320606966</v>
      </c>
      <c r="M174" s="1129">
        <f t="shared" si="40"/>
        <v>5.2964626193065953</v>
      </c>
      <c r="N174" s="103">
        <f t="shared" si="40"/>
        <v>0.61</v>
      </c>
      <c r="O174" s="1131">
        <f t="shared" si="40"/>
        <v>0</v>
      </c>
      <c r="P174" s="1132">
        <f t="shared" si="40"/>
        <v>0.62983042679437373</v>
      </c>
      <c r="Q174" s="1130">
        <f t="shared" si="40"/>
        <v>0.51528895508035288</v>
      </c>
      <c r="R174" s="1131">
        <f t="shared" si="40"/>
        <v>-2.4931247740904369E-2</v>
      </c>
      <c r="S174" s="1132">
        <f t="shared" si="40"/>
        <v>0.51939744871548044</v>
      </c>
      <c r="T174" s="1130">
        <f t="shared" si="40"/>
        <v>0.58808850315066874</v>
      </c>
      <c r="U174" s="1131">
        <f t="shared" si="40"/>
        <v>-2.8226553900756759E-2</v>
      </c>
      <c r="V174" s="1132">
        <f t="shared" si="40"/>
        <v>0.59074959904524027</v>
      </c>
      <c r="W174" s="1124">
        <f t="shared" si="40"/>
        <v>7.2799548070315856E-2</v>
      </c>
      <c r="X174" s="1124">
        <f t="shared" si="40"/>
        <v>0.14127907721011346</v>
      </c>
      <c r="Y174" s="1133" t="str">
        <f t="shared" si="40"/>
        <v>BBB+</v>
      </c>
      <c r="Z174" s="1134" t="str">
        <f t="shared" si="42"/>
        <v>=  =  =</v>
      </c>
      <c r="AA174" s="1128">
        <f t="shared" si="41"/>
        <v>2.7906818261625395</v>
      </c>
      <c r="AB174" s="1135">
        <f t="shared" si="41"/>
        <v>8.5841806528642844E-2</v>
      </c>
      <c r="AC174" s="1129">
        <f t="shared" si="41"/>
        <v>2.9178287645268703</v>
      </c>
    </row>
    <row r="175" spans="1:29">
      <c r="A175" s="1155" t="s">
        <v>389</v>
      </c>
      <c r="B175" s="73" t="s">
        <v>278</v>
      </c>
      <c r="C175" s="1149">
        <f t="shared" si="39"/>
        <v>3544.0522571428578</v>
      </c>
      <c r="D175" s="1150">
        <f t="shared" si="39"/>
        <v>9.0807248780183369E-3</v>
      </c>
      <c r="E175" s="1124">
        <f t="shared" si="39"/>
        <v>-0.4675424361384804</v>
      </c>
      <c r="F175" s="1124">
        <f t="shared" si="39"/>
        <v>-0.36576685723284147</v>
      </c>
      <c r="G175" s="1125">
        <f t="shared" si="39"/>
        <v>2152.6311000000001</v>
      </c>
      <c r="H175" s="1126">
        <f t="shared" si="39"/>
        <v>5.9610558303255963E-3</v>
      </c>
      <c r="I175" s="1127">
        <f t="shared" si="39"/>
        <v>3.4941691326062152</v>
      </c>
      <c r="J175" s="1127">
        <f t="shared" si="39"/>
        <v>2.2961398399999999</v>
      </c>
      <c r="K175" s="1128">
        <f t="shared" si="39"/>
        <v>4.4503654862327</v>
      </c>
      <c r="L175" s="1124">
        <f t="shared" si="39"/>
        <v>-2.9835823683801648E-2</v>
      </c>
      <c r="M175" s="1129">
        <f t="shared" si="40"/>
        <v>4.0530525032062261</v>
      </c>
      <c r="N175" s="103">
        <f t="shared" si="40"/>
        <v>0.60910298289809772</v>
      </c>
      <c r="O175" s="1131">
        <f t="shared" si="40"/>
        <v>-5.2071170724915891E-2</v>
      </c>
      <c r="P175" s="1132">
        <f t="shared" si="40"/>
        <v>0.6207941242005639</v>
      </c>
      <c r="Q175" s="1130">
        <f t="shared" si="40"/>
        <v>0.49050145598877937</v>
      </c>
      <c r="R175" s="1131">
        <f t="shared" si="40"/>
        <v>0.42102559519407173</v>
      </c>
      <c r="S175" s="1132">
        <f t="shared" si="40"/>
        <v>0.61744816018521742</v>
      </c>
      <c r="T175" s="1130">
        <f t="shared" si="40"/>
        <v>0.49698573886957192</v>
      </c>
      <c r="U175" s="1131">
        <f t="shared" si="40"/>
        <v>0.41032171167013903</v>
      </c>
      <c r="V175" s="1132">
        <f t="shared" si="40"/>
        <v>0.62319136029119382</v>
      </c>
      <c r="W175" s="1124">
        <f t="shared" si="40"/>
        <v>6.4842828807925579E-3</v>
      </c>
      <c r="X175" s="1124">
        <f t="shared" si="40"/>
        <v>1.3219701596443154E-2</v>
      </c>
      <c r="Y175" s="1133" t="str">
        <f t="shared" si="40"/>
        <v>BBB</v>
      </c>
      <c r="Z175" s="1134" t="str">
        <f t="shared" si="42"/>
        <v>=  ¯ -</v>
      </c>
      <c r="AA175" s="1128">
        <f t="shared" si="41"/>
        <v>2.1902281092407181</v>
      </c>
      <c r="AB175" s="1135">
        <f t="shared" si="41"/>
        <v>0.36844726500440206</v>
      </c>
      <c r="AC175" s="1129">
        <f t="shared" si="41"/>
        <v>2.5252968522290931</v>
      </c>
    </row>
    <row r="176" spans="1:29">
      <c r="A176" s="1155" t="s">
        <v>19</v>
      </c>
      <c r="B176" s="152" t="s">
        <v>288</v>
      </c>
      <c r="C176" s="1149">
        <f t="shared" ref="C176:L187" si="43">VLOOKUP($B176,$B$7:$AC$28,C$37+1,FALSE)</f>
        <v>31174.883771428573</v>
      </c>
      <c r="D176" s="1150">
        <f t="shared" si="43"/>
        <v>7.9877643469276421E-2</v>
      </c>
      <c r="E176" s="1124">
        <f t="shared" si="43"/>
        <v>-0.49416922878378883</v>
      </c>
      <c r="F176" s="1124">
        <f t="shared" si="43"/>
        <v>-0.3923936498781499</v>
      </c>
      <c r="G176" s="1125">
        <f t="shared" si="43"/>
        <v>19124.593099999998</v>
      </c>
      <c r="H176" s="1126">
        <f t="shared" si="43"/>
        <v>5.2959732488004868E-2</v>
      </c>
      <c r="I176" s="1127">
        <f t="shared" si="43"/>
        <v>1.0546425468926217</v>
      </c>
      <c r="J176" s="1127">
        <f t="shared" si="43"/>
        <v>0.72989058468819168</v>
      </c>
      <c r="K176" s="1128">
        <f t="shared" si="43"/>
        <v>4.7838493303826084</v>
      </c>
      <c r="L176" s="1124">
        <f t="shared" si="43"/>
        <v>-0.19812930900653591</v>
      </c>
      <c r="M176" s="1129">
        <f t="shared" ref="M176:Y187" si="44">VLOOKUP($B176,$B$7:$AC$28,M$37+1,FALSE)</f>
        <v>4.438539176760524</v>
      </c>
      <c r="N176" s="103">
        <f t="shared" si="44"/>
        <v>0.60741568747204655</v>
      </c>
      <c r="O176" s="1131">
        <f t="shared" si="44"/>
        <v>4.0950219141690898E-2</v>
      </c>
      <c r="P176" s="1132">
        <f t="shared" si="44"/>
        <v>0.62738172243152124</v>
      </c>
      <c r="Q176" s="1130">
        <f t="shared" si="44"/>
        <v>0.50834561454306215</v>
      </c>
      <c r="R176" s="1131">
        <f t="shared" si="44"/>
        <v>0.27477182203191691</v>
      </c>
      <c r="S176" s="1132">
        <f t="shared" si="44"/>
        <v>0.61196382356206247</v>
      </c>
      <c r="T176" s="1130">
        <f t="shared" si="44"/>
        <v>0.54898628094174651</v>
      </c>
      <c r="U176" s="1131">
        <f t="shared" si="44"/>
        <v>0.26756473067663017</v>
      </c>
      <c r="V176" s="1132">
        <f t="shared" si="44"/>
        <v>0.65530118542007598</v>
      </c>
      <c r="W176" s="1124">
        <f t="shared" si="44"/>
        <v>4.0640666398684355E-2</v>
      </c>
      <c r="X176" s="1124">
        <f t="shared" si="44"/>
        <v>7.9946920433679999E-2</v>
      </c>
      <c r="Y176" s="1133" t="str">
        <f t="shared" si="44"/>
        <v>BBB+</v>
      </c>
      <c r="Z176" s="1134" t="str">
        <f t="shared" si="42"/>
        <v>=  ¯ ¯</v>
      </c>
      <c r="AA176" s="1128">
        <f t="shared" si="41"/>
        <v>2.5321561588471506</v>
      </c>
      <c r="AB176" s="1135">
        <f t="shared" si="41"/>
        <v>1.3257606300410854E-2</v>
      </c>
      <c r="AC176" s="1129">
        <f t="shared" si="41"/>
        <v>2.8138910595815916</v>
      </c>
    </row>
    <row r="177" spans="1:29">
      <c r="A177" s="1155" t="s">
        <v>505</v>
      </c>
      <c r="B177" s="73" t="s">
        <v>44</v>
      </c>
      <c r="C177" s="1149">
        <f t="shared" si="43"/>
        <v>12234.494271428572</v>
      </c>
      <c r="D177" s="1150">
        <f t="shared" si="43"/>
        <v>3.1347753486597643E-2</v>
      </c>
      <c r="E177" s="1124">
        <f t="shared" si="43"/>
        <v>-0.59766521701552</v>
      </c>
      <c r="F177" s="1124">
        <f t="shared" si="43"/>
        <v>-0.49588963810988107</v>
      </c>
      <c r="G177" s="1125">
        <f t="shared" si="43"/>
        <v>6819.5967000000001</v>
      </c>
      <c r="H177" s="1126">
        <f t="shared" si="43"/>
        <v>1.8884794830384175E-2</v>
      </c>
      <c r="I177" s="1127">
        <f t="shared" si="43"/>
        <v>3.9295455833111754</v>
      </c>
      <c r="J177" s="1127">
        <f t="shared" si="43"/>
        <v>1.2175677021960365</v>
      </c>
      <c r="K177" s="1128">
        <f t="shared" si="43"/>
        <v>4.9270605931091591</v>
      </c>
      <c r="L177" s="1124">
        <f t="shared" si="43"/>
        <v>-0.26680842971581226</v>
      </c>
      <c r="M177" s="1129">
        <f t="shared" si="44"/>
        <v>4.0325018858098245</v>
      </c>
      <c r="N177" s="103">
        <f t="shared" si="44"/>
        <v>0.5805147103617575</v>
      </c>
      <c r="O177" s="1131">
        <f t="shared" si="44"/>
        <v>8.4948466413752491E-2</v>
      </c>
      <c r="P177" s="1132">
        <f t="shared" si="44"/>
        <v>0.6264024463118032</v>
      </c>
      <c r="Q177" s="1130">
        <f t="shared" si="44"/>
        <v>0.51826084585195908</v>
      </c>
      <c r="R177" s="1131">
        <f t="shared" si="44"/>
        <v>0.40005999871326348</v>
      </c>
      <c r="S177" s="1132">
        <f t="shared" si="44"/>
        <v>0.58973938770950263</v>
      </c>
      <c r="T177" s="1130">
        <f t="shared" si="44"/>
        <v>0.5495689942142129</v>
      </c>
      <c r="U177" s="1131">
        <f t="shared" si="44"/>
        <v>0.40637993517884302</v>
      </c>
      <c r="V177" s="1132">
        <f t="shared" si="44"/>
        <v>0.63323863537070213</v>
      </c>
      <c r="W177" s="1124">
        <f t="shared" si="44"/>
        <v>3.1308148362253818E-2</v>
      </c>
      <c r="X177" s="1124">
        <f t="shared" si="44"/>
        <v>6.0410020577161203E-2</v>
      </c>
      <c r="Y177" s="1133" t="str">
        <f t="shared" si="44"/>
        <v>BBB-</v>
      </c>
      <c r="Z177" s="1134" t="str">
        <f t="shared" si="42"/>
        <v>=  ¯ =</v>
      </c>
      <c r="AA177" s="1128">
        <f t="shared" si="41"/>
        <v>2.643581803383519</v>
      </c>
      <c r="AB177" s="1135">
        <f t="shared" si="41"/>
        <v>2.8580691559688957E-2</v>
      </c>
      <c r="AC177" s="1129">
        <f t="shared" si="41"/>
        <v>2.5466878830879209</v>
      </c>
    </row>
    <row r="178" spans="1:29">
      <c r="A178" s="1155" t="s">
        <v>378</v>
      </c>
      <c r="B178" s="73" t="s">
        <v>42</v>
      </c>
      <c r="C178" s="1149">
        <f t="shared" si="43"/>
        <v>2432.5463571428577</v>
      </c>
      <c r="D178" s="1150">
        <f t="shared" si="43"/>
        <v>6.2327761047315808E-3</v>
      </c>
      <c r="E178" s="1124">
        <f t="shared" si="43"/>
        <v>-3.2258071946582277E-2</v>
      </c>
      <c r="F178" s="1124">
        <f t="shared" si="43"/>
        <v>6.9517506959056674E-2</v>
      </c>
      <c r="G178" s="1125">
        <f t="shared" si="43"/>
        <v>2940.9023000000002</v>
      </c>
      <c r="H178" s="1126">
        <f t="shared" si="43"/>
        <v>8.143932697912316E-3</v>
      </c>
      <c r="I178" s="1127">
        <f t="shared" si="43"/>
        <v>1.2689619717468461</v>
      </c>
      <c r="J178" s="1127">
        <f t="shared" si="43"/>
        <v>1.312316956715752</v>
      </c>
      <c r="K178" s="1128">
        <f t="shared" si="43"/>
        <v>3.7488610975650749</v>
      </c>
      <c r="L178" s="1124">
        <f t="shared" si="43"/>
        <v>3.4291324439135469E-2</v>
      </c>
      <c r="M178" s="1129">
        <f t="shared" si="44"/>
        <v>3.7439277362047823</v>
      </c>
      <c r="N178" s="103">
        <f t="shared" si="44"/>
        <v>0.56323171407839789</v>
      </c>
      <c r="O178" s="1131">
        <f t="shared" si="44"/>
        <v>-0.12023286586287618</v>
      </c>
      <c r="P178" s="1132">
        <f t="shared" si="44"/>
        <v>0.53987730061349704</v>
      </c>
      <c r="Q178" s="1130">
        <f t="shared" si="44"/>
        <v>0.60887331285954671</v>
      </c>
      <c r="R178" s="1131">
        <f t="shared" si="44"/>
        <v>-0.37303497156800469</v>
      </c>
      <c r="S178" s="1132">
        <f t="shared" si="44"/>
        <v>0.37659759063604481</v>
      </c>
      <c r="T178" s="1130">
        <f t="shared" si="44"/>
        <v>0.63388271448107447</v>
      </c>
      <c r="U178" s="1131">
        <f t="shared" si="44"/>
        <v>-0.25869992498286548</v>
      </c>
      <c r="V178" s="1132">
        <f t="shared" si="44"/>
        <v>0.44527495080222473</v>
      </c>
      <c r="W178" s="1124">
        <f t="shared" si="44"/>
        <v>2.500940162152776E-2</v>
      </c>
      <c r="X178" s="1124">
        <f t="shared" si="44"/>
        <v>4.1074885519406669E-2</v>
      </c>
      <c r="Y178" s="1133" t="str">
        <f t="shared" si="44"/>
        <v>B-</v>
      </c>
      <c r="Z178" s="1134" t="str">
        <f t="shared" si="42"/>
        <v>=  =  -</v>
      </c>
      <c r="AA178" s="1128">
        <f t="shared" si="41"/>
        <v>2.172629043332774</v>
      </c>
      <c r="AB178" s="1135">
        <f t="shared" si="41"/>
        <v>-0.22035736928264804</v>
      </c>
      <c r="AC178" s="1129">
        <f t="shared" si="41"/>
        <v>1.5517268924243866</v>
      </c>
    </row>
    <row r="179" spans="1:29">
      <c r="A179" s="1155" t="s">
        <v>27</v>
      </c>
      <c r="B179" s="73" t="s">
        <v>54</v>
      </c>
      <c r="C179" s="1149">
        <f t="shared" si="43"/>
        <v>4745.1447857142857</v>
      </c>
      <c r="D179" s="1150">
        <f t="shared" si="43"/>
        <v>1.2158216408516635E-2</v>
      </c>
      <c r="E179" s="1124">
        <f t="shared" si="43"/>
        <v>-0.63447330491761056</v>
      </c>
      <c r="F179" s="1124">
        <f t="shared" si="43"/>
        <v>-0.53269772601197163</v>
      </c>
      <c r="G179" s="1125">
        <f t="shared" si="43"/>
        <v>2680.5724</v>
      </c>
      <c r="H179" s="1126">
        <f t="shared" si="43"/>
        <v>7.4230283738025878E-3</v>
      </c>
      <c r="I179" s="1127">
        <f t="shared" si="43"/>
        <v>1.3569881249181368</v>
      </c>
      <c r="J179" s="1127">
        <f t="shared" si="43"/>
        <v>1.0332545966156574</v>
      </c>
      <c r="K179" s="1128">
        <f t="shared" si="43"/>
        <v>6.4063105209788551</v>
      </c>
      <c r="L179" s="1124">
        <f t="shared" si="43"/>
        <v>-0.24924595564935845</v>
      </c>
      <c r="M179" s="1129">
        <f t="shared" si="44"/>
        <v>5.3369406950798908</v>
      </c>
      <c r="N179" s="103">
        <f t="shared" si="44"/>
        <v>0.48460704112825509</v>
      </c>
      <c r="O179" s="1131">
        <f t="shared" si="44"/>
        <v>-0.18079580514885477</v>
      </c>
      <c r="P179" s="1132">
        <f t="shared" si="44"/>
        <v>0.49497857034449522</v>
      </c>
      <c r="Q179" s="1130">
        <f t="shared" si="44"/>
        <v>0.56717095077467305</v>
      </c>
      <c r="R179" s="1131">
        <f t="shared" si="44"/>
        <v>0.64731222518720821</v>
      </c>
      <c r="S179" s="1132">
        <f t="shared" si="44"/>
        <v>0.74754623070756221</v>
      </c>
      <c r="T179" s="1130">
        <f t="shared" si="44"/>
        <v>0.5748403529709204</v>
      </c>
      <c r="U179" s="1131">
        <f t="shared" si="44"/>
        <v>0.5906099669472562</v>
      </c>
      <c r="V179" s="1132">
        <f t="shared" si="44"/>
        <v>0.7506672643344422</v>
      </c>
      <c r="W179" s="1124">
        <f t="shared" si="44"/>
        <v>7.6694021962473435E-3</v>
      </c>
      <c r="X179" s="1124">
        <f t="shared" si="44"/>
        <v>1.3522205581530675E-2</v>
      </c>
      <c r="Y179" s="1133" t="str">
        <f t="shared" si="44"/>
        <v>BBB-</v>
      </c>
      <c r="Z179" s="1134" t="str">
        <f t="shared" si="42"/>
        <v>¯  ¯ ¯</v>
      </c>
      <c r="AA179" s="1128">
        <f t="shared" si="41"/>
        <v>3.4278891827637503</v>
      </c>
      <c r="AB179" s="1135">
        <f t="shared" si="41"/>
        <v>0.24423537898737996</v>
      </c>
      <c r="AC179" s="1129">
        <f t="shared" si="41"/>
        <v>3.8230610288109381</v>
      </c>
    </row>
    <row r="180" spans="1:29">
      <c r="A180" s="1155" t="s">
        <v>506</v>
      </c>
      <c r="B180" s="73" t="s">
        <v>289</v>
      </c>
      <c r="C180" s="1149">
        <f t="shared" si="43"/>
        <v>4580.8423286191064</v>
      </c>
      <c r="D180" s="1150">
        <f t="shared" si="43"/>
        <v>1.1737233504933111E-2</v>
      </c>
      <c r="E180" s="1124">
        <f t="shared" si="43"/>
        <v>-0.49577837871365099</v>
      </c>
      <c r="F180" s="1124">
        <f t="shared" si="43"/>
        <v>-0.39400279980801206</v>
      </c>
      <c r="G180" s="1125">
        <f t="shared" si="43"/>
        <v>2322.4005110115481</v>
      </c>
      <c r="H180" s="1126">
        <f t="shared" si="43"/>
        <v>6.4311804779353665E-3</v>
      </c>
      <c r="I180" s="1127">
        <f t="shared" si="43"/>
        <v>1.4234279787340207</v>
      </c>
      <c r="J180" s="1127">
        <f t="shared" si="43"/>
        <v>0.8056764866383116</v>
      </c>
      <c r="K180" s="1128">
        <f t="shared" si="43"/>
        <v>4.3871958272574467</v>
      </c>
      <c r="L180" s="1124">
        <f t="shared" si="43"/>
        <v>-8.1025400882275472E-2</v>
      </c>
      <c r="M180" s="1129">
        <f t="shared" si="44"/>
        <v>3.4400754167452243</v>
      </c>
      <c r="N180" s="103">
        <f t="shared" si="44"/>
        <v>0.42290073595624156</v>
      </c>
      <c r="O180" s="1131">
        <f t="shared" si="44"/>
        <v>-9.0086339251873371E-2</v>
      </c>
      <c r="P180" s="1132">
        <f t="shared" si="44"/>
        <v>0.44946685046944856</v>
      </c>
      <c r="Q180" s="1130">
        <f t="shared" si="44"/>
        <v>0.16307046534988884</v>
      </c>
      <c r="R180" s="1131">
        <f t="shared" si="44"/>
        <v>1.3005419282788433</v>
      </c>
      <c r="S180" s="1132">
        <f t="shared" si="44"/>
        <v>0.30950096360373897</v>
      </c>
      <c r="T180" s="1130">
        <f t="shared" si="44"/>
        <v>0.18570292678335293</v>
      </c>
      <c r="U180" s="1131">
        <f t="shared" si="44"/>
        <v>1.251733079461073</v>
      </c>
      <c r="V180" s="1132">
        <f t="shared" si="44"/>
        <v>0.34197601038246805</v>
      </c>
      <c r="W180" s="1124">
        <f t="shared" si="44"/>
        <v>2.2632461433464091E-2</v>
      </c>
      <c r="X180" s="1124">
        <f t="shared" si="44"/>
        <v>0.13878945758144007</v>
      </c>
      <c r="Y180" s="1133" t="str">
        <f t="shared" si="44"/>
        <v>BBB</v>
      </c>
      <c r="Z180" s="1134" t="str">
        <f t="shared" si="42"/>
        <v>=  ¯ -</v>
      </c>
      <c r="AA180" s="1128">
        <f t="shared" si="41"/>
        <v>0.77886477042851432</v>
      </c>
      <c r="AB180" s="1135">
        <f t="shared" si="41"/>
        <v>1.0703005310133176</v>
      </c>
      <c r="AC180" s="1129">
        <f t="shared" si="41"/>
        <v>1.1762690733772538</v>
      </c>
    </row>
    <row r="181" spans="1:29">
      <c r="A181" s="1156" t="s">
        <v>323</v>
      </c>
      <c r="B181" s="726" t="s">
        <v>772</v>
      </c>
      <c r="C181" s="1151">
        <f t="shared" si="43"/>
        <v>7616.907214285714</v>
      </c>
      <c r="D181" s="1152">
        <f t="shared" si="43"/>
        <v>1.9516371039653539E-2</v>
      </c>
      <c r="E181" s="1136">
        <f t="shared" si="43"/>
        <v>-0.33365525120929096</v>
      </c>
      <c r="F181" s="1136">
        <f t="shared" si="43"/>
        <v>-0.23187967230365203</v>
      </c>
      <c r="G181" s="1137">
        <f t="shared" si="43"/>
        <v>5825.8631999999998</v>
      </c>
      <c r="H181" s="1138">
        <f t="shared" si="43"/>
        <v>1.6132952736323161E-2</v>
      </c>
      <c r="I181" s="1139">
        <f t="shared" si="43"/>
        <v>2.4107651340270966</v>
      </c>
      <c r="J181" s="1139">
        <f t="shared" si="43"/>
        <v>2.0327505931612002</v>
      </c>
      <c r="K181" s="1140">
        <f t="shared" si="43"/>
        <v>4.8426442674927213</v>
      </c>
      <c r="L181" s="1136">
        <f t="shared" si="43"/>
        <v>0.1951757211867983</v>
      </c>
      <c r="M181" s="1141">
        <f t="shared" si="44"/>
        <v>4.6619962755533297</v>
      </c>
      <c r="N181" s="1076">
        <f t="shared" si="44"/>
        <v>0.37158673775730477</v>
      </c>
      <c r="O181" s="1143">
        <f t="shared" si="44"/>
        <v>-0.1153634304384116</v>
      </c>
      <c r="P181" s="1144">
        <f t="shared" si="44"/>
        <v>0.36037883142173305</v>
      </c>
      <c r="Q181" s="1142">
        <f t="shared" si="44"/>
        <v>0.17383796150947908</v>
      </c>
      <c r="R181" s="1143">
        <f t="shared" si="44"/>
        <v>0.54445307336528614</v>
      </c>
      <c r="S181" s="1144">
        <f t="shared" si="44"/>
        <v>0.26356163003804695</v>
      </c>
      <c r="T181" s="1142">
        <f t="shared" si="44"/>
        <v>0.19702478682132593</v>
      </c>
      <c r="U181" s="1143">
        <f t="shared" si="44"/>
        <v>0.50034734616182497</v>
      </c>
      <c r="V181" s="1144">
        <f t="shared" si="44"/>
        <v>0.28756363720088318</v>
      </c>
      <c r="W181" s="1136">
        <f t="shared" si="44"/>
        <v>2.3186825311846848E-2</v>
      </c>
      <c r="X181" s="1136">
        <f t="shared" si="44"/>
        <v>0.13338182932260462</v>
      </c>
      <c r="Y181" s="1145" t="str">
        <f t="shared" si="44"/>
        <v>A</v>
      </c>
      <c r="Z181" s="1146" t="str">
        <f t="shared" si="42"/>
        <v>=  =  -</v>
      </c>
      <c r="AA181" s="1140">
        <f t="shared" si="41"/>
        <v>0.93248540191552354</v>
      </c>
      <c r="AB181" s="1147">
        <f t="shared" si="41"/>
        <v>0.78949919521054279</v>
      </c>
      <c r="AC181" s="1141">
        <f t="shared" si="41"/>
        <v>1.3109622071604587</v>
      </c>
    </row>
    <row r="182" spans="1:29">
      <c r="A182" s="1155" t="s">
        <v>503</v>
      </c>
      <c r="B182" s="73" t="s">
        <v>286</v>
      </c>
      <c r="C182" s="1149">
        <f t="shared" si="43"/>
        <v>15596.516285714286</v>
      </c>
      <c r="D182" s="1150">
        <f t="shared" si="43"/>
        <v>3.9962072557101963E-2</v>
      </c>
      <c r="E182" s="1124">
        <f t="shared" si="43"/>
        <v>-0.41209116095583281</v>
      </c>
      <c r="F182" s="1124">
        <f t="shared" si="43"/>
        <v>-0.31031558205019388</v>
      </c>
      <c r="G182" s="1125">
        <f t="shared" si="43"/>
        <v>10295.917100000001</v>
      </c>
      <c r="H182" s="1126">
        <f t="shared" si="43"/>
        <v>2.8511404790864545E-2</v>
      </c>
      <c r="I182" s="1127">
        <f t="shared" si="43"/>
        <v>0.58081043687158529</v>
      </c>
      <c r="J182" s="1127">
        <f t="shared" si="43"/>
        <v>0.5027794267018264</v>
      </c>
      <c r="K182" s="1128">
        <f t="shared" si="43"/>
        <v>4.5606838408134944</v>
      </c>
      <c r="L182" s="1124">
        <f t="shared" si="43"/>
        <v>-0.18379111287045302</v>
      </c>
      <c r="M182" s="1129">
        <f t="shared" si="44"/>
        <v>4.0606354500113753</v>
      </c>
      <c r="N182" s="103">
        <f t="shared" si="44"/>
        <v>0.34534166666666666</v>
      </c>
      <c r="O182" s="1131">
        <f t="shared" si="44"/>
        <v>-5.4500069338510607E-2</v>
      </c>
      <c r="P182" s="1132">
        <f t="shared" si="44"/>
        <v>0.3626280111015483</v>
      </c>
      <c r="Q182" s="1130">
        <f t="shared" si="44"/>
        <v>0.67997702229572432</v>
      </c>
      <c r="R182" s="1131">
        <f t="shared" si="44"/>
        <v>0.10658020511075152</v>
      </c>
      <c r="S182" s="1132">
        <f t="shared" si="44"/>
        <v>0.75270955685414354</v>
      </c>
      <c r="T182" s="1130">
        <f t="shared" si="44"/>
        <v>0.68457317243488636</v>
      </c>
      <c r="U182" s="1131">
        <f t="shared" si="44"/>
        <v>0.10522314957078965</v>
      </c>
      <c r="V182" s="1132">
        <f t="shared" si="44"/>
        <v>0.75672107111582532</v>
      </c>
      <c r="W182" s="1124">
        <f t="shared" si="44"/>
        <v>4.5961501391620363E-3</v>
      </c>
      <c r="X182" s="1124">
        <f t="shared" si="44"/>
        <v>6.7592727231349809E-3</v>
      </c>
      <c r="Y182" s="1133" t="str">
        <f t="shared" si="44"/>
        <v>BBB-</v>
      </c>
      <c r="Z182" s="1134" t="str">
        <f t="shared" si="42"/>
        <v>=  ¯ ¯</v>
      </c>
      <c r="AA182" s="1128">
        <f t="shared" si="41"/>
        <v>2.9152503149286035</v>
      </c>
      <c r="AB182" s="1135">
        <f t="shared" si="41"/>
        <v>-0.14664752669478531</v>
      </c>
      <c r="AC182" s="1129">
        <f t="shared" si="41"/>
        <v>2.8370691340232916</v>
      </c>
    </row>
    <row r="183" spans="1:29">
      <c r="A183" s="1155" t="s">
        <v>508</v>
      </c>
      <c r="B183" s="73" t="s">
        <v>290</v>
      </c>
      <c r="C183" s="1149">
        <f t="shared" si="43"/>
        <v>16250.837973523972</v>
      </c>
      <c r="D183" s="1150">
        <f t="shared" si="43"/>
        <v>4.1638604052015776E-2</v>
      </c>
      <c r="E183" s="1124">
        <f t="shared" si="43"/>
        <v>0.20894195471198634</v>
      </c>
      <c r="F183" s="1124">
        <f t="shared" si="43"/>
        <v>0.31071753361762527</v>
      </c>
      <c r="G183" s="1125">
        <f t="shared" si="43"/>
        <v>17428.290742138299</v>
      </c>
      <c r="H183" s="1126">
        <f t="shared" si="43"/>
        <v>4.826234004564605E-2</v>
      </c>
      <c r="I183" s="1127">
        <f t="shared" si="43"/>
        <v>4.0995220850209826</v>
      </c>
      <c r="J183" s="1127">
        <f t="shared" si="43"/>
        <v>4.5731712273212377</v>
      </c>
      <c r="K183" s="1128">
        <f t="shared" si="43"/>
        <v>6.7995363362554677</v>
      </c>
      <c r="L183" s="1124">
        <f t="shared" si="43"/>
        <v>0.2149868566781509</v>
      </c>
      <c r="M183" s="1129">
        <f t="shared" si="44"/>
        <v>7.5822149145373468</v>
      </c>
      <c r="N183" s="103">
        <f t="shared" si="44"/>
        <v>0.32615050588405037</v>
      </c>
      <c r="O183" s="1131">
        <f t="shared" si="44"/>
        <v>-8.7660674172335792E-2</v>
      </c>
      <c r="P183" s="1132">
        <f t="shared" si="44"/>
        <v>0.30985103942866765</v>
      </c>
      <c r="Q183" s="1130">
        <f t="shared" si="44"/>
        <v>0.30558583418722468</v>
      </c>
      <c r="R183" s="1131">
        <f t="shared" si="44"/>
        <v>-0.13620468181810452</v>
      </c>
      <c r="S183" s="1132">
        <f t="shared" si="44"/>
        <v>0.29018390059321952</v>
      </c>
      <c r="T183" s="1130">
        <f t="shared" si="44"/>
        <v>0.31922230141848357</v>
      </c>
      <c r="U183" s="1131">
        <f t="shared" si="44"/>
        <v>-0.13496032758973828</v>
      </c>
      <c r="V183" s="1132">
        <f t="shared" si="44"/>
        <v>0.30362227391248225</v>
      </c>
      <c r="W183" s="1124">
        <f t="shared" si="44"/>
        <v>1.3636467231258886E-2</v>
      </c>
      <c r="X183" s="1124">
        <f t="shared" si="44"/>
        <v>4.4624016252350789E-2</v>
      </c>
      <c r="Y183" s="1133" t="str">
        <f t="shared" si="44"/>
        <v>A</v>
      </c>
      <c r="Z183" s="1134" t="str">
        <f t="shared" si="42"/>
        <v>=  =  -</v>
      </c>
      <c r="AA183" s="1128">
        <f t="shared" si="41"/>
        <v>2.1579177629636748</v>
      </c>
      <c r="AB183" s="1135">
        <f t="shared" si="41"/>
        <v>6.0078851309961184E-2</v>
      </c>
      <c r="AC183" s="1129">
        <f t="shared" si="41"/>
        <v>2.3009327536910358</v>
      </c>
    </row>
    <row r="184" spans="1:29">
      <c r="A184" s="1155" t="s">
        <v>545</v>
      </c>
      <c r="B184" s="73" t="s">
        <v>39</v>
      </c>
      <c r="C184" s="1149">
        <f t="shared" si="43"/>
        <v>5059.5155870714543</v>
      </c>
      <c r="D184" s="1150">
        <f t="shared" si="43"/>
        <v>1.2963710952524294E-2</v>
      </c>
      <c r="E184" s="1124">
        <f t="shared" si="43"/>
        <v>-0.13366823909704381</v>
      </c>
      <c r="F184" s="1124">
        <f t="shared" si="43"/>
        <v>-3.1892660191404867E-2</v>
      </c>
      <c r="G184" s="1125">
        <f t="shared" si="43"/>
        <v>5057.8123335929276</v>
      </c>
      <c r="H184" s="1126">
        <f t="shared" si="43"/>
        <v>1.4006069920599414E-2</v>
      </c>
      <c r="I184" s="1127">
        <f t="shared" si="43"/>
        <v>1.6858649053444912</v>
      </c>
      <c r="J184" s="1127">
        <f t="shared" si="43"/>
        <v>1.7703056194544857</v>
      </c>
      <c r="K184" s="1128">
        <f t="shared" si="43"/>
        <v>5.8927844479191869</v>
      </c>
      <c r="L184" s="1124">
        <f t="shared" si="43"/>
        <v>-0.19036897853308513</v>
      </c>
      <c r="M184" s="1129">
        <f t="shared" si="44"/>
        <v>5.9052222685092017</v>
      </c>
      <c r="N184" s="103">
        <f t="shared" si="44"/>
        <v>0.31054928118178421</v>
      </c>
      <c r="O184" s="1131">
        <f t="shared" si="44"/>
        <v>-0.11491916916279199</v>
      </c>
      <c r="P184" s="1132">
        <f t="shared" si="44"/>
        <v>0.28165979767703259</v>
      </c>
      <c r="Q184" s="1130">
        <f t="shared" si="44"/>
        <v>0.3899242463002407</v>
      </c>
      <c r="R184" s="1131">
        <f t="shared" si="44"/>
        <v>-0.1197676600756727</v>
      </c>
      <c r="S184" s="1132">
        <f t="shared" si="44"/>
        <v>0.37944762378701169</v>
      </c>
      <c r="T184" s="1130">
        <f t="shared" si="44"/>
        <v>0.45093517146474416</v>
      </c>
      <c r="U184" s="1131">
        <f t="shared" si="44"/>
        <v>-8.3572610535330494E-2</v>
      </c>
      <c r="V184" s="1132">
        <f t="shared" si="44"/>
        <v>0.43916945384982109</v>
      </c>
      <c r="W184" s="1124">
        <f t="shared" si="44"/>
        <v>6.101092516450346E-2</v>
      </c>
      <c r="X184" s="1124">
        <f t="shared" si="44"/>
        <v>0.15646866216553562</v>
      </c>
      <c r="Y184" s="1133" t="str">
        <f t="shared" si="44"/>
        <v>BBB</v>
      </c>
      <c r="Z184" s="1134" t="str">
        <f t="shared" si="42"/>
        <v>­  = =</v>
      </c>
      <c r="AA184" s="1128">
        <f t="shared" si="41"/>
        <v>2.6587814840492587</v>
      </c>
      <c r="AB184" s="1135">
        <f t="shared" si="41"/>
        <v>-0.25803195656746131</v>
      </c>
      <c r="AC184" s="1129">
        <f t="shared" si="41"/>
        <v>2.5933932385229874</v>
      </c>
    </row>
    <row r="185" spans="1:29">
      <c r="A185" s="1155" t="s">
        <v>19</v>
      </c>
      <c r="B185" s="73" t="s">
        <v>287</v>
      </c>
      <c r="C185" s="1149">
        <f t="shared" si="43"/>
        <v>6002.7646707914537</v>
      </c>
      <c r="D185" s="1150">
        <f t="shared" si="43"/>
        <v>1.538054479108892E-2</v>
      </c>
      <c r="E185" s="1124">
        <f t="shared" si="43"/>
        <v>1.7468659495150733</v>
      </c>
      <c r="F185" s="1124">
        <f t="shared" si="43"/>
        <v>1.8486415284207123</v>
      </c>
      <c r="G185" s="1125">
        <f t="shared" si="43"/>
        <v>9571.524995540176</v>
      </c>
      <c r="H185" s="1126">
        <f t="shared" si="43"/>
        <v>2.6505421611613778E-2</v>
      </c>
      <c r="I185" s="1127">
        <f t="shared" si="43"/>
        <v>4.1497848696984878</v>
      </c>
      <c r="J185" s="1127">
        <f t="shared" si="43"/>
        <v>5.1075046454025781</v>
      </c>
      <c r="K185" s="1128">
        <f t="shared" si="43"/>
        <v>7.8889454092528393</v>
      </c>
      <c r="L185" s="1124">
        <f t="shared" si="43"/>
        <v>0.8464659845431286</v>
      </c>
      <c r="M185" s="1129">
        <f t="shared" si="44"/>
        <v>9.6719476082953495</v>
      </c>
      <c r="N185" s="103">
        <f t="shared" si="44"/>
        <v>9.1630231095150338E-2</v>
      </c>
      <c r="O185" s="1148" t="str">
        <f t="shared" si="44"/>
        <v>¥</v>
      </c>
      <c r="P185" s="1132">
        <f t="shared" si="44"/>
        <v>0.34976819018989347</v>
      </c>
      <c r="Q185" s="1130">
        <f t="shared" si="44"/>
        <v>0.13477545507373562</v>
      </c>
      <c r="R185" s="1131">
        <f t="shared" si="44"/>
        <v>-0.4264373226073967</v>
      </c>
      <c r="S185" s="1132">
        <f t="shared" si="44"/>
        <v>9.7905485588969735E-2</v>
      </c>
      <c r="T185" s="1130">
        <f t="shared" si="44"/>
        <v>0.16024846762312819</v>
      </c>
      <c r="U185" s="1131">
        <f t="shared" si="44"/>
        <v>-0.25253039609468159</v>
      </c>
      <c r="V185" s="1132">
        <f t="shared" si="44"/>
        <v>0.12849893093161849</v>
      </c>
      <c r="W185" s="1124">
        <f t="shared" si="44"/>
        <v>2.5473012549392576E-2</v>
      </c>
      <c r="X185" s="1124">
        <f t="shared" si="44"/>
        <v>0.18900335031669008</v>
      </c>
      <c r="Y185" s="1133" t="str">
        <f t="shared" si="44"/>
        <v>Not rated</v>
      </c>
      <c r="Z185" s="1134"/>
      <c r="AA185" s="1128">
        <f t="shared" si="41"/>
        <v>1.265551414722516</v>
      </c>
      <c r="AB185" s="1135">
        <f t="shared" si="41"/>
        <v>0.38040351489576829</v>
      </c>
      <c r="AC185" s="1129">
        <f t="shared" si="41"/>
        <v>1.242834927692577</v>
      </c>
    </row>
    <row r="186" spans="1:29">
      <c r="A186" s="1156" t="s">
        <v>323</v>
      </c>
      <c r="B186" s="726" t="s">
        <v>774</v>
      </c>
      <c r="C186" s="1151">
        <f t="shared" si="43"/>
        <v>3541.6238999999996</v>
      </c>
      <c r="D186" s="1152">
        <f t="shared" si="43"/>
        <v>9.0745028357006995E-3</v>
      </c>
      <c r="E186" s="1136">
        <f t="shared" si="43"/>
        <v>0.67327297771392325</v>
      </c>
      <c r="F186" s="1136">
        <f t="shared" si="43"/>
        <v>0.77504855661956218</v>
      </c>
      <c r="G186" s="1137">
        <f t="shared" si="43"/>
        <v>4048.9897999999998</v>
      </c>
      <c r="H186" s="1138">
        <f t="shared" si="43"/>
        <v>1.1212443346293226E-2</v>
      </c>
      <c r="I186" s="1139">
        <f t="shared" si="43"/>
        <v>-1.4186196832586249</v>
      </c>
      <c r="J186" s="1139">
        <f t="shared" si="43"/>
        <v>-2.7147098893731143</v>
      </c>
      <c r="K186" s="1140">
        <f t="shared" si="43"/>
        <v>8.6861758729657641</v>
      </c>
      <c r="L186" s="1136">
        <f t="shared" si="43"/>
        <v>0.26215680659638446</v>
      </c>
      <c r="M186" s="1141">
        <f t="shared" si="44"/>
        <v>9.0506669895995948</v>
      </c>
      <c r="N186" s="1076">
        <f t="shared" si="44"/>
        <v>6.4385445236561381E-2</v>
      </c>
      <c r="O186" s="1143">
        <f t="shared" si="44"/>
        <v>14.697799124913645</v>
      </c>
      <c r="P186" s="1144">
        <f t="shared" si="44"/>
        <v>0.15462918080465343</v>
      </c>
      <c r="Q186" s="1142">
        <f t="shared" si="44"/>
        <v>0.42399287000325037</v>
      </c>
      <c r="R186" s="1143">
        <f t="shared" si="44"/>
        <v>4.5742782667206161E-2</v>
      </c>
      <c r="S186" s="1144">
        <f t="shared" si="44"/>
        <v>0.48144640266975475</v>
      </c>
      <c r="T186" s="1142">
        <f t="shared" si="44"/>
        <v>0.42695023434228802</v>
      </c>
      <c r="U186" s="1143">
        <f t="shared" si="44"/>
        <v>4.1366838913311048E-2</v>
      </c>
      <c r="V186" s="1144">
        <f t="shared" si="44"/>
        <v>0.4832654138496531</v>
      </c>
      <c r="W186" s="1136">
        <f t="shared" si="44"/>
        <v>2.9573643390376492E-3</v>
      </c>
      <c r="X186" s="1136">
        <f t="shared" si="44"/>
        <v>6.9750331863245195E-3</v>
      </c>
      <c r="Y186" s="1145" t="str">
        <f t="shared" si="44"/>
        <v>B+</v>
      </c>
      <c r="Z186" s="1146" t="str">
        <f>VLOOKUP($B186,$B$7:$AC$28,Z$37+1,FALSE)</f>
        <v>=  =  =</v>
      </c>
      <c r="AA186" s="1140">
        <f t="shared" si="41"/>
        <v>3.7014756930154613</v>
      </c>
      <c r="AB186" s="1147">
        <f t="shared" si="41"/>
        <v>0.31334582285320112</v>
      </c>
      <c r="AC186" s="1141">
        <f t="shared" si="41"/>
        <v>4.3704719780651446</v>
      </c>
    </row>
    <row r="187" spans="1:29">
      <c r="A187" s="1155" t="s">
        <v>32</v>
      </c>
      <c r="B187" s="73" t="s">
        <v>50</v>
      </c>
      <c r="C187" s="1149">
        <f t="shared" si="43"/>
        <v>19515.355899391296</v>
      </c>
      <c r="D187" s="1150">
        <f t="shared" si="43"/>
        <v>5.0003093905237848E-2</v>
      </c>
      <c r="E187" s="1124">
        <f t="shared" si="43"/>
        <v>1.1994936816856254</v>
      </c>
      <c r="F187" s="1124">
        <f t="shared" si="43"/>
        <v>1.3012692605912644</v>
      </c>
      <c r="G187" s="1125">
        <f t="shared" si="43"/>
        <v>28491.576306321644</v>
      </c>
      <c r="H187" s="1126">
        <f t="shared" si="43"/>
        <v>7.8898737947233621E-2</v>
      </c>
      <c r="I187" s="1127">
        <f t="shared" si="43"/>
        <v>-0.89894076859195104</v>
      </c>
      <c r="J187" s="1127">
        <f t="shared" si="43"/>
        <v>39.625784878048783</v>
      </c>
      <c r="K187" s="1128">
        <f t="shared" si="43"/>
        <v>4.6985221679038922</v>
      </c>
      <c r="L187" s="1124">
        <f t="shared" si="43"/>
        <v>0.4140020451008824</v>
      </c>
      <c r="M187" s="1129">
        <f t="shared" si="44"/>
        <v>5.7096258695546744</v>
      </c>
      <c r="N187" s="117">
        <f t="shared" si="44"/>
        <v>0</v>
      </c>
      <c r="O187" s="1131">
        <f t="shared" si="44"/>
        <v>0</v>
      </c>
      <c r="P187" s="1132">
        <f t="shared" si="44"/>
        <v>0</v>
      </c>
      <c r="Q187" s="1130">
        <f t="shared" si="44"/>
        <v>0.37025195227815472</v>
      </c>
      <c r="R187" s="1131">
        <f t="shared" si="44"/>
        <v>-0.46222821771061889</v>
      </c>
      <c r="S187" s="1132">
        <f t="shared" si="44"/>
        <v>0.26403640782716253</v>
      </c>
      <c r="T187" s="1130">
        <f t="shared" si="44"/>
        <v>0.48927059752514818</v>
      </c>
      <c r="U187" s="1131">
        <f t="shared" si="44"/>
        <v>-0.38189416595312975</v>
      </c>
      <c r="V187" s="1132">
        <f t="shared" si="44"/>
        <v>0.37414035756341019</v>
      </c>
      <c r="W187" s="1124">
        <f t="shared" si="44"/>
        <v>0.11901864524699346</v>
      </c>
      <c r="X187" s="1124">
        <f t="shared" si="44"/>
        <v>0.32145312000294263</v>
      </c>
      <c r="Y187" s="1133" t="str">
        <f t="shared" si="44"/>
        <v>BBB</v>
      </c>
      <c r="Z187" s="1134" t="str">
        <f>VLOOKUP($B187,$B$7:$AC$28,Z$37+1,FALSE)</f>
        <v xml:space="preserve">=  -  = </v>
      </c>
      <c r="AA187" s="1128">
        <f t="shared" si="41"/>
        <v>2.2664974928712622</v>
      </c>
      <c r="AB187" s="1135">
        <f t="shared" si="41"/>
        <v>-0.12537902502142731</v>
      </c>
      <c r="AC187" s="1129">
        <f t="shared" si="41"/>
        <v>2.136201464388483</v>
      </c>
    </row>
    <row r="190" spans="1:29">
      <c r="A190" s="1252" t="s">
        <v>1318</v>
      </c>
      <c r="B190" s="1123" t="s">
        <v>367</v>
      </c>
      <c r="C190" s="1068"/>
      <c r="E190" s="1068"/>
      <c r="F190" s="1068"/>
      <c r="G190" s="1068"/>
      <c r="K190" s="1068"/>
      <c r="L190" s="1068"/>
      <c r="M190" s="1153"/>
      <c r="N190" s="1068"/>
      <c r="O190" s="1068"/>
      <c r="P190" s="1068"/>
      <c r="T190" s="1068"/>
      <c r="U190" s="1068"/>
      <c r="V190" s="1068"/>
      <c r="Y190" s="1068"/>
      <c r="Z190" s="1068"/>
      <c r="AA190" s="1068"/>
      <c r="AB190" s="1068"/>
      <c r="AC190" s="1068"/>
    </row>
    <row r="191" spans="1:29">
      <c r="A191" s="1156" t="s">
        <v>323</v>
      </c>
      <c r="B191" s="726" t="s">
        <v>773</v>
      </c>
      <c r="C191" s="1151">
        <f t="shared" ref="C191:L200" si="45">VLOOKUP($B191,$B$7:$AC$28,C$37+1,FALSE)</f>
        <v>2121.4584571428572</v>
      </c>
      <c r="D191" s="1152">
        <f t="shared" si="45"/>
        <v>5.4356931534045982E-3</v>
      </c>
      <c r="E191" s="1136">
        <f t="shared" si="45"/>
        <v>-0.63331383871554725</v>
      </c>
      <c r="F191" s="1136">
        <f t="shared" si="45"/>
        <v>-0.53153825980990832</v>
      </c>
      <c r="G191" s="1137">
        <f t="shared" si="45"/>
        <v>960.23059999999998</v>
      </c>
      <c r="H191" s="1138">
        <f t="shared" si="45"/>
        <v>2.6590660223142948E-3</v>
      </c>
      <c r="I191" s="1139">
        <f t="shared" si="45"/>
        <v>6.3820660890696566</v>
      </c>
      <c r="J191" s="1139">
        <f t="shared" si="45"/>
        <v>3.126768479322696</v>
      </c>
      <c r="K191" s="1140">
        <f t="shared" si="45"/>
        <v>4.9107929634600707</v>
      </c>
      <c r="L191" s="1136">
        <f t="shared" si="45"/>
        <v>-0.2975700901517318</v>
      </c>
      <c r="M191" s="1141">
        <f t="shared" ref="M191:Y200" si="46">VLOOKUP($B191,$B$7:$AC$28,M$37+1,FALSE)</f>
        <v>3.6764587184436395</v>
      </c>
      <c r="N191" s="1142">
        <f t="shared" si="46"/>
        <v>0.95644485424869818</v>
      </c>
      <c r="O191" s="1143">
        <f t="shared" si="46"/>
        <v>5.7346309608293736E-3</v>
      </c>
      <c r="P191" s="1077">
        <f t="shared" si="46"/>
        <v>0.97265268915223335</v>
      </c>
      <c r="Q191" s="1142">
        <f t="shared" si="46"/>
        <v>0.16489915086810925</v>
      </c>
      <c r="R191" s="1143">
        <f t="shared" si="46"/>
        <v>2.0043608623878186</v>
      </c>
      <c r="S191" s="1144">
        <f t="shared" si="46"/>
        <v>0.32988338723452482</v>
      </c>
      <c r="T191" s="1142">
        <f t="shared" si="46"/>
        <v>0.27218937885351913</v>
      </c>
      <c r="U191" s="1143">
        <f t="shared" si="46"/>
        <v>1.2181747217666232</v>
      </c>
      <c r="V191" s="1144">
        <f t="shared" si="46"/>
        <v>0.4561905930983241</v>
      </c>
      <c r="W191" s="1136">
        <f t="shared" si="46"/>
        <v>0.10729022798540988</v>
      </c>
      <c r="X191" s="1136">
        <f t="shared" si="46"/>
        <v>0.65064148250965514</v>
      </c>
      <c r="Y191" s="1145" t="str">
        <f t="shared" si="46"/>
        <v>Not rated</v>
      </c>
      <c r="Z191" s="1146"/>
      <c r="AA191" s="1140">
        <f t="shared" ref="AA191:AC212" si="47">VLOOKUP($B191,$B$7:$AC$28,AA$37+1,FALSE)</f>
        <v>1.2440956586918632</v>
      </c>
      <c r="AB191" s="1147">
        <f t="shared" si="47"/>
        <v>0.5581122698382367</v>
      </c>
      <c r="AC191" s="1141">
        <f t="shared" si="47"/>
        <v>1.6771658832683087</v>
      </c>
    </row>
    <row r="192" spans="1:29">
      <c r="A192" s="1155" t="s">
        <v>27</v>
      </c>
      <c r="B192" s="73" t="s">
        <v>357</v>
      </c>
      <c r="C192" s="1149">
        <f t="shared" si="45"/>
        <v>504.56125714285719</v>
      </c>
      <c r="D192" s="1150">
        <f t="shared" si="45"/>
        <v>1.292808804099037E-3</v>
      </c>
      <c r="E192" s="1124">
        <f t="shared" si="45"/>
        <v>0.11241291049139049</v>
      </c>
      <c r="F192" s="1124">
        <f t="shared" si="45"/>
        <v>0.21418848939702945</v>
      </c>
      <c r="G192" s="1125">
        <f t="shared" si="45"/>
        <v>562.64409999999998</v>
      </c>
      <c r="H192" s="1126">
        <f t="shared" si="45"/>
        <v>1.5580713726115437E-3</v>
      </c>
      <c r="I192" s="1127">
        <f t="shared" si="45"/>
        <v>0.48825120153947199</v>
      </c>
      <c r="J192" s="1127">
        <f t="shared" si="45"/>
        <v>0.52140126030951717</v>
      </c>
      <c r="K192" s="1128">
        <f t="shared" si="45"/>
        <v>3.8552632920912293</v>
      </c>
      <c r="L192" s="1124">
        <f t="shared" si="45"/>
        <v>-0.11001004882442665</v>
      </c>
      <c r="M192" s="1129">
        <f t="shared" si="46"/>
        <v>3.9063069179772585</v>
      </c>
      <c r="N192" s="1130">
        <f t="shared" si="46"/>
        <v>0.90539538726018864</v>
      </c>
      <c r="O192" s="1131">
        <f t="shared" si="46"/>
        <v>-4.1189056985539901E-2</v>
      </c>
      <c r="P192" s="104">
        <f t="shared" si="46"/>
        <v>0.90138346931536006</v>
      </c>
      <c r="Q192" s="1130">
        <f t="shared" si="46"/>
        <v>0.38160323267486906</v>
      </c>
      <c r="R192" s="1131">
        <f t="shared" si="46"/>
        <v>0.13281779457810056</v>
      </c>
      <c r="S192" s="1132">
        <f t="shared" si="46"/>
        <v>0.39444904186551905</v>
      </c>
      <c r="T192" s="1130">
        <f t="shared" si="46"/>
        <v>0.47841518539184064</v>
      </c>
      <c r="U192" s="1131">
        <f t="shared" si="46"/>
        <v>1.1717685634717274E-2</v>
      </c>
      <c r="V192" s="1132">
        <f t="shared" si="46"/>
        <v>0.46507375880431212</v>
      </c>
      <c r="W192" s="1124">
        <f t="shared" si="46"/>
        <v>9.6811952716971572E-2</v>
      </c>
      <c r="X192" s="1124">
        <f t="shared" si="46"/>
        <v>0.25369793656715856</v>
      </c>
      <c r="Y192" s="1133" t="str">
        <f t="shared" si="46"/>
        <v>Not rated</v>
      </c>
      <c r="Z192" s="1134"/>
      <c r="AA192" s="1128">
        <f t="shared" si="47"/>
        <v>1.832329792526622</v>
      </c>
      <c r="AB192" s="1135">
        <f t="shared" si="47"/>
        <v>-9.9442962217240083E-2</v>
      </c>
      <c r="AC192" s="1129">
        <f t="shared" si="47"/>
        <v>1.8160302149559577</v>
      </c>
    </row>
    <row r="193" spans="1:29">
      <c r="A193" s="1155" t="s">
        <v>32</v>
      </c>
      <c r="B193" s="73" t="s">
        <v>279</v>
      </c>
      <c r="C193" s="1149">
        <f t="shared" si="45"/>
        <v>103061.53572524291</v>
      </c>
      <c r="D193" s="1150">
        <f t="shared" si="45"/>
        <v>0.26406875054982143</v>
      </c>
      <c r="E193" s="1124">
        <f t="shared" si="45"/>
        <v>7.5306160052783275E-2</v>
      </c>
      <c r="F193" s="1124">
        <f t="shared" si="45"/>
        <v>0.17708173895842222</v>
      </c>
      <c r="G193" s="1125">
        <f t="shared" si="45"/>
        <v>106720.85775234729</v>
      </c>
      <c r="H193" s="1126">
        <f t="shared" si="45"/>
        <v>0.29553089301830604</v>
      </c>
      <c r="I193" s="1127">
        <f t="shared" si="45"/>
        <v>1.0837821931217524</v>
      </c>
      <c r="J193" s="1127">
        <f t="shared" si="45"/>
        <v>1.259272460269286</v>
      </c>
      <c r="K193" s="1128">
        <f t="shared" si="45"/>
        <v>7.5360879751187033</v>
      </c>
      <c r="L193" s="1124">
        <f t="shared" si="45"/>
        <v>0.12910548637067604</v>
      </c>
      <c r="M193" s="1129">
        <f t="shared" si="46"/>
        <v>8.6584668441025876</v>
      </c>
      <c r="N193" s="1130">
        <f t="shared" si="46"/>
        <v>0.91487499999999988</v>
      </c>
      <c r="O193" s="1131">
        <f t="shared" si="46"/>
        <v>-4.3736501079913587E-2</v>
      </c>
      <c r="P193" s="104">
        <f t="shared" si="46"/>
        <v>0.89481420237931208</v>
      </c>
      <c r="Q193" s="1130">
        <f t="shared" si="46"/>
        <v>0.24509229252810941</v>
      </c>
      <c r="R193" s="1131">
        <f t="shared" si="46"/>
        <v>-0.16501821733667812</v>
      </c>
      <c r="S193" s="1132">
        <f t="shared" si="46"/>
        <v>0.23828807339295358</v>
      </c>
      <c r="T193" s="1130">
        <f t="shared" si="46"/>
        <v>0.27870192226407053</v>
      </c>
      <c r="U193" s="1131">
        <f t="shared" si="46"/>
        <v>-0.14309331637647091</v>
      </c>
      <c r="V193" s="1132">
        <f t="shared" si="46"/>
        <v>0.2718321660431175</v>
      </c>
      <c r="W193" s="1124">
        <f t="shared" si="46"/>
        <v>3.3609629735961127E-2</v>
      </c>
      <c r="X193" s="1124">
        <f t="shared" si="46"/>
        <v>0.13713050455108242</v>
      </c>
      <c r="Y193" s="1133" t="str">
        <f t="shared" si="46"/>
        <v>A-</v>
      </c>
      <c r="Z193" s="1134" t="str">
        <f>VLOOKUP($B193,$B$7:$AC$28,Z$37+1,FALSE)</f>
        <v>=  =  =</v>
      </c>
      <c r="AA193" s="1128">
        <f t="shared" si="47"/>
        <v>2.0880314655341889</v>
      </c>
      <c r="AB193" s="1135">
        <f t="shared" si="47"/>
        <v>-3.7762767487534328E-2</v>
      </c>
      <c r="AC193" s="1129">
        <f t="shared" si="47"/>
        <v>2.3348198024327131</v>
      </c>
    </row>
    <row r="194" spans="1:29">
      <c r="A194" s="1155" t="s">
        <v>504</v>
      </c>
      <c r="B194" s="73" t="s">
        <v>281</v>
      </c>
      <c r="C194" s="1149">
        <f t="shared" si="45"/>
        <v>20617.292984255655</v>
      </c>
      <c r="D194" s="1150">
        <f t="shared" si="45"/>
        <v>5.2826525044090682E-2</v>
      </c>
      <c r="E194" s="1124">
        <f t="shared" si="45"/>
        <v>0.37985561177970401</v>
      </c>
      <c r="F194" s="1124">
        <f t="shared" si="45"/>
        <v>0.48163119068534294</v>
      </c>
      <c r="G194" s="1125">
        <f t="shared" si="45"/>
        <v>23766.623796323693</v>
      </c>
      <c r="H194" s="1126">
        <f t="shared" si="45"/>
        <v>6.5814421871090864E-2</v>
      </c>
      <c r="I194" s="1127">
        <f t="shared" si="45"/>
        <v>1.8990159277875758</v>
      </c>
      <c r="J194" s="1127">
        <f t="shared" si="45"/>
        <v>2.509154465418888</v>
      </c>
      <c r="K194" s="1128">
        <f t="shared" si="45"/>
        <v>5.8033589040079683</v>
      </c>
      <c r="L194" s="1124">
        <f t="shared" si="45"/>
        <v>4.5724350121793801E-2</v>
      </c>
      <c r="M194" s="1129">
        <f t="shared" si="46"/>
        <v>6.1939465303838475</v>
      </c>
      <c r="N194" s="1130">
        <f t="shared" si="46"/>
        <v>0.7344324868237998</v>
      </c>
      <c r="O194" s="1131">
        <f t="shared" si="46"/>
        <v>0.10784712869930438</v>
      </c>
      <c r="P194" s="104">
        <f t="shared" si="46"/>
        <v>0.74956908795771016</v>
      </c>
      <c r="Q194" s="1130">
        <f t="shared" si="46"/>
        <v>0.14726898954609682</v>
      </c>
      <c r="R194" s="1131">
        <f t="shared" si="46"/>
        <v>4.9939774449528171E-2</v>
      </c>
      <c r="S194" s="1132">
        <f t="shared" si="46"/>
        <v>0.17272839211728983</v>
      </c>
      <c r="T194" s="1130">
        <f t="shared" si="46"/>
        <v>0.18443136241749356</v>
      </c>
      <c r="U194" s="1131">
        <f t="shared" si="46"/>
        <v>-5.7258906752796622E-2</v>
      </c>
      <c r="V194" s="1132">
        <f t="shared" si="46"/>
        <v>0.198117589718218</v>
      </c>
      <c r="W194" s="1124">
        <f t="shared" si="46"/>
        <v>3.7162372871396732E-2</v>
      </c>
      <c r="X194" s="1124">
        <f t="shared" si="46"/>
        <v>0.25234350412762557</v>
      </c>
      <c r="Y194" s="1133" t="str">
        <f t="shared" si="46"/>
        <v>A-</v>
      </c>
      <c r="Z194" s="1134" t="str">
        <f>VLOOKUP($B194,$B$7:$AC$28,Z$37+1,FALSE)</f>
        <v>=  =  -</v>
      </c>
      <c r="AA194" s="1128">
        <f t="shared" si="47"/>
        <v>1.0395975936863313</v>
      </c>
      <c r="AB194" s="1135">
        <f t="shared" si="47"/>
        <v>2.9438923535487854E-2</v>
      </c>
      <c r="AC194" s="1129">
        <f t="shared" si="47"/>
        <v>1.2087727199953455</v>
      </c>
    </row>
    <row r="195" spans="1:29">
      <c r="A195" s="1155" t="s">
        <v>507</v>
      </c>
      <c r="B195" s="73" t="s">
        <v>284</v>
      </c>
      <c r="C195" s="1149">
        <f t="shared" si="45"/>
        <v>22949.481858519866</v>
      </c>
      <c r="D195" s="1150">
        <f t="shared" si="45"/>
        <v>5.8802160840116385E-2</v>
      </c>
      <c r="E195" s="1124">
        <f t="shared" si="45"/>
        <v>-8.3288171902550459E-2</v>
      </c>
      <c r="F195" s="1124">
        <f t="shared" si="45"/>
        <v>1.8487407003088485E-2</v>
      </c>
      <c r="G195" s="1125">
        <f t="shared" si="45"/>
        <v>21731.57918967646</v>
      </c>
      <c r="H195" s="1126">
        <f t="shared" si="45"/>
        <v>6.0178986000343146E-2</v>
      </c>
      <c r="I195" s="1127">
        <f t="shared" si="45"/>
        <v>1.7647070716020126</v>
      </c>
      <c r="J195" s="1127">
        <f t="shared" si="45"/>
        <v>1.7786623686113903</v>
      </c>
      <c r="K195" s="1128">
        <f t="shared" si="45"/>
        <v>7.5421176018870622</v>
      </c>
      <c r="L195" s="1124">
        <f t="shared" si="45"/>
        <v>2.1076957712408067E-2</v>
      </c>
      <c r="M195" s="1129">
        <f t="shared" si="46"/>
        <v>7.6896404016441506</v>
      </c>
      <c r="N195" s="1130">
        <f t="shared" si="46"/>
        <v>0.67984865616162071</v>
      </c>
      <c r="O195" s="1131">
        <f t="shared" si="46"/>
        <v>0.13956056160252914</v>
      </c>
      <c r="P195" s="104">
        <f t="shared" si="46"/>
        <v>0.7167630057803468</v>
      </c>
      <c r="Q195" s="1130">
        <f t="shared" si="46"/>
        <v>0.23215418017261674</v>
      </c>
      <c r="R195" s="1131">
        <f t="shared" si="46"/>
        <v>0.36187217108516367</v>
      </c>
      <c r="S195" s="1132">
        <f t="shared" si="46"/>
        <v>0.26525179681706468</v>
      </c>
      <c r="T195" s="1130">
        <f t="shared" si="46"/>
        <v>0.2501311526811702</v>
      </c>
      <c r="U195" s="1131">
        <f t="shared" si="46"/>
        <v>0.31916438327965047</v>
      </c>
      <c r="V195" s="1132">
        <f t="shared" si="46"/>
        <v>0.28287599661626001</v>
      </c>
      <c r="W195" s="1124">
        <f t="shared" si="46"/>
        <v>1.7976972508553457E-2</v>
      </c>
      <c r="X195" s="1124">
        <f t="shared" si="46"/>
        <v>7.7435489187344358E-2</v>
      </c>
      <c r="Y195" s="1133" t="str">
        <f t="shared" si="46"/>
        <v>A-</v>
      </c>
      <c r="Z195" s="1134" t="str">
        <f>VLOOKUP($B195,$B$7:$AC$28,Z$37+1,FALSE)</f>
        <v>=  =  =</v>
      </c>
      <c r="AA195" s="1128">
        <f t="shared" si="47"/>
        <v>1.845874038975184</v>
      </c>
      <c r="AB195" s="1135">
        <f t="shared" si="47"/>
        <v>0.36079457239176377</v>
      </c>
      <c r="AC195" s="1129">
        <f t="shared" si="47"/>
        <v>2.1424428051274771</v>
      </c>
    </row>
    <row r="196" spans="1:29">
      <c r="A196" s="1155" t="s">
        <v>73</v>
      </c>
      <c r="B196" s="73" t="s">
        <v>285</v>
      </c>
      <c r="C196" s="1149">
        <f t="shared" si="45"/>
        <v>2461.5190857142857</v>
      </c>
      <c r="D196" s="1150">
        <f t="shared" si="45"/>
        <v>6.3070112903421734E-3</v>
      </c>
      <c r="E196" s="1124">
        <f t="shared" si="45"/>
        <v>6.738754525599433E-2</v>
      </c>
      <c r="F196" s="1124">
        <f t="shared" si="45"/>
        <v>0.16916312416163326</v>
      </c>
      <c r="G196" s="1125">
        <f t="shared" si="45"/>
        <v>2364.3629999999998</v>
      </c>
      <c r="H196" s="1126">
        <f t="shared" si="45"/>
        <v>6.5473828033777437E-3</v>
      </c>
      <c r="I196" s="1127">
        <f t="shared" si="45"/>
        <v>3.1397518024733277</v>
      </c>
      <c r="J196" s="1127">
        <f t="shared" si="45"/>
        <v>3.0995844257996854</v>
      </c>
      <c r="K196" s="1128">
        <f t="shared" si="45"/>
        <v>6.7052926466266065</v>
      </c>
      <c r="L196" s="1124">
        <f t="shared" si="45"/>
        <v>0.14721542174528052</v>
      </c>
      <c r="M196" s="1129">
        <f t="shared" si="46"/>
        <v>7.0127743881429545</v>
      </c>
      <c r="N196" s="1130">
        <f t="shared" si="46"/>
        <v>0.62657499999999999</v>
      </c>
      <c r="O196" s="1131">
        <f t="shared" si="46"/>
        <v>5.5614710459497153E-2</v>
      </c>
      <c r="P196" s="104">
        <f t="shared" si="46"/>
        <v>0.64439999999999997</v>
      </c>
      <c r="Q196" s="1130">
        <f t="shared" si="46"/>
        <v>0.24190098439360719</v>
      </c>
      <c r="R196" s="1131">
        <f t="shared" si="46"/>
        <v>0.20667512064869559</v>
      </c>
      <c r="S196" s="1132">
        <f t="shared" si="46"/>
        <v>0.30597960586046052</v>
      </c>
      <c r="T196" s="1130">
        <f t="shared" si="46"/>
        <v>0.2616424852780464</v>
      </c>
      <c r="U196" s="1131">
        <f t="shared" si="46"/>
        <v>0.20296552626351777</v>
      </c>
      <c r="V196" s="1132">
        <f t="shared" si="46"/>
        <v>0.32061814749302248</v>
      </c>
      <c r="W196" s="1124">
        <f t="shared" si="46"/>
        <v>1.9741500884439211E-2</v>
      </c>
      <c r="X196" s="1124">
        <f t="shared" si="46"/>
        <v>8.1609841042717679E-2</v>
      </c>
      <c r="Y196" s="1133" t="str">
        <f t="shared" si="46"/>
        <v>BBB</v>
      </c>
      <c r="Z196" s="1134" t="str">
        <f>VLOOKUP($B196,$B$7:$AC$28,Z$37+1,FALSE)</f>
        <v>=  =  -</v>
      </c>
      <c r="AA196" s="1128">
        <f t="shared" si="47"/>
        <v>1.7511002028712532</v>
      </c>
      <c r="AB196" s="1135">
        <f t="shared" si="47"/>
        <v>0.37093258903528414</v>
      </c>
      <c r="AC196" s="1129">
        <f t="shared" si="47"/>
        <v>2.2311132077757287</v>
      </c>
    </row>
    <row r="197" spans="1:29">
      <c r="A197" s="1155" t="s">
        <v>219</v>
      </c>
      <c r="B197" s="73" t="s">
        <v>53</v>
      </c>
      <c r="C197" s="1149">
        <f t="shared" si="45"/>
        <v>60036.853628571422</v>
      </c>
      <c r="D197" s="1150">
        <f t="shared" si="45"/>
        <v>0.15382903828354536</v>
      </c>
      <c r="E197" s="1124">
        <f t="shared" si="45"/>
        <v>-0.3618479655094986</v>
      </c>
      <c r="F197" s="1124">
        <f t="shared" si="45"/>
        <v>-0.26007238660385967</v>
      </c>
      <c r="G197" s="1125">
        <f t="shared" si="45"/>
        <v>44430.485000000001</v>
      </c>
      <c r="H197" s="1126">
        <f t="shared" si="45"/>
        <v>0.1230366882897139</v>
      </c>
      <c r="I197" s="1127">
        <f t="shared" si="45"/>
        <v>2.2644833808097031</v>
      </c>
      <c r="J197" s="1127">
        <f t="shared" si="45"/>
        <v>1.7716210773954304</v>
      </c>
      <c r="K197" s="1128">
        <f t="shared" si="45"/>
        <v>5.6943354572509941</v>
      </c>
      <c r="L197" s="1124">
        <f t="shared" si="45"/>
        <v>-7.3155042359885195E-2</v>
      </c>
      <c r="M197" s="1129">
        <f t="shared" si="46"/>
        <v>5.1937231412225326</v>
      </c>
      <c r="N197" s="1130">
        <f t="shared" si="46"/>
        <v>0.6158872479982318</v>
      </c>
      <c r="O197" s="1131">
        <f t="shared" si="46"/>
        <v>0.11044311863454735</v>
      </c>
      <c r="P197" s="104">
        <f t="shared" si="46"/>
        <v>0.66127040038880336</v>
      </c>
      <c r="Q197" s="1130">
        <f t="shared" si="46"/>
        <v>0.48384306036910518</v>
      </c>
      <c r="R197" s="1131">
        <f t="shared" si="46"/>
        <v>0.2595878527386451</v>
      </c>
      <c r="S197" s="1132">
        <f t="shared" si="46"/>
        <v>0.54381370963962039</v>
      </c>
      <c r="T197" s="1130">
        <f t="shared" si="46"/>
        <v>0.51513010935716153</v>
      </c>
      <c r="U197" s="1131">
        <f t="shared" si="46"/>
        <v>0.26130995158024306</v>
      </c>
      <c r="V197" s="1132">
        <f t="shared" si="46"/>
        <v>0.57929804018594233</v>
      </c>
      <c r="W197" s="1124">
        <f t="shared" si="46"/>
        <v>3.1287048988056343E-2</v>
      </c>
      <c r="X197" s="1124">
        <f t="shared" si="46"/>
        <v>6.4663630732222685E-2</v>
      </c>
      <c r="Y197" s="1133" t="str">
        <f t="shared" si="46"/>
        <v>BBB</v>
      </c>
      <c r="Z197" s="1134" t="str">
        <f>VLOOKUP($B197,$B$7:$AC$28,Z$37+1,FALSE)</f>
        <v>¯  ¯ ¯</v>
      </c>
      <c r="AA197" s="1128">
        <f t="shared" si="47"/>
        <v>2.7929780820851775</v>
      </c>
      <c r="AB197" s="1135">
        <f t="shared" si="47"/>
        <v>0.12404595260605845</v>
      </c>
      <c r="AC197" s="1129">
        <f t="shared" si="47"/>
        <v>2.8353348809740444</v>
      </c>
    </row>
    <row r="198" spans="1:29">
      <c r="A198" s="1155" t="s">
        <v>507</v>
      </c>
      <c r="B198" s="73" t="s">
        <v>282</v>
      </c>
      <c r="C198" s="1149">
        <f t="shared" si="45"/>
        <v>5769.8566757446433</v>
      </c>
      <c r="D198" s="1150">
        <f t="shared" si="45"/>
        <v>1.4783777793466828E-2</v>
      </c>
      <c r="E198" s="1124">
        <f t="shared" si="45"/>
        <v>-0.24705029723080094</v>
      </c>
      <c r="F198" s="1124">
        <f t="shared" si="45"/>
        <v>-0.14527471832516198</v>
      </c>
      <c r="G198" s="1125">
        <f t="shared" si="45"/>
        <v>4026.3480952657014</v>
      </c>
      <c r="H198" s="1126">
        <f t="shared" si="45"/>
        <v>1.1149744044952231E-2</v>
      </c>
      <c r="I198" s="1127">
        <f t="shared" si="45"/>
        <v>2.446298838298576</v>
      </c>
      <c r="J198" s="1127">
        <f t="shared" si="45"/>
        <v>1.6476276710656086</v>
      </c>
      <c r="K198" s="1128">
        <f t="shared" si="45"/>
        <v>6.6837223425180285</v>
      </c>
      <c r="L198" s="1124">
        <f t="shared" si="45"/>
        <v>1.2127469272410992E-3</v>
      </c>
      <c r="M198" s="1129">
        <f t="shared" si="46"/>
        <v>5.5145354419406587</v>
      </c>
      <c r="N198" s="1130">
        <f t="shared" si="46"/>
        <v>0.67083419702973635</v>
      </c>
      <c r="O198" s="1131">
        <f t="shared" si="46"/>
        <v>-0.11335389957676706</v>
      </c>
      <c r="P198" s="104">
        <f t="shared" si="46"/>
        <v>0.63639387890884902</v>
      </c>
      <c r="Q198" s="1130">
        <f t="shared" si="46"/>
        <v>0.1536920907726812</v>
      </c>
      <c r="R198" s="1131">
        <f t="shared" si="46"/>
        <v>1.6283818604559013</v>
      </c>
      <c r="S198" s="1132">
        <f t="shared" si="46"/>
        <v>0.2022242346359609</v>
      </c>
      <c r="T198" s="1130">
        <f t="shared" si="46"/>
        <v>0.20961441125119315</v>
      </c>
      <c r="U198" s="1131">
        <f t="shared" si="46"/>
        <v>0.84200521424561081</v>
      </c>
      <c r="V198" s="1132">
        <f t="shared" si="46"/>
        <v>0.28147528322389997</v>
      </c>
      <c r="W198" s="1124">
        <f t="shared" si="46"/>
        <v>5.592232047851195E-2</v>
      </c>
      <c r="X198" s="1124">
        <f t="shared" si="46"/>
        <v>0.36385945559959909</v>
      </c>
      <c r="Y198" s="1133" t="str">
        <f t="shared" si="46"/>
        <v>Not rated</v>
      </c>
      <c r="Z198" s="1134"/>
      <c r="AA198" s="1128">
        <f t="shared" si="47"/>
        <v>1.4399592566697517</v>
      </c>
      <c r="AB198" s="1135">
        <f t="shared" si="47"/>
        <v>0.8442860967329926</v>
      </c>
      <c r="AC198" s="1129">
        <f t="shared" si="47"/>
        <v>1.5521418473212367</v>
      </c>
    </row>
    <row r="199" spans="1:29">
      <c r="A199" s="1155" t="s">
        <v>502</v>
      </c>
      <c r="B199" s="73" t="s">
        <v>52</v>
      </c>
      <c r="C199" s="1149">
        <f t="shared" si="45"/>
        <v>40464.923042857146</v>
      </c>
      <c r="D199" s="1150">
        <f t="shared" si="45"/>
        <v>0.1036809862557167</v>
      </c>
      <c r="E199" s="1124">
        <f t="shared" si="45"/>
        <v>-6.1458653761923776E-2</v>
      </c>
      <c r="F199" s="1124">
        <f t="shared" si="45"/>
        <v>4.0316925143715168E-2</v>
      </c>
      <c r="G199" s="1125">
        <f t="shared" si="45"/>
        <v>39791.94</v>
      </c>
      <c r="H199" s="1126">
        <f t="shared" si="45"/>
        <v>0.1101916514803518</v>
      </c>
      <c r="I199" s="1127">
        <f t="shared" si="45"/>
        <v>1.0840589348936991</v>
      </c>
      <c r="J199" s="1127">
        <f t="shared" si="45"/>
        <v>1.2733420800000002</v>
      </c>
      <c r="K199" s="1128">
        <f t="shared" si="45"/>
        <v>4.9905713850513198</v>
      </c>
      <c r="L199" s="1124">
        <f t="shared" si="45"/>
        <v>0.1448238320606966</v>
      </c>
      <c r="M199" s="1129">
        <f t="shared" si="46"/>
        <v>5.2964626193065953</v>
      </c>
      <c r="N199" s="1130">
        <f t="shared" si="46"/>
        <v>0.61</v>
      </c>
      <c r="O199" s="1131">
        <f t="shared" si="46"/>
        <v>0</v>
      </c>
      <c r="P199" s="104">
        <f t="shared" si="46"/>
        <v>0.62983042679437373</v>
      </c>
      <c r="Q199" s="1130">
        <f t="shared" si="46"/>
        <v>0.51528895508035288</v>
      </c>
      <c r="R199" s="1131">
        <f t="shared" si="46"/>
        <v>-2.4931247740904369E-2</v>
      </c>
      <c r="S199" s="1132">
        <f t="shared" si="46"/>
        <v>0.51939744871548044</v>
      </c>
      <c r="T199" s="1130">
        <f t="shared" si="46"/>
        <v>0.58808850315066874</v>
      </c>
      <c r="U199" s="1131">
        <f t="shared" si="46"/>
        <v>-2.8226553900756759E-2</v>
      </c>
      <c r="V199" s="1132">
        <f t="shared" si="46"/>
        <v>0.59074959904524027</v>
      </c>
      <c r="W199" s="1124">
        <f t="shared" si="46"/>
        <v>7.2799548070315856E-2</v>
      </c>
      <c r="X199" s="1124">
        <f t="shared" si="46"/>
        <v>0.14127907721011346</v>
      </c>
      <c r="Y199" s="1133" t="str">
        <f t="shared" si="46"/>
        <v>BBB+</v>
      </c>
      <c r="Z199" s="1134" t="str">
        <f t="shared" ref="Z199:Z207" si="48">VLOOKUP($B199,$B$7:$AC$28,Z$37+1,FALSE)</f>
        <v>=  =  =</v>
      </c>
      <c r="AA199" s="1128">
        <f t="shared" si="47"/>
        <v>2.7906818261625395</v>
      </c>
      <c r="AB199" s="1135">
        <f t="shared" si="47"/>
        <v>8.5841806528642844E-2</v>
      </c>
      <c r="AC199" s="1129">
        <f t="shared" si="47"/>
        <v>2.9178287645268703</v>
      </c>
    </row>
    <row r="200" spans="1:29">
      <c r="A200" s="1155" t="s">
        <v>19</v>
      </c>
      <c r="B200" s="152" t="s">
        <v>288</v>
      </c>
      <c r="C200" s="1149">
        <f t="shared" si="45"/>
        <v>31174.883771428573</v>
      </c>
      <c r="D200" s="1150">
        <f t="shared" si="45"/>
        <v>7.9877643469276421E-2</v>
      </c>
      <c r="E200" s="1124">
        <f t="shared" si="45"/>
        <v>-0.49416922878378883</v>
      </c>
      <c r="F200" s="1124">
        <f t="shared" si="45"/>
        <v>-0.3923936498781499</v>
      </c>
      <c r="G200" s="1125">
        <f t="shared" si="45"/>
        <v>19124.593099999998</v>
      </c>
      <c r="H200" s="1126">
        <f t="shared" si="45"/>
        <v>5.2959732488004868E-2</v>
      </c>
      <c r="I200" s="1127">
        <f t="shared" si="45"/>
        <v>1.0546425468926217</v>
      </c>
      <c r="J200" s="1127">
        <f t="shared" si="45"/>
        <v>0.72989058468819168</v>
      </c>
      <c r="K200" s="1128">
        <f t="shared" si="45"/>
        <v>4.7838493303826084</v>
      </c>
      <c r="L200" s="1124">
        <f t="shared" si="45"/>
        <v>-0.19812930900653591</v>
      </c>
      <c r="M200" s="1129">
        <f t="shared" si="46"/>
        <v>4.438539176760524</v>
      </c>
      <c r="N200" s="1130">
        <f t="shared" si="46"/>
        <v>0.60741568747204655</v>
      </c>
      <c r="O200" s="1131">
        <f t="shared" si="46"/>
        <v>4.0950219141690898E-2</v>
      </c>
      <c r="P200" s="104">
        <f t="shared" si="46"/>
        <v>0.62738172243152124</v>
      </c>
      <c r="Q200" s="1130">
        <f t="shared" si="46"/>
        <v>0.50834561454306215</v>
      </c>
      <c r="R200" s="1131">
        <f t="shared" si="46"/>
        <v>0.27477182203191691</v>
      </c>
      <c r="S200" s="1132">
        <f t="shared" si="46"/>
        <v>0.61196382356206247</v>
      </c>
      <c r="T200" s="1130">
        <f t="shared" si="46"/>
        <v>0.54898628094174651</v>
      </c>
      <c r="U200" s="1131">
        <f t="shared" si="46"/>
        <v>0.26756473067663017</v>
      </c>
      <c r="V200" s="1132">
        <f t="shared" si="46"/>
        <v>0.65530118542007598</v>
      </c>
      <c r="W200" s="1124">
        <f t="shared" si="46"/>
        <v>4.0640666398684355E-2</v>
      </c>
      <c r="X200" s="1124">
        <f t="shared" si="46"/>
        <v>7.9946920433679999E-2</v>
      </c>
      <c r="Y200" s="1133" t="str">
        <f t="shared" si="46"/>
        <v>BBB+</v>
      </c>
      <c r="Z200" s="1134" t="str">
        <f t="shared" si="48"/>
        <v>=  ¯ ¯</v>
      </c>
      <c r="AA200" s="1128">
        <f t="shared" si="47"/>
        <v>2.5321561588471506</v>
      </c>
      <c r="AB200" s="1135">
        <f t="shared" si="47"/>
        <v>1.3257606300410854E-2</v>
      </c>
      <c r="AC200" s="1129">
        <f t="shared" si="47"/>
        <v>2.8138910595815916</v>
      </c>
    </row>
    <row r="201" spans="1:29">
      <c r="A201" s="1155" t="s">
        <v>505</v>
      </c>
      <c r="B201" s="73" t="s">
        <v>44</v>
      </c>
      <c r="C201" s="1149">
        <f t="shared" ref="C201:L212" si="49">VLOOKUP($B201,$B$7:$AC$28,C$37+1,FALSE)</f>
        <v>12234.494271428572</v>
      </c>
      <c r="D201" s="1150">
        <f t="shared" si="49"/>
        <v>3.1347753486597643E-2</v>
      </c>
      <c r="E201" s="1124">
        <f t="shared" si="49"/>
        <v>-0.59766521701552</v>
      </c>
      <c r="F201" s="1124">
        <f t="shared" si="49"/>
        <v>-0.49588963810988107</v>
      </c>
      <c r="G201" s="1125">
        <f t="shared" si="49"/>
        <v>6819.5967000000001</v>
      </c>
      <c r="H201" s="1126">
        <f t="shared" si="49"/>
        <v>1.8884794830384175E-2</v>
      </c>
      <c r="I201" s="1127">
        <f t="shared" si="49"/>
        <v>3.9295455833111754</v>
      </c>
      <c r="J201" s="1127">
        <f t="shared" si="49"/>
        <v>1.2175677021960365</v>
      </c>
      <c r="K201" s="1128">
        <f t="shared" si="49"/>
        <v>4.9270605931091591</v>
      </c>
      <c r="L201" s="1124">
        <f t="shared" si="49"/>
        <v>-0.26680842971581226</v>
      </c>
      <c r="M201" s="1129">
        <f t="shared" ref="M201:Y212" si="50">VLOOKUP($B201,$B$7:$AC$28,M$37+1,FALSE)</f>
        <v>4.0325018858098245</v>
      </c>
      <c r="N201" s="1130">
        <f t="shared" si="50"/>
        <v>0.5805147103617575</v>
      </c>
      <c r="O201" s="1131">
        <f t="shared" si="50"/>
        <v>8.4948466413752491E-2</v>
      </c>
      <c r="P201" s="104">
        <f t="shared" si="50"/>
        <v>0.6264024463118032</v>
      </c>
      <c r="Q201" s="1130">
        <f t="shared" si="50"/>
        <v>0.51826084585195908</v>
      </c>
      <c r="R201" s="1131">
        <f t="shared" si="50"/>
        <v>0.40005999871326348</v>
      </c>
      <c r="S201" s="1132">
        <f t="shared" si="50"/>
        <v>0.58973938770950263</v>
      </c>
      <c r="T201" s="1130">
        <f t="shared" si="50"/>
        <v>0.5495689942142129</v>
      </c>
      <c r="U201" s="1131">
        <f t="shared" si="50"/>
        <v>0.40637993517884302</v>
      </c>
      <c r="V201" s="1132">
        <f t="shared" si="50"/>
        <v>0.63323863537070213</v>
      </c>
      <c r="W201" s="1124">
        <f t="shared" si="50"/>
        <v>3.1308148362253818E-2</v>
      </c>
      <c r="X201" s="1124">
        <f t="shared" si="50"/>
        <v>6.0410020577161203E-2</v>
      </c>
      <c r="Y201" s="1133" t="str">
        <f t="shared" si="50"/>
        <v>BBB-</v>
      </c>
      <c r="Z201" s="1134" t="str">
        <f t="shared" si="48"/>
        <v>=  ¯ =</v>
      </c>
      <c r="AA201" s="1128">
        <f t="shared" si="47"/>
        <v>2.643581803383519</v>
      </c>
      <c r="AB201" s="1135">
        <f t="shared" si="47"/>
        <v>2.8580691559688957E-2</v>
      </c>
      <c r="AC201" s="1129">
        <f t="shared" si="47"/>
        <v>2.5466878830879209</v>
      </c>
    </row>
    <row r="202" spans="1:29">
      <c r="A202" s="1155" t="s">
        <v>389</v>
      </c>
      <c r="B202" s="73" t="s">
        <v>278</v>
      </c>
      <c r="C202" s="1149">
        <f t="shared" si="49"/>
        <v>3544.0522571428578</v>
      </c>
      <c r="D202" s="1150">
        <f t="shared" si="49"/>
        <v>9.0807248780183369E-3</v>
      </c>
      <c r="E202" s="1124">
        <f t="shared" si="49"/>
        <v>-0.4675424361384804</v>
      </c>
      <c r="F202" s="1124">
        <f t="shared" si="49"/>
        <v>-0.36576685723284147</v>
      </c>
      <c r="G202" s="1125">
        <f t="shared" si="49"/>
        <v>2152.6311000000001</v>
      </c>
      <c r="H202" s="1126">
        <f t="shared" si="49"/>
        <v>5.9610558303255963E-3</v>
      </c>
      <c r="I202" s="1127">
        <f t="shared" si="49"/>
        <v>3.4941691326062152</v>
      </c>
      <c r="J202" s="1127">
        <f t="shared" si="49"/>
        <v>2.2961398399999999</v>
      </c>
      <c r="K202" s="1128">
        <f t="shared" si="49"/>
        <v>4.4503654862327</v>
      </c>
      <c r="L202" s="1124">
        <f t="shared" si="49"/>
        <v>-2.9835823683801648E-2</v>
      </c>
      <c r="M202" s="1129">
        <f t="shared" si="50"/>
        <v>4.0530525032062261</v>
      </c>
      <c r="N202" s="1130">
        <f t="shared" si="50"/>
        <v>0.60910298289809772</v>
      </c>
      <c r="O202" s="1131">
        <f t="shared" si="50"/>
        <v>-5.2071170724915891E-2</v>
      </c>
      <c r="P202" s="104">
        <f t="shared" si="50"/>
        <v>0.6207941242005639</v>
      </c>
      <c r="Q202" s="1130">
        <f t="shared" si="50"/>
        <v>0.49050145598877937</v>
      </c>
      <c r="R202" s="1131">
        <f t="shared" si="50"/>
        <v>0.42102559519407173</v>
      </c>
      <c r="S202" s="1132">
        <f t="shared" si="50"/>
        <v>0.61744816018521742</v>
      </c>
      <c r="T202" s="1130">
        <f t="shared" si="50"/>
        <v>0.49698573886957192</v>
      </c>
      <c r="U202" s="1131">
        <f t="shared" si="50"/>
        <v>0.41032171167013903</v>
      </c>
      <c r="V202" s="1132">
        <f t="shared" si="50"/>
        <v>0.62319136029119382</v>
      </c>
      <c r="W202" s="1124">
        <f t="shared" si="50"/>
        <v>6.4842828807925579E-3</v>
      </c>
      <c r="X202" s="1124">
        <f t="shared" si="50"/>
        <v>1.3219701596443154E-2</v>
      </c>
      <c r="Y202" s="1133" t="str">
        <f t="shared" si="50"/>
        <v>BBB</v>
      </c>
      <c r="Z202" s="1134" t="str">
        <f t="shared" si="48"/>
        <v>=  ¯ -</v>
      </c>
      <c r="AA202" s="1128">
        <f t="shared" si="47"/>
        <v>2.1902281092407181</v>
      </c>
      <c r="AB202" s="1135">
        <f t="shared" si="47"/>
        <v>0.36844726500440206</v>
      </c>
      <c r="AC202" s="1129">
        <f t="shared" si="47"/>
        <v>2.5252968522290931</v>
      </c>
    </row>
    <row r="203" spans="1:29">
      <c r="A203" s="1155" t="s">
        <v>378</v>
      </c>
      <c r="B203" s="73" t="s">
        <v>42</v>
      </c>
      <c r="C203" s="1149">
        <f t="shared" si="49"/>
        <v>2432.5463571428577</v>
      </c>
      <c r="D203" s="1150">
        <f t="shared" si="49"/>
        <v>6.2327761047315808E-3</v>
      </c>
      <c r="E203" s="1124">
        <f t="shared" si="49"/>
        <v>-3.2258071946582277E-2</v>
      </c>
      <c r="F203" s="1124">
        <f t="shared" si="49"/>
        <v>6.9517506959056674E-2</v>
      </c>
      <c r="G203" s="1125">
        <f t="shared" si="49"/>
        <v>2940.9023000000002</v>
      </c>
      <c r="H203" s="1126">
        <f t="shared" si="49"/>
        <v>8.143932697912316E-3</v>
      </c>
      <c r="I203" s="1127">
        <f t="shared" si="49"/>
        <v>1.2689619717468461</v>
      </c>
      <c r="J203" s="1127">
        <f t="shared" si="49"/>
        <v>1.312316956715752</v>
      </c>
      <c r="K203" s="1128">
        <f t="shared" si="49"/>
        <v>3.7488610975650749</v>
      </c>
      <c r="L203" s="1124">
        <f t="shared" si="49"/>
        <v>3.4291324439135469E-2</v>
      </c>
      <c r="M203" s="1129">
        <f t="shared" si="50"/>
        <v>3.7439277362047823</v>
      </c>
      <c r="N203" s="1130">
        <f t="shared" si="50"/>
        <v>0.56323171407839789</v>
      </c>
      <c r="O203" s="1131">
        <f t="shared" si="50"/>
        <v>-0.12023286586287618</v>
      </c>
      <c r="P203" s="104">
        <f t="shared" si="50"/>
        <v>0.53987730061349704</v>
      </c>
      <c r="Q203" s="1130">
        <f t="shared" si="50"/>
        <v>0.60887331285954671</v>
      </c>
      <c r="R203" s="1131">
        <f t="shared" si="50"/>
        <v>-0.37303497156800469</v>
      </c>
      <c r="S203" s="1132">
        <f t="shared" si="50"/>
        <v>0.37659759063604481</v>
      </c>
      <c r="T203" s="1130">
        <f t="shared" si="50"/>
        <v>0.63388271448107447</v>
      </c>
      <c r="U203" s="1131">
        <f t="shared" si="50"/>
        <v>-0.25869992498286548</v>
      </c>
      <c r="V203" s="1132">
        <f t="shared" si="50"/>
        <v>0.44527495080222473</v>
      </c>
      <c r="W203" s="1124">
        <f t="shared" si="50"/>
        <v>2.500940162152776E-2</v>
      </c>
      <c r="X203" s="1124">
        <f t="shared" si="50"/>
        <v>4.1074885519406669E-2</v>
      </c>
      <c r="Y203" s="1133" t="str">
        <f t="shared" si="50"/>
        <v>B-</v>
      </c>
      <c r="Z203" s="1134" t="str">
        <f t="shared" si="48"/>
        <v>=  =  -</v>
      </c>
      <c r="AA203" s="1128">
        <f t="shared" si="47"/>
        <v>2.172629043332774</v>
      </c>
      <c r="AB203" s="1135">
        <f t="shared" si="47"/>
        <v>-0.22035736928264804</v>
      </c>
      <c r="AC203" s="1129">
        <f t="shared" si="47"/>
        <v>1.5517268924243866</v>
      </c>
    </row>
    <row r="204" spans="1:29">
      <c r="A204" s="1155" t="s">
        <v>27</v>
      </c>
      <c r="B204" s="73" t="s">
        <v>54</v>
      </c>
      <c r="C204" s="1149">
        <f t="shared" si="49"/>
        <v>4745.1447857142857</v>
      </c>
      <c r="D204" s="1150">
        <f t="shared" si="49"/>
        <v>1.2158216408516635E-2</v>
      </c>
      <c r="E204" s="1124">
        <f t="shared" si="49"/>
        <v>-0.63447330491761056</v>
      </c>
      <c r="F204" s="1124">
        <f t="shared" si="49"/>
        <v>-0.53269772601197163</v>
      </c>
      <c r="G204" s="1125">
        <f t="shared" si="49"/>
        <v>2680.5724</v>
      </c>
      <c r="H204" s="1126">
        <f t="shared" si="49"/>
        <v>7.4230283738025878E-3</v>
      </c>
      <c r="I204" s="1127">
        <f t="shared" si="49"/>
        <v>1.3569881249181368</v>
      </c>
      <c r="J204" s="1127">
        <f t="shared" si="49"/>
        <v>1.0332545966156574</v>
      </c>
      <c r="K204" s="1128">
        <f t="shared" si="49"/>
        <v>6.4063105209788551</v>
      </c>
      <c r="L204" s="1124">
        <f t="shared" si="49"/>
        <v>-0.24924595564935845</v>
      </c>
      <c r="M204" s="1129">
        <f t="shared" si="50"/>
        <v>5.3369406950798908</v>
      </c>
      <c r="N204" s="1130">
        <f t="shared" si="50"/>
        <v>0.48460704112825509</v>
      </c>
      <c r="O204" s="1131">
        <f t="shared" si="50"/>
        <v>-0.18079580514885477</v>
      </c>
      <c r="P204" s="104">
        <f t="shared" si="50"/>
        <v>0.49497857034449522</v>
      </c>
      <c r="Q204" s="1130">
        <f t="shared" si="50"/>
        <v>0.56717095077467305</v>
      </c>
      <c r="R204" s="1131">
        <f t="shared" si="50"/>
        <v>0.64731222518720821</v>
      </c>
      <c r="S204" s="1132">
        <f t="shared" si="50"/>
        <v>0.74754623070756221</v>
      </c>
      <c r="T204" s="1130">
        <f t="shared" si="50"/>
        <v>0.5748403529709204</v>
      </c>
      <c r="U204" s="1131">
        <f t="shared" si="50"/>
        <v>0.5906099669472562</v>
      </c>
      <c r="V204" s="1132">
        <f t="shared" si="50"/>
        <v>0.7506672643344422</v>
      </c>
      <c r="W204" s="1124">
        <f t="shared" si="50"/>
        <v>7.6694021962473435E-3</v>
      </c>
      <c r="X204" s="1124">
        <f t="shared" si="50"/>
        <v>1.3522205581530675E-2</v>
      </c>
      <c r="Y204" s="1133" t="str">
        <f t="shared" si="50"/>
        <v>BBB-</v>
      </c>
      <c r="Z204" s="1134" t="str">
        <f t="shared" si="48"/>
        <v>¯  ¯ ¯</v>
      </c>
      <c r="AA204" s="1128">
        <f t="shared" si="47"/>
        <v>3.4278891827637503</v>
      </c>
      <c r="AB204" s="1135">
        <f t="shared" si="47"/>
        <v>0.24423537898737996</v>
      </c>
      <c r="AC204" s="1129">
        <f t="shared" si="47"/>
        <v>3.8230610288109381</v>
      </c>
    </row>
    <row r="205" spans="1:29">
      <c r="A205" s="1155" t="s">
        <v>506</v>
      </c>
      <c r="B205" s="73" t="s">
        <v>289</v>
      </c>
      <c r="C205" s="1149">
        <f t="shared" si="49"/>
        <v>4580.8423286191064</v>
      </c>
      <c r="D205" s="1150">
        <f t="shared" si="49"/>
        <v>1.1737233504933111E-2</v>
      </c>
      <c r="E205" s="1124">
        <f t="shared" si="49"/>
        <v>-0.49577837871365099</v>
      </c>
      <c r="F205" s="1124">
        <f t="shared" si="49"/>
        <v>-0.39400279980801206</v>
      </c>
      <c r="G205" s="1125">
        <f t="shared" si="49"/>
        <v>2322.4005110115481</v>
      </c>
      <c r="H205" s="1126">
        <f t="shared" si="49"/>
        <v>6.4311804779353665E-3</v>
      </c>
      <c r="I205" s="1127">
        <f t="shared" si="49"/>
        <v>1.4234279787340207</v>
      </c>
      <c r="J205" s="1127">
        <f t="shared" si="49"/>
        <v>0.8056764866383116</v>
      </c>
      <c r="K205" s="1128">
        <f t="shared" si="49"/>
        <v>4.3871958272574467</v>
      </c>
      <c r="L205" s="1124">
        <f t="shared" si="49"/>
        <v>-8.1025400882275472E-2</v>
      </c>
      <c r="M205" s="1129">
        <f t="shared" si="50"/>
        <v>3.4400754167452243</v>
      </c>
      <c r="N205" s="1130">
        <f t="shared" si="50"/>
        <v>0.42290073595624156</v>
      </c>
      <c r="O205" s="1131">
        <f t="shared" si="50"/>
        <v>-9.0086339251873371E-2</v>
      </c>
      <c r="P205" s="104">
        <f t="shared" si="50"/>
        <v>0.44946685046944856</v>
      </c>
      <c r="Q205" s="1130">
        <f t="shared" si="50"/>
        <v>0.16307046534988884</v>
      </c>
      <c r="R205" s="1131">
        <f t="shared" si="50"/>
        <v>1.3005419282788433</v>
      </c>
      <c r="S205" s="1132">
        <f t="shared" si="50"/>
        <v>0.30950096360373897</v>
      </c>
      <c r="T205" s="1130">
        <f t="shared" si="50"/>
        <v>0.18570292678335293</v>
      </c>
      <c r="U205" s="1131">
        <f t="shared" si="50"/>
        <v>1.251733079461073</v>
      </c>
      <c r="V205" s="1132">
        <f t="shared" si="50"/>
        <v>0.34197601038246805</v>
      </c>
      <c r="W205" s="1124">
        <f t="shared" si="50"/>
        <v>2.2632461433464091E-2</v>
      </c>
      <c r="X205" s="1124">
        <f t="shared" si="50"/>
        <v>0.13878945758144007</v>
      </c>
      <c r="Y205" s="1133" t="str">
        <f t="shared" si="50"/>
        <v>BBB</v>
      </c>
      <c r="Z205" s="1134" t="str">
        <f t="shared" si="48"/>
        <v>=  ¯ -</v>
      </c>
      <c r="AA205" s="1128">
        <f t="shared" si="47"/>
        <v>0.77886477042851432</v>
      </c>
      <c r="AB205" s="1135">
        <f t="shared" si="47"/>
        <v>1.0703005310133176</v>
      </c>
      <c r="AC205" s="1129">
        <f t="shared" si="47"/>
        <v>1.1762690733772538</v>
      </c>
    </row>
    <row r="206" spans="1:29">
      <c r="A206" s="1155" t="s">
        <v>503</v>
      </c>
      <c r="B206" s="73" t="s">
        <v>286</v>
      </c>
      <c r="C206" s="1149">
        <f t="shared" si="49"/>
        <v>15596.516285714286</v>
      </c>
      <c r="D206" s="1150">
        <f t="shared" si="49"/>
        <v>3.9962072557101963E-2</v>
      </c>
      <c r="E206" s="1124">
        <f t="shared" si="49"/>
        <v>-0.41209116095583281</v>
      </c>
      <c r="F206" s="1124">
        <f t="shared" si="49"/>
        <v>-0.31031558205019388</v>
      </c>
      <c r="G206" s="1125">
        <f t="shared" si="49"/>
        <v>10295.917100000001</v>
      </c>
      <c r="H206" s="1126">
        <f t="shared" si="49"/>
        <v>2.8511404790864545E-2</v>
      </c>
      <c r="I206" s="1127">
        <f t="shared" si="49"/>
        <v>0.58081043687158529</v>
      </c>
      <c r="J206" s="1127">
        <f t="shared" si="49"/>
        <v>0.5027794267018264</v>
      </c>
      <c r="K206" s="1128">
        <f t="shared" si="49"/>
        <v>4.5606838408134944</v>
      </c>
      <c r="L206" s="1124">
        <f t="shared" si="49"/>
        <v>-0.18379111287045302</v>
      </c>
      <c r="M206" s="1129">
        <f t="shared" si="50"/>
        <v>4.0606354500113753</v>
      </c>
      <c r="N206" s="1130">
        <f t="shared" si="50"/>
        <v>0.34534166666666666</v>
      </c>
      <c r="O206" s="1131">
        <f t="shared" si="50"/>
        <v>-5.4500069338510607E-2</v>
      </c>
      <c r="P206" s="104">
        <f t="shared" si="50"/>
        <v>0.3626280111015483</v>
      </c>
      <c r="Q206" s="1130">
        <f t="shared" si="50"/>
        <v>0.67997702229572432</v>
      </c>
      <c r="R206" s="1131">
        <f t="shared" si="50"/>
        <v>0.10658020511075152</v>
      </c>
      <c r="S206" s="1132">
        <f t="shared" si="50"/>
        <v>0.75270955685414354</v>
      </c>
      <c r="T206" s="1130">
        <f t="shared" si="50"/>
        <v>0.68457317243488636</v>
      </c>
      <c r="U206" s="1131">
        <f t="shared" si="50"/>
        <v>0.10522314957078965</v>
      </c>
      <c r="V206" s="1132">
        <f t="shared" si="50"/>
        <v>0.75672107111582532</v>
      </c>
      <c r="W206" s="1124">
        <f t="shared" si="50"/>
        <v>4.5961501391620363E-3</v>
      </c>
      <c r="X206" s="1124">
        <f t="shared" si="50"/>
        <v>6.7592727231349809E-3</v>
      </c>
      <c r="Y206" s="1133" t="str">
        <f t="shared" si="50"/>
        <v>BBB-</v>
      </c>
      <c r="Z206" s="1134" t="str">
        <f t="shared" si="48"/>
        <v>=  ¯ ¯</v>
      </c>
      <c r="AA206" s="1128">
        <f t="shared" si="47"/>
        <v>2.9152503149286035</v>
      </c>
      <c r="AB206" s="1135">
        <f t="shared" si="47"/>
        <v>-0.14664752669478531</v>
      </c>
      <c r="AC206" s="1129">
        <f t="shared" si="47"/>
        <v>2.8370691340232916</v>
      </c>
    </row>
    <row r="207" spans="1:29">
      <c r="A207" s="1156" t="s">
        <v>323</v>
      </c>
      <c r="B207" s="726" t="s">
        <v>772</v>
      </c>
      <c r="C207" s="1151">
        <f t="shared" si="49"/>
        <v>7616.907214285714</v>
      </c>
      <c r="D207" s="1152">
        <f t="shared" si="49"/>
        <v>1.9516371039653539E-2</v>
      </c>
      <c r="E207" s="1136">
        <f t="shared" si="49"/>
        <v>-0.33365525120929096</v>
      </c>
      <c r="F207" s="1136">
        <f t="shared" si="49"/>
        <v>-0.23187967230365203</v>
      </c>
      <c r="G207" s="1137">
        <f t="shared" si="49"/>
        <v>5825.8631999999998</v>
      </c>
      <c r="H207" s="1138">
        <f t="shared" si="49"/>
        <v>1.6132952736323161E-2</v>
      </c>
      <c r="I207" s="1139">
        <f t="shared" si="49"/>
        <v>2.4107651340270966</v>
      </c>
      <c r="J207" s="1139">
        <f t="shared" si="49"/>
        <v>2.0327505931612002</v>
      </c>
      <c r="K207" s="1140">
        <f t="shared" si="49"/>
        <v>4.8426442674927213</v>
      </c>
      <c r="L207" s="1136">
        <f t="shared" si="49"/>
        <v>0.1951757211867983</v>
      </c>
      <c r="M207" s="1141">
        <f t="shared" si="50"/>
        <v>4.6619962755533297</v>
      </c>
      <c r="N207" s="1142">
        <f t="shared" si="50"/>
        <v>0.37158673775730477</v>
      </c>
      <c r="O207" s="1143">
        <f t="shared" si="50"/>
        <v>-0.1153634304384116</v>
      </c>
      <c r="P207" s="1077">
        <f t="shared" si="50"/>
        <v>0.36037883142173305</v>
      </c>
      <c r="Q207" s="1142">
        <f t="shared" si="50"/>
        <v>0.17383796150947908</v>
      </c>
      <c r="R207" s="1143">
        <f t="shared" si="50"/>
        <v>0.54445307336528614</v>
      </c>
      <c r="S207" s="1144">
        <f t="shared" si="50"/>
        <v>0.26356163003804695</v>
      </c>
      <c r="T207" s="1142">
        <f t="shared" si="50"/>
        <v>0.19702478682132593</v>
      </c>
      <c r="U207" s="1143">
        <f t="shared" si="50"/>
        <v>0.50034734616182497</v>
      </c>
      <c r="V207" s="1144">
        <f t="shared" si="50"/>
        <v>0.28756363720088318</v>
      </c>
      <c r="W207" s="1136">
        <f t="shared" si="50"/>
        <v>2.3186825311846848E-2</v>
      </c>
      <c r="X207" s="1136">
        <f t="shared" si="50"/>
        <v>0.13338182932260462</v>
      </c>
      <c r="Y207" s="1145" t="str">
        <f t="shared" si="50"/>
        <v>A</v>
      </c>
      <c r="Z207" s="1146" t="str">
        <f t="shared" si="48"/>
        <v>=  =  -</v>
      </c>
      <c r="AA207" s="1140">
        <f t="shared" si="47"/>
        <v>0.93248540191552354</v>
      </c>
      <c r="AB207" s="1147">
        <f t="shared" si="47"/>
        <v>0.78949919521054279</v>
      </c>
      <c r="AC207" s="1141">
        <f t="shared" si="47"/>
        <v>1.3109622071604587</v>
      </c>
    </row>
    <row r="208" spans="1:29">
      <c r="A208" s="1155" t="s">
        <v>19</v>
      </c>
      <c r="B208" s="73" t="s">
        <v>287</v>
      </c>
      <c r="C208" s="1149">
        <f t="shared" si="49"/>
        <v>6002.7646707914537</v>
      </c>
      <c r="D208" s="1150">
        <f t="shared" si="49"/>
        <v>1.538054479108892E-2</v>
      </c>
      <c r="E208" s="1124">
        <f t="shared" si="49"/>
        <v>1.7468659495150733</v>
      </c>
      <c r="F208" s="1124">
        <f t="shared" si="49"/>
        <v>1.8486415284207123</v>
      </c>
      <c r="G208" s="1125">
        <f t="shared" si="49"/>
        <v>9571.524995540176</v>
      </c>
      <c r="H208" s="1126">
        <f t="shared" si="49"/>
        <v>2.6505421611613778E-2</v>
      </c>
      <c r="I208" s="1127">
        <f t="shared" si="49"/>
        <v>4.1497848696984878</v>
      </c>
      <c r="J208" s="1127">
        <f t="shared" si="49"/>
        <v>5.1075046454025781</v>
      </c>
      <c r="K208" s="1128">
        <f t="shared" si="49"/>
        <v>7.8889454092528393</v>
      </c>
      <c r="L208" s="1124">
        <f t="shared" si="49"/>
        <v>0.8464659845431286</v>
      </c>
      <c r="M208" s="1129">
        <f t="shared" si="50"/>
        <v>9.6719476082953495</v>
      </c>
      <c r="N208" s="1130">
        <f t="shared" si="50"/>
        <v>9.1630231095150338E-2</v>
      </c>
      <c r="O208" s="1148" t="str">
        <f t="shared" si="50"/>
        <v>¥</v>
      </c>
      <c r="P208" s="104">
        <f t="shared" si="50"/>
        <v>0.34976819018989347</v>
      </c>
      <c r="Q208" s="1130">
        <f t="shared" si="50"/>
        <v>0.13477545507373562</v>
      </c>
      <c r="R208" s="1131">
        <f t="shared" si="50"/>
        <v>-0.4264373226073967</v>
      </c>
      <c r="S208" s="1132">
        <f t="shared" si="50"/>
        <v>9.7905485588969735E-2</v>
      </c>
      <c r="T208" s="1130">
        <f t="shared" si="50"/>
        <v>0.16024846762312819</v>
      </c>
      <c r="U208" s="1131">
        <f t="shared" si="50"/>
        <v>-0.25253039609468159</v>
      </c>
      <c r="V208" s="1132">
        <f t="shared" si="50"/>
        <v>0.12849893093161849</v>
      </c>
      <c r="W208" s="1124">
        <f t="shared" si="50"/>
        <v>2.5473012549392576E-2</v>
      </c>
      <c r="X208" s="1124">
        <f t="shared" si="50"/>
        <v>0.18900335031669008</v>
      </c>
      <c r="Y208" s="1133" t="str">
        <f t="shared" si="50"/>
        <v>Not rated</v>
      </c>
      <c r="Z208" s="1134"/>
      <c r="AA208" s="1128">
        <f t="shared" si="47"/>
        <v>1.265551414722516</v>
      </c>
      <c r="AB208" s="1135">
        <f t="shared" si="47"/>
        <v>0.38040351489576829</v>
      </c>
      <c r="AC208" s="1129">
        <f t="shared" si="47"/>
        <v>1.242834927692577</v>
      </c>
    </row>
    <row r="209" spans="1:29">
      <c r="A209" s="1155" t="s">
        <v>508</v>
      </c>
      <c r="B209" s="73" t="s">
        <v>290</v>
      </c>
      <c r="C209" s="1149">
        <f t="shared" si="49"/>
        <v>16250.837973523972</v>
      </c>
      <c r="D209" s="1150">
        <f t="shared" si="49"/>
        <v>4.1638604052015776E-2</v>
      </c>
      <c r="E209" s="1124">
        <f t="shared" si="49"/>
        <v>0.20894195471198634</v>
      </c>
      <c r="F209" s="1124">
        <f t="shared" si="49"/>
        <v>0.31071753361762527</v>
      </c>
      <c r="G209" s="1125">
        <f t="shared" si="49"/>
        <v>17428.290742138299</v>
      </c>
      <c r="H209" s="1126">
        <f t="shared" si="49"/>
        <v>4.826234004564605E-2</v>
      </c>
      <c r="I209" s="1127">
        <f t="shared" si="49"/>
        <v>4.0995220850209826</v>
      </c>
      <c r="J209" s="1127">
        <f t="shared" si="49"/>
        <v>4.5731712273212377</v>
      </c>
      <c r="K209" s="1128">
        <f t="shared" si="49"/>
        <v>6.7995363362554677</v>
      </c>
      <c r="L209" s="1124">
        <f t="shared" si="49"/>
        <v>0.2149868566781509</v>
      </c>
      <c r="M209" s="1129">
        <f t="shared" si="50"/>
        <v>7.5822149145373468</v>
      </c>
      <c r="N209" s="1130">
        <f t="shared" si="50"/>
        <v>0.32615050588405037</v>
      </c>
      <c r="O209" s="1131">
        <f t="shared" si="50"/>
        <v>-8.7660674172335792E-2</v>
      </c>
      <c r="P209" s="104">
        <f t="shared" si="50"/>
        <v>0.30985103942866765</v>
      </c>
      <c r="Q209" s="1130">
        <f t="shared" si="50"/>
        <v>0.30558583418722468</v>
      </c>
      <c r="R209" s="1131">
        <f t="shared" si="50"/>
        <v>-0.13620468181810452</v>
      </c>
      <c r="S209" s="1132">
        <f t="shared" si="50"/>
        <v>0.29018390059321952</v>
      </c>
      <c r="T209" s="1130">
        <f t="shared" si="50"/>
        <v>0.31922230141848357</v>
      </c>
      <c r="U209" s="1131">
        <f t="shared" si="50"/>
        <v>-0.13496032758973828</v>
      </c>
      <c r="V209" s="1132">
        <f t="shared" si="50"/>
        <v>0.30362227391248225</v>
      </c>
      <c r="W209" s="1124">
        <f t="shared" si="50"/>
        <v>1.3636467231258886E-2</v>
      </c>
      <c r="X209" s="1124">
        <f t="shared" si="50"/>
        <v>4.4624016252350789E-2</v>
      </c>
      <c r="Y209" s="1133" t="str">
        <f t="shared" si="50"/>
        <v>A</v>
      </c>
      <c r="Z209" s="1134" t="str">
        <f>VLOOKUP($B209,$B$7:$AC$28,Z$37+1,FALSE)</f>
        <v>=  =  -</v>
      </c>
      <c r="AA209" s="1128">
        <f t="shared" si="47"/>
        <v>2.1579177629636748</v>
      </c>
      <c r="AB209" s="1135">
        <f t="shared" si="47"/>
        <v>6.0078851309961184E-2</v>
      </c>
      <c r="AC209" s="1129">
        <f t="shared" si="47"/>
        <v>2.3009327536910358</v>
      </c>
    </row>
    <row r="210" spans="1:29">
      <c r="A210" s="1155" t="s">
        <v>545</v>
      </c>
      <c r="B210" s="73" t="s">
        <v>39</v>
      </c>
      <c r="C210" s="1149">
        <f t="shared" si="49"/>
        <v>5059.5155870714543</v>
      </c>
      <c r="D210" s="1150">
        <f t="shared" si="49"/>
        <v>1.2963710952524294E-2</v>
      </c>
      <c r="E210" s="1124">
        <f t="shared" si="49"/>
        <v>-0.13366823909704381</v>
      </c>
      <c r="F210" s="1124">
        <f t="shared" si="49"/>
        <v>-3.1892660191404867E-2</v>
      </c>
      <c r="G210" s="1125">
        <f t="shared" si="49"/>
        <v>5057.8123335929276</v>
      </c>
      <c r="H210" s="1126">
        <f t="shared" si="49"/>
        <v>1.4006069920599414E-2</v>
      </c>
      <c r="I210" s="1127">
        <f t="shared" si="49"/>
        <v>1.6858649053444912</v>
      </c>
      <c r="J210" s="1127">
        <f t="shared" si="49"/>
        <v>1.7703056194544857</v>
      </c>
      <c r="K210" s="1128">
        <f t="shared" si="49"/>
        <v>5.8927844479191869</v>
      </c>
      <c r="L210" s="1124">
        <f t="shared" si="49"/>
        <v>-0.19036897853308513</v>
      </c>
      <c r="M210" s="1129">
        <f t="shared" si="50"/>
        <v>5.9052222685092017</v>
      </c>
      <c r="N210" s="1130">
        <f t="shared" si="50"/>
        <v>0.31054928118178421</v>
      </c>
      <c r="O210" s="1131">
        <f t="shared" si="50"/>
        <v>-0.11491916916279199</v>
      </c>
      <c r="P210" s="104">
        <f t="shared" si="50"/>
        <v>0.28165979767703259</v>
      </c>
      <c r="Q210" s="1130">
        <f t="shared" si="50"/>
        <v>0.3899242463002407</v>
      </c>
      <c r="R210" s="1131">
        <f t="shared" si="50"/>
        <v>-0.1197676600756727</v>
      </c>
      <c r="S210" s="1132">
        <f t="shared" si="50"/>
        <v>0.37944762378701169</v>
      </c>
      <c r="T210" s="1130">
        <f t="shared" si="50"/>
        <v>0.45093517146474416</v>
      </c>
      <c r="U210" s="1131">
        <f t="shared" si="50"/>
        <v>-8.3572610535330494E-2</v>
      </c>
      <c r="V210" s="1132">
        <f t="shared" si="50"/>
        <v>0.43916945384982109</v>
      </c>
      <c r="W210" s="1124">
        <f t="shared" si="50"/>
        <v>6.101092516450346E-2</v>
      </c>
      <c r="X210" s="1124">
        <f t="shared" si="50"/>
        <v>0.15646866216553562</v>
      </c>
      <c r="Y210" s="1133" t="str">
        <f t="shared" si="50"/>
        <v>BBB</v>
      </c>
      <c r="Z210" s="1134" t="str">
        <f>VLOOKUP($B210,$B$7:$AC$28,Z$37+1,FALSE)</f>
        <v>­  = =</v>
      </c>
      <c r="AA210" s="1128">
        <f t="shared" si="47"/>
        <v>2.6587814840492587</v>
      </c>
      <c r="AB210" s="1135">
        <f t="shared" si="47"/>
        <v>-0.25803195656746131</v>
      </c>
      <c r="AC210" s="1129">
        <f t="shared" si="47"/>
        <v>2.5933932385229874</v>
      </c>
    </row>
    <row r="211" spans="1:29">
      <c r="A211" s="1156" t="s">
        <v>323</v>
      </c>
      <c r="B211" s="726" t="s">
        <v>774</v>
      </c>
      <c r="C211" s="1151">
        <f t="shared" si="49"/>
        <v>3541.6238999999996</v>
      </c>
      <c r="D211" s="1152">
        <f t="shared" si="49"/>
        <v>9.0745028357006995E-3</v>
      </c>
      <c r="E211" s="1136">
        <f t="shared" si="49"/>
        <v>0.67327297771392325</v>
      </c>
      <c r="F211" s="1136">
        <f t="shared" si="49"/>
        <v>0.77504855661956218</v>
      </c>
      <c r="G211" s="1137">
        <f t="shared" si="49"/>
        <v>4048.9897999999998</v>
      </c>
      <c r="H211" s="1138">
        <f t="shared" si="49"/>
        <v>1.1212443346293226E-2</v>
      </c>
      <c r="I211" s="1139">
        <f t="shared" si="49"/>
        <v>-1.4186196832586249</v>
      </c>
      <c r="J211" s="1139">
        <f t="shared" si="49"/>
        <v>-2.7147098893731143</v>
      </c>
      <c r="K211" s="1140">
        <f t="shared" si="49"/>
        <v>8.6861758729657641</v>
      </c>
      <c r="L211" s="1136">
        <f t="shared" si="49"/>
        <v>0.26215680659638446</v>
      </c>
      <c r="M211" s="1141">
        <f t="shared" si="50"/>
        <v>9.0506669895995948</v>
      </c>
      <c r="N211" s="1142">
        <f t="shared" si="50"/>
        <v>6.4385445236561381E-2</v>
      </c>
      <c r="O211" s="1143">
        <f t="shared" si="50"/>
        <v>14.697799124913645</v>
      </c>
      <c r="P211" s="1077">
        <f t="shared" si="50"/>
        <v>0.15462918080465343</v>
      </c>
      <c r="Q211" s="1142">
        <f t="shared" si="50"/>
        <v>0.42399287000325037</v>
      </c>
      <c r="R211" s="1143">
        <f t="shared" si="50"/>
        <v>4.5742782667206161E-2</v>
      </c>
      <c r="S211" s="1144">
        <f t="shared" si="50"/>
        <v>0.48144640266975475</v>
      </c>
      <c r="T211" s="1142">
        <f t="shared" si="50"/>
        <v>0.42695023434228802</v>
      </c>
      <c r="U211" s="1143">
        <f t="shared" si="50"/>
        <v>4.1366838913311048E-2</v>
      </c>
      <c r="V211" s="1144">
        <f t="shared" si="50"/>
        <v>0.4832654138496531</v>
      </c>
      <c r="W211" s="1136">
        <f t="shared" si="50"/>
        <v>2.9573643390376492E-3</v>
      </c>
      <c r="X211" s="1136">
        <f t="shared" si="50"/>
        <v>6.9750331863245195E-3</v>
      </c>
      <c r="Y211" s="1145" t="str">
        <f t="shared" si="50"/>
        <v>B+</v>
      </c>
      <c r="Z211" s="1146" t="str">
        <f>VLOOKUP($B211,$B$7:$AC$28,Z$37+1,FALSE)</f>
        <v>=  =  =</v>
      </c>
      <c r="AA211" s="1140">
        <f t="shared" si="47"/>
        <v>3.7014756930154613</v>
      </c>
      <c r="AB211" s="1147">
        <f t="shared" si="47"/>
        <v>0.31334582285320112</v>
      </c>
      <c r="AC211" s="1141">
        <f t="shared" si="47"/>
        <v>4.3704719780651446</v>
      </c>
    </row>
    <row r="212" spans="1:29">
      <c r="A212" s="1155" t="s">
        <v>32</v>
      </c>
      <c r="B212" s="73" t="s">
        <v>50</v>
      </c>
      <c r="C212" s="1149">
        <f t="shared" si="49"/>
        <v>19515.355899391296</v>
      </c>
      <c r="D212" s="1150">
        <f t="shared" si="49"/>
        <v>5.0003093905237848E-2</v>
      </c>
      <c r="E212" s="1124">
        <f t="shared" si="49"/>
        <v>1.1994936816856254</v>
      </c>
      <c r="F212" s="1124">
        <f t="shared" si="49"/>
        <v>1.3012692605912644</v>
      </c>
      <c r="G212" s="1125">
        <f t="shared" si="49"/>
        <v>28491.576306321644</v>
      </c>
      <c r="H212" s="1126">
        <f t="shared" si="49"/>
        <v>7.8898737947233621E-2</v>
      </c>
      <c r="I212" s="1127">
        <f t="shared" si="49"/>
        <v>-0.89894076859195104</v>
      </c>
      <c r="J212" s="1127">
        <f t="shared" si="49"/>
        <v>39.625784878048783</v>
      </c>
      <c r="K212" s="1128">
        <f t="shared" si="49"/>
        <v>4.6985221679038922</v>
      </c>
      <c r="L212" s="1124">
        <f t="shared" si="49"/>
        <v>0.4140020451008824</v>
      </c>
      <c r="M212" s="1129">
        <f t="shared" si="50"/>
        <v>5.7096258695546744</v>
      </c>
      <c r="N212" s="1124">
        <f t="shared" si="50"/>
        <v>0</v>
      </c>
      <c r="O212" s="1131">
        <f t="shared" si="50"/>
        <v>0</v>
      </c>
      <c r="P212" s="104">
        <f t="shared" si="50"/>
        <v>0</v>
      </c>
      <c r="Q212" s="1130">
        <f t="shared" si="50"/>
        <v>0.37025195227815472</v>
      </c>
      <c r="R212" s="1131">
        <f t="shared" si="50"/>
        <v>-0.46222821771061889</v>
      </c>
      <c r="S212" s="1132">
        <f t="shared" si="50"/>
        <v>0.26403640782716253</v>
      </c>
      <c r="T212" s="1130">
        <f t="shared" si="50"/>
        <v>0.48927059752514818</v>
      </c>
      <c r="U212" s="1131">
        <f t="shared" si="50"/>
        <v>-0.38189416595312975</v>
      </c>
      <c r="V212" s="1132">
        <f t="shared" si="50"/>
        <v>0.37414035756341019</v>
      </c>
      <c r="W212" s="1124">
        <f t="shared" si="50"/>
        <v>0.11901864524699346</v>
      </c>
      <c r="X212" s="1124">
        <f t="shared" si="50"/>
        <v>0.32145312000294263</v>
      </c>
      <c r="Y212" s="1133" t="str">
        <f t="shared" si="50"/>
        <v>BBB</v>
      </c>
      <c r="Z212" s="1134" t="str">
        <f>VLOOKUP($B212,$B$7:$AC$28,Z$37+1,FALSE)</f>
        <v xml:space="preserve">=  -  = </v>
      </c>
      <c r="AA212" s="1128">
        <f t="shared" si="47"/>
        <v>2.2664974928712622</v>
      </c>
      <c r="AB212" s="1135">
        <f t="shared" si="47"/>
        <v>-0.12537902502142731</v>
      </c>
      <c r="AC212" s="1129">
        <f t="shared" si="47"/>
        <v>2.136201464388483</v>
      </c>
    </row>
    <row r="213" spans="1:29">
      <c r="M213" s="1153"/>
    </row>
    <row r="214" spans="1:29">
      <c r="M214" s="1153"/>
    </row>
    <row r="215" spans="1:29">
      <c r="A215" s="1252" t="s">
        <v>1077</v>
      </c>
      <c r="B215" s="1123" t="s">
        <v>1075</v>
      </c>
      <c r="C215" s="1068"/>
      <c r="E215" s="1068"/>
      <c r="F215" s="1068"/>
      <c r="G215" s="1068"/>
      <c r="K215" s="1068"/>
      <c r="L215" s="1068"/>
      <c r="M215" s="1153"/>
      <c r="N215" s="1068"/>
      <c r="O215" s="1068"/>
      <c r="P215" s="1068"/>
      <c r="T215" s="1068"/>
      <c r="U215" s="1068"/>
      <c r="V215" s="1068"/>
      <c r="Y215" s="1068"/>
      <c r="Z215" s="1068"/>
      <c r="AA215" s="1068"/>
      <c r="AB215" s="1068"/>
      <c r="AC215" s="1068"/>
    </row>
    <row r="216" spans="1:29">
      <c r="A216" s="1155" t="s">
        <v>32</v>
      </c>
      <c r="B216" s="73" t="s">
        <v>279</v>
      </c>
      <c r="C216" s="1149">
        <f t="shared" ref="C216:L224" si="51">VLOOKUP($B216,$B$7:$AC$28,C$37+1,FALSE)</f>
        <v>103061.53572524291</v>
      </c>
      <c r="D216" s="1150">
        <f t="shared" si="51"/>
        <v>0.26406875054982143</v>
      </c>
      <c r="E216" s="1124">
        <f t="shared" si="51"/>
        <v>7.5306160052783275E-2</v>
      </c>
      <c r="F216" s="1124">
        <f t="shared" si="51"/>
        <v>0.17708173895842222</v>
      </c>
      <c r="G216" s="1125">
        <f t="shared" si="51"/>
        <v>106720.85775234729</v>
      </c>
      <c r="H216" s="1126">
        <f t="shared" si="51"/>
        <v>0.29553089301830604</v>
      </c>
      <c r="I216" s="1127">
        <f t="shared" si="51"/>
        <v>1.0837821931217524</v>
      </c>
      <c r="J216" s="1127">
        <f t="shared" si="51"/>
        <v>1.259272460269286</v>
      </c>
      <c r="K216" s="1128">
        <f t="shared" si="51"/>
        <v>7.5360879751187033</v>
      </c>
      <c r="L216" s="1124">
        <f t="shared" si="51"/>
        <v>0.12910548637067604</v>
      </c>
      <c r="M216" s="1129">
        <f t="shared" ref="M216:V224" si="52">VLOOKUP($B216,$B$7:$AC$28,M$37+1,FALSE)</f>
        <v>8.6584668441025876</v>
      </c>
      <c r="N216" s="1130">
        <f t="shared" si="52"/>
        <v>0.91487499999999988</v>
      </c>
      <c r="O216" s="1131">
        <f t="shared" si="52"/>
        <v>-4.3736501079913587E-2</v>
      </c>
      <c r="P216" s="1132">
        <f t="shared" si="52"/>
        <v>0.89481420237931208</v>
      </c>
      <c r="Q216" s="103">
        <f t="shared" si="52"/>
        <v>0.24509229252810941</v>
      </c>
      <c r="R216" s="1131">
        <f t="shared" si="52"/>
        <v>-0.16501821733667812</v>
      </c>
      <c r="S216" s="1132">
        <f t="shared" si="52"/>
        <v>0.23828807339295358</v>
      </c>
      <c r="T216" s="1130">
        <f t="shared" si="52"/>
        <v>0.27870192226407053</v>
      </c>
      <c r="U216" s="1131">
        <f t="shared" si="52"/>
        <v>-0.14309331637647091</v>
      </c>
      <c r="V216" s="1132">
        <f t="shared" si="52"/>
        <v>0.2718321660431175</v>
      </c>
      <c r="W216" s="1124">
        <f t="shared" ref="W216:AC224" si="53">VLOOKUP($B216,$B$7:$AC$28,W$37+1,FALSE)</f>
        <v>3.3609629735961127E-2</v>
      </c>
      <c r="X216" s="1124">
        <f t="shared" si="53"/>
        <v>0.13713050455108242</v>
      </c>
      <c r="Y216" s="1133" t="str">
        <f t="shared" si="53"/>
        <v>A-</v>
      </c>
      <c r="Z216" s="1134" t="str">
        <f t="shared" si="53"/>
        <v>=  =  =</v>
      </c>
      <c r="AA216" s="1128">
        <f t="shared" si="53"/>
        <v>2.0880314655341889</v>
      </c>
      <c r="AB216" s="1135">
        <f t="shared" si="53"/>
        <v>-3.7762767487534328E-2</v>
      </c>
      <c r="AC216" s="1129">
        <f t="shared" si="53"/>
        <v>2.3348198024327131</v>
      </c>
    </row>
    <row r="217" spans="1:29">
      <c r="A217" s="1155" t="s">
        <v>219</v>
      </c>
      <c r="B217" s="73" t="s">
        <v>53</v>
      </c>
      <c r="C217" s="1149">
        <f t="shared" si="51"/>
        <v>60036.853628571422</v>
      </c>
      <c r="D217" s="1150">
        <f t="shared" si="51"/>
        <v>0.15382903828354536</v>
      </c>
      <c r="E217" s="1124">
        <f t="shared" si="51"/>
        <v>-0.3618479655094986</v>
      </c>
      <c r="F217" s="1124">
        <f t="shared" si="51"/>
        <v>-0.26007238660385967</v>
      </c>
      <c r="G217" s="1125">
        <f t="shared" si="51"/>
        <v>44430.485000000001</v>
      </c>
      <c r="H217" s="1126">
        <f t="shared" si="51"/>
        <v>0.1230366882897139</v>
      </c>
      <c r="I217" s="1127">
        <f t="shared" si="51"/>
        <v>2.2644833808097031</v>
      </c>
      <c r="J217" s="1127">
        <f t="shared" si="51"/>
        <v>1.7716210773954304</v>
      </c>
      <c r="K217" s="1128">
        <f t="shared" si="51"/>
        <v>5.6943354572509941</v>
      </c>
      <c r="L217" s="1124">
        <f t="shared" si="51"/>
        <v>-7.3155042359885195E-2</v>
      </c>
      <c r="M217" s="1129">
        <f t="shared" si="52"/>
        <v>5.1937231412225326</v>
      </c>
      <c r="N217" s="1130">
        <f t="shared" si="52"/>
        <v>0.6158872479982318</v>
      </c>
      <c r="O217" s="1131">
        <f t="shared" si="52"/>
        <v>0.11044311863454735</v>
      </c>
      <c r="P217" s="1132">
        <f t="shared" si="52"/>
        <v>0.66127040038880336</v>
      </c>
      <c r="Q217" s="103">
        <f t="shared" si="52"/>
        <v>0.48384306036910518</v>
      </c>
      <c r="R217" s="1131">
        <f t="shared" si="52"/>
        <v>0.2595878527386451</v>
      </c>
      <c r="S217" s="1132">
        <f t="shared" si="52"/>
        <v>0.54381370963962039</v>
      </c>
      <c r="T217" s="1130">
        <f t="shared" si="52"/>
        <v>0.51513010935716153</v>
      </c>
      <c r="U217" s="1131">
        <f t="shared" si="52"/>
        <v>0.26130995158024306</v>
      </c>
      <c r="V217" s="1132">
        <f t="shared" si="52"/>
        <v>0.57929804018594233</v>
      </c>
      <c r="W217" s="1124">
        <f t="shared" si="53"/>
        <v>3.1287048988056343E-2</v>
      </c>
      <c r="X217" s="1124">
        <f t="shared" si="53"/>
        <v>6.4663630732222685E-2</v>
      </c>
      <c r="Y217" s="1133" t="str">
        <f t="shared" si="53"/>
        <v>BBB</v>
      </c>
      <c r="Z217" s="1134" t="str">
        <f t="shared" si="53"/>
        <v>¯  ¯ ¯</v>
      </c>
      <c r="AA217" s="1128">
        <f t="shared" si="53"/>
        <v>2.7929780820851775</v>
      </c>
      <c r="AB217" s="1135">
        <f t="shared" si="53"/>
        <v>0.12404595260605845</v>
      </c>
      <c r="AC217" s="1129">
        <f t="shared" si="53"/>
        <v>2.8353348809740444</v>
      </c>
    </row>
    <row r="218" spans="1:29">
      <c r="A218" s="1155" t="s">
        <v>502</v>
      </c>
      <c r="B218" s="73" t="s">
        <v>52</v>
      </c>
      <c r="C218" s="1149">
        <f t="shared" si="51"/>
        <v>40464.923042857146</v>
      </c>
      <c r="D218" s="1150">
        <f t="shared" si="51"/>
        <v>0.1036809862557167</v>
      </c>
      <c r="E218" s="1124">
        <f t="shared" si="51"/>
        <v>-6.1458653761923776E-2</v>
      </c>
      <c r="F218" s="1124">
        <f t="shared" si="51"/>
        <v>4.0316925143715168E-2</v>
      </c>
      <c r="G218" s="1125">
        <f t="shared" si="51"/>
        <v>39791.94</v>
      </c>
      <c r="H218" s="1126">
        <f t="shared" si="51"/>
        <v>0.1101916514803518</v>
      </c>
      <c r="I218" s="1127">
        <f t="shared" si="51"/>
        <v>1.0840589348936991</v>
      </c>
      <c r="J218" s="1127">
        <f t="shared" si="51"/>
        <v>1.2733420800000002</v>
      </c>
      <c r="K218" s="1128">
        <f t="shared" si="51"/>
        <v>4.9905713850513198</v>
      </c>
      <c r="L218" s="1124">
        <f t="shared" si="51"/>
        <v>0.1448238320606966</v>
      </c>
      <c r="M218" s="1129">
        <f t="shared" si="52"/>
        <v>5.2964626193065953</v>
      </c>
      <c r="N218" s="1130">
        <f t="shared" si="52"/>
        <v>0.61</v>
      </c>
      <c r="O218" s="1131">
        <f t="shared" si="52"/>
        <v>0</v>
      </c>
      <c r="P218" s="1132">
        <f t="shared" si="52"/>
        <v>0.62983042679437373</v>
      </c>
      <c r="Q218" s="103">
        <f t="shared" si="52"/>
        <v>0.51528895508035288</v>
      </c>
      <c r="R218" s="1131">
        <f t="shared" si="52"/>
        <v>-2.4931247740904369E-2</v>
      </c>
      <c r="S218" s="1132">
        <f t="shared" si="52"/>
        <v>0.51939744871548044</v>
      </c>
      <c r="T218" s="1130">
        <f t="shared" si="52"/>
        <v>0.58808850315066874</v>
      </c>
      <c r="U218" s="1131">
        <f t="shared" si="52"/>
        <v>-2.8226553900756759E-2</v>
      </c>
      <c r="V218" s="1132">
        <f t="shared" si="52"/>
        <v>0.59074959904524027</v>
      </c>
      <c r="W218" s="1124">
        <f t="shared" si="53"/>
        <v>7.2799548070315856E-2</v>
      </c>
      <c r="X218" s="1124">
        <f t="shared" si="53"/>
        <v>0.14127907721011346</v>
      </c>
      <c r="Y218" s="1133" t="str">
        <f t="shared" si="53"/>
        <v>BBB+</v>
      </c>
      <c r="Z218" s="1134" t="str">
        <f t="shared" si="53"/>
        <v>=  =  =</v>
      </c>
      <c r="AA218" s="1128">
        <f t="shared" si="53"/>
        <v>2.7906818261625395</v>
      </c>
      <c r="AB218" s="1135">
        <f t="shared" si="53"/>
        <v>8.5841806528642844E-2</v>
      </c>
      <c r="AC218" s="1129">
        <f t="shared" si="53"/>
        <v>2.9178287645268703</v>
      </c>
    </row>
    <row r="219" spans="1:29">
      <c r="A219" s="1155" t="s">
        <v>32</v>
      </c>
      <c r="B219" s="73" t="s">
        <v>50</v>
      </c>
      <c r="C219" s="1149">
        <f t="shared" si="51"/>
        <v>19515.355899391296</v>
      </c>
      <c r="D219" s="1150">
        <f t="shared" si="51"/>
        <v>5.0003093905237848E-2</v>
      </c>
      <c r="E219" s="1124">
        <f t="shared" si="51"/>
        <v>1.1994936816856254</v>
      </c>
      <c r="F219" s="1124">
        <f t="shared" si="51"/>
        <v>1.3012692605912644</v>
      </c>
      <c r="G219" s="1125">
        <f t="shared" si="51"/>
        <v>28491.576306321644</v>
      </c>
      <c r="H219" s="1126">
        <f t="shared" si="51"/>
        <v>7.8898737947233621E-2</v>
      </c>
      <c r="I219" s="1127">
        <f t="shared" si="51"/>
        <v>-0.89894076859195104</v>
      </c>
      <c r="J219" s="1127">
        <f t="shared" si="51"/>
        <v>39.625784878048783</v>
      </c>
      <c r="K219" s="1128">
        <f t="shared" si="51"/>
        <v>4.6985221679038922</v>
      </c>
      <c r="L219" s="1124">
        <f t="shared" si="51"/>
        <v>0.4140020451008824</v>
      </c>
      <c r="M219" s="1129">
        <f t="shared" si="52"/>
        <v>5.7096258695546744</v>
      </c>
      <c r="N219" s="1130">
        <f t="shared" si="52"/>
        <v>0</v>
      </c>
      <c r="O219" s="1131">
        <f t="shared" si="52"/>
        <v>0</v>
      </c>
      <c r="P219" s="1132">
        <f t="shared" si="52"/>
        <v>0</v>
      </c>
      <c r="Q219" s="103">
        <f t="shared" si="52"/>
        <v>0.37025195227815472</v>
      </c>
      <c r="R219" s="1131">
        <f t="shared" si="52"/>
        <v>-0.46222821771061889</v>
      </c>
      <c r="S219" s="1132">
        <f t="shared" si="52"/>
        <v>0.26403640782716253</v>
      </c>
      <c r="T219" s="1130">
        <f t="shared" si="52"/>
        <v>0.48927059752514818</v>
      </c>
      <c r="U219" s="1131">
        <f t="shared" si="52"/>
        <v>-0.38189416595312975</v>
      </c>
      <c r="V219" s="1132">
        <f t="shared" si="52"/>
        <v>0.37414035756341019</v>
      </c>
      <c r="W219" s="1124">
        <f t="shared" si="53"/>
        <v>0.11901864524699346</v>
      </c>
      <c r="X219" s="1124">
        <f t="shared" si="53"/>
        <v>0.32145312000294263</v>
      </c>
      <c r="Y219" s="1133" t="str">
        <f t="shared" si="53"/>
        <v>BBB</v>
      </c>
      <c r="Z219" s="1134" t="str">
        <f t="shared" si="53"/>
        <v xml:space="preserve">=  -  = </v>
      </c>
      <c r="AA219" s="1128">
        <f t="shared" si="53"/>
        <v>2.2664974928712622</v>
      </c>
      <c r="AB219" s="1135">
        <f t="shared" si="53"/>
        <v>-0.12537902502142731</v>
      </c>
      <c r="AC219" s="1129">
        <f t="shared" si="53"/>
        <v>2.136201464388483</v>
      </c>
    </row>
    <row r="220" spans="1:29">
      <c r="A220" s="1155" t="s">
        <v>504</v>
      </c>
      <c r="B220" s="73" t="s">
        <v>281</v>
      </c>
      <c r="C220" s="1149">
        <f t="shared" si="51"/>
        <v>20617.292984255655</v>
      </c>
      <c r="D220" s="1150">
        <f t="shared" si="51"/>
        <v>5.2826525044090682E-2</v>
      </c>
      <c r="E220" s="1124">
        <f t="shared" si="51"/>
        <v>0.37985561177970401</v>
      </c>
      <c r="F220" s="1124">
        <f t="shared" si="51"/>
        <v>0.48163119068534294</v>
      </c>
      <c r="G220" s="1125">
        <f t="shared" si="51"/>
        <v>23766.623796323693</v>
      </c>
      <c r="H220" s="1126">
        <f t="shared" si="51"/>
        <v>6.5814421871090864E-2</v>
      </c>
      <c r="I220" s="1127">
        <f t="shared" si="51"/>
        <v>1.8990159277875758</v>
      </c>
      <c r="J220" s="1127">
        <f t="shared" si="51"/>
        <v>2.509154465418888</v>
      </c>
      <c r="K220" s="1128">
        <f t="shared" si="51"/>
        <v>5.8033589040079683</v>
      </c>
      <c r="L220" s="1124">
        <f t="shared" si="51"/>
        <v>4.5724350121793801E-2</v>
      </c>
      <c r="M220" s="1129">
        <f t="shared" si="52"/>
        <v>6.1939465303838475</v>
      </c>
      <c r="N220" s="1130">
        <f t="shared" si="52"/>
        <v>0.7344324868237998</v>
      </c>
      <c r="O220" s="1131">
        <f t="shared" si="52"/>
        <v>0.10784712869930438</v>
      </c>
      <c r="P220" s="1132">
        <f t="shared" si="52"/>
        <v>0.74956908795771016</v>
      </c>
      <c r="Q220" s="103">
        <f t="shared" si="52"/>
        <v>0.14726898954609682</v>
      </c>
      <c r="R220" s="1131">
        <f t="shared" si="52"/>
        <v>4.9939774449528171E-2</v>
      </c>
      <c r="S220" s="1132">
        <f t="shared" si="52"/>
        <v>0.17272839211728983</v>
      </c>
      <c r="T220" s="1130">
        <f t="shared" si="52"/>
        <v>0.18443136241749356</v>
      </c>
      <c r="U220" s="1131">
        <f t="shared" si="52"/>
        <v>-5.7258906752796622E-2</v>
      </c>
      <c r="V220" s="1132">
        <f t="shared" si="52"/>
        <v>0.198117589718218</v>
      </c>
      <c r="W220" s="1124">
        <f t="shared" si="53"/>
        <v>3.7162372871396732E-2</v>
      </c>
      <c r="X220" s="1124">
        <f t="shared" si="53"/>
        <v>0.25234350412762557</v>
      </c>
      <c r="Y220" s="1133" t="str">
        <f t="shared" si="53"/>
        <v>A-</v>
      </c>
      <c r="Z220" s="1134" t="str">
        <f t="shared" si="53"/>
        <v>=  =  -</v>
      </c>
      <c r="AA220" s="1128">
        <f t="shared" si="53"/>
        <v>1.0395975936863313</v>
      </c>
      <c r="AB220" s="1135">
        <f t="shared" si="53"/>
        <v>2.9438923535487854E-2</v>
      </c>
      <c r="AC220" s="1129">
        <f t="shared" si="53"/>
        <v>1.2087727199953455</v>
      </c>
    </row>
    <row r="221" spans="1:29">
      <c r="A221" s="1155" t="s">
        <v>507</v>
      </c>
      <c r="B221" s="73" t="s">
        <v>284</v>
      </c>
      <c r="C221" s="1149">
        <f t="shared" si="51"/>
        <v>22949.481858519866</v>
      </c>
      <c r="D221" s="1150">
        <f t="shared" si="51"/>
        <v>5.8802160840116385E-2</v>
      </c>
      <c r="E221" s="1124">
        <f t="shared" si="51"/>
        <v>-8.3288171902550459E-2</v>
      </c>
      <c r="F221" s="1124">
        <f t="shared" si="51"/>
        <v>1.8487407003088485E-2</v>
      </c>
      <c r="G221" s="1125">
        <f t="shared" si="51"/>
        <v>21731.57918967646</v>
      </c>
      <c r="H221" s="1126">
        <f t="shared" si="51"/>
        <v>6.0178986000343146E-2</v>
      </c>
      <c r="I221" s="1127">
        <f t="shared" si="51"/>
        <v>1.7647070716020126</v>
      </c>
      <c r="J221" s="1127">
        <f t="shared" si="51"/>
        <v>1.7786623686113903</v>
      </c>
      <c r="K221" s="1128">
        <f t="shared" si="51"/>
        <v>7.5421176018870622</v>
      </c>
      <c r="L221" s="1124">
        <f t="shared" si="51"/>
        <v>2.1076957712408067E-2</v>
      </c>
      <c r="M221" s="1129">
        <f t="shared" si="52"/>
        <v>7.6896404016441506</v>
      </c>
      <c r="N221" s="1130">
        <f t="shared" si="52"/>
        <v>0.67984865616162071</v>
      </c>
      <c r="O221" s="1131">
        <f t="shared" si="52"/>
        <v>0.13956056160252914</v>
      </c>
      <c r="P221" s="1132">
        <f t="shared" si="52"/>
        <v>0.7167630057803468</v>
      </c>
      <c r="Q221" s="103">
        <f t="shared" si="52"/>
        <v>0.23215418017261674</v>
      </c>
      <c r="R221" s="1131">
        <f t="shared" si="52"/>
        <v>0.36187217108516367</v>
      </c>
      <c r="S221" s="1132">
        <f t="shared" si="52"/>
        <v>0.26525179681706468</v>
      </c>
      <c r="T221" s="1130">
        <f t="shared" si="52"/>
        <v>0.2501311526811702</v>
      </c>
      <c r="U221" s="1131">
        <f t="shared" si="52"/>
        <v>0.31916438327965047</v>
      </c>
      <c r="V221" s="1132">
        <f t="shared" si="52"/>
        <v>0.28287599661626001</v>
      </c>
      <c r="W221" s="1124">
        <f t="shared" si="53"/>
        <v>1.7976972508553457E-2</v>
      </c>
      <c r="X221" s="1124">
        <f t="shared" si="53"/>
        <v>7.7435489187344358E-2</v>
      </c>
      <c r="Y221" s="1133" t="str">
        <f t="shared" si="53"/>
        <v>A-</v>
      </c>
      <c r="Z221" s="1134" t="str">
        <f t="shared" si="53"/>
        <v>=  =  =</v>
      </c>
      <c r="AA221" s="1128">
        <f t="shared" si="53"/>
        <v>1.845874038975184</v>
      </c>
      <c r="AB221" s="1135">
        <f t="shared" si="53"/>
        <v>0.36079457239176377</v>
      </c>
      <c r="AC221" s="1129">
        <f t="shared" si="53"/>
        <v>2.1424428051274771</v>
      </c>
    </row>
    <row r="222" spans="1:29">
      <c r="A222" s="1155" t="s">
        <v>19</v>
      </c>
      <c r="B222" s="152" t="s">
        <v>288</v>
      </c>
      <c r="C222" s="1149">
        <f t="shared" si="51"/>
        <v>31174.883771428573</v>
      </c>
      <c r="D222" s="1150">
        <f t="shared" si="51"/>
        <v>7.9877643469276421E-2</v>
      </c>
      <c r="E222" s="1124">
        <f t="shared" si="51"/>
        <v>-0.49416922878378883</v>
      </c>
      <c r="F222" s="1124">
        <f t="shared" si="51"/>
        <v>-0.3923936498781499</v>
      </c>
      <c r="G222" s="1125">
        <f t="shared" si="51"/>
        <v>19124.593099999998</v>
      </c>
      <c r="H222" s="1126">
        <f t="shared" si="51"/>
        <v>5.2959732488004868E-2</v>
      </c>
      <c r="I222" s="1127">
        <f t="shared" si="51"/>
        <v>1.0546425468926217</v>
      </c>
      <c r="J222" s="1127">
        <f t="shared" si="51"/>
        <v>0.72989058468819168</v>
      </c>
      <c r="K222" s="1128">
        <f t="shared" si="51"/>
        <v>4.7838493303826084</v>
      </c>
      <c r="L222" s="1124">
        <f t="shared" si="51"/>
        <v>-0.19812930900653591</v>
      </c>
      <c r="M222" s="1129">
        <f t="shared" si="52"/>
        <v>4.438539176760524</v>
      </c>
      <c r="N222" s="1130">
        <f t="shared" si="52"/>
        <v>0.60741568747204655</v>
      </c>
      <c r="O222" s="1131">
        <f t="shared" si="52"/>
        <v>4.0950219141690898E-2</v>
      </c>
      <c r="P222" s="1132">
        <f t="shared" si="52"/>
        <v>0.62738172243152124</v>
      </c>
      <c r="Q222" s="103">
        <f t="shared" si="52"/>
        <v>0.50834561454306215</v>
      </c>
      <c r="R222" s="1131">
        <f t="shared" si="52"/>
        <v>0.27477182203191691</v>
      </c>
      <c r="S222" s="1132">
        <f t="shared" si="52"/>
        <v>0.61196382356206247</v>
      </c>
      <c r="T222" s="1130">
        <f t="shared" si="52"/>
        <v>0.54898628094174651</v>
      </c>
      <c r="U222" s="1131">
        <f t="shared" si="52"/>
        <v>0.26756473067663017</v>
      </c>
      <c r="V222" s="1132">
        <f t="shared" si="52"/>
        <v>0.65530118542007598</v>
      </c>
      <c r="W222" s="1124">
        <f t="shared" si="53"/>
        <v>4.0640666398684355E-2</v>
      </c>
      <c r="X222" s="1124">
        <f t="shared" si="53"/>
        <v>7.9946920433679999E-2</v>
      </c>
      <c r="Y222" s="1133" t="str">
        <f t="shared" si="53"/>
        <v>BBB+</v>
      </c>
      <c r="Z222" s="1134" t="str">
        <f t="shared" si="53"/>
        <v>=  ¯ ¯</v>
      </c>
      <c r="AA222" s="1128">
        <f t="shared" si="53"/>
        <v>2.5321561588471506</v>
      </c>
      <c r="AB222" s="1135">
        <f t="shared" si="53"/>
        <v>1.3257606300410854E-2</v>
      </c>
      <c r="AC222" s="1129">
        <f t="shared" si="53"/>
        <v>2.8138910595815916</v>
      </c>
    </row>
    <row r="223" spans="1:29">
      <c r="A223" s="1155" t="s">
        <v>508</v>
      </c>
      <c r="B223" s="73" t="s">
        <v>290</v>
      </c>
      <c r="C223" s="1149">
        <f t="shared" si="51"/>
        <v>16250.837973523972</v>
      </c>
      <c r="D223" s="1150">
        <f t="shared" si="51"/>
        <v>4.1638604052015776E-2</v>
      </c>
      <c r="E223" s="1124">
        <f t="shared" si="51"/>
        <v>0.20894195471198634</v>
      </c>
      <c r="F223" s="1124">
        <f t="shared" si="51"/>
        <v>0.31071753361762527</v>
      </c>
      <c r="G223" s="1125">
        <f t="shared" si="51"/>
        <v>17428.290742138299</v>
      </c>
      <c r="H223" s="1126">
        <f t="shared" si="51"/>
        <v>4.826234004564605E-2</v>
      </c>
      <c r="I223" s="1127">
        <f t="shared" si="51"/>
        <v>4.0995220850209826</v>
      </c>
      <c r="J223" s="1127">
        <f t="shared" si="51"/>
        <v>4.5731712273212377</v>
      </c>
      <c r="K223" s="1128">
        <f t="shared" si="51"/>
        <v>6.7995363362554677</v>
      </c>
      <c r="L223" s="1124">
        <f t="shared" si="51"/>
        <v>0.2149868566781509</v>
      </c>
      <c r="M223" s="1129">
        <f t="shared" si="52"/>
        <v>7.5822149145373468</v>
      </c>
      <c r="N223" s="1130">
        <f t="shared" si="52"/>
        <v>0.32615050588405037</v>
      </c>
      <c r="O223" s="1131">
        <f t="shared" si="52"/>
        <v>-8.7660674172335792E-2</v>
      </c>
      <c r="P223" s="1132">
        <f t="shared" si="52"/>
        <v>0.30985103942866765</v>
      </c>
      <c r="Q223" s="103">
        <f t="shared" si="52"/>
        <v>0.30558583418722468</v>
      </c>
      <c r="R223" s="1131">
        <f t="shared" si="52"/>
        <v>-0.13620468181810452</v>
      </c>
      <c r="S223" s="1132">
        <f t="shared" si="52"/>
        <v>0.29018390059321952</v>
      </c>
      <c r="T223" s="1130">
        <f t="shared" si="52"/>
        <v>0.31922230141848357</v>
      </c>
      <c r="U223" s="1131">
        <f t="shared" si="52"/>
        <v>-0.13496032758973828</v>
      </c>
      <c r="V223" s="1132">
        <f t="shared" si="52"/>
        <v>0.30362227391248225</v>
      </c>
      <c r="W223" s="1124">
        <f t="shared" si="53"/>
        <v>1.3636467231258886E-2</v>
      </c>
      <c r="X223" s="1124">
        <f t="shared" si="53"/>
        <v>4.4624016252350789E-2</v>
      </c>
      <c r="Y223" s="1133" t="str">
        <f t="shared" si="53"/>
        <v>A</v>
      </c>
      <c r="Z223" s="1134" t="str">
        <f t="shared" si="53"/>
        <v>=  =  -</v>
      </c>
      <c r="AA223" s="1128">
        <f t="shared" si="53"/>
        <v>2.1579177629636748</v>
      </c>
      <c r="AB223" s="1135">
        <f t="shared" si="53"/>
        <v>6.0078851309961184E-2</v>
      </c>
      <c r="AC223" s="1129">
        <f t="shared" si="53"/>
        <v>2.3009327536910358</v>
      </c>
    </row>
    <row r="224" spans="1:29">
      <c r="A224" s="1155" t="s">
        <v>503</v>
      </c>
      <c r="B224" s="73" t="s">
        <v>286</v>
      </c>
      <c r="C224" s="1149">
        <f t="shared" si="51"/>
        <v>15596.516285714286</v>
      </c>
      <c r="D224" s="1150">
        <f t="shared" si="51"/>
        <v>3.9962072557101963E-2</v>
      </c>
      <c r="E224" s="1124">
        <f t="shared" si="51"/>
        <v>-0.41209116095583281</v>
      </c>
      <c r="F224" s="1124">
        <f t="shared" si="51"/>
        <v>-0.31031558205019388</v>
      </c>
      <c r="G224" s="1125">
        <f t="shared" si="51"/>
        <v>10295.917100000001</v>
      </c>
      <c r="H224" s="1126">
        <f t="shared" si="51"/>
        <v>2.8511404790864545E-2</v>
      </c>
      <c r="I224" s="1127">
        <f t="shared" si="51"/>
        <v>0.58081043687158529</v>
      </c>
      <c r="J224" s="1127">
        <f t="shared" si="51"/>
        <v>0.5027794267018264</v>
      </c>
      <c r="K224" s="1128">
        <f t="shared" si="51"/>
        <v>4.5606838408134944</v>
      </c>
      <c r="L224" s="1124">
        <f t="shared" si="51"/>
        <v>-0.18379111287045302</v>
      </c>
      <c r="M224" s="1129">
        <f t="shared" si="52"/>
        <v>4.0606354500113753</v>
      </c>
      <c r="N224" s="1130">
        <f t="shared" si="52"/>
        <v>0.34534166666666666</v>
      </c>
      <c r="O224" s="1131">
        <f t="shared" si="52"/>
        <v>-5.4500069338510607E-2</v>
      </c>
      <c r="P224" s="1132">
        <f t="shared" si="52"/>
        <v>0.3626280111015483</v>
      </c>
      <c r="Q224" s="103">
        <f t="shared" si="52"/>
        <v>0.67997702229572432</v>
      </c>
      <c r="R224" s="1131">
        <f t="shared" si="52"/>
        <v>0.10658020511075152</v>
      </c>
      <c r="S224" s="1132">
        <f t="shared" si="52"/>
        <v>0.75270955685414354</v>
      </c>
      <c r="T224" s="1130">
        <f t="shared" si="52"/>
        <v>0.68457317243488636</v>
      </c>
      <c r="U224" s="1131">
        <f t="shared" si="52"/>
        <v>0.10522314957078965</v>
      </c>
      <c r="V224" s="1132">
        <f t="shared" si="52"/>
        <v>0.75672107111582532</v>
      </c>
      <c r="W224" s="1124">
        <f t="shared" si="53"/>
        <v>4.5961501391620363E-3</v>
      </c>
      <c r="X224" s="1124">
        <f t="shared" si="53"/>
        <v>6.7592727231349809E-3</v>
      </c>
      <c r="Y224" s="1133" t="str">
        <f t="shared" si="53"/>
        <v>BBB-</v>
      </c>
      <c r="Z224" s="1134" t="str">
        <f t="shared" si="53"/>
        <v>=  ¯ ¯</v>
      </c>
      <c r="AA224" s="1128">
        <f t="shared" si="53"/>
        <v>2.9152503149286035</v>
      </c>
      <c r="AB224" s="1135">
        <f t="shared" si="53"/>
        <v>-0.14664752669478531</v>
      </c>
      <c r="AC224" s="1129">
        <f t="shared" si="53"/>
        <v>2.8370691340232916</v>
      </c>
    </row>
    <row r="225" spans="1:29">
      <c r="A225" s="1155" t="s">
        <v>19</v>
      </c>
      <c r="B225" s="73" t="s">
        <v>287</v>
      </c>
      <c r="C225" s="1149">
        <f t="shared" ref="C225:L237" si="54">VLOOKUP($B225,$B$7:$AC$28,C$37+1,FALSE)</f>
        <v>6002.7646707914537</v>
      </c>
      <c r="D225" s="1150">
        <f t="shared" si="54"/>
        <v>1.538054479108892E-2</v>
      </c>
      <c r="E225" s="1124">
        <f t="shared" si="54"/>
        <v>1.7468659495150733</v>
      </c>
      <c r="F225" s="1124">
        <f t="shared" si="54"/>
        <v>1.8486415284207123</v>
      </c>
      <c r="G225" s="1125">
        <f t="shared" si="54"/>
        <v>9571.524995540176</v>
      </c>
      <c r="H225" s="1126">
        <f t="shared" si="54"/>
        <v>2.6505421611613778E-2</v>
      </c>
      <c r="I225" s="1127">
        <f t="shared" si="54"/>
        <v>4.1497848696984878</v>
      </c>
      <c r="J225" s="1127">
        <f t="shared" si="54"/>
        <v>5.1075046454025781</v>
      </c>
      <c r="K225" s="1128">
        <f t="shared" si="54"/>
        <v>7.8889454092528393</v>
      </c>
      <c r="L225" s="1124">
        <f t="shared" si="54"/>
        <v>0.8464659845431286</v>
      </c>
      <c r="M225" s="1129">
        <f t="shared" ref="M225:Y237" si="55">VLOOKUP($B225,$B$7:$AC$28,M$37+1,FALSE)</f>
        <v>9.6719476082953495</v>
      </c>
      <c r="N225" s="1130">
        <f t="shared" si="55"/>
        <v>9.1630231095150338E-2</v>
      </c>
      <c r="O225" s="1148" t="str">
        <f t="shared" si="55"/>
        <v>¥</v>
      </c>
      <c r="P225" s="1132">
        <f t="shared" si="55"/>
        <v>0.34976819018989347</v>
      </c>
      <c r="Q225" s="103">
        <f t="shared" si="55"/>
        <v>0.13477545507373562</v>
      </c>
      <c r="R225" s="1131">
        <f t="shared" si="55"/>
        <v>-0.4264373226073967</v>
      </c>
      <c r="S225" s="1132">
        <f t="shared" si="55"/>
        <v>9.7905485588969735E-2</v>
      </c>
      <c r="T225" s="1130">
        <f t="shared" si="55"/>
        <v>0.16024846762312819</v>
      </c>
      <c r="U225" s="1131">
        <f t="shared" si="55"/>
        <v>-0.25253039609468159</v>
      </c>
      <c r="V225" s="1132">
        <f t="shared" si="55"/>
        <v>0.12849893093161849</v>
      </c>
      <c r="W225" s="1124">
        <f t="shared" si="55"/>
        <v>2.5473012549392576E-2</v>
      </c>
      <c r="X225" s="1124">
        <f t="shared" si="55"/>
        <v>0.18900335031669008</v>
      </c>
      <c r="Y225" s="1133" t="str">
        <f t="shared" si="55"/>
        <v>Not rated</v>
      </c>
      <c r="Z225" s="1134"/>
      <c r="AA225" s="1128">
        <f t="shared" ref="AA225:AC237" si="56">VLOOKUP($B225,$B$7:$AC$28,AA$37+1,FALSE)</f>
        <v>1.265551414722516</v>
      </c>
      <c r="AB225" s="1135">
        <f t="shared" si="56"/>
        <v>0.38040351489576829</v>
      </c>
      <c r="AC225" s="1129">
        <f t="shared" si="56"/>
        <v>1.242834927692577</v>
      </c>
    </row>
    <row r="226" spans="1:29">
      <c r="A226" s="1155" t="s">
        <v>505</v>
      </c>
      <c r="B226" s="73" t="s">
        <v>44</v>
      </c>
      <c r="C226" s="1149">
        <f t="shared" si="54"/>
        <v>12234.494271428572</v>
      </c>
      <c r="D226" s="1150">
        <f t="shared" si="54"/>
        <v>3.1347753486597643E-2</v>
      </c>
      <c r="E226" s="1124">
        <f t="shared" si="54"/>
        <v>-0.59766521701552</v>
      </c>
      <c r="F226" s="1124">
        <f t="shared" si="54"/>
        <v>-0.49588963810988107</v>
      </c>
      <c r="G226" s="1125">
        <f t="shared" si="54"/>
        <v>6819.5967000000001</v>
      </c>
      <c r="H226" s="1126">
        <f t="shared" si="54"/>
        <v>1.8884794830384175E-2</v>
      </c>
      <c r="I226" s="1127">
        <f t="shared" si="54"/>
        <v>3.9295455833111754</v>
      </c>
      <c r="J226" s="1127">
        <f t="shared" si="54"/>
        <v>1.2175677021960365</v>
      </c>
      <c r="K226" s="1128">
        <f t="shared" si="54"/>
        <v>4.9270605931091591</v>
      </c>
      <c r="L226" s="1124">
        <f t="shared" si="54"/>
        <v>-0.26680842971581226</v>
      </c>
      <c r="M226" s="1129">
        <f t="shared" si="55"/>
        <v>4.0325018858098245</v>
      </c>
      <c r="N226" s="1130">
        <f t="shared" si="55"/>
        <v>0.5805147103617575</v>
      </c>
      <c r="O226" s="1131">
        <f t="shared" si="55"/>
        <v>8.4948466413752491E-2</v>
      </c>
      <c r="P226" s="1132">
        <f t="shared" si="55"/>
        <v>0.6264024463118032</v>
      </c>
      <c r="Q226" s="103">
        <f t="shared" si="55"/>
        <v>0.51826084585195908</v>
      </c>
      <c r="R226" s="1131">
        <f t="shared" si="55"/>
        <v>0.40005999871326348</v>
      </c>
      <c r="S226" s="1132">
        <f t="shared" si="55"/>
        <v>0.58973938770950263</v>
      </c>
      <c r="T226" s="1130">
        <f t="shared" si="55"/>
        <v>0.5495689942142129</v>
      </c>
      <c r="U226" s="1131">
        <f t="shared" si="55"/>
        <v>0.40637993517884302</v>
      </c>
      <c r="V226" s="1132">
        <f t="shared" si="55"/>
        <v>0.63323863537070213</v>
      </c>
      <c r="W226" s="1124">
        <f t="shared" si="55"/>
        <v>3.1308148362253818E-2</v>
      </c>
      <c r="X226" s="1124">
        <f t="shared" si="55"/>
        <v>6.0410020577161203E-2</v>
      </c>
      <c r="Y226" s="1133" t="str">
        <f t="shared" si="55"/>
        <v>BBB-</v>
      </c>
      <c r="Z226" s="1134" t="str">
        <f>VLOOKUP($B226,$B$7:$AC$28,Z$37+1,FALSE)</f>
        <v>=  ¯ =</v>
      </c>
      <c r="AA226" s="1128">
        <f t="shared" si="56"/>
        <v>2.643581803383519</v>
      </c>
      <c r="AB226" s="1135">
        <f t="shared" si="56"/>
        <v>2.8580691559688957E-2</v>
      </c>
      <c r="AC226" s="1129">
        <f t="shared" si="56"/>
        <v>2.5466878830879209</v>
      </c>
    </row>
    <row r="227" spans="1:29">
      <c r="A227" s="1156" t="s">
        <v>323</v>
      </c>
      <c r="B227" s="726" t="s">
        <v>772</v>
      </c>
      <c r="C227" s="1151">
        <f t="shared" si="54"/>
        <v>7616.907214285714</v>
      </c>
      <c r="D227" s="1152">
        <f t="shared" si="54"/>
        <v>1.9516371039653539E-2</v>
      </c>
      <c r="E227" s="1136">
        <f t="shared" si="54"/>
        <v>-0.33365525120929096</v>
      </c>
      <c r="F227" s="1136">
        <f t="shared" si="54"/>
        <v>-0.23187967230365203</v>
      </c>
      <c r="G227" s="1137">
        <f t="shared" si="54"/>
        <v>5825.8631999999998</v>
      </c>
      <c r="H227" s="1138">
        <f t="shared" si="54"/>
        <v>1.6132952736323161E-2</v>
      </c>
      <c r="I227" s="1139">
        <f t="shared" si="54"/>
        <v>2.4107651340270966</v>
      </c>
      <c r="J227" s="1139">
        <f t="shared" si="54"/>
        <v>2.0327505931612002</v>
      </c>
      <c r="K227" s="1140">
        <f t="shared" si="54"/>
        <v>4.8426442674927213</v>
      </c>
      <c r="L227" s="1136">
        <f t="shared" si="54"/>
        <v>0.1951757211867983</v>
      </c>
      <c r="M227" s="1141">
        <f t="shared" si="55"/>
        <v>4.6619962755533297</v>
      </c>
      <c r="N227" s="1142">
        <f t="shared" si="55"/>
        <v>0.37158673775730477</v>
      </c>
      <c r="O227" s="1143">
        <f t="shared" si="55"/>
        <v>-0.1153634304384116</v>
      </c>
      <c r="P227" s="1144">
        <f t="shared" si="55"/>
        <v>0.36037883142173305</v>
      </c>
      <c r="Q227" s="1076">
        <f t="shared" si="55"/>
        <v>0.17383796150947908</v>
      </c>
      <c r="R227" s="1143">
        <f t="shared" si="55"/>
        <v>0.54445307336528614</v>
      </c>
      <c r="S227" s="1144">
        <f t="shared" si="55"/>
        <v>0.26356163003804695</v>
      </c>
      <c r="T227" s="1142">
        <f t="shared" si="55"/>
        <v>0.19702478682132593</v>
      </c>
      <c r="U227" s="1143">
        <f t="shared" si="55"/>
        <v>0.50034734616182497</v>
      </c>
      <c r="V227" s="1144">
        <f t="shared" si="55"/>
        <v>0.28756363720088318</v>
      </c>
      <c r="W227" s="1136">
        <f t="shared" si="55"/>
        <v>2.3186825311846848E-2</v>
      </c>
      <c r="X227" s="1136">
        <f t="shared" si="55"/>
        <v>0.13338182932260462</v>
      </c>
      <c r="Y227" s="1145" t="str">
        <f t="shared" si="55"/>
        <v>A</v>
      </c>
      <c r="Z227" s="1146" t="str">
        <f>VLOOKUP($B227,$B$7:$AC$28,Z$37+1,FALSE)</f>
        <v>=  =  -</v>
      </c>
      <c r="AA227" s="1140">
        <f t="shared" si="56"/>
        <v>0.93248540191552354</v>
      </c>
      <c r="AB227" s="1147">
        <f t="shared" si="56"/>
        <v>0.78949919521054279</v>
      </c>
      <c r="AC227" s="1141">
        <f t="shared" si="56"/>
        <v>1.3109622071604587</v>
      </c>
    </row>
    <row r="228" spans="1:29">
      <c r="A228" s="1155" t="s">
        <v>545</v>
      </c>
      <c r="B228" s="73" t="s">
        <v>39</v>
      </c>
      <c r="C228" s="1149">
        <f t="shared" si="54"/>
        <v>5059.5155870714543</v>
      </c>
      <c r="D228" s="1150">
        <f t="shared" si="54"/>
        <v>1.2963710952524294E-2</v>
      </c>
      <c r="E228" s="1124">
        <f t="shared" si="54"/>
        <v>-0.13366823909704381</v>
      </c>
      <c r="F228" s="1124">
        <f t="shared" si="54"/>
        <v>-3.1892660191404867E-2</v>
      </c>
      <c r="G228" s="1125">
        <f t="shared" si="54"/>
        <v>5057.8123335929276</v>
      </c>
      <c r="H228" s="1126">
        <f t="shared" si="54"/>
        <v>1.4006069920599414E-2</v>
      </c>
      <c r="I228" s="1127">
        <f t="shared" si="54"/>
        <v>1.6858649053444912</v>
      </c>
      <c r="J228" s="1127">
        <f t="shared" si="54"/>
        <v>1.7703056194544857</v>
      </c>
      <c r="K228" s="1128">
        <f t="shared" si="54"/>
        <v>5.8927844479191869</v>
      </c>
      <c r="L228" s="1124">
        <f t="shared" si="54"/>
        <v>-0.19036897853308513</v>
      </c>
      <c r="M228" s="1129">
        <f t="shared" si="55"/>
        <v>5.9052222685092017</v>
      </c>
      <c r="N228" s="1130">
        <f t="shared" si="55"/>
        <v>0.31054928118178421</v>
      </c>
      <c r="O228" s="1131">
        <f t="shared" si="55"/>
        <v>-0.11491916916279199</v>
      </c>
      <c r="P228" s="1132">
        <f t="shared" si="55"/>
        <v>0.28165979767703259</v>
      </c>
      <c r="Q228" s="103">
        <f t="shared" si="55"/>
        <v>0.3899242463002407</v>
      </c>
      <c r="R228" s="1131">
        <f t="shared" si="55"/>
        <v>-0.1197676600756727</v>
      </c>
      <c r="S228" s="1132">
        <f t="shared" si="55"/>
        <v>0.37944762378701169</v>
      </c>
      <c r="T228" s="1130">
        <f t="shared" si="55"/>
        <v>0.45093517146474416</v>
      </c>
      <c r="U228" s="1131">
        <f t="shared" si="55"/>
        <v>-8.3572610535330494E-2</v>
      </c>
      <c r="V228" s="1132">
        <f t="shared" si="55"/>
        <v>0.43916945384982109</v>
      </c>
      <c r="W228" s="1124">
        <f t="shared" si="55"/>
        <v>6.101092516450346E-2</v>
      </c>
      <c r="X228" s="1124">
        <f t="shared" si="55"/>
        <v>0.15646866216553562</v>
      </c>
      <c r="Y228" s="1133" t="str">
        <f t="shared" si="55"/>
        <v>BBB</v>
      </c>
      <c r="Z228" s="1134" t="str">
        <f>VLOOKUP($B228,$B$7:$AC$28,Z$37+1,FALSE)</f>
        <v>­  = =</v>
      </c>
      <c r="AA228" s="1128">
        <f t="shared" si="56"/>
        <v>2.6587814840492587</v>
      </c>
      <c r="AB228" s="1135">
        <f t="shared" si="56"/>
        <v>-0.25803195656746131</v>
      </c>
      <c r="AC228" s="1129">
        <f t="shared" si="56"/>
        <v>2.5933932385229874</v>
      </c>
    </row>
    <row r="229" spans="1:29">
      <c r="A229" s="1156" t="s">
        <v>323</v>
      </c>
      <c r="B229" s="726" t="s">
        <v>774</v>
      </c>
      <c r="C229" s="1151">
        <f t="shared" si="54"/>
        <v>3541.6238999999996</v>
      </c>
      <c r="D229" s="1152">
        <f t="shared" si="54"/>
        <v>9.0745028357006995E-3</v>
      </c>
      <c r="E229" s="1136">
        <f t="shared" si="54"/>
        <v>0.67327297771392325</v>
      </c>
      <c r="F229" s="1136">
        <f t="shared" si="54"/>
        <v>0.77504855661956218</v>
      </c>
      <c r="G229" s="1137">
        <f t="shared" si="54"/>
        <v>4048.9897999999998</v>
      </c>
      <c r="H229" s="1138">
        <f t="shared" si="54"/>
        <v>1.1212443346293226E-2</v>
      </c>
      <c r="I229" s="1139">
        <f t="shared" si="54"/>
        <v>-1.4186196832586249</v>
      </c>
      <c r="J229" s="1139">
        <f t="shared" si="54"/>
        <v>-2.7147098893731143</v>
      </c>
      <c r="K229" s="1140">
        <f t="shared" si="54"/>
        <v>8.6861758729657641</v>
      </c>
      <c r="L229" s="1136">
        <f t="shared" si="54"/>
        <v>0.26215680659638446</v>
      </c>
      <c r="M229" s="1141">
        <f t="shared" si="55"/>
        <v>9.0506669895995948</v>
      </c>
      <c r="N229" s="1142">
        <f t="shared" si="55"/>
        <v>6.4385445236561381E-2</v>
      </c>
      <c r="O229" s="1143">
        <f t="shared" si="55"/>
        <v>14.697799124913645</v>
      </c>
      <c r="P229" s="1144">
        <f t="shared" si="55"/>
        <v>0.15462918080465343</v>
      </c>
      <c r="Q229" s="1076">
        <f t="shared" si="55"/>
        <v>0.42399287000325037</v>
      </c>
      <c r="R229" s="1143">
        <f t="shared" si="55"/>
        <v>4.5742782667206161E-2</v>
      </c>
      <c r="S229" s="1144">
        <f t="shared" si="55"/>
        <v>0.48144640266975475</v>
      </c>
      <c r="T229" s="1142">
        <f t="shared" si="55"/>
        <v>0.42695023434228802</v>
      </c>
      <c r="U229" s="1143">
        <f t="shared" si="55"/>
        <v>4.1366838913311048E-2</v>
      </c>
      <c r="V229" s="1144">
        <f t="shared" si="55"/>
        <v>0.4832654138496531</v>
      </c>
      <c r="W229" s="1136">
        <f t="shared" si="55"/>
        <v>2.9573643390376492E-3</v>
      </c>
      <c r="X229" s="1136">
        <f t="shared" si="55"/>
        <v>6.9750331863245195E-3</v>
      </c>
      <c r="Y229" s="1145" t="str">
        <f t="shared" si="55"/>
        <v>B+</v>
      </c>
      <c r="Z229" s="1146" t="str">
        <f>VLOOKUP($B229,$B$7:$AC$28,Z$37+1,FALSE)</f>
        <v>=  =  =</v>
      </c>
      <c r="AA229" s="1140">
        <f t="shared" si="56"/>
        <v>3.7014756930154613</v>
      </c>
      <c r="AB229" s="1147">
        <f t="shared" si="56"/>
        <v>0.31334582285320112</v>
      </c>
      <c r="AC229" s="1141">
        <f t="shared" si="56"/>
        <v>4.3704719780651446</v>
      </c>
    </row>
    <row r="230" spans="1:29">
      <c r="A230" s="1155" t="s">
        <v>507</v>
      </c>
      <c r="B230" s="73" t="s">
        <v>282</v>
      </c>
      <c r="C230" s="1149">
        <f t="shared" si="54"/>
        <v>5769.8566757446433</v>
      </c>
      <c r="D230" s="1150">
        <f t="shared" si="54"/>
        <v>1.4783777793466828E-2</v>
      </c>
      <c r="E230" s="1124">
        <f t="shared" si="54"/>
        <v>-0.24705029723080094</v>
      </c>
      <c r="F230" s="1124">
        <f t="shared" si="54"/>
        <v>-0.14527471832516198</v>
      </c>
      <c r="G230" s="1125">
        <f t="shared" si="54"/>
        <v>4026.3480952657014</v>
      </c>
      <c r="H230" s="1126">
        <f t="shared" si="54"/>
        <v>1.1149744044952231E-2</v>
      </c>
      <c r="I230" s="1127">
        <f t="shared" si="54"/>
        <v>2.446298838298576</v>
      </c>
      <c r="J230" s="1127">
        <f t="shared" si="54"/>
        <v>1.6476276710656086</v>
      </c>
      <c r="K230" s="1128">
        <f t="shared" si="54"/>
        <v>6.6837223425180285</v>
      </c>
      <c r="L230" s="1124">
        <f t="shared" si="54"/>
        <v>1.2127469272410992E-3</v>
      </c>
      <c r="M230" s="1129">
        <f t="shared" si="55"/>
        <v>5.5145354419406587</v>
      </c>
      <c r="N230" s="1130">
        <f t="shared" si="55"/>
        <v>0.67083419702973635</v>
      </c>
      <c r="O230" s="1131">
        <f t="shared" si="55"/>
        <v>-0.11335389957676706</v>
      </c>
      <c r="P230" s="1132">
        <f t="shared" si="55"/>
        <v>0.63639387890884902</v>
      </c>
      <c r="Q230" s="103">
        <f t="shared" si="55"/>
        <v>0.1536920907726812</v>
      </c>
      <c r="R230" s="1131">
        <f t="shared" si="55"/>
        <v>1.6283818604559013</v>
      </c>
      <c r="S230" s="1132">
        <f t="shared" si="55"/>
        <v>0.2022242346359609</v>
      </c>
      <c r="T230" s="1130">
        <f t="shared" si="55"/>
        <v>0.20961441125119315</v>
      </c>
      <c r="U230" s="1131">
        <f t="shared" si="55"/>
        <v>0.84200521424561081</v>
      </c>
      <c r="V230" s="1132">
        <f t="shared" si="55"/>
        <v>0.28147528322389997</v>
      </c>
      <c r="W230" s="1124">
        <f t="shared" si="55"/>
        <v>5.592232047851195E-2</v>
      </c>
      <c r="X230" s="1124">
        <f t="shared" si="55"/>
        <v>0.36385945559959909</v>
      </c>
      <c r="Y230" s="1133" t="str">
        <f t="shared" si="55"/>
        <v>Not rated</v>
      </c>
      <c r="Z230" s="1134"/>
      <c r="AA230" s="1128">
        <f t="shared" si="56"/>
        <v>1.4399592566697517</v>
      </c>
      <c r="AB230" s="1135">
        <f t="shared" si="56"/>
        <v>0.8442860967329926</v>
      </c>
      <c r="AC230" s="1129">
        <f t="shared" si="56"/>
        <v>1.5521418473212367</v>
      </c>
    </row>
    <row r="231" spans="1:29">
      <c r="A231" s="1155" t="s">
        <v>378</v>
      </c>
      <c r="B231" s="73" t="s">
        <v>42</v>
      </c>
      <c r="C231" s="1149">
        <f t="shared" si="54"/>
        <v>2432.5463571428577</v>
      </c>
      <c r="D231" s="1150">
        <f t="shared" si="54"/>
        <v>6.2327761047315808E-3</v>
      </c>
      <c r="E231" s="1124">
        <f t="shared" si="54"/>
        <v>-3.2258071946582277E-2</v>
      </c>
      <c r="F231" s="1124">
        <f t="shared" si="54"/>
        <v>6.9517506959056674E-2</v>
      </c>
      <c r="G231" s="1125">
        <f t="shared" si="54"/>
        <v>2940.9023000000002</v>
      </c>
      <c r="H231" s="1126">
        <f t="shared" si="54"/>
        <v>8.143932697912316E-3</v>
      </c>
      <c r="I231" s="1127">
        <f t="shared" si="54"/>
        <v>1.2689619717468461</v>
      </c>
      <c r="J231" s="1127">
        <f t="shared" si="54"/>
        <v>1.312316956715752</v>
      </c>
      <c r="K231" s="1128">
        <f t="shared" si="54"/>
        <v>3.7488610975650749</v>
      </c>
      <c r="L231" s="1124">
        <f t="shared" si="54"/>
        <v>3.4291324439135469E-2</v>
      </c>
      <c r="M231" s="1129">
        <f t="shared" si="55"/>
        <v>3.7439277362047823</v>
      </c>
      <c r="N231" s="1130">
        <f t="shared" si="55"/>
        <v>0.56323171407839789</v>
      </c>
      <c r="O231" s="1131">
        <f t="shared" si="55"/>
        <v>-0.12023286586287618</v>
      </c>
      <c r="P231" s="1132">
        <f t="shared" si="55"/>
        <v>0.53987730061349704</v>
      </c>
      <c r="Q231" s="103">
        <f t="shared" si="55"/>
        <v>0.60887331285954671</v>
      </c>
      <c r="R231" s="1131">
        <f t="shared" si="55"/>
        <v>-0.37303497156800469</v>
      </c>
      <c r="S231" s="1132">
        <f t="shared" si="55"/>
        <v>0.37659759063604481</v>
      </c>
      <c r="T231" s="1130">
        <f t="shared" si="55"/>
        <v>0.63388271448107447</v>
      </c>
      <c r="U231" s="1131">
        <f t="shared" si="55"/>
        <v>-0.25869992498286548</v>
      </c>
      <c r="V231" s="1132">
        <f t="shared" si="55"/>
        <v>0.44527495080222473</v>
      </c>
      <c r="W231" s="1124">
        <f t="shared" si="55"/>
        <v>2.500940162152776E-2</v>
      </c>
      <c r="X231" s="1124">
        <f t="shared" si="55"/>
        <v>4.1074885519406669E-2</v>
      </c>
      <c r="Y231" s="1133" t="str">
        <f t="shared" si="55"/>
        <v>B-</v>
      </c>
      <c r="Z231" s="1134" t="str">
        <f>VLOOKUP($B231,$B$7:$AC$28,Z$37+1,FALSE)</f>
        <v>=  =  -</v>
      </c>
      <c r="AA231" s="1128">
        <f t="shared" si="56"/>
        <v>2.172629043332774</v>
      </c>
      <c r="AB231" s="1135">
        <f t="shared" si="56"/>
        <v>-0.22035736928264804</v>
      </c>
      <c r="AC231" s="1129">
        <f t="shared" si="56"/>
        <v>1.5517268924243866</v>
      </c>
    </row>
    <row r="232" spans="1:29">
      <c r="A232" s="1155" t="s">
        <v>27</v>
      </c>
      <c r="B232" s="73" t="s">
        <v>54</v>
      </c>
      <c r="C232" s="1149">
        <f t="shared" si="54"/>
        <v>4745.1447857142857</v>
      </c>
      <c r="D232" s="1150">
        <f t="shared" si="54"/>
        <v>1.2158216408516635E-2</v>
      </c>
      <c r="E232" s="1124">
        <f t="shared" si="54"/>
        <v>-0.63447330491761056</v>
      </c>
      <c r="F232" s="1124">
        <f t="shared" si="54"/>
        <v>-0.53269772601197163</v>
      </c>
      <c r="G232" s="1125">
        <f t="shared" si="54"/>
        <v>2680.5724</v>
      </c>
      <c r="H232" s="1126">
        <f t="shared" si="54"/>
        <v>7.4230283738025878E-3</v>
      </c>
      <c r="I232" s="1127">
        <f t="shared" si="54"/>
        <v>1.3569881249181368</v>
      </c>
      <c r="J232" s="1127">
        <f t="shared" si="54"/>
        <v>1.0332545966156574</v>
      </c>
      <c r="K232" s="1128">
        <f t="shared" si="54"/>
        <v>6.4063105209788551</v>
      </c>
      <c r="L232" s="1124">
        <f t="shared" si="54"/>
        <v>-0.24924595564935845</v>
      </c>
      <c r="M232" s="1129">
        <f t="shared" si="55"/>
        <v>5.3369406950798908</v>
      </c>
      <c r="N232" s="1130">
        <f t="shared" si="55"/>
        <v>0.48460704112825509</v>
      </c>
      <c r="O232" s="1131">
        <f t="shared" si="55"/>
        <v>-0.18079580514885477</v>
      </c>
      <c r="P232" s="1132">
        <f t="shared" si="55"/>
        <v>0.49497857034449522</v>
      </c>
      <c r="Q232" s="103">
        <f t="shared" si="55"/>
        <v>0.56717095077467305</v>
      </c>
      <c r="R232" s="1131">
        <f t="shared" si="55"/>
        <v>0.64731222518720821</v>
      </c>
      <c r="S232" s="1132">
        <f t="shared" si="55"/>
        <v>0.74754623070756221</v>
      </c>
      <c r="T232" s="1130">
        <f t="shared" si="55"/>
        <v>0.5748403529709204</v>
      </c>
      <c r="U232" s="1131">
        <f t="shared" si="55"/>
        <v>0.5906099669472562</v>
      </c>
      <c r="V232" s="1132">
        <f t="shared" si="55"/>
        <v>0.7506672643344422</v>
      </c>
      <c r="W232" s="1124">
        <f t="shared" si="55"/>
        <v>7.6694021962473435E-3</v>
      </c>
      <c r="X232" s="1124">
        <f t="shared" si="55"/>
        <v>1.3522205581530675E-2</v>
      </c>
      <c r="Y232" s="1133" t="str">
        <f t="shared" si="55"/>
        <v>BBB-</v>
      </c>
      <c r="Z232" s="1134" t="str">
        <f>VLOOKUP($B232,$B$7:$AC$28,Z$37+1,FALSE)</f>
        <v>¯  ¯ ¯</v>
      </c>
      <c r="AA232" s="1128">
        <f t="shared" si="56"/>
        <v>3.4278891827637503</v>
      </c>
      <c r="AB232" s="1135">
        <f t="shared" si="56"/>
        <v>0.24423537898737996</v>
      </c>
      <c r="AC232" s="1129">
        <f t="shared" si="56"/>
        <v>3.8230610288109381</v>
      </c>
    </row>
    <row r="233" spans="1:29">
      <c r="A233" s="1155" t="s">
        <v>73</v>
      </c>
      <c r="B233" s="73" t="s">
        <v>285</v>
      </c>
      <c r="C233" s="1149">
        <f t="shared" si="54"/>
        <v>2461.5190857142857</v>
      </c>
      <c r="D233" s="1150">
        <f t="shared" si="54"/>
        <v>6.3070112903421734E-3</v>
      </c>
      <c r="E233" s="1124">
        <f t="shared" si="54"/>
        <v>6.738754525599433E-2</v>
      </c>
      <c r="F233" s="1124">
        <f t="shared" si="54"/>
        <v>0.16916312416163326</v>
      </c>
      <c r="G233" s="1125">
        <f t="shared" si="54"/>
        <v>2364.3629999999998</v>
      </c>
      <c r="H233" s="1126">
        <f t="shared" si="54"/>
        <v>6.5473828033777437E-3</v>
      </c>
      <c r="I233" s="1127">
        <f t="shared" si="54"/>
        <v>3.1397518024733277</v>
      </c>
      <c r="J233" s="1127">
        <f t="shared" si="54"/>
        <v>3.0995844257996854</v>
      </c>
      <c r="K233" s="1128">
        <f t="shared" si="54"/>
        <v>6.7052926466266065</v>
      </c>
      <c r="L233" s="1124">
        <f t="shared" si="54"/>
        <v>0.14721542174528052</v>
      </c>
      <c r="M233" s="1129">
        <f t="shared" si="55"/>
        <v>7.0127743881429545</v>
      </c>
      <c r="N233" s="1130">
        <f t="shared" si="55"/>
        <v>0.62657499999999999</v>
      </c>
      <c r="O233" s="1131">
        <f t="shared" si="55"/>
        <v>5.5614710459497153E-2</v>
      </c>
      <c r="P233" s="1132">
        <f t="shared" si="55"/>
        <v>0.64439999999999997</v>
      </c>
      <c r="Q233" s="103">
        <f t="shared" si="55"/>
        <v>0.24190098439360719</v>
      </c>
      <c r="R233" s="1131">
        <f t="shared" si="55"/>
        <v>0.20667512064869559</v>
      </c>
      <c r="S233" s="1132">
        <f t="shared" si="55"/>
        <v>0.30597960586046052</v>
      </c>
      <c r="T233" s="1130">
        <f t="shared" si="55"/>
        <v>0.2616424852780464</v>
      </c>
      <c r="U233" s="1131">
        <f t="shared" si="55"/>
        <v>0.20296552626351777</v>
      </c>
      <c r="V233" s="1132">
        <f t="shared" si="55"/>
        <v>0.32061814749302248</v>
      </c>
      <c r="W233" s="1124">
        <f t="shared" si="55"/>
        <v>1.9741500884439211E-2</v>
      </c>
      <c r="X233" s="1124">
        <f t="shared" si="55"/>
        <v>8.1609841042717679E-2</v>
      </c>
      <c r="Y233" s="1133" t="str">
        <f t="shared" si="55"/>
        <v>BBB</v>
      </c>
      <c r="Z233" s="1134" t="str">
        <f>VLOOKUP($B233,$B$7:$AC$28,Z$37+1,FALSE)</f>
        <v>=  =  -</v>
      </c>
      <c r="AA233" s="1128">
        <f t="shared" si="56"/>
        <v>1.7511002028712532</v>
      </c>
      <c r="AB233" s="1135">
        <f t="shared" si="56"/>
        <v>0.37093258903528414</v>
      </c>
      <c r="AC233" s="1129">
        <f t="shared" si="56"/>
        <v>2.2311132077757287</v>
      </c>
    </row>
    <row r="234" spans="1:29">
      <c r="A234" s="1155" t="s">
        <v>506</v>
      </c>
      <c r="B234" s="73" t="s">
        <v>289</v>
      </c>
      <c r="C234" s="1149">
        <f t="shared" si="54"/>
        <v>4580.8423286191064</v>
      </c>
      <c r="D234" s="1150">
        <f t="shared" si="54"/>
        <v>1.1737233504933111E-2</v>
      </c>
      <c r="E234" s="1124">
        <f t="shared" si="54"/>
        <v>-0.49577837871365099</v>
      </c>
      <c r="F234" s="1124">
        <f t="shared" si="54"/>
        <v>-0.39400279980801206</v>
      </c>
      <c r="G234" s="1125">
        <f t="shared" si="54"/>
        <v>2322.4005110115481</v>
      </c>
      <c r="H234" s="1126">
        <f t="shared" si="54"/>
        <v>6.4311804779353665E-3</v>
      </c>
      <c r="I234" s="1127">
        <f t="shared" si="54"/>
        <v>1.4234279787340207</v>
      </c>
      <c r="J234" s="1127">
        <f t="shared" si="54"/>
        <v>0.8056764866383116</v>
      </c>
      <c r="K234" s="1128">
        <f t="shared" si="54"/>
        <v>4.3871958272574467</v>
      </c>
      <c r="L234" s="1124">
        <f t="shared" si="54"/>
        <v>-8.1025400882275472E-2</v>
      </c>
      <c r="M234" s="1129">
        <f t="shared" si="55"/>
        <v>3.4400754167452243</v>
      </c>
      <c r="N234" s="1130">
        <f t="shared" si="55"/>
        <v>0.42290073595624156</v>
      </c>
      <c r="O234" s="1131">
        <f t="shared" si="55"/>
        <v>-9.0086339251873371E-2</v>
      </c>
      <c r="P234" s="1132">
        <f t="shared" si="55"/>
        <v>0.44946685046944856</v>
      </c>
      <c r="Q234" s="103">
        <f t="shared" si="55"/>
        <v>0.16307046534988884</v>
      </c>
      <c r="R234" s="1131">
        <f t="shared" si="55"/>
        <v>1.3005419282788433</v>
      </c>
      <c r="S234" s="1132">
        <f t="shared" si="55"/>
        <v>0.30950096360373897</v>
      </c>
      <c r="T234" s="1130">
        <f t="shared" si="55"/>
        <v>0.18570292678335293</v>
      </c>
      <c r="U234" s="1131">
        <f t="shared" si="55"/>
        <v>1.251733079461073</v>
      </c>
      <c r="V234" s="1132">
        <f t="shared" si="55"/>
        <v>0.34197601038246805</v>
      </c>
      <c r="W234" s="1124">
        <f t="shared" si="55"/>
        <v>2.2632461433464091E-2</v>
      </c>
      <c r="X234" s="1124">
        <f t="shared" si="55"/>
        <v>0.13878945758144007</v>
      </c>
      <c r="Y234" s="1133" t="str">
        <f t="shared" si="55"/>
        <v>BBB</v>
      </c>
      <c r="Z234" s="1134" t="str">
        <f>VLOOKUP($B234,$B$7:$AC$28,Z$37+1,FALSE)</f>
        <v>=  ¯ -</v>
      </c>
      <c r="AA234" s="1128">
        <f t="shared" si="56"/>
        <v>0.77886477042851432</v>
      </c>
      <c r="AB234" s="1135">
        <f t="shared" si="56"/>
        <v>1.0703005310133176</v>
      </c>
      <c r="AC234" s="1129">
        <f t="shared" si="56"/>
        <v>1.1762690733772538</v>
      </c>
    </row>
    <row r="235" spans="1:29">
      <c r="A235" s="1155" t="s">
        <v>389</v>
      </c>
      <c r="B235" s="73" t="s">
        <v>278</v>
      </c>
      <c r="C235" s="1149">
        <f t="shared" si="54"/>
        <v>3544.0522571428578</v>
      </c>
      <c r="D235" s="1150">
        <f t="shared" si="54"/>
        <v>9.0807248780183369E-3</v>
      </c>
      <c r="E235" s="1124">
        <f t="shared" si="54"/>
        <v>-0.4675424361384804</v>
      </c>
      <c r="F235" s="1124">
        <f t="shared" si="54"/>
        <v>-0.36576685723284147</v>
      </c>
      <c r="G235" s="1125">
        <f t="shared" si="54"/>
        <v>2152.6311000000001</v>
      </c>
      <c r="H235" s="1126">
        <f t="shared" si="54"/>
        <v>5.9610558303255963E-3</v>
      </c>
      <c r="I235" s="1127">
        <f t="shared" si="54"/>
        <v>3.4941691326062152</v>
      </c>
      <c r="J235" s="1127">
        <f t="shared" si="54"/>
        <v>2.2961398399999999</v>
      </c>
      <c r="K235" s="1128">
        <f t="shared" si="54"/>
        <v>4.4503654862327</v>
      </c>
      <c r="L235" s="1124">
        <f t="shared" si="54"/>
        <v>-2.9835823683801648E-2</v>
      </c>
      <c r="M235" s="1129">
        <f t="shared" si="55"/>
        <v>4.0530525032062261</v>
      </c>
      <c r="N235" s="1130">
        <f t="shared" si="55"/>
        <v>0.60910298289809772</v>
      </c>
      <c r="O235" s="1131">
        <f t="shared" si="55"/>
        <v>-5.2071170724915891E-2</v>
      </c>
      <c r="P235" s="1132">
        <f t="shared" si="55"/>
        <v>0.6207941242005639</v>
      </c>
      <c r="Q235" s="103">
        <f t="shared" si="55"/>
        <v>0.49050145598877937</v>
      </c>
      <c r="R235" s="1131">
        <f t="shared" si="55"/>
        <v>0.42102559519407173</v>
      </c>
      <c r="S235" s="1132">
        <f t="shared" si="55"/>
        <v>0.61744816018521742</v>
      </c>
      <c r="T235" s="1130">
        <f t="shared" si="55"/>
        <v>0.49698573886957192</v>
      </c>
      <c r="U235" s="1131">
        <f t="shared" si="55"/>
        <v>0.41032171167013903</v>
      </c>
      <c r="V235" s="1132">
        <f t="shared" si="55"/>
        <v>0.62319136029119382</v>
      </c>
      <c r="W235" s="1124">
        <f t="shared" si="55"/>
        <v>6.4842828807925579E-3</v>
      </c>
      <c r="X235" s="1124">
        <f t="shared" si="55"/>
        <v>1.3219701596443154E-2</v>
      </c>
      <c r="Y235" s="1133" t="str">
        <f t="shared" si="55"/>
        <v>BBB</v>
      </c>
      <c r="Z235" s="1134" t="str">
        <f>VLOOKUP($B235,$B$7:$AC$28,Z$37+1,FALSE)</f>
        <v>=  ¯ -</v>
      </c>
      <c r="AA235" s="1128">
        <f t="shared" si="56"/>
        <v>2.1902281092407181</v>
      </c>
      <c r="AB235" s="1135">
        <f t="shared" si="56"/>
        <v>0.36844726500440206</v>
      </c>
      <c r="AC235" s="1129">
        <f t="shared" si="56"/>
        <v>2.5252968522290931</v>
      </c>
    </row>
    <row r="236" spans="1:29">
      <c r="A236" s="1156" t="s">
        <v>323</v>
      </c>
      <c r="B236" s="726" t="s">
        <v>773</v>
      </c>
      <c r="C236" s="1151">
        <f t="shared" si="54"/>
        <v>2121.4584571428572</v>
      </c>
      <c r="D236" s="1152">
        <f t="shared" si="54"/>
        <v>5.4356931534045982E-3</v>
      </c>
      <c r="E236" s="1136">
        <f t="shared" si="54"/>
        <v>-0.63331383871554725</v>
      </c>
      <c r="F236" s="1136">
        <f t="shared" si="54"/>
        <v>-0.53153825980990832</v>
      </c>
      <c r="G236" s="1137">
        <f t="shared" si="54"/>
        <v>960.23059999999998</v>
      </c>
      <c r="H236" s="1138">
        <f t="shared" si="54"/>
        <v>2.6590660223142948E-3</v>
      </c>
      <c r="I236" s="1139">
        <f t="shared" si="54"/>
        <v>6.3820660890696566</v>
      </c>
      <c r="J236" s="1139">
        <f t="shared" si="54"/>
        <v>3.126768479322696</v>
      </c>
      <c r="K236" s="1140">
        <f t="shared" si="54"/>
        <v>4.9107929634600707</v>
      </c>
      <c r="L236" s="1136">
        <f t="shared" si="54"/>
        <v>-0.2975700901517318</v>
      </c>
      <c r="M236" s="1141">
        <f t="shared" si="55"/>
        <v>3.6764587184436395</v>
      </c>
      <c r="N236" s="1142">
        <f t="shared" si="55"/>
        <v>0.95644485424869818</v>
      </c>
      <c r="O236" s="1143">
        <f t="shared" si="55"/>
        <v>5.7346309608293736E-3</v>
      </c>
      <c r="P236" s="1144">
        <f t="shared" si="55"/>
        <v>0.97265268915223335</v>
      </c>
      <c r="Q236" s="1076">
        <f t="shared" si="55"/>
        <v>0.16489915086810925</v>
      </c>
      <c r="R236" s="1143">
        <f t="shared" si="55"/>
        <v>2.0043608623878186</v>
      </c>
      <c r="S236" s="1144">
        <f t="shared" si="55"/>
        <v>0.32988338723452482</v>
      </c>
      <c r="T236" s="1142">
        <f t="shared" si="55"/>
        <v>0.27218937885351913</v>
      </c>
      <c r="U236" s="1143">
        <f t="shared" si="55"/>
        <v>1.2181747217666232</v>
      </c>
      <c r="V236" s="1144">
        <f t="shared" si="55"/>
        <v>0.4561905930983241</v>
      </c>
      <c r="W236" s="1136">
        <f t="shared" si="55"/>
        <v>0.10729022798540988</v>
      </c>
      <c r="X236" s="1136">
        <f t="shared" si="55"/>
        <v>0.65064148250965514</v>
      </c>
      <c r="Y236" s="1145" t="str">
        <f t="shared" si="55"/>
        <v>Not rated</v>
      </c>
      <c r="Z236" s="1146"/>
      <c r="AA236" s="1140">
        <f t="shared" si="56"/>
        <v>1.2440956586918632</v>
      </c>
      <c r="AB236" s="1147">
        <f t="shared" si="56"/>
        <v>0.5581122698382367</v>
      </c>
      <c r="AC236" s="1141">
        <f t="shared" si="56"/>
        <v>1.6771658832683087</v>
      </c>
    </row>
    <row r="237" spans="1:29">
      <c r="A237" s="1155" t="s">
        <v>27</v>
      </c>
      <c r="B237" s="73" t="s">
        <v>357</v>
      </c>
      <c r="C237" s="1149">
        <f t="shared" si="54"/>
        <v>504.56125714285719</v>
      </c>
      <c r="D237" s="1150">
        <f t="shared" si="54"/>
        <v>1.292808804099037E-3</v>
      </c>
      <c r="E237" s="1124">
        <f t="shared" si="54"/>
        <v>0.11241291049139049</v>
      </c>
      <c r="F237" s="1124">
        <f t="shared" si="54"/>
        <v>0.21418848939702945</v>
      </c>
      <c r="G237" s="1125">
        <f t="shared" si="54"/>
        <v>562.64409999999998</v>
      </c>
      <c r="H237" s="1126">
        <f t="shared" si="54"/>
        <v>1.5580713726115437E-3</v>
      </c>
      <c r="I237" s="1127">
        <f t="shared" si="54"/>
        <v>0.48825120153947199</v>
      </c>
      <c r="J237" s="1127">
        <f t="shared" si="54"/>
        <v>0.52140126030951717</v>
      </c>
      <c r="K237" s="1128">
        <f t="shared" si="54"/>
        <v>3.8552632920912293</v>
      </c>
      <c r="L237" s="1124">
        <f t="shared" si="54"/>
        <v>-0.11001004882442665</v>
      </c>
      <c r="M237" s="1129">
        <f t="shared" si="55"/>
        <v>3.9063069179772585</v>
      </c>
      <c r="N237" s="1124">
        <f t="shared" si="55"/>
        <v>0.90539538726018864</v>
      </c>
      <c r="O237" s="1131">
        <f t="shared" si="55"/>
        <v>-4.1189056985539901E-2</v>
      </c>
      <c r="P237" s="1132">
        <f t="shared" si="55"/>
        <v>0.90138346931536006</v>
      </c>
      <c r="Q237" s="103">
        <f t="shared" si="55"/>
        <v>0.38160323267486906</v>
      </c>
      <c r="R237" s="1131">
        <f t="shared" si="55"/>
        <v>0.13281779457810056</v>
      </c>
      <c r="S237" s="1132">
        <f t="shared" si="55"/>
        <v>0.39444904186551905</v>
      </c>
      <c r="T237" s="1130">
        <f t="shared" si="55"/>
        <v>0.47841518539184064</v>
      </c>
      <c r="U237" s="1131">
        <f t="shared" si="55"/>
        <v>1.1717685634717274E-2</v>
      </c>
      <c r="V237" s="1132">
        <f t="shared" si="55"/>
        <v>0.46507375880431212</v>
      </c>
      <c r="W237" s="1124">
        <f t="shared" si="55"/>
        <v>9.6811952716971572E-2</v>
      </c>
      <c r="X237" s="1124">
        <f t="shared" si="55"/>
        <v>0.25369793656715856</v>
      </c>
      <c r="Y237" s="1133" t="str">
        <f t="shared" si="55"/>
        <v>Not rated</v>
      </c>
      <c r="Z237" s="1134"/>
      <c r="AA237" s="1128">
        <f t="shared" si="56"/>
        <v>1.832329792526622</v>
      </c>
      <c r="AB237" s="1135">
        <f t="shared" si="56"/>
        <v>-9.9442962217240083E-2</v>
      </c>
      <c r="AC237" s="1129">
        <f t="shared" si="56"/>
        <v>1.8160302149559577</v>
      </c>
    </row>
    <row r="238" spans="1:29">
      <c r="M238" s="1153"/>
    </row>
    <row r="239" spans="1:29">
      <c r="M239" s="1153"/>
    </row>
    <row r="240" spans="1:29">
      <c r="A240" s="1252" t="s">
        <v>1079</v>
      </c>
      <c r="B240" s="1123" t="s">
        <v>1075</v>
      </c>
      <c r="C240" s="1068"/>
      <c r="E240" s="1068"/>
      <c r="F240" s="1068"/>
      <c r="G240" s="1068"/>
      <c r="K240" s="1068"/>
      <c r="L240" s="1068"/>
      <c r="M240" s="1153"/>
      <c r="N240" s="1068"/>
      <c r="O240" s="1068"/>
      <c r="P240" s="1068"/>
      <c r="T240" s="1068"/>
      <c r="U240" s="1068"/>
      <c r="V240" s="1068"/>
      <c r="Y240" s="1068"/>
      <c r="Z240" s="1068"/>
      <c r="AA240" s="1068"/>
      <c r="AB240" s="1068"/>
      <c r="AC240" s="1068"/>
    </row>
    <row r="241" spans="1:29">
      <c r="A241" s="1155" t="s">
        <v>503</v>
      </c>
      <c r="B241" s="73" t="s">
        <v>286</v>
      </c>
      <c r="C241" s="1149">
        <f t="shared" ref="C241:L249" si="57">VLOOKUP($B241,$B$7:$AC$28,C$37+1,FALSE)</f>
        <v>15596.516285714286</v>
      </c>
      <c r="D241" s="1150">
        <f t="shared" si="57"/>
        <v>3.9962072557101963E-2</v>
      </c>
      <c r="E241" s="1124">
        <f t="shared" si="57"/>
        <v>-0.41209116095583281</v>
      </c>
      <c r="F241" s="1124">
        <f t="shared" si="57"/>
        <v>-0.31031558205019388</v>
      </c>
      <c r="G241" s="1125">
        <f t="shared" si="57"/>
        <v>10295.917100000001</v>
      </c>
      <c r="H241" s="1126">
        <f t="shared" si="57"/>
        <v>2.8511404790864545E-2</v>
      </c>
      <c r="I241" s="1127">
        <f t="shared" si="57"/>
        <v>0.58081043687158529</v>
      </c>
      <c r="J241" s="1127">
        <f t="shared" si="57"/>
        <v>0.5027794267018264</v>
      </c>
      <c r="K241" s="1128">
        <f t="shared" si="57"/>
        <v>4.5606838408134944</v>
      </c>
      <c r="L241" s="1124">
        <f t="shared" si="57"/>
        <v>-0.18379111287045302</v>
      </c>
      <c r="M241" s="1129">
        <f t="shared" ref="M241:V249" si="58">VLOOKUP($B241,$B$7:$AC$28,M$37+1,FALSE)</f>
        <v>4.0606354500113753</v>
      </c>
      <c r="N241" s="1130">
        <f t="shared" si="58"/>
        <v>0.34534166666666666</v>
      </c>
      <c r="O241" s="1131">
        <f t="shared" si="58"/>
        <v>-5.4500069338510607E-2</v>
      </c>
      <c r="P241" s="1132">
        <f t="shared" si="58"/>
        <v>0.3626280111015483</v>
      </c>
      <c r="Q241" s="1130">
        <f t="shared" si="58"/>
        <v>0.67997702229572432</v>
      </c>
      <c r="R241" s="1131">
        <f t="shared" si="58"/>
        <v>0.10658020511075152</v>
      </c>
      <c r="S241" s="1132">
        <f t="shared" si="58"/>
        <v>0.75270955685414354</v>
      </c>
      <c r="T241" s="103">
        <f t="shared" si="58"/>
        <v>0.68457317243488636</v>
      </c>
      <c r="U241" s="1131">
        <f t="shared" si="58"/>
        <v>0.10522314957078965</v>
      </c>
      <c r="V241" s="1132">
        <f t="shared" si="58"/>
        <v>0.75672107111582532</v>
      </c>
      <c r="W241" s="1124">
        <f t="shared" ref="W241:AC249" si="59">VLOOKUP($B241,$B$7:$AC$28,W$37+1,FALSE)</f>
        <v>4.5961501391620363E-3</v>
      </c>
      <c r="X241" s="1124">
        <f t="shared" si="59"/>
        <v>6.7592727231349809E-3</v>
      </c>
      <c r="Y241" s="1133" t="str">
        <f t="shared" si="59"/>
        <v>BBB-</v>
      </c>
      <c r="Z241" s="1134" t="str">
        <f t="shared" si="59"/>
        <v>=  ¯ ¯</v>
      </c>
      <c r="AA241" s="1128">
        <f t="shared" si="59"/>
        <v>2.9152503149286035</v>
      </c>
      <c r="AB241" s="1135">
        <f t="shared" si="59"/>
        <v>-0.14664752669478531</v>
      </c>
      <c r="AC241" s="1129">
        <f t="shared" si="59"/>
        <v>2.8370691340232916</v>
      </c>
    </row>
    <row r="242" spans="1:29">
      <c r="A242" s="1155" t="s">
        <v>378</v>
      </c>
      <c r="B242" s="73" t="s">
        <v>42</v>
      </c>
      <c r="C242" s="1149">
        <f t="shared" si="57"/>
        <v>2432.5463571428577</v>
      </c>
      <c r="D242" s="1150">
        <f t="shared" si="57"/>
        <v>6.2327761047315808E-3</v>
      </c>
      <c r="E242" s="1124">
        <f t="shared" si="57"/>
        <v>-3.2258071946582277E-2</v>
      </c>
      <c r="F242" s="1124">
        <f t="shared" si="57"/>
        <v>6.9517506959056674E-2</v>
      </c>
      <c r="G242" s="1125">
        <f t="shared" si="57"/>
        <v>2940.9023000000002</v>
      </c>
      <c r="H242" s="1126">
        <f t="shared" si="57"/>
        <v>8.143932697912316E-3</v>
      </c>
      <c r="I242" s="1127">
        <f t="shared" si="57"/>
        <v>1.2689619717468461</v>
      </c>
      <c r="J242" s="1127">
        <f t="shared" si="57"/>
        <v>1.312316956715752</v>
      </c>
      <c r="K242" s="1128">
        <f t="shared" si="57"/>
        <v>3.7488610975650749</v>
      </c>
      <c r="L242" s="1124">
        <f t="shared" si="57"/>
        <v>3.4291324439135469E-2</v>
      </c>
      <c r="M242" s="1129">
        <f t="shared" si="58"/>
        <v>3.7439277362047823</v>
      </c>
      <c r="N242" s="1130">
        <f t="shared" si="58"/>
        <v>0.56323171407839789</v>
      </c>
      <c r="O242" s="1131">
        <f t="shared" si="58"/>
        <v>-0.12023286586287618</v>
      </c>
      <c r="P242" s="1132">
        <f t="shared" si="58"/>
        <v>0.53987730061349704</v>
      </c>
      <c r="Q242" s="1130">
        <f t="shared" si="58"/>
        <v>0.60887331285954671</v>
      </c>
      <c r="R242" s="1131">
        <f t="shared" si="58"/>
        <v>-0.37303497156800469</v>
      </c>
      <c r="S242" s="1132">
        <f t="shared" si="58"/>
        <v>0.37659759063604481</v>
      </c>
      <c r="T242" s="103">
        <f t="shared" si="58"/>
        <v>0.63388271448107447</v>
      </c>
      <c r="U242" s="1131">
        <f t="shared" si="58"/>
        <v>-0.25869992498286548</v>
      </c>
      <c r="V242" s="1132">
        <f t="shared" si="58"/>
        <v>0.44527495080222473</v>
      </c>
      <c r="W242" s="1124">
        <f t="shared" si="59"/>
        <v>2.500940162152776E-2</v>
      </c>
      <c r="X242" s="1124">
        <f t="shared" si="59"/>
        <v>4.1074885519406669E-2</v>
      </c>
      <c r="Y242" s="1133" t="str">
        <f t="shared" si="59"/>
        <v>B-</v>
      </c>
      <c r="Z242" s="1134" t="str">
        <f t="shared" si="59"/>
        <v>=  =  -</v>
      </c>
      <c r="AA242" s="1128">
        <f t="shared" si="59"/>
        <v>2.172629043332774</v>
      </c>
      <c r="AB242" s="1135">
        <f t="shared" si="59"/>
        <v>-0.22035736928264804</v>
      </c>
      <c r="AC242" s="1129">
        <f t="shared" si="59"/>
        <v>1.5517268924243866</v>
      </c>
    </row>
    <row r="243" spans="1:29">
      <c r="A243" s="1155" t="s">
        <v>502</v>
      </c>
      <c r="B243" s="73" t="s">
        <v>52</v>
      </c>
      <c r="C243" s="1149">
        <f t="shared" si="57"/>
        <v>40464.923042857146</v>
      </c>
      <c r="D243" s="1150">
        <f t="shared" si="57"/>
        <v>0.1036809862557167</v>
      </c>
      <c r="E243" s="1124">
        <f t="shared" si="57"/>
        <v>-6.1458653761923776E-2</v>
      </c>
      <c r="F243" s="1124">
        <f t="shared" si="57"/>
        <v>4.0316925143715168E-2</v>
      </c>
      <c r="G243" s="1125">
        <f t="shared" si="57"/>
        <v>39791.94</v>
      </c>
      <c r="H243" s="1126">
        <f t="shared" si="57"/>
        <v>0.1101916514803518</v>
      </c>
      <c r="I243" s="1127">
        <f t="shared" si="57"/>
        <v>1.0840589348936991</v>
      </c>
      <c r="J243" s="1127">
        <f t="shared" si="57"/>
        <v>1.2733420800000002</v>
      </c>
      <c r="K243" s="1128">
        <f t="shared" si="57"/>
        <v>4.9905713850513198</v>
      </c>
      <c r="L243" s="1124">
        <f t="shared" si="57"/>
        <v>0.1448238320606966</v>
      </c>
      <c r="M243" s="1129">
        <f t="shared" si="58"/>
        <v>5.2964626193065953</v>
      </c>
      <c r="N243" s="1130">
        <f t="shared" si="58"/>
        <v>0.61</v>
      </c>
      <c r="O243" s="1131">
        <f t="shared" si="58"/>
        <v>0</v>
      </c>
      <c r="P243" s="1132">
        <f t="shared" si="58"/>
        <v>0.62983042679437373</v>
      </c>
      <c r="Q243" s="1130">
        <f t="shared" si="58"/>
        <v>0.51528895508035288</v>
      </c>
      <c r="R243" s="1131">
        <f t="shared" si="58"/>
        <v>-2.4931247740904369E-2</v>
      </c>
      <c r="S243" s="1132">
        <f t="shared" si="58"/>
        <v>0.51939744871548044</v>
      </c>
      <c r="T243" s="103">
        <f t="shared" si="58"/>
        <v>0.58808850315066874</v>
      </c>
      <c r="U243" s="1131">
        <f t="shared" si="58"/>
        <v>-2.8226553900756759E-2</v>
      </c>
      <c r="V243" s="1132">
        <f t="shared" si="58"/>
        <v>0.59074959904524027</v>
      </c>
      <c r="W243" s="1124">
        <f t="shared" si="59"/>
        <v>7.2799548070315856E-2</v>
      </c>
      <c r="X243" s="1124">
        <f t="shared" si="59"/>
        <v>0.14127907721011346</v>
      </c>
      <c r="Y243" s="1133" t="str">
        <f t="shared" si="59"/>
        <v>BBB+</v>
      </c>
      <c r="Z243" s="1134" t="str">
        <f t="shared" si="59"/>
        <v>=  =  =</v>
      </c>
      <c r="AA243" s="1128">
        <f t="shared" si="59"/>
        <v>2.7906818261625395</v>
      </c>
      <c r="AB243" s="1135">
        <f t="shared" si="59"/>
        <v>8.5841806528642844E-2</v>
      </c>
      <c r="AC243" s="1129">
        <f t="shared" si="59"/>
        <v>2.9178287645268703</v>
      </c>
    </row>
    <row r="244" spans="1:29">
      <c r="A244" s="1155" t="s">
        <v>27</v>
      </c>
      <c r="B244" s="73" t="s">
        <v>54</v>
      </c>
      <c r="C244" s="1149">
        <f t="shared" si="57"/>
        <v>4745.1447857142857</v>
      </c>
      <c r="D244" s="1150">
        <f t="shared" si="57"/>
        <v>1.2158216408516635E-2</v>
      </c>
      <c r="E244" s="1124">
        <f t="shared" si="57"/>
        <v>-0.63447330491761056</v>
      </c>
      <c r="F244" s="1124">
        <f t="shared" si="57"/>
        <v>-0.53269772601197163</v>
      </c>
      <c r="G244" s="1125">
        <f t="shared" si="57"/>
        <v>2680.5724</v>
      </c>
      <c r="H244" s="1126">
        <f t="shared" si="57"/>
        <v>7.4230283738025878E-3</v>
      </c>
      <c r="I244" s="1127">
        <f t="shared" si="57"/>
        <v>1.3569881249181368</v>
      </c>
      <c r="J244" s="1127">
        <f t="shared" si="57"/>
        <v>1.0332545966156574</v>
      </c>
      <c r="K244" s="1128">
        <f t="shared" si="57"/>
        <v>6.4063105209788551</v>
      </c>
      <c r="L244" s="1124">
        <f t="shared" si="57"/>
        <v>-0.24924595564935845</v>
      </c>
      <c r="M244" s="1129">
        <f t="shared" si="58"/>
        <v>5.3369406950798908</v>
      </c>
      <c r="N244" s="1130">
        <f t="shared" si="58"/>
        <v>0.48460704112825509</v>
      </c>
      <c r="O244" s="1131">
        <f t="shared" si="58"/>
        <v>-0.18079580514885477</v>
      </c>
      <c r="P244" s="1132">
        <f t="shared" si="58"/>
        <v>0.49497857034449522</v>
      </c>
      <c r="Q244" s="1130">
        <f t="shared" si="58"/>
        <v>0.56717095077467305</v>
      </c>
      <c r="R244" s="1131">
        <f t="shared" si="58"/>
        <v>0.64731222518720821</v>
      </c>
      <c r="S244" s="1132">
        <f t="shared" si="58"/>
        <v>0.74754623070756221</v>
      </c>
      <c r="T244" s="103">
        <f t="shared" si="58"/>
        <v>0.5748403529709204</v>
      </c>
      <c r="U244" s="1131">
        <f t="shared" si="58"/>
        <v>0.5906099669472562</v>
      </c>
      <c r="V244" s="1132">
        <f t="shared" si="58"/>
        <v>0.7506672643344422</v>
      </c>
      <c r="W244" s="1124">
        <f t="shared" si="59"/>
        <v>7.6694021962473435E-3</v>
      </c>
      <c r="X244" s="1124">
        <f t="shared" si="59"/>
        <v>1.3522205581530675E-2</v>
      </c>
      <c r="Y244" s="1133" t="str">
        <f t="shared" si="59"/>
        <v>BBB-</v>
      </c>
      <c r="Z244" s="1134" t="str">
        <f t="shared" si="59"/>
        <v>¯  ¯ ¯</v>
      </c>
      <c r="AA244" s="1128">
        <f t="shared" si="59"/>
        <v>3.4278891827637503</v>
      </c>
      <c r="AB244" s="1135">
        <f t="shared" si="59"/>
        <v>0.24423537898737996</v>
      </c>
      <c r="AC244" s="1129">
        <f t="shared" si="59"/>
        <v>3.8230610288109381</v>
      </c>
    </row>
    <row r="245" spans="1:29">
      <c r="A245" s="1155" t="s">
        <v>505</v>
      </c>
      <c r="B245" s="73" t="s">
        <v>44</v>
      </c>
      <c r="C245" s="1149">
        <f t="shared" si="57"/>
        <v>12234.494271428572</v>
      </c>
      <c r="D245" s="1150">
        <f t="shared" si="57"/>
        <v>3.1347753486597643E-2</v>
      </c>
      <c r="E245" s="1124">
        <f t="shared" si="57"/>
        <v>-0.59766521701552</v>
      </c>
      <c r="F245" s="1124">
        <f t="shared" si="57"/>
        <v>-0.49588963810988107</v>
      </c>
      <c r="G245" s="1125">
        <f t="shared" si="57"/>
        <v>6819.5967000000001</v>
      </c>
      <c r="H245" s="1126">
        <f t="shared" si="57"/>
        <v>1.8884794830384175E-2</v>
      </c>
      <c r="I245" s="1127">
        <f t="shared" si="57"/>
        <v>3.9295455833111754</v>
      </c>
      <c r="J245" s="1127">
        <f t="shared" si="57"/>
        <v>1.2175677021960365</v>
      </c>
      <c r="K245" s="1128">
        <f t="shared" si="57"/>
        <v>4.9270605931091591</v>
      </c>
      <c r="L245" s="1124">
        <f t="shared" si="57"/>
        <v>-0.26680842971581226</v>
      </c>
      <c r="M245" s="1129">
        <f t="shared" si="58"/>
        <v>4.0325018858098245</v>
      </c>
      <c r="N245" s="1130">
        <f t="shared" si="58"/>
        <v>0.5805147103617575</v>
      </c>
      <c r="O245" s="1131">
        <f t="shared" si="58"/>
        <v>8.4948466413752491E-2</v>
      </c>
      <c r="P245" s="1132">
        <f t="shared" si="58"/>
        <v>0.6264024463118032</v>
      </c>
      <c r="Q245" s="1130">
        <f t="shared" si="58"/>
        <v>0.51826084585195908</v>
      </c>
      <c r="R245" s="1131">
        <f t="shared" si="58"/>
        <v>0.40005999871326348</v>
      </c>
      <c r="S245" s="1132">
        <f t="shared" si="58"/>
        <v>0.58973938770950263</v>
      </c>
      <c r="T245" s="103">
        <f t="shared" si="58"/>
        <v>0.5495689942142129</v>
      </c>
      <c r="U245" s="1131">
        <f t="shared" si="58"/>
        <v>0.40637993517884302</v>
      </c>
      <c r="V245" s="1132">
        <f t="shared" si="58"/>
        <v>0.63323863537070213</v>
      </c>
      <c r="W245" s="1124">
        <f t="shared" si="59"/>
        <v>3.1308148362253818E-2</v>
      </c>
      <c r="X245" s="1124">
        <f t="shared" si="59"/>
        <v>6.0410020577161203E-2</v>
      </c>
      <c r="Y245" s="1133" t="str">
        <f t="shared" si="59"/>
        <v>BBB-</v>
      </c>
      <c r="Z245" s="1134" t="str">
        <f t="shared" si="59"/>
        <v>=  ¯ =</v>
      </c>
      <c r="AA245" s="1128">
        <f t="shared" si="59"/>
        <v>2.643581803383519</v>
      </c>
      <c r="AB245" s="1135">
        <f t="shared" si="59"/>
        <v>2.8580691559688957E-2</v>
      </c>
      <c r="AC245" s="1129">
        <f t="shared" si="59"/>
        <v>2.5466878830879209</v>
      </c>
    </row>
    <row r="246" spans="1:29">
      <c r="A246" s="1155" t="s">
        <v>19</v>
      </c>
      <c r="B246" s="152" t="s">
        <v>288</v>
      </c>
      <c r="C246" s="1149">
        <f t="shared" si="57"/>
        <v>31174.883771428573</v>
      </c>
      <c r="D246" s="1150">
        <f t="shared" si="57"/>
        <v>7.9877643469276421E-2</v>
      </c>
      <c r="E246" s="1124">
        <f t="shared" si="57"/>
        <v>-0.49416922878378883</v>
      </c>
      <c r="F246" s="1124">
        <f t="shared" si="57"/>
        <v>-0.3923936498781499</v>
      </c>
      <c r="G246" s="1125">
        <f t="shared" si="57"/>
        <v>19124.593099999998</v>
      </c>
      <c r="H246" s="1126">
        <f t="shared" si="57"/>
        <v>5.2959732488004868E-2</v>
      </c>
      <c r="I246" s="1127">
        <f t="shared" si="57"/>
        <v>1.0546425468926217</v>
      </c>
      <c r="J246" s="1127">
        <f t="shared" si="57"/>
        <v>0.72989058468819168</v>
      </c>
      <c r="K246" s="1128">
        <f t="shared" si="57"/>
        <v>4.7838493303826084</v>
      </c>
      <c r="L246" s="1124">
        <f t="shared" si="57"/>
        <v>-0.19812930900653591</v>
      </c>
      <c r="M246" s="1129">
        <f t="shared" si="58"/>
        <v>4.438539176760524</v>
      </c>
      <c r="N246" s="1130">
        <f t="shared" si="58"/>
        <v>0.60741568747204655</v>
      </c>
      <c r="O246" s="1131">
        <f t="shared" si="58"/>
        <v>4.0950219141690898E-2</v>
      </c>
      <c r="P246" s="1132">
        <f t="shared" si="58"/>
        <v>0.62738172243152124</v>
      </c>
      <c r="Q246" s="1130">
        <f t="shared" si="58"/>
        <v>0.50834561454306215</v>
      </c>
      <c r="R246" s="1131">
        <f t="shared" si="58"/>
        <v>0.27477182203191691</v>
      </c>
      <c r="S246" s="1132">
        <f t="shared" si="58"/>
        <v>0.61196382356206247</v>
      </c>
      <c r="T246" s="103">
        <f t="shared" si="58"/>
        <v>0.54898628094174651</v>
      </c>
      <c r="U246" s="1131">
        <f t="shared" si="58"/>
        <v>0.26756473067663017</v>
      </c>
      <c r="V246" s="1132">
        <f t="shared" si="58"/>
        <v>0.65530118542007598</v>
      </c>
      <c r="W246" s="1124">
        <f t="shared" si="59"/>
        <v>4.0640666398684355E-2</v>
      </c>
      <c r="X246" s="1124">
        <f t="shared" si="59"/>
        <v>7.9946920433679999E-2</v>
      </c>
      <c r="Y246" s="1133" t="str">
        <f t="shared" si="59"/>
        <v>BBB+</v>
      </c>
      <c r="Z246" s="1134" t="str">
        <f t="shared" si="59"/>
        <v>=  ¯ ¯</v>
      </c>
      <c r="AA246" s="1128">
        <f t="shared" si="59"/>
        <v>2.5321561588471506</v>
      </c>
      <c r="AB246" s="1135">
        <f t="shared" si="59"/>
        <v>1.3257606300410854E-2</v>
      </c>
      <c r="AC246" s="1129">
        <f t="shared" si="59"/>
        <v>2.8138910595815916</v>
      </c>
    </row>
    <row r="247" spans="1:29">
      <c r="A247" s="1155" t="s">
        <v>219</v>
      </c>
      <c r="B247" s="73" t="s">
        <v>53</v>
      </c>
      <c r="C247" s="1149">
        <f t="shared" si="57"/>
        <v>60036.853628571422</v>
      </c>
      <c r="D247" s="1150">
        <f t="shared" si="57"/>
        <v>0.15382903828354536</v>
      </c>
      <c r="E247" s="1124">
        <f t="shared" si="57"/>
        <v>-0.3618479655094986</v>
      </c>
      <c r="F247" s="1124">
        <f t="shared" si="57"/>
        <v>-0.26007238660385967</v>
      </c>
      <c r="G247" s="1125">
        <f t="shared" si="57"/>
        <v>44430.485000000001</v>
      </c>
      <c r="H247" s="1126">
        <f t="shared" si="57"/>
        <v>0.1230366882897139</v>
      </c>
      <c r="I247" s="1127">
        <f t="shared" si="57"/>
        <v>2.2644833808097031</v>
      </c>
      <c r="J247" s="1127">
        <f t="shared" si="57"/>
        <v>1.7716210773954304</v>
      </c>
      <c r="K247" s="1128">
        <f t="shared" si="57"/>
        <v>5.6943354572509941</v>
      </c>
      <c r="L247" s="1124">
        <f t="shared" si="57"/>
        <v>-7.3155042359885195E-2</v>
      </c>
      <c r="M247" s="1129">
        <f t="shared" si="58"/>
        <v>5.1937231412225326</v>
      </c>
      <c r="N247" s="1130">
        <f t="shared" si="58"/>
        <v>0.6158872479982318</v>
      </c>
      <c r="O247" s="1131">
        <f t="shared" si="58"/>
        <v>0.11044311863454735</v>
      </c>
      <c r="P247" s="1132">
        <f t="shared" si="58"/>
        <v>0.66127040038880336</v>
      </c>
      <c r="Q247" s="1130">
        <f t="shared" si="58"/>
        <v>0.48384306036910518</v>
      </c>
      <c r="R247" s="1131">
        <f t="shared" si="58"/>
        <v>0.2595878527386451</v>
      </c>
      <c r="S247" s="1132">
        <f t="shared" si="58"/>
        <v>0.54381370963962039</v>
      </c>
      <c r="T247" s="103">
        <f t="shared" si="58"/>
        <v>0.51513010935716153</v>
      </c>
      <c r="U247" s="1131">
        <f t="shared" si="58"/>
        <v>0.26130995158024306</v>
      </c>
      <c r="V247" s="1132">
        <f t="shared" si="58"/>
        <v>0.57929804018594233</v>
      </c>
      <c r="W247" s="1124">
        <f t="shared" si="59"/>
        <v>3.1287048988056343E-2</v>
      </c>
      <c r="X247" s="1124">
        <f t="shared" si="59"/>
        <v>6.4663630732222685E-2</v>
      </c>
      <c r="Y247" s="1133" t="str">
        <f t="shared" si="59"/>
        <v>BBB</v>
      </c>
      <c r="Z247" s="1134" t="str">
        <f t="shared" si="59"/>
        <v>¯  ¯ ¯</v>
      </c>
      <c r="AA247" s="1128">
        <f t="shared" si="59"/>
        <v>2.7929780820851775</v>
      </c>
      <c r="AB247" s="1135">
        <f t="shared" si="59"/>
        <v>0.12404595260605845</v>
      </c>
      <c r="AC247" s="1129">
        <f t="shared" si="59"/>
        <v>2.8353348809740444</v>
      </c>
    </row>
    <row r="248" spans="1:29">
      <c r="A248" s="1155" t="s">
        <v>389</v>
      </c>
      <c r="B248" s="73" t="s">
        <v>278</v>
      </c>
      <c r="C248" s="1149">
        <f t="shared" si="57"/>
        <v>3544.0522571428578</v>
      </c>
      <c r="D248" s="1150">
        <f t="shared" si="57"/>
        <v>9.0807248780183369E-3</v>
      </c>
      <c r="E248" s="1124">
        <f t="shared" si="57"/>
        <v>-0.4675424361384804</v>
      </c>
      <c r="F248" s="1124">
        <f t="shared" si="57"/>
        <v>-0.36576685723284147</v>
      </c>
      <c r="G248" s="1125">
        <f t="shared" si="57"/>
        <v>2152.6311000000001</v>
      </c>
      <c r="H248" s="1126">
        <f t="shared" si="57"/>
        <v>5.9610558303255963E-3</v>
      </c>
      <c r="I248" s="1127">
        <f t="shared" si="57"/>
        <v>3.4941691326062152</v>
      </c>
      <c r="J248" s="1127">
        <f t="shared" si="57"/>
        <v>2.2961398399999999</v>
      </c>
      <c r="K248" s="1128">
        <f t="shared" si="57"/>
        <v>4.4503654862327</v>
      </c>
      <c r="L248" s="1124">
        <f t="shared" si="57"/>
        <v>-2.9835823683801648E-2</v>
      </c>
      <c r="M248" s="1129">
        <f t="shared" si="58"/>
        <v>4.0530525032062261</v>
      </c>
      <c r="N248" s="1130">
        <f t="shared" si="58"/>
        <v>0.60910298289809772</v>
      </c>
      <c r="O248" s="1131">
        <f t="shared" si="58"/>
        <v>-5.2071170724915891E-2</v>
      </c>
      <c r="P248" s="1132">
        <f t="shared" si="58"/>
        <v>0.6207941242005639</v>
      </c>
      <c r="Q248" s="1130">
        <f t="shared" si="58"/>
        <v>0.49050145598877937</v>
      </c>
      <c r="R248" s="1131">
        <f t="shared" si="58"/>
        <v>0.42102559519407173</v>
      </c>
      <c r="S248" s="1132">
        <f t="shared" si="58"/>
        <v>0.61744816018521742</v>
      </c>
      <c r="T248" s="103">
        <f t="shared" si="58"/>
        <v>0.49698573886957192</v>
      </c>
      <c r="U248" s="1131">
        <f t="shared" si="58"/>
        <v>0.41032171167013903</v>
      </c>
      <c r="V248" s="1132">
        <f t="shared" si="58"/>
        <v>0.62319136029119382</v>
      </c>
      <c r="W248" s="1124">
        <f t="shared" si="59"/>
        <v>6.4842828807925579E-3</v>
      </c>
      <c r="X248" s="1124">
        <f t="shared" si="59"/>
        <v>1.3219701596443154E-2</v>
      </c>
      <c r="Y248" s="1133" t="str">
        <f t="shared" si="59"/>
        <v>BBB</v>
      </c>
      <c r="Z248" s="1134" t="str">
        <f t="shared" si="59"/>
        <v>=  ¯ -</v>
      </c>
      <c r="AA248" s="1128">
        <f t="shared" si="59"/>
        <v>2.1902281092407181</v>
      </c>
      <c r="AB248" s="1135">
        <f t="shared" si="59"/>
        <v>0.36844726500440206</v>
      </c>
      <c r="AC248" s="1129">
        <f t="shared" si="59"/>
        <v>2.5252968522290931</v>
      </c>
    </row>
    <row r="249" spans="1:29">
      <c r="A249" s="1155" t="s">
        <v>32</v>
      </c>
      <c r="B249" s="73" t="s">
        <v>50</v>
      </c>
      <c r="C249" s="1149">
        <f t="shared" si="57"/>
        <v>19515.355899391296</v>
      </c>
      <c r="D249" s="1150">
        <f t="shared" si="57"/>
        <v>5.0003093905237848E-2</v>
      </c>
      <c r="E249" s="1124">
        <f t="shared" si="57"/>
        <v>1.1994936816856254</v>
      </c>
      <c r="F249" s="1124">
        <f t="shared" si="57"/>
        <v>1.3012692605912644</v>
      </c>
      <c r="G249" s="1125">
        <f t="shared" si="57"/>
        <v>28491.576306321644</v>
      </c>
      <c r="H249" s="1126">
        <f t="shared" si="57"/>
        <v>7.8898737947233621E-2</v>
      </c>
      <c r="I249" s="1127">
        <f t="shared" si="57"/>
        <v>-0.89894076859195104</v>
      </c>
      <c r="J249" s="1127">
        <f t="shared" si="57"/>
        <v>39.625784878048783</v>
      </c>
      <c r="K249" s="1128">
        <f t="shared" si="57"/>
        <v>4.6985221679038922</v>
      </c>
      <c r="L249" s="1124">
        <f t="shared" si="57"/>
        <v>0.4140020451008824</v>
      </c>
      <c r="M249" s="1129">
        <f t="shared" si="58"/>
        <v>5.7096258695546744</v>
      </c>
      <c r="N249" s="1130">
        <f t="shared" si="58"/>
        <v>0</v>
      </c>
      <c r="O249" s="1131">
        <f t="shared" si="58"/>
        <v>0</v>
      </c>
      <c r="P249" s="1132">
        <f t="shared" si="58"/>
        <v>0</v>
      </c>
      <c r="Q249" s="1130">
        <f t="shared" si="58"/>
        <v>0.37025195227815472</v>
      </c>
      <c r="R249" s="1131">
        <f t="shared" si="58"/>
        <v>-0.46222821771061889</v>
      </c>
      <c r="S249" s="1132">
        <f t="shared" si="58"/>
        <v>0.26403640782716253</v>
      </c>
      <c r="T249" s="103">
        <f t="shared" si="58"/>
        <v>0.48927059752514818</v>
      </c>
      <c r="U249" s="1131">
        <f t="shared" si="58"/>
        <v>-0.38189416595312975</v>
      </c>
      <c r="V249" s="1132">
        <f t="shared" si="58"/>
        <v>0.37414035756341019</v>
      </c>
      <c r="W249" s="1124">
        <f t="shared" si="59"/>
        <v>0.11901864524699346</v>
      </c>
      <c r="X249" s="1124">
        <f t="shared" si="59"/>
        <v>0.32145312000294263</v>
      </c>
      <c r="Y249" s="1133" t="str">
        <f t="shared" si="59"/>
        <v>BBB</v>
      </c>
      <c r="Z249" s="1134" t="str">
        <f t="shared" si="59"/>
        <v xml:space="preserve">=  -  = </v>
      </c>
      <c r="AA249" s="1128">
        <f t="shared" si="59"/>
        <v>2.2664974928712622</v>
      </c>
      <c r="AB249" s="1135">
        <f t="shared" si="59"/>
        <v>-0.12537902502142731</v>
      </c>
      <c r="AC249" s="1129">
        <f t="shared" si="59"/>
        <v>2.136201464388483</v>
      </c>
    </row>
    <row r="250" spans="1:29">
      <c r="A250" s="1155" t="s">
        <v>27</v>
      </c>
      <c r="B250" s="73" t="s">
        <v>357</v>
      </c>
      <c r="C250" s="1149">
        <f t="shared" ref="C250:L262" si="60">VLOOKUP($B250,$B$7:$AC$28,C$37+1,FALSE)</f>
        <v>504.56125714285719</v>
      </c>
      <c r="D250" s="1150">
        <f t="shared" si="60"/>
        <v>1.292808804099037E-3</v>
      </c>
      <c r="E250" s="1124">
        <f t="shared" si="60"/>
        <v>0.11241291049139049</v>
      </c>
      <c r="F250" s="1124">
        <f t="shared" si="60"/>
        <v>0.21418848939702945</v>
      </c>
      <c r="G250" s="1125">
        <f t="shared" si="60"/>
        <v>562.64409999999998</v>
      </c>
      <c r="H250" s="1126">
        <f t="shared" si="60"/>
        <v>1.5580713726115437E-3</v>
      </c>
      <c r="I250" s="1127">
        <f t="shared" si="60"/>
        <v>0.48825120153947199</v>
      </c>
      <c r="J250" s="1127">
        <f t="shared" si="60"/>
        <v>0.52140126030951717</v>
      </c>
      <c r="K250" s="1128">
        <f t="shared" si="60"/>
        <v>3.8552632920912293</v>
      </c>
      <c r="L250" s="1124">
        <f t="shared" si="60"/>
        <v>-0.11001004882442665</v>
      </c>
      <c r="M250" s="1129">
        <f t="shared" ref="M250:Y262" si="61">VLOOKUP($B250,$B$7:$AC$28,M$37+1,FALSE)</f>
        <v>3.9063069179772585</v>
      </c>
      <c r="N250" s="1130">
        <f t="shared" si="61"/>
        <v>0.90539538726018864</v>
      </c>
      <c r="O250" s="1131">
        <f t="shared" si="61"/>
        <v>-4.1189056985539901E-2</v>
      </c>
      <c r="P250" s="1132">
        <f t="shared" si="61"/>
        <v>0.90138346931536006</v>
      </c>
      <c r="Q250" s="1130">
        <f t="shared" si="61"/>
        <v>0.38160323267486906</v>
      </c>
      <c r="R250" s="1131">
        <f t="shared" si="61"/>
        <v>0.13281779457810056</v>
      </c>
      <c r="S250" s="1132">
        <f t="shared" si="61"/>
        <v>0.39444904186551905</v>
      </c>
      <c r="T250" s="103">
        <f t="shared" si="61"/>
        <v>0.47841518539184064</v>
      </c>
      <c r="U250" s="1131">
        <f t="shared" si="61"/>
        <v>1.1717685634717274E-2</v>
      </c>
      <c r="V250" s="1132">
        <f t="shared" si="61"/>
        <v>0.46507375880431212</v>
      </c>
      <c r="W250" s="1124">
        <f t="shared" si="61"/>
        <v>9.6811952716971572E-2</v>
      </c>
      <c r="X250" s="1124">
        <f t="shared" si="61"/>
        <v>0.25369793656715856</v>
      </c>
      <c r="Y250" s="1133" t="str">
        <f t="shared" si="61"/>
        <v>Not rated</v>
      </c>
      <c r="Z250" s="1134"/>
      <c r="AA250" s="1128">
        <f t="shared" ref="AA250:AC262" si="62">VLOOKUP($B250,$B$7:$AC$28,AA$37+1,FALSE)</f>
        <v>1.832329792526622</v>
      </c>
      <c r="AB250" s="1135">
        <f t="shared" si="62"/>
        <v>-9.9442962217240083E-2</v>
      </c>
      <c r="AC250" s="1129">
        <f t="shared" si="62"/>
        <v>1.8160302149559577</v>
      </c>
    </row>
    <row r="251" spans="1:29">
      <c r="A251" s="1155" t="s">
        <v>545</v>
      </c>
      <c r="B251" s="73" t="s">
        <v>39</v>
      </c>
      <c r="C251" s="1149">
        <f t="shared" si="60"/>
        <v>5059.5155870714543</v>
      </c>
      <c r="D251" s="1150">
        <f t="shared" si="60"/>
        <v>1.2963710952524294E-2</v>
      </c>
      <c r="E251" s="1124">
        <f t="shared" si="60"/>
        <v>-0.13366823909704381</v>
      </c>
      <c r="F251" s="1124">
        <f t="shared" si="60"/>
        <v>-3.1892660191404867E-2</v>
      </c>
      <c r="G251" s="1125">
        <f t="shared" si="60"/>
        <v>5057.8123335929276</v>
      </c>
      <c r="H251" s="1126">
        <f t="shared" si="60"/>
        <v>1.4006069920599414E-2</v>
      </c>
      <c r="I251" s="1127">
        <f t="shared" si="60"/>
        <v>1.6858649053444912</v>
      </c>
      <c r="J251" s="1127">
        <f t="shared" si="60"/>
        <v>1.7703056194544857</v>
      </c>
      <c r="K251" s="1128">
        <f t="shared" si="60"/>
        <v>5.8927844479191869</v>
      </c>
      <c r="L251" s="1124">
        <f t="shared" si="60"/>
        <v>-0.19036897853308513</v>
      </c>
      <c r="M251" s="1129">
        <f t="shared" si="61"/>
        <v>5.9052222685092017</v>
      </c>
      <c r="N251" s="1130">
        <f t="shared" si="61"/>
        <v>0.31054928118178421</v>
      </c>
      <c r="O251" s="1131">
        <f t="shared" si="61"/>
        <v>-0.11491916916279199</v>
      </c>
      <c r="P251" s="1132">
        <f t="shared" si="61"/>
        <v>0.28165979767703259</v>
      </c>
      <c r="Q251" s="1130">
        <f t="shared" si="61"/>
        <v>0.3899242463002407</v>
      </c>
      <c r="R251" s="1131">
        <f t="shared" si="61"/>
        <v>-0.1197676600756727</v>
      </c>
      <c r="S251" s="1132">
        <f t="shared" si="61"/>
        <v>0.37944762378701169</v>
      </c>
      <c r="T251" s="103">
        <f t="shared" si="61"/>
        <v>0.45093517146474416</v>
      </c>
      <c r="U251" s="1131">
        <f t="shared" si="61"/>
        <v>-8.3572610535330494E-2</v>
      </c>
      <c r="V251" s="1132">
        <f t="shared" si="61"/>
        <v>0.43916945384982109</v>
      </c>
      <c r="W251" s="1124">
        <f t="shared" si="61"/>
        <v>6.101092516450346E-2</v>
      </c>
      <c r="X251" s="1124">
        <f t="shared" si="61"/>
        <v>0.15646866216553562</v>
      </c>
      <c r="Y251" s="1133" t="str">
        <f t="shared" si="61"/>
        <v>BBB</v>
      </c>
      <c r="Z251" s="1134" t="str">
        <f>VLOOKUP($B251,$B$7:$AC$28,Z$37+1,FALSE)</f>
        <v>­  = =</v>
      </c>
      <c r="AA251" s="1128">
        <f t="shared" si="62"/>
        <v>2.6587814840492587</v>
      </c>
      <c r="AB251" s="1135">
        <f t="shared" si="62"/>
        <v>-0.25803195656746131</v>
      </c>
      <c r="AC251" s="1129">
        <f t="shared" si="62"/>
        <v>2.5933932385229874</v>
      </c>
    </row>
    <row r="252" spans="1:29">
      <c r="A252" s="1156" t="s">
        <v>323</v>
      </c>
      <c r="B252" s="726" t="s">
        <v>774</v>
      </c>
      <c r="C252" s="1151">
        <f t="shared" si="60"/>
        <v>3541.6238999999996</v>
      </c>
      <c r="D252" s="1152">
        <f t="shared" si="60"/>
        <v>9.0745028357006995E-3</v>
      </c>
      <c r="E252" s="1136">
        <f t="shared" si="60"/>
        <v>0.67327297771392325</v>
      </c>
      <c r="F252" s="1136">
        <f t="shared" si="60"/>
        <v>0.77504855661956218</v>
      </c>
      <c r="G252" s="1137">
        <f t="shared" si="60"/>
        <v>4048.9897999999998</v>
      </c>
      <c r="H252" s="1138">
        <f t="shared" si="60"/>
        <v>1.1212443346293226E-2</v>
      </c>
      <c r="I252" s="1139">
        <f t="shared" si="60"/>
        <v>-1.4186196832586249</v>
      </c>
      <c r="J252" s="1139">
        <f t="shared" si="60"/>
        <v>-2.7147098893731143</v>
      </c>
      <c r="K252" s="1140">
        <f t="shared" si="60"/>
        <v>8.6861758729657641</v>
      </c>
      <c r="L252" s="1136">
        <f t="shared" si="60"/>
        <v>0.26215680659638446</v>
      </c>
      <c r="M252" s="1141">
        <f t="shared" si="61"/>
        <v>9.0506669895995948</v>
      </c>
      <c r="N252" s="1142">
        <f t="shared" si="61"/>
        <v>6.4385445236561381E-2</v>
      </c>
      <c r="O252" s="1143">
        <f t="shared" si="61"/>
        <v>14.697799124913645</v>
      </c>
      <c r="P252" s="1144">
        <f t="shared" si="61"/>
        <v>0.15462918080465343</v>
      </c>
      <c r="Q252" s="1142">
        <f t="shared" si="61"/>
        <v>0.42399287000325037</v>
      </c>
      <c r="R252" s="1143">
        <f t="shared" si="61"/>
        <v>4.5742782667206161E-2</v>
      </c>
      <c r="S252" s="1144">
        <f t="shared" si="61"/>
        <v>0.48144640266975475</v>
      </c>
      <c r="T252" s="1076">
        <f t="shared" si="61"/>
        <v>0.42695023434228802</v>
      </c>
      <c r="U252" s="1143">
        <f t="shared" si="61"/>
        <v>4.1366838913311048E-2</v>
      </c>
      <c r="V252" s="1144">
        <f t="shared" si="61"/>
        <v>0.4832654138496531</v>
      </c>
      <c r="W252" s="1136">
        <f t="shared" si="61"/>
        <v>2.9573643390376492E-3</v>
      </c>
      <c r="X252" s="1136">
        <f t="shared" si="61"/>
        <v>6.9750331863245195E-3</v>
      </c>
      <c r="Y252" s="1145" t="str">
        <f t="shared" si="61"/>
        <v>B+</v>
      </c>
      <c r="Z252" s="1146" t="str">
        <f>VLOOKUP($B252,$B$7:$AC$28,Z$37+1,FALSE)</f>
        <v>=  =  =</v>
      </c>
      <c r="AA252" s="1140">
        <f t="shared" si="62"/>
        <v>3.7014756930154613</v>
      </c>
      <c r="AB252" s="1147">
        <f t="shared" si="62"/>
        <v>0.31334582285320112</v>
      </c>
      <c r="AC252" s="1141">
        <f t="shared" si="62"/>
        <v>4.3704719780651446</v>
      </c>
    </row>
    <row r="253" spans="1:29">
      <c r="A253" s="1155" t="s">
        <v>508</v>
      </c>
      <c r="B253" s="73" t="s">
        <v>290</v>
      </c>
      <c r="C253" s="1149">
        <f t="shared" si="60"/>
        <v>16250.837973523972</v>
      </c>
      <c r="D253" s="1150">
        <f t="shared" si="60"/>
        <v>4.1638604052015776E-2</v>
      </c>
      <c r="E253" s="1124">
        <f t="shared" si="60"/>
        <v>0.20894195471198634</v>
      </c>
      <c r="F253" s="1124">
        <f t="shared" si="60"/>
        <v>0.31071753361762527</v>
      </c>
      <c r="G253" s="1125">
        <f t="shared" si="60"/>
        <v>17428.290742138299</v>
      </c>
      <c r="H253" s="1126">
        <f t="shared" si="60"/>
        <v>4.826234004564605E-2</v>
      </c>
      <c r="I253" s="1127">
        <f t="shared" si="60"/>
        <v>4.0995220850209826</v>
      </c>
      <c r="J253" s="1127">
        <f t="shared" si="60"/>
        <v>4.5731712273212377</v>
      </c>
      <c r="K253" s="1128">
        <f t="shared" si="60"/>
        <v>6.7995363362554677</v>
      </c>
      <c r="L253" s="1124">
        <f t="shared" si="60"/>
        <v>0.2149868566781509</v>
      </c>
      <c r="M253" s="1129">
        <f t="shared" si="61"/>
        <v>7.5822149145373468</v>
      </c>
      <c r="N253" s="1130">
        <f t="shared" si="61"/>
        <v>0.32615050588405037</v>
      </c>
      <c r="O253" s="1131">
        <f t="shared" si="61"/>
        <v>-8.7660674172335792E-2</v>
      </c>
      <c r="P253" s="1132">
        <f t="shared" si="61"/>
        <v>0.30985103942866765</v>
      </c>
      <c r="Q253" s="1130">
        <f t="shared" si="61"/>
        <v>0.30558583418722468</v>
      </c>
      <c r="R253" s="1131">
        <f t="shared" si="61"/>
        <v>-0.13620468181810452</v>
      </c>
      <c r="S253" s="1132">
        <f t="shared" si="61"/>
        <v>0.29018390059321952</v>
      </c>
      <c r="T253" s="103">
        <f t="shared" si="61"/>
        <v>0.31922230141848357</v>
      </c>
      <c r="U253" s="1131">
        <f t="shared" si="61"/>
        <v>-0.13496032758973828</v>
      </c>
      <c r="V253" s="1132">
        <f t="shared" si="61"/>
        <v>0.30362227391248225</v>
      </c>
      <c r="W253" s="1124">
        <f t="shared" si="61"/>
        <v>1.3636467231258886E-2</v>
      </c>
      <c r="X253" s="1124">
        <f t="shared" si="61"/>
        <v>4.4624016252350789E-2</v>
      </c>
      <c r="Y253" s="1133" t="str">
        <f t="shared" si="61"/>
        <v>A</v>
      </c>
      <c r="Z253" s="1134" t="str">
        <f>VLOOKUP($B253,$B$7:$AC$28,Z$37+1,FALSE)</f>
        <v>=  =  -</v>
      </c>
      <c r="AA253" s="1128">
        <f t="shared" si="62"/>
        <v>2.1579177629636748</v>
      </c>
      <c r="AB253" s="1135">
        <f t="shared" si="62"/>
        <v>6.0078851309961184E-2</v>
      </c>
      <c r="AC253" s="1129">
        <f t="shared" si="62"/>
        <v>2.3009327536910358</v>
      </c>
    </row>
    <row r="254" spans="1:29">
      <c r="A254" s="1155" t="s">
        <v>32</v>
      </c>
      <c r="B254" s="73" t="s">
        <v>279</v>
      </c>
      <c r="C254" s="1149">
        <f t="shared" si="60"/>
        <v>103061.53572524291</v>
      </c>
      <c r="D254" s="1150">
        <f t="shared" si="60"/>
        <v>0.26406875054982143</v>
      </c>
      <c r="E254" s="1124">
        <f t="shared" si="60"/>
        <v>7.5306160052783275E-2</v>
      </c>
      <c r="F254" s="1124">
        <f t="shared" si="60"/>
        <v>0.17708173895842222</v>
      </c>
      <c r="G254" s="1125">
        <f t="shared" si="60"/>
        <v>106720.85775234729</v>
      </c>
      <c r="H254" s="1126">
        <f t="shared" si="60"/>
        <v>0.29553089301830604</v>
      </c>
      <c r="I254" s="1127">
        <f t="shared" si="60"/>
        <v>1.0837821931217524</v>
      </c>
      <c r="J254" s="1127">
        <f t="shared" si="60"/>
        <v>1.259272460269286</v>
      </c>
      <c r="K254" s="1128">
        <f t="shared" si="60"/>
        <v>7.5360879751187033</v>
      </c>
      <c r="L254" s="1124">
        <f t="shared" si="60"/>
        <v>0.12910548637067604</v>
      </c>
      <c r="M254" s="1129">
        <f t="shared" si="61"/>
        <v>8.6584668441025876</v>
      </c>
      <c r="N254" s="1130">
        <f t="shared" si="61"/>
        <v>0.91487499999999988</v>
      </c>
      <c r="O254" s="1131">
        <f t="shared" si="61"/>
        <v>-4.3736501079913587E-2</v>
      </c>
      <c r="P254" s="1132">
        <f t="shared" si="61"/>
        <v>0.89481420237931208</v>
      </c>
      <c r="Q254" s="1130">
        <f t="shared" si="61"/>
        <v>0.24509229252810941</v>
      </c>
      <c r="R254" s="1131">
        <f t="shared" si="61"/>
        <v>-0.16501821733667812</v>
      </c>
      <c r="S254" s="1132">
        <f t="shared" si="61"/>
        <v>0.23828807339295358</v>
      </c>
      <c r="T254" s="103">
        <f t="shared" si="61"/>
        <v>0.27870192226407053</v>
      </c>
      <c r="U254" s="1131">
        <f t="shared" si="61"/>
        <v>-0.14309331637647091</v>
      </c>
      <c r="V254" s="1132">
        <f t="shared" si="61"/>
        <v>0.2718321660431175</v>
      </c>
      <c r="W254" s="1124">
        <f t="shared" si="61"/>
        <v>3.3609629735961127E-2</v>
      </c>
      <c r="X254" s="1124">
        <f t="shared" si="61"/>
        <v>0.13713050455108242</v>
      </c>
      <c r="Y254" s="1133" t="str">
        <f t="shared" si="61"/>
        <v>A-</v>
      </c>
      <c r="Z254" s="1134" t="str">
        <f>VLOOKUP($B254,$B$7:$AC$28,Z$37+1,FALSE)</f>
        <v>=  =  =</v>
      </c>
      <c r="AA254" s="1128">
        <f t="shared" si="62"/>
        <v>2.0880314655341889</v>
      </c>
      <c r="AB254" s="1135">
        <f t="shared" si="62"/>
        <v>-3.7762767487534328E-2</v>
      </c>
      <c r="AC254" s="1129">
        <f t="shared" si="62"/>
        <v>2.3348198024327131</v>
      </c>
    </row>
    <row r="255" spans="1:29">
      <c r="A255" s="1156" t="s">
        <v>323</v>
      </c>
      <c r="B255" s="726" t="s">
        <v>773</v>
      </c>
      <c r="C255" s="1151">
        <f t="shared" si="60"/>
        <v>2121.4584571428572</v>
      </c>
      <c r="D255" s="1152">
        <f t="shared" si="60"/>
        <v>5.4356931534045982E-3</v>
      </c>
      <c r="E255" s="1136">
        <f t="shared" si="60"/>
        <v>-0.63331383871554725</v>
      </c>
      <c r="F255" s="1136">
        <f t="shared" si="60"/>
        <v>-0.53153825980990832</v>
      </c>
      <c r="G255" s="1137">
        <f t="shared" si="60"/>
        <v>960.23059999999998</v>
      </c>
      <c r="H255" s="1138">
        <f t="shared" si="60"/>
        <v>2.6590660223142948E-3</v>
      </c>
      <c r="I255" s="1139">
        <f t="shared" si="60"/>
        <v>6.3820660890696566</v>
      </c>
      <c r="J255" s="1139">
        <f t="shared" si="60"/>
        <v>3.126768479322696</v>
      </c>
      <c r="K255" s="1140">
        <f t="shared" si="60"/>
        <v>4.9107929634600707</v>
      </c>
      <c r="L255" s="1136">
        <f t="shared" si="60"/>
        <v>-0.2975700901517318</v>
      </c>
      <c r="M255" s="1141">
        <f t="shared" si="61"/>
        <v>3.6764587184436395</v>
      </c>
      <c r="N255" s="1142">
        <f t="shared" si="61"/>
        <v>0.95644485424869818</v>
      </c>
      <c r="O255" s="1143">
        <f t="shared" si="61"/>
        <v>5.7346309608293736E-3</v>
      </c>
      <c r="P255" s="1144">
        <f t="shared" si="61"/>
        <v>0.97265268915223335</v>
      </c>
      <c r="Q255" s="1142">
        <f t="shared" si="61"/>
        <v>0.16489915086810925</v>
      </c>
      <c r="R255" s="1143">
        <f t="shared" si="61"/>
        <v>2.0043608623878186</v>
      </c>
      <c r="S255" s="1144">
        <f t="shared" si="61"/>
        <v>0.32988338723452482</v>
      </c>
      <c r="T255" s="1076">
        <f t="shared" si="61"/>
        <v>0.27218937885351913</v>
      </c>
      <c r="U255" s="1143">
        <f t="shared" si="61"/>
        <v>1.2181747217666232</v>
      </c>
      <c r="V255" s="1144">
        <f t="shared" si="61"/>
        <v>0.4561905930983241</v>
      </c>
      <c r="W255" s="1136">
        <f t="shared" si="61"/>
        <v>0.10729022798540988</v>
      </c>
      <c r="X255" s="1136">
        <f t="shared" si="61"/>
        <v>0.65064148250965514</v>
      </c>
      <c r="Y255" s="1145" t="str">
        <f t="shared" si="61"/>
        <v>Not rated</v>
      </c>
      <c r="Z255" s="1146"/>
      <c r="AA255" s="1140">
        <f t="shared" si="62"/>
        <v>1.2440956586918632</v>
      </c>
      <c r="AB255" s="1147">
        <f t="shared" si="62"/>
        <v>0.5581122698382367</v>
      </c>
      <c r="AC255" s="1141">
        <f t="shared" si="62"/>
        <v>1.6771658832683087</v>
      </c>
    </row>
    <row r="256" spans="1:29">
      <c r="A256" s="1155" t="s">
        <v>73</v>
      </c>
      <c r="B256" s="73" t="s">
        <v>285</v>
      </c>
      <c r="C256" s="1149">
        <f t="shared" si="60"/>
        <v>2461.5190857142857</v>
      </c>
      <c r="D256" s="1150">
        <f t="shared" si="60"/>
        <v>6.3070112903421734E-3</v>
      </c>
      <c r="E256" s="1124">
        <f t="shared" si="60"/>
        <v>6.738754525599433E-2</v>
      </c>
      <c r="F256" s="1124">
        <f t="shared" si="60"/>
        <v>0.16916312416163326</v>
      </c>
      <c r="G256" s="1125">
        <f t="shared" si="60"/>
        <v>2364.3629999999998</v>
      </c>
      <c r="H256" s="1126">
        <f t="shared" si="60"/>
        <v>6.5473828033777437E-3</v>
      </c>
      <c r="I256" s="1127">
        <f t="shared" si="60"/>
        <v>3.1397518024733277</v>
      </c>
      <c r="J256" s="1127">
        <f t="shared" si="60"/>
        <v>3.0995844257996854</v>
      </c>
      <c r="K256" s="1128">
        <f t="shared" si="60"/>
        <v>6.7052926466266065</v>
      </c>
      <c r="L256" s="1124">
        <f t="shared" si="60"/>
        <v>0.14721542174528052</v>
      </c>
      <c r="M256" s="1129">
        <f t="shared" si="61"/>
        <v>7.0127743881429545</v>
      </c>
      <c r="N256" s="1130">
        <f t="shared" si="61"/>
        <v>0.62657499999999999</v>
      </c>
      <c r="O256" s="1131">
        <f t="shared" si="61"/>
        <v>5.5614710459497153E-2</v>
      </c>
      <c r="P256" s="1132">
        <f t="shared" si="61"/>
        <v>0.64439999999999997</v>
      </c>
      <c r="Q256" s="1130">
        <f t="shared" si="61"/>
        <v>0.24190098439360719</v>
      </c>
      <c r="R256" s="1131">
        <f t="shared" si="61"/>
        <v>0.20667512064869559</v>
      </c>
      <c r="S256" s="1132">
        <f t="shared" si="61"/>
        <v>0.30597960586046052</v>
      </c>
      <c r="T256" s="103">
        <f t="shared" si="61"/>
        <v>0.2616424852780464</v>
      </c>
      <c r="U256" s="1131">
        <f t="shared" si="61"/>
        <v>0.20296552626351777</v>
      </c>
      <c r="V256" s="1132">
        <f t="shared" si="61"/>
        <v>0.32061814749302248</v>
      </c>
      <c r="W256" s="1124">
        <f t="shared" si="61"/>
        <v>1.9741500884439211E-2</v>
      </c>
      <c r="X256" s="1124">
        <f t="shared" si="61"/>
        <v>8.1609841042717679E-2</v>
      </c>
      <c r="Y256" s="1133" t="str">
        <f t="shared" si="61"/>
        <v>BBB</v>
      </c>
      <c r="Z256" s="1134" t="str">
        <f>VLOOKUP($B256,$B$7:$AC$28,Z$37+1,FALSE)</f>
        <v>=  =  -</v>
      </c>
      <c r="AA256" s="1128">
        <f t="shared" si="62"/>
        <v>1.7511002028712532</v>
      </c>
      <c r="AB256" s="1135">
        <f t="shared" si="62"/>
        <v>0.37093258903528414</v>
      </c>
      <c r="AC256" s="1129">
        <f t="shared" si="62"/>
        <v>2.2311132077757287</v>
      </c>
    </row>
    <row r="257" spans="1:29">
      <c r="A257" s="1155" t="s">
        <v>507</v>
      </c>
      <c r="B257" s="73" t="s">
        <v>284</v>
      </c>
      <c r="C257" s="1149">
        <f t="shared" si="60"/>
        <v>22949.481858519866</v>
      </c>
      <c r="D257" s="1150">
        <f t="shared" si="60"/>
        <v>5.8802160840116385E-2</v>
      </c>
      <c r="E257" s="1124">
        <f t="shared" si="60"/>
        <v>-8.3288171902550459E-2</v>
      </c>
      <c r="F257" s="1124">
        <f t="shared" si="60"/>
        <v>1.8487407003088485E-2</v>
      </c>
      <c r="G257" s="1125">
        <f t="shared" si="60"/>
        <v>21731.57918967646</v>
      </c>
      <c r="H257" s="1126">
        <f t="shared" si="60"/>
        <v>6.0178986000343146E-2</v>
      </c>
      <c r="I257" s="1127">
        <f t="shared" si="60"/>
        <v>1.7647070716020126</v>
      </c>
      <c r="J257" s="1127">
        <f t="shared" si="60"/>
        <v>1.7786623686113903</v>
      </c>
      <c r="K257" s="1128">
        <f t="shared" si="60"/>
        <v>7.5421176018870622</v>
      </c>
      <c r="L257" s="1124">
        <f t="shared" si="60"/>
        <v>2.1076957712408067E-2</v>
      </c>
      <c r="M257" s="1129">
        <f t="shared" si="61"/>
        <v>7.6896404016441506</v>
      </c>
      <c r="N257" s="1130">
        <f t="shared" si="61"/>
        <v>0.67984865616162071</v>
      </c>
      <c r="O257" s="1131">
        <f t="shared" si="61"/>
        <v>0.13956056160252914</v>
      </c>
      <c r="P257" s="1132">
        <f t="shared" si="61"/>
        <v>0.7167630057803468</v>
      </c>
      <c r="Q257" s="1130">
        <f t="shared" si="61"/>
        <v>0.23215418017261674</v>
      </c>
      <c r="R257" s="1131">
        <f t="shared" si="61"/>
        <v>0.36187217108516367</v>
      </c>
      <c r="S257" s="1132">
        <f t="shared" si="61"/>
        <v>0.26525179681706468</v>
      </c>
      <c r="T257" s="103">
        <f t="shared" si="61"/>
        <v>0.2501311526811702</v>
      </c>
      <c r="U257" s="1131">
        <f t="shared" si="61"/>
        <v>0.31916438327965047</v>
      </c>
      <c r="V257" s="1132">
        <f t="shared" si="61"/>
        <v>0.28287599661626001</v>
      </c>
      <c r="W257" s="1124">
        <f t="shared" si="61"/>
        <v>1.7976972508553457E-2</v>
      </c>
      <c r="X257" s="1124">
        <f t="shared" si="61"/>
        <v>7.7435489187344358E-2</v>
      </c>
      <c r="Y257" s="1133" t="str">
        <f t="shared" si="61"/>
        <v>A-</v>
      </c>
      <c r="Z257" s="1134" t="str">
        <f>VLOOKUP($B257,$B$7:$AC$28,Z$37+1,FALSE)</f>
        <v>=  =  =</v>
      </c>
      <c r="AA257" s="1128">
        <f t="shared" si="62"/>
        <v>1.845874038975184</v>
      </c>
      <c r="AB257" s="1135">
        <f t="shared" si="62"/>
        <v>0.36079457239176377</v>
      </c>
      <c r="AC257" s="1129">
        <f t="shared" si="62"/>
        <v>2.1424428051274771</v>
      </c>
    </row>
    <row r="258" spans="1:29">
      <c r="A258" s="1155" t="s">
        <v>507</v>
      </c>
      <c r="B258" s="73" t="s">
        <v>282</v>
      </c>
      <c r="C258" s="1149">
        <f t="shared" si="60"/>
        <v>5769.8566757446433</v>
      </c>
      <c r="D258" s="1150">
        <f t="shared" si="60"/>
        <v>1.4783777793466828E-2</v>
      </c>
      <c r="E258" s="1124">
        <f t="shared" si="60"/>
        <v>-0.24705029723080094</v>
      </c>
      <c r="F258" s="1124">
        <f t="shared" si="60"/>
        <v>-0.14527471832516198</v>
      </c>
      <c r="G258" s="1125">
        <f t="shared" si="60"/>
        <v>4026.3480952657014</v>
      </c>
      <c r="H258" s="1126">
        <f t="shared" si="60"/>
        <v>1.1149744044952231E-2</v>
      </c>
      <c r="I258" s="1127">
        <f t="shared" si="60"/>
        <v>2.446298838298576</v>
      </c>
      <c r="J258" s="1127">
        <f t="shared" si="60"/>
        <v>1.6476276710656086</v>
      </c>
      <c r="K258" s="1128">
        <f t="shared" si="60"/>
        <v>6.6837223425180285</v>
      </c>
      <c r="L258" s="1124">
        <f t="shared" si="60"/>
        <v>1.2127469272410992E-3</v>
      </c>
      <c r="M258" s="1129">
        <f t="shared" si="61"/>
        <v>5.5145354419406587</v>
      </c>
      <c r="N258" s="1130">
        <f t="shared" si="61"/>
        <v>0.67083419702973635</v>
      </c>
      <c r="O258" s="1131">
        <f t="shared" si="61"/>
        <v>-0.11335389957676706</v>
      </c>
      <c r="P258" s="1132">
        <f t="shared" si="61"/>
        <v>0.63639387890884902</v>
      </c>
      <c r="Q258" s="1130">
        <f t="shared" si="61"/>
        <v>0.1536920907726812</v>
      </c>
      <c r="R258" s="1131">
        <f t="shared" si="61"/>
        <v>1.6283818604559013</v>
      </c>
      <c r="S258" s="1132">
        <f t="shared" si="61"/>
        <v>0.2022242346359609</v>
      </c>
      <c r="T258" s="103">
        <f t="shared" si="61"/>
        <v>0.20961441125119315</v>
      </c>
      <c r="U258" s="1131">
        <f t="shared" si="61"/>
        <v>0.84200521424561081</v>
      </c>
      <c r="V258" s="1132">
        <f t="shared" si="61"/>
        <v>0.28147528322389997</v>
      </c>
      <c r="W258" s="1124">
        <f t="shared" si="61"/>
        <v>5.592232047851195E-2</v>
      </c>
      <c r="X258" s="1124">
        <f t="shared" si="61"/>
        <v>0.36385945559959909</v>
      </c>
      <c r="Y258" s="1133" t="str">
        <f t="shared" si="61"/>
        <v>Not rated</v>
      </c>
      <c r="Z258" s="1134"/>
      <c r="AA258" s="1128">
        <f t="shared" si="62"/>
        <v>1.4399592566697517</v>
      </c>
      <c r="AB258" s="1135">
        <f t="shared" si="62"/>
        <v>0.8442860967329926</v>
      </c>
      <c r="AC258" s="1129">
        <f t="shared" si="62"/>
        <v>1.5521418473212367</v>
      </c>
    </row>
    <row r="259" spans="1:29">
      <c r="A259" s="1156" t="s">
        <v>323</v>
      </c>
      <c r="B259" s="726" t="s">
        <v>772</v>
      </c>
      <c r="C259" s="1151">
        <f t="shared" si="60"/>
        <v>7616.907214285714</v>
      </c>
      <c r="D259" s="1152">
        <f t="shared" si="60"/>
        <v>1.9516371039653539E-2</v>
      </c>
      <c r="E259" s="1136">
        <f t="shared" si="60"/>
        <v>-0.33365525120929096</v>
      </c>
      <c r="F259" s="1136">
        <f t="shared" si="60"/>
        <v>-0.23187967230365203</v>
      </c>
      <c r="G259" s="1137">
        <f t="shared" si="60"/>
        <v>5825.8631999999998</v>
      </c>
      <c r="H259" s="1138">
        <f t="shared" si="60"/>
        <v>1.6132952736323161E-2</v>
      </c>
      <c r="I259" s="1139">
        <f t="shared" si="60"/>
        <v>2.4107651340270966</v>
      </c>
      <c r="J259" s="1139">
        <f t="shared" si="60"/>
        <v>2.0327505931612002</v>
      </c>
      <c r="K259" s="1140">
        <f t="shared" si="60"/>
        <v>4.8426442674927213</v>
      </c>
      <c r="L259" s="1136">
        <f t="shared" si="60"/>
        <v>0.1951757211867983</v>
      </c>
      <c r="M259" s="1141">
        <f t="shared" si="61"/>
        <v>4.6619962755533297</v>
      </c>
      <c r="N259" s="1142">
        <f t="shared" si="61"/>
        <v>0.37158673775730477</v>
      </c>
      <c r="O259" s="1143">
        <f t="shared" si="61"/>
        <v>-0.1153634304384116</v>
      </c>
      <c r="P259" s="1144">
        <f t="shared" si="61"/>
        <v>0.36037883142173305</v>
      </c>
      <c r="Q259" s="1142">
        <f t="shared" si="61"/>
        <v>0.17383796150947908</v>
      </c>
      <c r="R259" s="1143">
        <f t="shared" si="61"/>
        <v>0.54445307336528614</v>
      </c>
      <c r="S259" s="1144">
        <f t="shared" si="61"/>
        <v>0.26356163003804695</v>
      </c>
      <c r="T259" s="1076">
        <f t="shared" si="61"/>
        <v>0.19702478682132593</v>
      </c>
      <c r="U259" s="1143">
        <f t="shared" si="61"/>
        <v>0.50034734616182497</v>
      </c>
      <c r="V259" s="1144">
        <f t="shared" si="61"/>
        <v>0.28756363720088318</v>
      </c>
      <c r="W259" s="1136">
        <f t="shared" si="61"/>
        <v>2.3186825311846848E-2</v>
      </c>
      <c r="X259" s="1136">
        <f t="shared" si="61"/>
        <v>0.13338182932260462</v>
      </c>
      <c r="Y259" s="1145" t="str">
        <f t="shared" si="61"/>
        <v>A</v>
      </c>
      <c r="Z259" s="1146" t="str">
        <f>VLOOKUP($B259,$B$7:$AC$28,Z$37+1,FALSE)</f>
        <v>=  =  -</v>
      </c>
      <c r="AA259" s="1140">
        <f t="shared" si="62"/>
        <v>0.93248540191552354</v>
      </c>
      <c r="AB259" s="1147">
        <f t="shared" si="62"/>
        <v>0.78949919521054279</v>
      </c>
      <c r="AC259" s="1141">
        <f t="shared" si="62"/>
        <v>1.3109622071604587</v>
      </c>
    </row>
    <row r="260" spans="1:29">
      <c r="A260" s="1155" t="s">
        <v>506</v>
      </c>
      <c r="B260" s="73" t="s">
        <v>289</v>
      </c>
      <c r="C260" s="1149">
        <f t="shared" si="60"/>
        <v>4580.8423286191064</v>
      </c>
      <c r="D260" s="1150">
        <f t="shared" si="60"/>
        <v>1.1737233504933111E-2</v>
      </c>
      <c r="E260" s="1124">
        <f t="shared" si="60"/>
        <v>-0.49577837871365099</v>
      </c>
      <c r="F260" s="1124">
        <f t="shared" si="60"/>
        <v>-0.39400279980801206</v>
      </c>
      <c r="G260" s="1125">
        <f t="shared" si="60"/>
        <v>2322.4005110115481</v>
      </c>
      <c r="H260" s="1126">
        <f t="shared" si="60"/>
        <v>6.4311804779353665E-3</v>
      </c>
      <c r="I260" s="1127">
        <f t="shared" si="60"/>
        <v>1.4234279787340207</v>
      </c>
      <c r="J260" s="1127">
        <f t="shared" si="60"/>
        <v>0.8056764866383116</v>
      </c>
      <c r="K260" s="1128">
        <f t="shared" si="60"/>
        <v>4.3871958272574467</v>
      </c>
      <c r="L260" s="1124">
        <f t="shared" si="60"/>
        <v>-8.1025400882275472E-2</v>
      </c>
      <c r="M260" s="1129">
        <f t="shared" si="61"/>
        <v>3.4400754167452243</v>
      </c>
      <c r="N260" s="1130">
        <f t="shared" si="61"/>
        <v>0.42290073595624156</v>
      </c>
      <c r="O260" s="1131">
        <f t="shared" si="61"/>
        <v>-9.0086339251873371E-2</v>
      </c>
      <c r="P260" s="1132">
        <f t="shared" si="61"/>
        <v>0.44946685046944856</v>
      </c>
      <c r="Q260" s="1130">
        <f t="shared" si="61"/>
        <v>0.16307046534988884</v>
      </c>
      <c r="R260" s="1131">
        <f t="shared" si="61"/>
        <v>1.3005419282788433</v>
      </c>
      <c r="S260" s="1132">
        <f t="shared" si="61"/>
        <v>0.30950096360373897</v>
      </c>
      <c r="T260" s="103">
        <f t="shared" si="61"/>
        <v>0.18570292678335293</v>
      </c>
      <c r="U260" s="1131">
        <f t="shared" si="61"/>
        <v>1.251733079461073</v>
      </c>
      <c r="V260" s="1132">
        <f t="shared" si="61"/>
        <v>0.34197601038246805</v>
      </c>
      <c r="W260" s="1124">
        <f t="shared" si="61"/>
        <v>2.2632461433464091E-2</v>
      </c>
      <c r="X260" s="1124">
        <f t="shared" si="61"/>
        <v>0.13878945758144007</v>
      </c>
      <c r="Y260" s="1133" t="str">
        <f t="shared" si="61"/>
        <v>BBB</v>
      </c>
      <c r="Z260" s="1134" t="str">
        <f>VLOOKUP($B260,$B$7:$AC$28,Z$37+1,FALSE)</f>
        <v>=  ¯ -</v>
      </c>
      <c r="AA260" s="1128">
        <f t="shared" si="62"/>
        <v>0.77886477042851432</v>
      </c>
      <c r="AB260" s="1135">
        <f t="shared" si="62"/>
        <v>1.0703005310133176</v>
      </c>
      <c r="AC260" s="1129">
        <f t="shared" si="62"/>
        <v>1.1762690733772538</v>
      </c>
    </row>
    <row r="261" spans="1:29">
      <c r="A261" s="1155" t="s">
        <v>504</v>
      </c>
      <c r="B261" s="73" t="s">
        <v>281</v>
      </c>
      <c r="C261" s="1149">
        <f t="shared" si="60"/>
        <v>20617.292984255655</v>
      </c>
      <c r="D261" s="1150">
        <f t="shared" si="60"/>
        <v>5.2826525044090682E-2</v>
      </c>
      <c r="E261" s="1124">
        <f t="shared" si="60"/>
        <v>0.37985561177970401</v>
      </c>
      <c r="F261" s="1124">
        <f t="shared" si="60"/>
        <v>0.48163119068534294</v>
      </c>
      <c r="G261" s="1125">
        <f t="shared" si="60"/>
        <v>23766.623796323693</v>
      </c>
      <c r="H261" s="1126">
        <f t="shared" si="60"/>
        <v>6.5814421871090864E-2</v>
      </c>
      <c r="I261" s="1127">
        <f t="shared" si="60"/>
        <v>1.8990159277875758</v>
      </c>
      <c r="J261" s="1127">
        <f t="shared" si="60"/>
        <v>2.509154465418888</v>
      </c>
      <c r="K261" s="1128">
        <f t="shared" si="60"/>
        <v>5.8033589040079683</v>
      </c>
      <c r="L261" s="1124">
        <f t="shared" si="60"/>
        <v>4.5724350121793801E-2</v>
      </c>
      <c r="M261" s="1129">
        <f t="shared" si="61"/>
        <v>6.1939465303838475</v>
      </c>
      <c r="N261" s="1130">
        <f t="shared" si="61"/>
        <v>0.7344324868237998</v>
      </c>
      <c r="O261" s="1131">
        <f t="shared" si="61"/>
        <v>0.10784712869930438</v>
      </c>
      <c r="P261" s="1132">
        <f t="shared" si="61"/>
        <v>0.74956908795771016</v>
      </c>
      <c r="Q261" s="1130">
        <f t="shared" si="61"/>
        <v>0.14726898954609682</v>
      </c>
      <c r="R261" s="1131">
        <f t="shared" si="61"/>
        <v>4.9939774449528171E-2</v>
      </c>
      <c r="S261" s="1132">
        <f t="shared" si="61"/>
        <v>0.17272839211728983</v>
      </c>
      <c r="T261" s="103">
        <f t="shared" si="61"/>
        <v>0.18443136241749356</v>
      </c>
      <c r="U261" s="1131">
        <f t="shared" si="61"/>
        <v>-5.7258906752796622E-2</v>
      </c>
      <c r="V261" s="1132">
        <f t="shared" si="61"/>
        <v>0.198117589718218</v>
      </c>
      <c r="W261" s="1124">
        <f t="shared" si="61"/>
        <v>3.7162372871396732E-2</v>
      </c>
      <c r="X261" s="1124">
        <f t="shared" si="61"/>
        <v>0.25234350412762557</v>
      </c>
      <c r="Y261" s="1133" t="str">
        <f t="shared" si="61"/>
        <v>A-</v>
      </c>
      <c r="Z261" s="1134" t="str">
        <f>VLOOKUP($B261,$B$7:$AC$28,Z$37+1,FALSE)</f>
        <v>=  =  -</v>
      </c>
      <c r="AA261" s="1128">
        <f t="shared" si="62"/>
        <v>1.0395975936863313</v>
      </c>
      <c r="AB261" s="1135">
        <f t="shared" si="62"/>
        <v>2.9438923535487854E-2</v>
      </c>
      <c r="AC261" s="1129">
        <f t="shared" si="62"/>
        <v>1.2087727199953455</v>
      </c>
    </row>
    <row r="262" spans="1:29">
      <c r="A262" s="1155" t="s">
        <v>19</v>
      </c>
      <c r="B262" s="73" t="s">
        <v>287</v>
      </c>
      <c r="C262" s="1149">
        <f t="shared" si="60"/>
        <v>6002.7646707914537</v>
      </c>
      <c r="D262" s="1150">
        <f t="shared" si="60"/>
        <v>1.538054479108892E-2</v>
      </c>
      <c r="E262" s="1124">
        <f t="shared" si="60"/>
        <v>1.7468659495150733</v>
      </c>
      <c r="F262" s="1124">
        <f t="shared" si="60"/>
        <v>1.8486415284207123</v>
      </c>
      <c r="G262" s="1125">
        <f t="shared" si="60"/>
        <v>9571.524995540176</v>
      </c>
      <c r="H262" s="1126">
        <f t="shared" si="60"/>
        <v>2.6505421611613778E-2</v>
      </c>
      <c r="I262" s="1127">
        <f t="shared" si="60"/>
        <v>4.1497848696984878</v>
      </c>
      <c r="J262" s="1127">
        <f t="shared" si="60"/>
        <v>5.1075046454025781</v>
      </c>
      <c r="K262" s="1128">
        <f t="shared" si="60"/>
        <v>7.8889454092528393</v>
      </c>
      <c r="L262" s="1124">
        <f t="shared" si="60"/>
        <v>0.8464659845431286</v>
      </c>
      <c r="M262" s="1129">
        <f t="shared" si="61"/>
        <v>9.6719476082953495</v>
      </c>
      <c r="N262" s="1124">
        <f t="shared" si="61"/>
        <v>9.1630231095150338E-2</v>
      </c>
      <c r="O262" s="1148" t="str">
        <f t="shared" si="61"/>
        <v>¥</v>
      </c>
      <c r="P262" s="1132">
        <f t="shared" si="61"/>
        <v>0.34976819018989347</v>
      </c>
      <c r="Q262" s="1130">
        <f t="shared" si="61"/>
        <v>0.13477545507373562</v>
      </c>
      <c r="R262" s="1131">
        <f t="shared" si="61"/>
        <v>-0.4264373226073967</v>
      </c>
      <c r="S262" s="1132">
        <f t="shared" si="61"/>
        <v>9.7905485588969735E-2</v>
      </c>
      <c r="T262" s="103">
        <f t="shared" si="61"/>
        <v>0.16024846762312819</v>
      </c>
      <c r="U262" s="1131">
        <f t="shared" si="61"/>
        <v>-0.25253039609468159</v>
      </c>
      <c r="V262" s="1132">
        <f t="shared" si="61"/>
        <v>0.12849893093161849</v>
      </c>
      <c r="W262" s="1124">
        <f t="shared" si="61"/>
        <v>2.5473012549392576E-2</v>
      </c>
      <c r="X262" s="1124">
        <f t="shared" si="61"/>
        <v>0.18900335031669008</v>
      </c>
      <c r="Y262" s="1133" t="str">
        <f t="shared" si="61"/>
        <v>Not rated</v>
      </c>
      <c r="Z262" s="1134"/>
      <c r="AA262" s="1128">
        <f t="shared" si="62"/>
        <v>1.265551414722516</v>
      </c>
      <c r="AB262" s="1135">
        <f t="shared" si="62"/>
        <v>0.38040351489576829</v>
      </c>
      <c r="AC262" s="1129">
        <f t="shared" si="62"/>
        <v>1.242834927692577</v>
      </c>
    </row>
    <row r="263" spans="1:29">
      <c r="M263" s="1153"/>
    </row>
    <row r="264" spans="1:29">
      <c r="M264" s="1153"/>
    </row>
    <row r="265" spans="1:29">
      <c r="A265" s="1252" t="s">
        <v>1082</v>
      </c>
      <c r="B265" s="1123" t="s">
        <v>1075</v>
      </c>
      <c r="C265" s="1068"/>
      <c r="E265" s="1068"/>
      <c r="F265" s="1068"/>
      <c r="G265" s="1068"/>
      <c r="K265" s="1068"/>
      <c r="L265" s="1068"/>
      <c r="M265" s="1153"/>
      <c r="N265" s="1068"/>
      <c r="O265" s="1068"/>
      <c r="P265" s="1068"/>
      <c r="T265" s="1068"/>
      <c r="U265" s="1068"/>
      <c r="V265" s="1068"/>
      <c r="Y265" s="1068"/>
      <c r="Z265" s="1068"/>
      <c r="AA265" s="1068"/>
      <c r="AB265" s="1068"/>
      <c r="AC265" s="1068"/>
    </row>
    <row r="266" spans="1:29">
      <c r="A266" s="1156" t="s">
        <v>323</v>
      </c>
      <c r="B266" s="726" t="s">
        <v>773</v>
      </c>
      <c r="C266" s="1151">
        <f t="shared" ref="C266:L275" si="63">VLOOKUP($B266,$B$7:$AC$28,C$37+1,FALSE)</f>
        <v>2121.4584571428572</v>
      </c>
      <c r="D266" s="1152">
        <f t="shared" si="63"/>
        <v>5.4356931534045982E-3</v>
      </c>
      <c r="E266" s="1136">
        <f t="shared" si="63"/>
        <v>-0.63331383871554725</v>
      </c>
      <c r="F266" s="1136">
        <f t="shared" si="63"/>
        <v>-0.53153825980990832</v>
      </c>
      <c r="G266" s="1137">
        <f t="shared" si="63"/>
        <v>960.23059999999998</v>
      </c>
      <c r="H266" s="1138">
        <f t="shared" si="63"/>
        <v>2.6590660223142948E-3</v>
      </c>
      <c r="I266" s="1139">
        <f t="shared" si="63"/>
        <v>6.3820660890696566</v>
      </c>
      <c r="J266" s="1139">
        <f t="shared" si="63"/>
        <v>3.126768479322696</v>
      </c>
      <c r="K266" s="1140">
        <f t="shared" si="63"/>
        <v>4.9107929634600707</v>
      </c>
      <c r="L266" s="1136">
        <f t="shared" si="63"/>
        <v>-0.2975700901517318</v>
      </c>
      <c r="M266" s="1141">
        <f t="shared" ref="M266:Y275" si="64">VLOOKUP($B266,$B$7:$AC$28,M$37+1,FALSE)</f>
        <v>3.6764587184436395</v>
      </c>
      <c r="N266" s="1142">
        <f t="shared" si="64"/>
        <v>0.95644485424869818</v>
      </c>
      <c r="O266" s="1143">
        <f t="shared" si="64"/>
        <v>5.7346309608293736E-3</v>
      </c>
      <c r="P266" s="1144">
        <f t="shared" si="64"/>
        <v>0.97265268915223335</v>
      </c>
      <c r="Q266" s="1142">
        <f t="shared" si="64"/>
        <v>0.16489915086810925</v>
      </c>
      <c r="R266" s="1143">
        <f t="shared" si="64"/>
        <v>2.0043608623878186</v>
      </c>
      <c r="S266" s="1144">
        <f t="shared" si="64"/>
        <v>0.32988338723452482</v>
      </c>
      <c r="T266" s="1142">
        <f t="shared" si="64"/>
        <v>0.27218937885351913</v>
      </c>
      <c r="U266" s="1143">
        <f t="shared" si="64"/>
        <v>1.2181747217666232</v>
      </c>
      <c r="V266" s="1144">
        <f t="shared" si="64"/>
        <v>0.4561905930983241</v>
      </c>
      <c r="W266" s="1136">
        <f t="shared" si="64"/>
        <v>0.10729022798540988</v>
      </c>
      <c r="X266" s="1071">
        <f t="shared" si="64"/>
        <v>0.65064148250965514</v>
      </c>
      <c r="Y266" s="1145" t="str">
        <f t="shared" si="64"/>
        <v>Not rated</v>
      </c>
      <c r="Z266" s="1146"/>
      <c r="AA266" s="1140">
        <f t="shared" ref="AA266:AC287" si="65">VLOOKUP($B266,$B$7:$AC$28,AA$37+1,FALSE)</f>
        <v>1.2440956586918632</v>
      </c>
      <c r="AB266" s="1147">
        <f t="shared" si="65"/>
        <v>0.5581122698382367</v>
      </c>
      <c r="AC266" s="1141">
        <f t="shared" si="65"/>
        <v>1.6771658832683087</v>
      </c>
    </row>
    <row r="267" spans="1:29">
      <c r="A267" s="1155" t="s">
        <v>507</v>
      </c>
      <c r="B267" s="73" t="s">
        <v>282</v>
      </c>
      <c r="C267" s="1149">
        <f t="shared" si="63"/>
        <v>5769.8566757446433</v>
      </c>
      <c r="D267" s="1150">
        <f t="shared" si="63"/>
        <v>1.4783777793466828E-2</v>
      </c>
      <c r="E267" s="1124">
        <f t="shared" si="63"/>
        <v>-0.24705029723080094</v>
      </c>
      <c r="F267" s="1124">
        <f t="shared" si="63"/>
        <v>-0.14527471832516198</v>
      </c>
      <c r="G267" s="1125">
        <f t="shared" si="63"/>
        <v>4026.3480952657014</v>
      </c>
      <c r="H267" s="1126">
        <f t="shared" si="63"/>
        <v>1.1149744044952231E-2</v>
      </c>
      <c r="I267" s="1127">
        <f t="shared" si="63"/>
        <v>2.446298838298576</v>
      </c>
      <c r="J267" s="1127">
        <f t="shared" si="63"/>
        <v>1.6476276710656086</v>
      </c>
      <c r="K267" s="1128">
        <f t="shared" si="63"/>
        <v>6.6837223425180285</v>
      </c>
      <c r="L267" s="1124">
        <f t="shared" si="63"/>
        <v>1.2127469272410992E-3</v>
      </c>
      <c r="M267" s="1129">
        <f t="shared" si="64"/>
        <v>5.5145354419406587</v>
      </c>
      <c r="N267" s="1130">
        <f t="shared" si="64"/>
        <v>0.67083419702973635</v>
      </c>
      <c r="O267" s="1131">
        <f t="shared" si="64"/>
        <v>-0.11335389957676706</v>
      </c>
      <c r="P267" s="1132">
        <f t="shared" si="64"/>
        <v>0.63639387890884902</v>
      </c>
      <c r="Q267" s="1130">
        <f t="shared" si="64"/>
        <v>0.1536920907726812</v>
      </c>
      <c r="R267" s="1131">
        <f t="shared" si="64"/>
        <v>1.6283818604559013</v>
      </c>
      <c r="S267" s="1132">
        <f t="shared" si="64"/>
        <v>0.2022242346359609</v>
      </c>
      <c r="T267" s="1130">
        <f t="shared" si="64"/>
        <v>0.20961441125119315</v>
      </c>
      <c r="U267" s="1131">
        <f t="shared" si="64"/>
        <v>0.84200521424561081</v>
      </c>
      <c r="V267" s="1132">
        <f t="shared" si="64"/>
        <v>0.28147528322389997</v>
      </c>
      <c r="W267" s="1124">
        <f t="shared" si="64"/>
        <v>5.592232047851195E-2</v>
      </c>
      <c r="X267" s="117">
        <f t="shared" si="64"/>
        <v>0.36385945559959909</v>
      </c>
      <c r="Y267" s="1133" t="str">
        <f t="shared" si="64"/>
        <v>Not rated</v>
      </c>
      <c r="Z267" s="1134"/>
      <c r="AA267" s="1128">
        <f t="shared" si="65"/>
        <v>1.4399592566697517</v>
      </c>
      <c r="AB267" s="1135">
        <f t="shared" si="65"/>
        <v>0.8442860967329926</v>
      </c>
      <c r="AC267" s="1129">
        <f t="shared" si="65"/>
        <v>1.5521418473212367</v>
      </c>
    </row>
    <row r="268" spans="1:29">
      <c r="A268" s="1155" t="s">
        <v>32</v>
      </c>
      <c r="B268" s="73" t="s">
        <v>50</v>
      </c>
      <c r="C268" s="1149">
        <f t="shared" si="63"/>
        <v>19515.355899391296</v>
      </c>
      <c r="D268" s="1150">
        <f t="shared" si="63"/>
        <v>5.0003093905237848E-2</v>
      </c>
      <c r="E268" s="1124">
        <f t="shared" si="63"/>
        <v>1.1994936816856254</v>
      </c>
      <c r="F268" s="1124">
        <f t="shared" si="63"/>
        <v>1.3012692605912644</v>
      </c>
      <c r="G268" s="1125">
        <f t="shared" si="63"/>
        <v>28491.576306321644</v>
      </c>
      <c r="H268" s="1126">
        <f t="shared" si="63"/>
        <v>7.8898737947233621E-2</v>
      </c>
      <c r="I268" s="1127">
        <f t="shared" si="63"/>
        <v>-0.89894076859195104</v>
      </c>
      <c r="J268" s="1127">
        <f t="shared" si="63"/>
        <v>39.625784878048783</v>
      </c>
      <c r="K268" s="1128">
        <f t="shared" si="63"/>
        <v>4.6985221679038922</v>
      </c>
      <c r="L268" s="1124">
        <f t="shared" si="63"/>
        <v>0.4140020451008824</v>
      </c>
      <c r="M268" s="1129">
        <f t="shared" si="64"/>
        <v>5.7096258695546744</v>
      </c>
      <c r="N268" s="1130">
        <f t="shared" si="64"/>
        <v>0</v>
      </c>
      <c r="O268" s="1131">
        <f t="shared" si="64"/>
        <v>0</v>
      </c>
      <c r="P268" s="1132">
        <f t="shared" si="64"/>
        <v>0</v>
      </c>
      <c r="Q268" s="1130">
        <f t="shared" si="64"/>
        <v>0.37025195227815472</v>
      </c>
      <c r="R268" s="1131">
        <f t="shared" si="64"/>
        <v>-0.46222821771061889</v>
      </c>
      <c r="S268" s="1132">
        <f t="shared" si="64"/>
        <v>0.26403640782716253</v>
      </c>
      <c r="T268" s="1130">
        <f t="shared" si="64"/>
        <v>0.48927059752514818</v>
      </c>
      <c r="U268" s="1131">
        <f t="shared" si="64"/>
        <v>-0.38189416595312975</v>
      </c>
      <c r="V268" s="1132">
        <f t="shared" si="64"/>
        <v>0.37414035756341019</v>
      </c>
      <c r="W268" s="1124">
        <f t="shared" si="64"/>
        <v>0.11901864524699346</v>
      </c>
      <c r="X268" s="117">
        <f t="shared" si="64"/>
        <v>0.32145312000294263</v>
      </c>
      <c r="Y268" s="1133" t="str">
        <f t="shared" si="64"/>
        <v>BBB</v>
      </c>
      <c r="Z268" s="1134" t="str">
        <f>VLOOKUP($B268,$B$7:$AC$28,Z$37+1,FALSE)</f>
        <v xml:space="preserve">=  -  = </v>
      </c>
      <c r="AA268" s="1128">
        <f t="shared" si="65"/>
        <v>2.2664974928712622</v>
      </c>
      <c r="AB268" s="1135">
        <f t="shared" si="65"/>
        <v>-0.12537902502142731</v>
      </c>
      <c r="AC268" s="1129">
        <f t="shared" si="65"/>
        <v>2.136201464388483</v>
      </c>
    </row>
    <row r="269" spans="1:29">
      <c r="A269" s="1155" t="s">
        <v>27</v>
      </c>
      <c r="B269" s="73" t="s">
        <v>357</v>
      </c>
      <c r="C269" s="1149">
        <f t="shared" si="63"/>
        <v>504.56125714285719</v>
      </c>
      <c r="D269" s="1150">
        <f t="shared" si="63"/>
        <v>1.292808804099037E-3</v>
      </c>
      <c r="E269" s="1124">
        <f t="shared" si="63"/>
        <v>0.11241291049139049</v>
      </c>
      <c r="F269" s="1124">
        <f t="shared" si="63"/>
        <v>0.21418848939702945</v>
      </c>
      <c r="G269" s="1125">
        <f t="shared" si="63"/>
        <v>562.64409999999998</v>
      </c>
      <c r="H269" s="1126">
        <f t="shared" si="63"/>
        <v>1.5580713726115437E-3</v>
      </c>
      <c r="I269" s="1127">
        <f t="shared" si="63"/>
        <v>0.48825120153947199</v>
      </c>
      <c r="J269" s="1127">
        <f t="shared" si="63"/>
        <v>0.52140126030951717</v>
      </c>
      <c r="K269" s="1128">
        <f t="shared" si="63"/>
        <v>3.8552632920912293</v>
      </c>
      <c r="L269" s="1124">
        <f t="shared" si="63"/>
        <v>-0.11001004882442665</v>
      </c>
      <c r="M269" s="1129">
        <f t="shared" si="64"/>
        <v>3.9063069179772585</v>
      </c>
      <c r="N269" s="1130">
        <f t="shared" si="64"/>
        <v>0.90539538726018864</v>
      </c>
      <c r="O269" s="1131">
        <f t="shared" si="64"/>
        <v>-4.1189056985539901E-2</v>
      </c>
      <c r="P269" s="1132">
        <f t="shared" si="64"/>
        <v>0.90138346931536006</v>
      </c>
      <c r="Q269" s="1130">
        <f t="shared" si="64"/>
        <v>0.38160323267486906</v>
      </c>
      <c r="R269" s="1131">
        <f t="shared" si="64"/>
        <v>0.13281779457810056</v>
      </c>
      <c r="S269" s="1132">
        <f t="shared" si="64"/>
        <v>0.39444904186551905</v>
      </c>
      <c r="T269" s="1130">
        <f t="shared" si="64"/>
        <v>0.47841518539184064</v>
      </c>
      <c r="U269" s="1131">
        <f t="shared" si="64"/>
        <v>1.1717685634717274E-2</v>
      </c>
      <c r="V269" s="1132">
        <f t="shared" si="64"/>
        <v>0.46507375880431212</v>
      </c>
      <c r="W269" s="1124">
        <f t="shared" si="64"/>
        <v>9.6811952716971572E-2</v>
      </c>
      <c r="X269" s="117">
        <f t="shared" si="64"/>
        <v>0.25369793656715856</v>
      </c>
      <c r="Y269" s="1133" t="str">
        <f t="shared" si="64"/>
        <v>Not rated</v>
      </c>
      <c r="Z269" s="1134"/>
      <c r="AA269" s="1128">
        <f t="shared" si="65"/>
        <v>1.832329792526622</v>
      </c>
      <c r="AB269" s="1135">
        <f t="shared" si="65"/>
        <v>-9.9442962217240083E-2</v>
      </c>
      <c r="AC269" s="1129">
        <f t="shared" si="65"/>
        <v>1.8160302149559577</v>
      </c>
    </row>
    <row r="270" spans="1:29">
      <c r="A270" s="1155" t="s">
        <v>504</v>
      </c>
      <c r="B270" s="73" t="s">
        <v>281</v>
      </c>
      <c r="C270" s="1149">
        <f t="shared" si="63"/>
        <v>20617.292984255655</v>
      </c>
      <c r="D270" s="1150">
        <f t="shared" si="63"/>
        <v>5.2826525044090682E-2</v>
      </c>
      <c r="E270" s="1124">
        <f t="shared" si="63"/>
        <v>0.37985561177970401</v>
      </c>
      <c r="F270" s="1124">
        <f t="shared" si="63"/>
        <v>0.48163119068534294</v>
      </c>
      <c r="G270" s="1125">
        <f t="shared" si="63"/>
        <v>23766.623796323693</v>
      </c>
      <c r="H270" s="1126">
        <f t="shared" si="63"/>
        <v>6.5814421871090864E-2</v>
      </c>
      <c r="I270" s="1127">
        <f t="shared" si="63"/>
        <v>1.8990159277875758</v>
      </c>
      <c r="J270" s="1127">
        <f t="shared" si="63"/>
        <v>2.509154465418888</v>
      </c>
      <c r="K270" s="1128">
        <f t="shared" si="63"/>
        <v>5.8033589040079683</v>
      </c>
      <c r="L270" s="1124">
        <f t="shared" si="63"/>
        <v>4.5724350121793801E-2</v>
      </c>
      <c r="M270" s="1129">
        <f t="shared" si="64"/>
        <v>6.1939465303838475</v>
      </c>
      <c r="N270" s="1130">
        <f t="shared" si="64"/>
        <v>0.7344324868237998</v>
      </c>
      <c r="O270" s="1131">
        <f t="shared" si="64"/>
        <v>0.10784712869930438</v>
      </c>
      <c r="P270" s="1132">
        <f t="shared" si="64"/>
        <v>0.74956908795771016</v>
      </c>
      <c r="Q270" s="1130">
        <f t="shared" si="64"/>
        <v>0.14726898954609682</v>
      </c>
      <c r="R270" s="1131">
        <f t="shared" si="64"/>
        <v>4.9939774449528171E-2</v>
      </c>
      <c r="S270" s="1132">
        <f t="shared" si="64"/>
        <v>0.17272839211728983</v>
      </c>
      <c r="T270" s="1130">
        <f t="shared" si="64"/>
        <v>0.18443136241749356</v>
      </c>
      <c r="U270" s="1131">
        <f t="shared" si="64"/>
        <v>-5.7258906752796622E-2</v>
      </c>
      <c r="V270" s="1132">
        <f t="shared" si="64"/>
        <v>0.198117589718218</v>
      </c>
      <c r="W270" s="1124">
        <f t="shared" si="64"/>
        <v>3.7162372871396732E-2</v>
      </c>
      <c r="X270" s="117">
        <f t="shared" si="64"/>
        <v>0.25234350412762557</v>
      </c>
      <c r="Y270" s="1133" t="str">
        <f t="shared" si="64"/>
        <v>A-</v>
      </c>
      <c r="Z270" s="1134" t="str">
        <f>VLOOKUP($B270,$B$7:$AC$28,Z$37+1,FALSE)</f>
        <v>=  =  -</v>
      </c>
      <c r="AA270" s="1128">
        <f t="shared" si="65"/>
        <v>1.0395975936863313</v>
      </c>
      <c r="AB270" s="1135">
        <f t="shared" si="65"/>
        <v>2.9438923535487854E-2</v>
      </c>
      <c r="AC270" s="1129">
        <f t="shared" si="65"/>
        <v>1.2087727199953455</v>
      </c>
    </row>
    <row r="271" spans="1:29">
      <c r="A271" s="1155" t="s">
        <v>19</v>
      </c>
      <c r="B271" s="73" t="s">
        <v>287</v>
      </c>
      <c r="C271" s="1149">
        <f t="shared" si="63"/>
        <v>6002.7646707914537</v>
      </c>
      <c r="D271" s="1150">
        <f t="shared" si="63"/>
        <v>1.538054479108892E-2</v>
      </c>
      <c r="E271" s="1124">
        <f t="shared" si="63"/>
        <v>1.7468659495150733</v>
      </c>
      <c r="F271" s="1124">
        <f t="shared" si="63"/>
        <v>1.8486415284207123</v>
      </c>
      <c r="G271" s="1125">
        <f t="shared" si="63"/>
        <v>9571.524995540176</v>
      </c>
      <c r="H271" s="1126">
        <f t="shared" si="63"/>
        <v>2.6505421611613778E-2</v>
      </c>
      <c r="I271" s="1127">
        <f t="shared" si="63"/>
        <v>4.1497848696984878</v>
      </c>
      <c r="J271" s="1127">
        <f t="shared" si="63"/>
        <v>5.1075046454025781</v>
      </c>
      <c r="K271" s="1128">
        <f t="shared" si="63"/>
        <v>7.8889454092528393</v>
      </c>
      <c r="L271" s="1124">
        <f t="shared" si="63"/>
        <v>0.8464659845431286</v>
      </c>
      <c r="M271" s="1129">
        <f t="shared" si="64"/>
        <v>9.6719476082953495</v>
      </c>
      <c r="N271" s="1130">
        <f t="shared" si="64"/>
        <v>9.1630231095150338E-2</v>
      </c>
      <c r="O271" s="1148" t="str">
        <f t="shared" si="64"/>
        <v>¥</v>
      </c>
      <c r="P271" s="1132">
        <f t="shared" si="64"/>
        <v>0.34976819018989347</v>
      </c>
      <c r="Q271" s="1130">
        <f t="shared" si="64"/>
        <v>0.13477545507373562</v>
      </c>
      <c r="R271" s="1131">
        <f t="shared" si="64"/>
        <v>-0.4264373226073967</v>
      </c>
      <c r="S271" s="1132">
        <f t="shared" si="64"/>
        <v>9.7905485588969735E-2</v>
      </c>
      <c r="T271" s="1130">
        <f t="shared" si="64"/>
        <v>0.16024846762312819</v>
      </c>
      <c r="U271" s="1131">
        <f t="shared" si="64"/>
        <v>-0.25253039609468159</v>
      </c>
      <c r="V271" s="1132">
        <f t="shared" si="64"/>
        <v>0.12849893093161849</v>
      </c>
      <c r="W271" s="1124">
        <f t="shared" si="64"/>
        <v>2.5473012549392576E-2</v>
      </c>
      <c r="X271" s="117">
        <f t="shared" si="64"/>
        <v>0.18900335031669008</v>
      </c>
      <c r="Y271" s="1133" t="str">
        <f t="shared" si="64"/>
        <v>Not rated</v>
      </c>
      <c r="Z271" s="1134"/>
      <c r="AA271" s="1128">
        <f t="shared" si="65"/>
        <v>1.265551414722516</v>
      </c>
      <c r="AB271" s="1135">
        <f t="shared" si="65"/>
        <v>0.38040351489576829</v>
      </c>
      <c r="AC271" s="1129">
        <f t="shared" si="65"/>
        <v>1.242834927692577</v>
      </c>
    </row>
    <row r="272" spans="1:29">
      <c r="A272" s="1155" t="s">
        <v>545</v>
      </c>
      <c r="B272" s="73" t="s">
        <v>39</v>
      </c>
      <c r="C272" s="1149">
        <f t="shared" si="63"/>
        <v>5059.5155870714543</v>
      </c>
      <c r="D272" s="1150">
        <f t="shared" si="63"/>
        <v>1.2963710952524294E-2</v>
      </c>
      <c r="E272" s="1124">
        <f t="shared" si="63"/>
        <v>-0.13366823909704381</v>
      </c>
      <c r="F272" s="1124">
        <f t="shared" si="63"/>
        <v>-3.1892660191404867E-2</v>
      </c>
      <c r="G272" s="1125">
        <f t="shared" si="63"/>
        <v>5057.8123335929276</v>
      </c>
      <c r="H272" s="1126">
        <f t="shared" si="63"/>
        <v>1.4006069920599414E-2</v>
      </c>
      <c r="I272" s="1127">
        <f t="shared" si="63"/>
        <v>1.6858649053444912</v>
      </c>
      <c r="J272" s="1127">
        <f t="shared" si="63"/>
        <v>1.7703056194544857</v>
      </c>
      <c r="K272" s="1128">
        <f t="shared" si="63"/>
        <v>5.8927844479191869</v>
      </c>
      <c r="L272" s="1124">
        <f t="shared" si="63"/>
        <v>-0.19036897853308513</v>
      </c>
      <c r="M272" s="1129">
        <f t="shared" si="64"/>
        <v>5.9052222685092017</v>
      </c>
      <c r="N272" s="1130">
        <f t="shared" si="64"/>
        <v>0.31054928118178421</v>
      </c>
      <c r="O272" s="1131">
        <f t="shared" si="64"/>
        <v>-0.11491916916279199</v>
      </c>
      <c r="P272" s="1132">
        <f t="shared" si="64"/>
        <v>0.28165979767703259</v>
      </c>
      <c r="Q272" s="1130">
        <f t="shared" si="64"/>
        <v>0.3899242463002407</v>
      </c>
      <c r="R272" s="1131">
        <f t="shared" si="64"/>
        <v>-0.1197676600756727</v>
      </c>
      <c r="S272" s="1132">
        <f t="shared" si="64"/>
        <v>0.37944762378701169</v>
      </c>
      <c r="T272" s="1130">
        <f t="shared" si="64"/>
        <v>0.45093517146474416</v>
      </c>
      <c r="U272" s="1131">
        <f t="shared" si="64"/>
        <v>-8.3572610535330494E-2</v>
      </c>
      <c r="V272" s="1132">
        <f t="shared" si="64"/>
        <v>0.43916945384982109</v>
      </c>
      <c r="W272" s="1124">
        <f t="shared" si="64"/>
        <v>6.101092516450346E-2</v>
      </c>
      <c r="X272" s="117">
        <f t="shared" si="64"/>
        <v>0.15646866216553562</v>
      </c>
      <c r="Y272" s="1133" t="str">
        <f t="shared" si="64"/>
        <v>BBB</v>
      </c>
      <c r="Z272" s="1134" t="str">
        <f t="shared" ref="Z272:Z287" si="66">VLOOKUP($B272,$B$7:$AC$28,Z$37+1,FALSE)</f>
        <v>­  = =</v>
      </c>
      <c r="AA272" s="1128">
        <f t="shared" si="65"/>
        <v>2.6587814840492587</v>
      </c>
      <c r="AB272" s="1135">
        <f t="shared" si="65"/>
        <v>-0.25803195656746131</v>
      </c>
      <c r="AC272" s="1129">
        <f t="shared" si="65"/>
        <v>2.5933932385229874</v>
      </c>
    </row>
    <row r="273" spans="1:29">
      <c r="A273" s="1155" t="s">
        <v>502</v>
      </c>
      <c r="B273" s="73" t="s">
        <v>52</v>
      </c>
      <c r="C273" s="1149">
        <f t="shared" si="63"/>
        <v>40464.923042857146</v>
      </c>
      <c r="D273" s="1150">
        <f t="shared" si="63"/>
        <v>0.1036809862557167</v>
      </c>
      <c r="E273" s="1124">
        <f t="shared" si="63"/>
        <v>-6.1458653761923776E-2</v>
      </c>
      <c r="F273" s="1124">
        <f t="shared" si="63"/>
        <v>4.0316925143715168E-2</v>
      </c>
      <c r="G273" s="1125">
        <f t="shared" si="63"/>
        <v>39791.94</v>
      </c>
      <c r="H273" s="1126">
        <f t="shared" si="63"/>
        <v>0.1101916514803518</v>
      </c>
      <c r="I273" s="1127">
        <f t="shared" si="63"/>
        <v>1.0840589348936991</v>
      </c>
      <c r="J273" s="1127">
        <f t="shared" si="63"/>
        <v>1.2733420800000002</v>
      </c>
      <c r="K273" s="1128">
        <f t="shared" si="63"/>
        <v>4.9905713850513198</v>
      </c>
      <c r="L273" s="1124">
        <f t="shared" si="63"/>
        <v>0.1448238320606966</v>
      </c>
      <c r="M273" s="1129">
        <f t="shared" si="64"/>
        <v>5.2964626193065953</v>
      </c>
      <c r="N273" s="1130">
        <f t="shared" si="64"/>
        <v>0.61</v>
      </c>
      <c r="O273" s="1131">
        <f t="shared" si="64"/>
        <v>0</v>
      </c>
      <c r="P273" s="1132">
        <f t="shared" si="64"/>
        <v>0.62983042679437373</v>
      </c>
      <c r="Q273" s="1130">
        <f t="shared" si="64"/>
        <v>0.51528895508035288</v>
      </c>
      <c r="R273" s="1131">
        <f t="shared" si="64"/>
        <v>-2.4931247740904369E-2</v>
      </c>
      <c r="S273" s="1132">
        <f t="shared" si="64"/>
        <v>0.51939744871548044</v>
      </c>
      <c r="T273" s="1130">
        <f t="shared" si="64"/>
        <v>0.58808850315066874</v>
      </c>
      <c r="U273" s="1131">
        <f t="shared" si="64"/>
        <v>-2.8226553900756759E-2</v>
      </c>
      <c r="V273" s="1132">
        <f t="shared" si="64"/>
        <v>0.59074959904524027</v>
      </c>
      <c r="W273" s="1124">
        <f t="shared" si="64"/>
        <v>7.2799548070315856E-2</v>
      </c>
      <c r="X273" s="117">
        <f t="shared" si="64"/>
        <v>0.14127907721011346</v>
      </c>
      <c r="Y273" s="1133" t="str">
        <f t="shared" si="64"/>
        <v>BBB+</v>
      </c>
      <c r="Z273" s="1134" t="str">
        <f t="shared" si="66"/>
        <v>=  =  =</v>
      </c>
      <c r="AA273" s="1128">
        <f t="shared" si="65"/>
        <v>2.7906818261625395</v>
      </c>
      <c r="AB273" s="1135">
        <f t="shared" si="65"/>
        <v>8.5841806528642844E-2</v>
      </c>
      <c r="AC273" s="1129">
        <f t="shared" si="65"/>
        <v>2.9178287645268703</v>
      </c>
    </row>
    <row r="274" spans="1:29">
      <c r="A274" s="1155" t="s">
        <v>506</v>
      </c>
      <c r="B274" s="73" t="s">
        <v>289</v>
      </c>
      <c r="C274" s="1149">
        <f t="shared" si="63"/>
        <v>4580.8423286191064</v>
      </c>
      <c r="D274" s="1150">
        <f t="shared" si="63"/>
        <v>1.1737233504933111E-2</v>
      </c>
      <c r="E274" s="1124">
        <f t="shared" si="63"/>
        <v>-0.49577837871365099</v>
      </c>
      <c r="F274" s="1124">
        <f t="shared" si="63"/>
        <v>-0.39400279980801206</v>
      </c>
      <c r="G274" s="1125">
        <f t="shared" si="63"/>
        <v>2322.4005110115481</v>
      </c>
      <c r="H274" s="1126">
        <f t="shared" si="63"/>
        <v>6.4311804779353665E-3</v>
      </c>
      <c r="I274" s="1127">
        <f t="shared" si="63"/>
        <v>1.4234279787340207</v>
      </c>
      <c r="J274" s="1127">
        <f t="shared" si="63"/>
        <v>0.8056764866383116</v>
      </c>
      <c r="K274" s="1128">
        <f t="shared" si="63"/>
        <v>4.3871958272574467</v>
      </c>
      <c r="L274" s="1124">
        <f t="shared" si="63"/>
        <v>-8.1025400882275472E-2</v>
      </c>
      <c r="M274" s="1129">
        <f t="shared" si="64"/>
        <v>3.4400754167452243</v>
      </c>
      <c r="N274" s="1130">
        <f t="shared" si="64"/>
        <v>0.42290073595624156</v>
      </c>
      <c r="O274" s="1131">
        <f t="shared" si="64"/>
        <v>-9.0086339251873371E-2</v>
      </c>
      <c r="P274" s="1132">
        <f t="shared" si="64"/>
        <v>0.44946685046944856</v>
      </c>
      <c r="Q274" s="1130">
        <f t="shared" si="64"/>
        <v>0.16307046534988884</v>
      </c>
      <c r="R274" s="1131">
        <f t="shared" si="64"/>
        <v>1.3005419282788433</v>
      </c>
      <c r="S274" s="1132">
        <f t="shared" si="64"/>
        <v>0.30950096360373897</v>
      </c>
      <c r="T274" s="1130">
        <f t="shared" si="64"/>
        <v>0.18570292678335293</v>
      </c>
      <c r="U274" s="1131">
        <f t="shared" si="64"/>
        <v>1.251733079461073</v>
      </c>
      <c r="V274" s="1132">
        <f t="shared" si="64"/>
        <v>0.34197601038246805</v>
      </c>
      <c r="W274" s="1124">
        <f t="shared" si="64"/>
        <v>2.2632461433464091E-2</v>
      </c>
      <c r="X274" s="117">
        <f t="shared" si="64"/>
        <v>0.13878945758144007</v>
      </c>
      <c r="Y274" s="1133" t="str">
        <f t="shared" si="64"/>
        <v>BBB</v>
      </c>
      <c r="Z274" s="1134" t="str">
        <f t="shared" si="66"/>
        <v>=  ¯ -</v>
      </c>
      <c r="AA274" s="1128">
        <f t="shared" si="65"/>
        <v>0.77886477042851432</v>
      </c>
      <c r="AB274" s="1135">
        <f t="shared" si="65"/>
        <v>1.0703005310133176</v>
      </c>
      <c r="AC274" s="1129">
        <f t="shared" si="65"/>
        <v>1.1762690733772538</v>
      </c>
    </row>
    <row r="275" spans="1:29">
      <c r="A275" s="1155" t="s">
        <v>32</v>
      </c>
      <c r="B275" s="73" t="s">
        <v>279</v>
      </c>
      <c r="C275" s="1149">
        <f t="shared" si="63"/>
        <v>103061.53572524291</v>
      </c>
      <c r="D275" s="1150">
        <f t="shared" si="63"/>
        <v>0.26406875054982143</v>
      </c>
      <c r="E275" s="1124">
        <f t="shared" si="63"/>
        <v>7.5306160052783275E-2</v>
      </c>
      <c r="F275" s="1124">
        <f t="shared" si="63"/>
        <v>0.17708173895842222</v>
      </c>
      <c r="G275" s="1125">
        <f t="shared" si="63"/>
        <v>106720.85775234729</v>
      </c>
      <c r="H275" s="1126">
        <f t="shared" si="63"/>
        <v>0.29553089301830604</v>
      </c>
      <c r="I275" s="1127">
        <f t="shared" si="63"/>
        <v>1.0837821931217524</v>
      </c>
      <c r="J275" s="1127">
        <f t="shared" si="63"/>
        <v>1.259272460269286</v>
      </c>
      <c r="K275" s="1128">
        <f t="shared" si="63"/>
        <v>7.5360879751187033</v>
      </c>
      <c r="L275" s="1124">
        <f t="shared" si="63"/>
        <v>0.12910548637067604</v>
      </c>
      <c r="M275" s="1129">
        <f t="shared" si="64"/>
        <v>8.6584668441025876</v>
      </c>
      <c r="N275" s="1130">
        <f t="shared" si="64"/>
        <v>0.91487499999999988</v>
      </c>
      <c r="O275" s="1131">
        <f t="shared" si="64"/>
        <v>-4.3736501079913587E-2</v>
      </c>
      <c r="P275" s="1132">
        <f t="shared" si="64"/>
        <v>0.89481420237931208</v>
      </c>
      <c r="Q275" s="1130">
        <f t="shared" si="64"/>
        <v>0.24509229252810941</v>
      </c>
      <c r="R275" s="1131">
        <f t="shared" si="64"/>
        <v>-0.16501821733667812</v>
      </c>
      <c r="S275" s="1132">
        <f t="shared" si="64"/>
        <v>0.23828807339295358</v>
      </c>
      <c r="T275" s="1130">
        <f t="shared" si="64"/>
        <v>0.27870192226407053</v>
      </c>
      <c r="U275" s="1131">
        <f t="shared" si="64"/>
        <v>-0.14309331637647091</v>
      </c>
      <c r="V275" s="1132">
        <f t="shared" si="64"/>
        <v>0.2718321660431175</v>
      </c>
      <c r="W275" s="1124">
        <f t="shared" si="64"/>
        <v>3.3609629735961127E-2</v>
      </c>
      <c r="X275" s="117">
        <f t="shared" si="64"/>
        <v>0.13713050455108242</v>
      </c>
      <c r="Y275" s="1133" t="str">
        <f t="shared" si="64"/>
        <v>A-</v>
      </c>
      <c r="Z275" s="1134" t="str">
        <f t="shared" si="66"/>
        <v>=  =  =</v>
      </c>
      <c r="AA275" s="1128">
        <f t="shared" si="65"/>
        <v>2.0880314655341889</v>
      </c>
      <c r="AB275" s="1135">
        <f t="shared" si="65"/>
        <v>-3.7762767487534328E-2</v>
      </c>
      <c r="AC275" s="1129">
        <f t="shared" si="65"/>
        <v>2.3348198024327131</v>
      </c>
    </row>
    <row r="276" spans="1:29">
      <c r="A276" s="1156" t="s">
        <v>323</v>
      </c>
      <c r="B276" s="726" t="s">
        <v>772</v>
      </c>
      <c r="C276" s="1151">
        <f t="shared" ref="C276:L287" si="67">VLOOKUP($B276,$B$7:$AC$28,C$37+1,FALSE)</f>
        <v>7616.907214285714</v>
      </c>
      <c r="D276" s="1152">
        <f t="shared" si="67"/>
        <v>1.9516371039653539E-2</v>
      </c>
      <c r="E276" s="1136">
        <f t="shared" si="67"/>
        <v>-0.33365525120929096</v>
      </c>
      <c r="F276" s="1136">
        <f t="shared" si="67"/>
        <v>-0.23187967230365203</v>
      </c>
      <c r="G276" s="1137">
        <f t="shared" si="67"/>
        <v>5825.8631999999998</v>
      </c>
      <c r="H276" s="1138">
        <f t="shared" si="67"/>
        <v>1.6132952736323161E-2</v>
      </c>
      <c r="I276" s="1139">
        <f t="shared" si="67"/>
        <v>2.4107651340270966</v>
      </c>
      <c r="J276" s="1139">
        <f t="shared" si="67"/>
        <v>2.0327505931612002</v>
      </c>
      <c r="K276" s="1140">
        <f t="shared" si="67"/>
        <v>4.8426442674927213</v>
      </c>
      <c r="L276" s="1136">
        <f t="shared" si="67"/>
        <v>0.1951757211867983</v>
      </c>
      <c r="M276" s="1141">
        <f t="shared" ref="M276:Y287" si="68">VLOOKUP($B276,$B$7:$AC$28,M$37+1,FALSE)</f>
        <v>4.6619962755533297</v>
      </c>
      <c r="N276" s="1142">
        <f t="shared" si="68"/>
        <v>0.37158673775730477</v>
      </c>
      <c r="O276" s="1143">
        <f t="shared" si="68"/>
        <v>-0.1153634304384116</v>
      </c>
      <c r="P276" s="1144">
        <f t="shared" si="68"/>
        <v>0.36037883142173305</v>
      </c>
      <c r="Q276" s="1142">
        <f t="shared" si="68"/>
        <v>0.17383796150947908</v>
      </c>
      <c r="R276" s="1143">
        <f t="shared" si="68"/>
        <v>0.54445307336528614</v>
      </c>
      <c r="S276" s="1144">
        <f t="shared" si="68"/>
        <v>0.26356163003804695</v>
      </c>
      <c r="T276" s="1142">
        <f t="shared" si="68"/>
        <v>0.19702478682132593</v>
      </c>
      <c r="U276" s="1143">
        <f t="shared" si="68"/>
        <v>0.50034734616182497</v>
      </c>
      <c r="V276" s="1144">
        <f t="shared" si="68"/>
        <v>0.28756363720088318</v>
      </c>
      <c r="W276" s="1136">
        <f t="shared" si="68"/>
        <v>2.3186825311846848E-2</v>
      </c>
      <c r="X276" s="1071">
        <f t="shared" si="68"/>
        <v>0.13338182932260462</v>
      </c>
      <c r="Y276" s="1145" t="str">
        <f t="shared" si="68"/>
        <v>A</v>
      </c>
      <c r="Z276" s="1146" t="str">
        <f t="shared" si="66"/>
        <v>=  =  -</v>
      </c>
      <c r="AA276" s="1140">
        <f t="shared" si="65"/>
        <v>0.93248540191552354</v>
      </c>
      <c r="AB276" s="1147">
        <f t="shared" si="65"/>
        <v>0.78949919521054279</v>
      </c>
      <c r="AC276" s="1141">
        <f t="shared" si="65"/>
        <v>1.3109622071604587</v>
      </c>
    </row>
    <row r="277" spans="1:29">
      <c r="A277" s="1155" t="s">
        <v>73</v>
      </c>
      <c r="B277" s="73" t="s">
        <v>285</v>
      </c>
      <c r="C277" s="1149">
        <f t="shared" si="67"/>
        <v>2461.5190857142857</v>
      </c>
      <c r="D277" s="1150">
        <f t="shared" si="67"/>
        <v>6.3070112903421734E-3</v>
      </c>
      <c r="E277" s="1124">
        <f t="shared" si="67"/>
        <v>6.738754525599433E-2</v>
      </c>
      <c r="F277" s="1124">
        <f t="shared" si="67"/>
        <v>0.16916312416163326</v>
      </c>
      <c r="G277" s="1125">
        <f t="shared" si="67"/>
        <v>2364.3629999999998</v>
      </c>
      <c r="H277" s="1126">
        <f t="shared" si="67"/>
        <v>6.5473828033777437E-3</v>
      </c>
      <c r="I277" s="1127">
        <f t="shared" si="67"/>
        <v>3.1397518024733277</v>
      </c>
      <c r="J277" s="1127">
        <f t="shared" si="67"/>
        <v>3.0995844257996854</v>
      </c>
      <c r="K277" s="1128">
        <f t="shared" si="67"/>
        <v>6.7052926466266065</v>
      </c>
      <c r="L277" s="1124">
        <f t="shared" si="67"/>
        <v>0.14721542174528052</v>
      </c>
      <c r="M277" s="1129">
        <f t="shared" si="68"/>
        <v>7.0127743881429545</v>
      </c>
      <c r="N277" s="1130">
        <f t="shared" si="68"/>
        <v>0.62657499999999999</v>
      </c>
      <c r="O277" s="1131">
        <f t="shared" si="68"/>
        <v>5.5614710459497153E-2</v>
      </c>
      <c r="P277" s="1132">
        <f t="shared" si="68"/>
        <v>0.64439999999999997</v>
      </c>
      <c r="Q277" s="1130">
        <f t="shared" si="68"/>
        <v>0.24190098439360719</v>
      </c>
      <c r="R277" s="1131">
        <f t="shared" si="68"/>
        <v>0.20667512064869559</v>
      </c>
      <c r="S277" s="1132">
        <f t="shared" si="68"/>
        <v>0.30597960586046052</v>
      </c>
      <c r="T277" s="1130">
        <f t="shared" si="68"/>
        <v>0.2616424852780464</v>
      </c>
      <c r="U277" s="1131">
        <f t="shared" si="68"/>
        <v>0.20296552626351777</v>
      </c>
      <c r="V277" s="1132">
        <f t="shared" si="68"/>
        <v>0.32061814749302248</v>
      </c>
      <c r="W277" s="1124">
        <f t="shared" si="68"/>
        <v>1.9741500884439211E-2</v>
      </c>
      <c r="X277" s="117">
        <f t="shared" si="68"/>
        <v>8.1609841042717679E-2</v>
      </c>
      <c r="Y277" s="1133" t="str">
        <f t="shared" si="68"/>
        <v>BBB</v>
      </c>
      <c r="Z277" s="1134" t="str">
        <f t="shared" si="66"/>
        <v>=  =  -</v>
      </c>
      <c r="AA277" s="1128">
        <f t="shared" si="65"/>
        <v>1.7511002028712532</v>
      </c>
      <c r="AB277" s="1135">
        <f t="shared" si="65"/>
        <v>0.37093258903528414</v>
      </c>
      <c r="AC277" s="1129">
        <f t="shared" si="65"/>
        <v>2.2311132077757287</v>
      </c>
    </row>
    <row r="278" spans="1:29">
      <c r="A278" s="1155" t="s">
        <v>19</v>
      </c>
      <c r="B278" s="152" t="s">
        <v>288</v>
      </c>
      <c r="C278" s="1149">
        <f t="shared" si="67"/>
        <v>31174.883771428573</v>
      </c>
      <c r="D278" s="1150">
        <f t="shared" si="67"/>
        <v>7.9877643469276421E-2</v>
      </c>
      <c r="E278" s="1124">
        <f t="shared" si="67"/>
        <v>-0.49416922878378883</v>
      </c>
      <c r="F278" s="1124">
        <f t="shared" si="67"/>
        <v>-0.3923936498781499</v>
      </c>
      <c r="G278" s="1125">
        <f t="shared" si="67"/>
        <v>19124.593099999998</v>
      </c>
      <c r="H278" s="1126">
        <f t="shared" si="67"/>
        <v>5.2959732488004868E-2</v>
      </c>
      <c r="I278" s="1127">
        <f t="shared" si="67"/>
        <v>1.0546425468926217</v>
      </c>
      <c r="J278" s="1127">
        <f t="shared" si="67"/>
        <v>0.72989058468819168</v>
      </c>
      <c r="K278" s="1128">
        <f t="shared" si="67"/>
        <v>4.7838493303826084</v>
      </c>
      <c r="L278" s="1124">
        <f t="shared" si="67"/>
        <v>-0.19812930900653591</v>
      </c>
      <c r="M278" s="1129">
        <f t="shared" si="68"/>
        <v>4.438539176760524</v>
      </c>
      <c r="N278" s="1130">
        <f t="shared" si="68"/>
        <v>0.60741568747204655</v>
      </c>
      <c r="O278" s="1131">
        <f t="shared" si="68"/>
        <v>4.0950219141690898E-2</v>
      </c>
      <c r="P278" s="1132">
        <f t="shared" si="68"/>
        <v>0.62738172243152124</v>
      </c>
      <c r="Q278" s="1130">
        <f t="shared" si="68"/>
        <v>0.50834561454306215</v>
      </c>
      <c r="R278" s="1131">
        <f t="shared" si="68"/>
        <v>0.27477182203191691</v>
      </c>
      <c r="S278" s="1132">
        <f t="shared" si="68"/>
        <v>0.61196382356206247</v>
      </c>
      <c r="T278" s="1130">
        <f t="shared" si="68"/>
        <v>0.54898628094174651</v>
      </c>
      <c r="U278" s="1131">
        <f t="shared" si="68"/>
        <v>0.26756473067663017</v>
      </c>
      <c r="V278" s="1132">
        <f t="shared" si="68"/>
        <v>0.65530118542007598</v>
      </c>
      <c r="W278" s="1124">
        <f t="shared" si="68"/>
        <v>4.0640666398684355E-2</v>
      </c>
      <c r="X278" s="117">
        <f t="shared" si="68"/>
        <v>7.9946920433679999E-2</v>
      </c>
      <c r="Y278" s="1133" t="str">
        <f t="shared" si="68"/>
        <v>BBB+</v>
      </c>
      <c r="Z278" s="1134" t="str">
        <f t="shared" si="66"/>
        <v>=  ¯ ¯</v>
      </c>
      <c r="AA278" s="1128">
        <f t="shared" si="65"/>
        <v>2.5321561588471506</v>
      </c>
      <c r="AB278" s="1135">
        <f t="shared" si="65"/>
        <v>1.3257606300410854E-2</v>
      </c>
      <c r="AC278" s="1129">
        <f t="shared" si="65"/>
        <v>2.8138910595815916</v>
      </c>
    </row>
    <row r="279" spans="1:29">
      <c r="A279" s="1155" t="s">
        <v>507</v>
      </c>
      <c r="B279" s="73" t="s">
        <v>284</v>
      </c>
      <c r="C279" s="1149">
        <f t="shared" si="67"/>
        <v>22949.481858519866</v>
      </c>
      <c r="D279" s="1150">
        <f t="shared" si="67"/>
        <v>5.8802160840116385E-2</v>
      </c>
      <c r="E279" s="1124">
        <f t="shared" si="67"/>
        <v>-8.3288171902550459E-2</v>
      </c>
      <c r="F279" s="1124">
        <f t="shared" si="67"/>
        <v>1.8487407003088485E-2</v>
      </c>
      <c r="G279" s="1125">
        <f t="shared" si="67"/>
        <v>21731.57918967646</v>
      </c>
      <c r="H279" s="1126">
        <f t="shared" si="67"/>
        <v>6.0178986000343146E-2</v>
      </c>
      <c r="I279" s="1127">
        <f t="shared" si="67"/>
        <v>1.7647070716020126</v>
      </c>
      <c r="J279" s="1127">
        <f t="shared" si="67"/>
        <v>1.7786623686113903</v>
      </c>
      <c r="K279" s="1128">
        <f t="shared" si="67"/>
        <v>7.5421176018870622</v>
      </c>
      <c r="L279" s="1124">
        <f t="shared" si="67"/>
        <v>2.1076957712408067E-2</v>
      </c>
      <c r="M279" s="1129">
        <f t="shared" si="68"/>
        <v>7.6896404016441506</v>
      </c>
      <c r="N279" s="1130">
        <f t="shared" si="68"/>
        <v>0.67984865616162071</v>
      </c>
      <c r="O279" s="1131">
        <f t="shared" si="68"/>
        <v>0.13956056160252914</v>
      </c>
      <c r="P279" s="1132">
        <f t="shared" si="68"/>
        <v>0.7167630057803468</v>
      </c>
      <c r="Q279" s="1130">
        <f t="shared" si="68"/>
        <v>0.23215418017261674</v>
      </c>
      <c r="R279" s="1131">
        <f t="shared" si="68"/>
        <v>0.36187217108516367</v>
      </c>
      <c r="S279" s="1132">
        <f t="shared" si="68"/>
        <v>0.26525179681706468</v>
      </c>
      <c r="T279" s="1130">
        <f t="shared" si="68"/>
        <v>0.2501311526811702</v>
      </c>
      <c r="U279" s="1131">
        <f t="shared" si="68"/>
        <v>0.31916438327965047</v>
      </c>
      <c r="V279" s="1132">
        <f t="shared" si="68"/>
        <v>0.28287599661626001</v>
      </c>
      <c r="W279" s="1124">
        <f t="shared" si="68"/>
        <v>1.7976972508553457E-2</v>
      </c>
      <c r="X279" s="117">
        <f t="shared" si="68"/>
        <v>7.7435489187344358E-2</v>
      </c>
      <c r="Y279" s="1133" t="str">
        <f t="shared" si="68"/>
        <v>A-</v>
      </c>
      <c r="Z279" s="1134" t="str">
        <f t="shared" si="66"/>
        <v>=  =  =</v>
      </c>
      <c r="AA279" s="1128">
        <f t="shared" si="65"/>
        <v>1.845874038975184</v>
      </c>
      <c r="AB279" s="1135">
        <f t="shared" si="65"/>
        <v>0.36079457239176377</v>
      </c>
      <c r="AC279" s="1129">
        <f t="shared" si="65"/>
        <v>2.1424428051274771</v>
      </c>
    </row>
    <row r="280" spans="1:29">
      <c r="A280" s="1155" t="s">
        <v>219</v>
      </c>
      <c r="B280" s="73" t="s">
        <v>53</v>
      </c>
      <c r="C280" s="1149">
        <f t="shared" si="67"/>
        <v>60036.853628571422</v>
      </c>
      <c r="D280" s="1150">
        <f t="shared" si="67"/>
        <v>0.15382903828354536</v>
      </c>
      <c r="E280" s="1124">
        <f t="shared" si="67"/>
        <v>-0.3618479655094986</v>
      </c>
      <c r="F280" s="1124">
        <f t="shared" si="67"/>
        <v>-0.26007238660385967</v>
      </c>
      <c r="G280" s="1125">
        <f t="shared" si="67"/>
        <v>44430.485000000001</v>
      </c>
      <c r="H280" s="1126">
        <f t="shared" si="67"/>
        <v>0.1230366882897139</v>
      </c>
      <c r="I280" s="1127">
        <f t="shared" si="67"/>
        <v>2.2644833808097031</v>
      </c>
      <c r="J280" s="1127">
        <f t="shared" si="67"/>
        <v>1.7716210773954304</v>
      </c>
      <c r="K280" s="1128">
        <f t="shared" si="67"/>
        <v>5.6943354572509941</v>
      </c>
      <c r="L280" s="1124">
        <f t="shared" si="67"/>
        <v>-7.3155042359885195E-2</v>
      </c>
      <c r="M280" s="1129">
        <f t="shared" si="68"/>
        <v>5.1937231412225326</v>
      </c>
      <c r="N280" s="1130">
        <f t="shared" si="68"/>
        <v>0.6158872479982318</v>
      </c>
      <c r="O280" s="1131">
        <f t="shared" si="68"/>
        <v>0.11044311863454735</v>
      </c>
      <c r="P280" s="1132">
        <f t="shared" si="68"/>
        <v>0.66127040038880336</v>
      </c>
      <c r="Q280" s="1130">
        <f t="shared" si="68"/>
        <v>0.48384306036910518</v>
      </c>
      <c r="R280" s="1131">
        <f t="shared" si="68"/>
        <v>0.2595878527386451</v>
      </c>
      <c r="S280" s="1132">
        <f t="shared" si="68"/>
        <v>0.54381370963962039</v>
      </c>
      <c r="T280" s="1130">
        <f t="shared" si="68"/>
        <v>0.51513010935716153</v>
      </c>
      <c r="U280" s="1131">
        <f t="shared" si="68"/>
        <v>0.26130995158024306</v>
      </c>
      <c r="V280" s="1132">
        <f t="shared" si="68"/>
        <v>0.57929804018594233</v>
      </c>
      <c r="W280" s="1124">
        <f t="shared" si="68"/>
        <v>3.1287048988056343E-2</v>
      </c>
      <c r="X280" s="117">
        <f t="shared" si="68"/>
        <v>6.4663630732222685E-2</v>
      </c>
      <c r="Y280" s="1133" t="str">
        <f t="shared" si="68"/>
        <v>BBB</v>
      </c>
      <c r="Z280" s="1134" t="str">
        <f t="shared" si="66"/>
        <v>¯  ¯ ¯</v>
      </c>
      <c r="AA280" s="1128">
        <f t="shared" si="65"/>
        <v>2.7929780820851775</v>
      </c>
      <c r="AB280" s="1135">
        <f t="shared" si="65"/>
        <v>0.12404595260605845</v>
      </c>
      <c r="AC280" s="1129">
        <f t="shared" si="65"/>
        <v>2.8353348809740444</v>
      </c>
    </row>
    <row r="281" spans="1:29">
      <c r="A281" s="1155" t="s">
        <v>505</v>
      </c>
      <c r="B281" s="73" t="s">
        <v>44</v>
      </c>
      <c r="C281" s="1149">
        <f t="shared" si="67"/>
        <v>12234.494271428572</v>
      </c>
      <c r="D281" s="1150">
        <f t="shared" si="67"/>
        <v>3.1347753486597643E-2</v>
      </c>
      <c r="E281" s="1124">
        <f t="shared" si="67"/>
        <v>-0.59766521701552</v>
      </c>
      <c r="F281" s="1124">
        <f t="shared" si="67"/>
        <v>-0.49588963810988107</v>
      </c>
      <c r="G281" s="1125">
        <f t="shared" si="67"/>
        <v>6819.5967000000001</v>
      </c>
      <c r="H281" s="1126">
        <f t="shared" si="67"/>
        <v>1.8884794830384175E-2</v>
      </c>
      <c r="I281" s="1127">
        <f t="shared" si="67"/>
        <v>3.9295455833111754</v>
      </c>
      <c r="J281" s="1127">
        <f t="shared" si="67"/>
        <v>1.2175677021960365</v>
      </c>
      <c r="K281" s="1128">
        <f t="shared" si="67"/>
        <v>4.9270605931091591</v>
      </c>
      <c r="L281" s="1124">
        <f t="shared" si="67"/>
        <v>-0.26680842971581226</v>
      </c>
      <c r="M281" s="1129">
        <f t="shared" si="68"/>
        <v>4.0325018858098245</v>
      </c>
      <c r="N281" s="1130">
        <f t="shared" si="68"/>
        <v>0.5805147103617575</v>
      </c>
      <c r="O281" s="1131">
        <f t="shared" si="68"/>
        <v>8.4948466413752491E-2</v>
      </c>
      <c r="P281" s="1132">
        <f t="shared" si="68"/>
        <v>0.6264024463118032</v>
      </c>
      <c r="Q281" s="1130">
        <f t="shared" si="68"/>
        <v>0.51826084585195908</v>
      </c>
      <c r="R281" s="1131">
        <f t="shared" si="68"/>
        <v>0.40005999871326348</v>
      </c>
      <c r="S281" s="1132">
        <f t="shared" si="68"/>
        <v>0.58973938770950263</v>
      </c>
      <c r="T281" s="1130">
        <f t="shared" si="68"/>
        <v>0.5495689942142129</v>
      </c>
      <c r="U281" s="1131">
        <f t="shared" si="68"/>
        <v>0.40637993517884302</v>
      </c>
      <c r="V281" s="1132">
        <f t="shared" si="68"/>
        <v>0.63323863537070213</v>
      </c>
      <c r="W281" s="1124">
        <f t="shared" si="68"/>
        <v>3.1308148362253818E-2</v>
      </c>
      <c r="X281" s="117">
        <f t="shared" si="68"/>
        <v>6.0410020577161203E-2</v>
      </c>
      <c r="Y281" s="1133" t="str">
        <f t="shared" si="68"/>
        <v>BBB-</v>
      </c>
      <c r="Z281" s="1134" t="str">
        <f t="shared" si="66"/>
        <v>=  ¯ =</v>
      </c>
      <c r="AA281" s="1128">
        <f t="shared" si="65"/>
        <v>2.643581803383519</v>
      </c>
      <c r="AB281" s="1135">
        <f t="shared" si="65"/>
        <v>2.8580691559688957E-2</v>
      </c>
      <c r="AC281" s="1129">
        <f t="shared" si="65"/>
        <v>2.5466878830879209</v>
      </c>
    </row>
    <row r="282" spans="1:29">
      <c r="A282" s="1155" t="s">
        <v>508</v>
      </c>
      <c r="B282" s="73" t="s">
        <v>290</v>
      </c>
      <c r="C282" s="1149">
        <f t="shared" si="67"/>
        <v>16250.837973523972</v>
      </c>
      <c r="D282" s="1150">
        <f t="shared" si="67"/>
        <v>4.1638604052015776E-2</v>
      </c>
      <c r="E282" s="1124">
        <f t="shared" si="67"/>
        <v>0.20894195471198634</v>
      </c>
      <c r="F282" s="1124">
        <f t="shared" si="67"/>
        <v>0.31071753361762527</v>
      </c>
      <c r="G282" s="1125">
        <f t="shared" si="67"/>
        <v>17428.290742138299</v>
      </c>
      <c r="H282" s="1126">
        <f t="shared" si="67"/>
        <v>4.826234004564605E-2</v>
      </c>
      <c r="I282" s="1127">
        <f t="shared" si="67"/>
        <v>4.0995220850209826</v>
      </c>
      <c r="J282" s="1127">
        <f t="shared" si="67"/>
        <v>4.5731712273212377</v>
      </c>
      <c r="K282" s="1128">
        <f t="shared" si="67"/>
        <v>6.7995363362554677</v>
      </c>
      <c r="L282" s="1124">
        <f t="shared" si="67"/>
        <v>0.2149868566781509</v>
      </c>
      <c r="M282" s="1129">
        <f t="shared" si="68"/>
        <v>7.5822149145373468</v>
      </c>
      <c r="N282" s="1130">
        <f t="shared" si="68"/>
        <v>0.32615050588405037</v>
      </c>
      <c r="O282" s="1131">
        <f t="shared" si="68"/>
        <v>-8.7660674172335792E-2</v>
      </c>
      <c r="P282" s="1132">
        <f t="shared" si="68"/>
        <v>0.30985103942866765</v>
      </c>
      <c r="Q282" s="1130">
        <f t="shared" si="68"/>
        <v>0.30558583418722468</v>
      </c>
      <c r="R282" s="1131">
        <f t="shared" si="68"/>
        <v>-0.13620468181810452</v>
      </c>
      <c r="S282" s="1132">
        <f t="shared" si="68"/>
        <v>0.29018390059321952</v>
      </c>
      <c r="T282" s="1130">
        <f t="shared" si="68"/>
        <v>0.31922230141848357</v>
      </c>
      <c r="U282" s="1131">
        <f t="shared" si="68"/>
        <v>-0.13496032758973828</v>
      </c>
      <c r="V282" s="1132">
        <f t="shared" si="68"/>
        <v>0.30362227391248225</v>
      </c>
      <c r="W282" s="1124">
        <f t="shared" si="68"/>
        <v>1.3636467231258886E-2</v>
      </c>
      <c r="X282" s="117">
        <f t="shared" si="68"/>
        <v>4.4624016252350789E-2</v>
      </c>
      <c r="Y282" s="1133" t="str">
        <f t="shared" si="68"/>
        <v>A</v>
      </c>
      <c r="Z282" s="1134" t="str">
        <f t="shared" si="66"/>
        <v>=  =  -</v>
      </c>
      <c r="AA282" s="1128">
        <f t="shared" si="65"/>
        <v>2.1579177629636748</v>
      </c>
      <c r="AB282" s="1135">
        <f t="shared" si="65"/>
        <v>6.0078851309961184E-2</v>
      </c>
      <c r="AC282" s="1129">
        <f t="shared" si="65"/>
        <v>2.3009327536910358</v>
      </c>
    </row>
    <row r="283" spans="1:29">
      <c r="A283" s="1155" t="s">
        <v>378</v>
      </c>
      <c r="B283" s="73" t="s">
        <v>42</v>
      </c>
      <c r="C283" s="1149">
        <f t="shared" si="67"/>
        <v>2432.5463571428577</v>
      </c>
      <c r="D283" s="1150">
        <f t="shared" si="67"/>
        <v>6.2327761047315808E-3</v>
      </c>
      <c r="E283" s="1124">
        <f t="shared" si="67"/>
        <v>-3.2258071946582277E-2</v>
      </c>
      <c r="F283" s="1124">
        <f t="shared" si="67"/>
        <v>6.9517506959056674E-2</v>
      </c>
      <c r="G283" s="1125">
        <f t="shared" si="67"/>
        <v>2940.9023000000002</v>
      </c>
      <c r="H283" s="1126">
        <f t="shared" si="67"/>
        <v>8.143932697912316E-3</v>
      </c>
      <c r="I283" s="1127">
        <f t="shared" si="67"/>
        <v>1.2689619717468461</v>
      </c>
      <c r="J283" s="1127">
        <f t="shared" si="67"/>
        <v>1.312316956715752</v>
      </c>
      <c r="K283" s="1128">
        <f t="shared" si="67"/>
        <v>3.7488610975650749</v>
      </c>
      <c r="L283" s="1124">
        <f t="shared" si="67"/>
        <v>3.4291324439135469E-2</v>
      </c>
      <c r="M283" s="1129">
        <f t="shared" si="68"/>
        <v>3.7439277362047823</v>
      </c>
      <c r="N283" s="1130">
        <f t="shared" si="68"/>
        <v>0.56323171407839789</v>
      </c>
      <c r="O283" s="1131">
        <f t="shared" si="68"/>
        <v>-0.12023286586287618</v>
      </c>
      <c r="P283" s="1132">
        <f t="shared" si="68"/>
        <v>0.53987730061349704</v>
      </c>
      <c r="Q283" s="1130">
        <f t="shared" si="68"/>
        <v>0.60887331285954671</v>
      </c>
      <c r="R283" s="1131">
        <f t="shared" si="68"/>
        <v>-0.37303497156800469</v>
      </c>
      <c r="S283" s="1132">
        <f t="shared" si="68"/>
        <v>0.37659759063604481</v>
      </c>
      <c r="T283" s="1130">
        <f t="shared" si="68"/>
        <v>0.63388271448107447</v>
      </c>
      <c r="U283" s="1131">
        <f t="shared" si="68"/>
        <v>-0.25869992498286548</v>
      </c>
      <c r="V283" s="1132">
        <f t="shared" si="68"/>
        <v>0.44527495080222473</v>
      </c>
      <c r="W283" s="1124">
        <f t="shared" si="68"/>
        <v>2.500940162152776E-2</v>
      </c>
      <c r="X283" s="117">
        <f t="shared" si="68"/>
        <v>4.1074885519406669E-2</v>
      </c>
      <c r="Y283" s="1133" t="str">
        <f t="shared" si="68"/>
        <v>B-</v>
      </c>
      <c r="Z283" s="1134" t="str">
        <f t="shared" si="66"/>
        <v>=  =  -</v>
      </c>
      <c r="AA283" s="1128">
        <f t="shared" si="65"/>
        <v>2.172629043332774</v>
      </c>
      <c r="AB283" s="1135">
        <f t="shared" si="65"/>
        <v>-0.22035736928264804</v>
      </c>
      <c r="AC283" s="1129">
        <f t="shared" si="65"/>
        <v>1.5517268924243866</v>
      </c>
    </row>
    <row r="284" spans="1:29">
      <c r="A284" s="1155" t="s">
        <v>27</v>
      </c>
      <c r="B284" s="73" t="s">
        <v>54</v>
      </c>
      <c r="C284" s="1149">
        <f t="shared" si="67"/>
        <v>4745.1447857142857</v>
      </c>
      <c r="D284" s="1150">
        <f t="shared" si="67"/>
        <v>1.2158216408516635E-2</v>
      </c>
      <c r="E284" s="1124">
        <f t="shared" si="67"/>
        <v>-0.63447330491761056</v>
      </c>
      <c r="F284" s="1124">
        <f t="shared" si="67"/>
        <v>-0.53269772601197163</v>
      </c>
      <c r="G284" s="1125">
        <f t="shared" si="67"/>
        <v>2680.5724</v>
      </c>
      <c r="H284" s="1126">
        <f t="shared" si="67"/>
        <v>7.4230283738025878E-3</v>
      </c>
      <c r="I284" s="1127">
        <f t="shared" si="67"/>
        <v>1.3569881249181368</v>
      </c>
      <c r="J284" s="1127">
        <f t="shared" si="67"/>
        <v>1.0332545966156574</v>
      </c>
      <c r="K284" s="1128">
        <f t="shared" si="67"/>
        <v>6.4063105209788551</v>
      </c>
      <c r="L284" s="1124">
        <f t="shared" si="67"/>
        <v>-0.24924595564935845</v>
      </c>
      <c r="M284" s="1129">
        <f t="shared" si="68"/>
        <v>5.3369406950798908</v>
      </c>
      <c r="N284" s="1130">
        <f t="shared" si="68"/>
        <v>0.48460704112825509</v>
      </c>
      <c r="O284" s="1131">
        <f t="shared" si="68"/>
        <v>-0.18079580514885477</v>
      </c>
      <c r="P284" s="1132">
        <f t="shared" si="68"/>
        <v>0.49497857034449522</v>
      </c>
      <c r="Q284" s="1130">
        <f t="shared" si="68"/>
        <v>0.56717095077467305</v>
      </c>
      <c r="R284" s="1131">
        <f t="shared" si="68"/>
        <v>0.64731222518720821</v>
      </c>
      <c r="S284" s="1132">
        <f t="shared" si="68"/>
        <v>0.74754623070756221</v>
      </c>
      <c r="T284" s="1130">
        <f t="shared" si="68"/>
        <v>0.5748403529709204</v>
      </c>
      <c r="U284" s="1131">
        <f t="shared" si="68"/>
        <v>0.5906099669472562</v>
      </c>
      <c r="V284" s="1132">
        <f t="shared" si="68"/>
        <v>0.7506672643344422</v>
      </c>
      <c r="W284" s="1124">
        <f t="shared" si="68"/>
        <v>7.6694021962473435E-3</v>
      </c>
      <c r="X284" s="117">
        <f t="shared" si="68"/>
        <v>1.3522205581530675E-2</v>
      </c>
      <c r="Y284" s="1133" t="str">
        <f t="shared" si="68"/>
        <v>BBB-</v>
      </c>
      <c r="Z284" s="1134" t="str">
        <f t="shared" si="66"/>
        <v>¯  ¯ ¯</v>
      </c>
      <c r="AA284" s="1128">
        <f t="shared" si="65"/>
        <v>3.4278891827637503</v>
      </c>
      <c r="AB284" s="1135">
        <f t="shared" si="65"/>
        <v>0.24423537898737996</v>
      </c>
      <c r="AC284" s="1129">
        <f t="shared" si="65"/>
        <v>3.8230610288109381</v>
      </c>
    </row>
    <row r="285" spans="1:29">
      <c r="A285" s="1155" t="s">
        <v>389</v>
      </c>
      <c r="B285" s="73" t="s">
        <v>278</v>
      </c>
      <c r="C285" s="1149">
        <f t="shared" si="67"/>
        <v>3544.0522571428578</v>
      </c>
      <c r="D285" s="1150">
        <f t="shared" si="67"/>
        <v>9.0807248780183369E-3</v>
      </c>
      <c r="E285" s="1124">
        <f t="shared" si="67"/>
        <v>-0.4675424361384804</v>
      </c>
      <c r="F285" s="1124">
        <f t="shared" si="67"/>
        <v>-0.36576685723284147</v>
      </c>
      <c r="G285" s="1125">
        <f t="shared" si="67"/>
        <v>2152.6311000000001</v>
      </c>
      <c r="H285" s="1126">
        <f t="shared" si="67"/>
        <v>5.9610558303255963E-3</v>
      </c>
      <c r="I285" s="1127">
        <f t="shared" si="67"/>
        <v>3.4941691326062152</v>
      </c>
      <c r="J285" s="1127">
        <f t="shared" si="67"/>
        <v>2.2961398399999999</v>
      </c>
      <c r="K285" s="1128">
        <f t="shared" si="67"/>
        <v>4.4503654862327</v>
      </c>
      <c r="L285" s="1124">
        <f t="shared" si="67"/>
        <v>-2.9835823683801648E-2</v>
      </c>
      <c r="M285" s="1129">
        <f t="shared" si="68"/>
        <v>4.0530525032062261</v>
      </c>
      <c r="N285" s="1130">
        <f t="shared" si="68"/>
        <v>0.60910298289809772</v>
      </c>
      <c r="O285" s="1131">
        <f t="shared" si="68"/>
        <v>-5.2071170724915891E-2</v>
      </c>
      <c r="P285" s="1132">
        <f t="shared" si="68"/>
        <v>0.6207941242005639</v>
      </c>
      <c r="Q285" s="1130">
        <f t="shared" si="68"/>
        <v>0.49050145598877937</v>
      </c>
      <c r="R285" s="1131">
        <f t="shared" si="68"/>
        <v>0.42102559519407173</v>
      </c>
      <c r="S285" s="1132">
        <f t="shared" si="68"/>
        <v>0.61744816018521742</v>
      </c>
      <c r="T285" s="1130">
        <f t="shared" si="68"/>
        <v>0.49698573886957192</v>
      </c>
      <c r="U285" s="1131">
        <f t="shared" si="68"/>
        <v>0.41032171167013903</v>
      </c>
      <c r="V285" s="1132">
        <f t="shared" si="68"/>
        <v>0.62319136029119382</v>
      </c>
      <c r="W285" s="1124">
        <f t="shared" si="68"/>
        <v>6.4842828807925579E-3</v>
      </c>
      <c r="X285" s="117">
        <f t="shared" si="68"/>
        <v>1.3219701596443154E-2</v>
      </c>
      <c r="Y285" s="1133" t="str">
        <f t="shared" si="68"/>
        <v>BBB</v>
      </c>
      <c r="Z285" s="1134" t="str">
        <f t="shared" si="66"/>
        <v>=  ¯ -</v>
      </c>
      <c r="AA285" s="1128">
        <f t="shared" si="65"/>
        <v>2.1902281092407181</v>
      </c>
      <c r="AB285" s="1135">
        <f t="shared" si="65"/>
        <v>0.36844726500440206</v>
      </c>
      <c r="AC285" s="1129">
        <f t="shared" si="65"/>
        <v>2.5252968522290931</v>
      </c>
    </row>
    <row r="286" spans="1:29">
      <c r="A286" s="1155" t="s">
        <v>503</v>
      </c>
      <c r="B286" s="73" t="s">
        <v>286</v>
      </c>
      <c r="C286" s="1149">
        <f t="shared" si="67"/>
        <v>15596.516285714286</v>
      </c>
      <c r="D286" s="1150">
        <f t="shared" si="67"/>
        <v>3.9962072557101963E-2</v>
      </c>
      <c r="E286" s="1124">
        <f t="shared" si="67"/>
        <v>-0.41209116095583281</v>
      </c>
      <c r="F286" s="1124">
        <f t="shared" si="67"/>
        <v>-0.31031558205019388</v>
      </c>
      <c r="G286" s="1125">
        <f t="shared" si="67"/>
        <v>10295.917100000001</v>
      </c>
      <c r="H286" s="1126">
        <f t="shared" si="67"/>
        <v>2.8511404790864545E-2</v>
      </c>
      <c r="I286" s="1127">
        <f t="shared" si="67"/>
        <v>0.58081043687158529</v>
      </c>
      <c r="J286" s="1127">
        <f t="shared" si="67"/>
        <v>0.5027794267018264</v>
      </c>
      <c r="K286" s="1128">
        <f t="shared" si="67"/>
        <v>4.5606838408134944</v>
      </c>
      <c r="L286" s="1124">
        <f t="shared" si="67"/>
        <v>-0.18379111287045302</v>
      </c>
      <c r="M286" s="1129">
        <f t="shared" si="68"/>
        <v>4.0606354500113753</v>
      </c>
      <c r="N286" s="1130">
        <f t="shared" si="68"/>
        <v>0.34534166666666666</v>
      </c>
      <c r="O286" s="1131">
        <f t="shared" si="68"/>
        <v>-5.4500069338510607E-2</v>
      </c>
      <c r="P286" s="1132">
        <f t="shared" si="68"/>
        <v>0.3626280111015483</v>
      </c>
      <c r="Q286" s="1130">
        <f t="shared" si="68"/>
        <v>0.67997702229572432</v>
      </c>
      <c r="R286" s="1131">
        <f t="shared" si="68"/>
        <v>0.10658020511075152</v>
      </c>
      <c r="S286" s="1132">
        <f t="shared" si="68"/>
        <v>0.75270955685414354</v>
      </c>
      <c r="T286" s="1130">
        <f t="shared" si="68"/>
        <v>0.68457317243488636</v>
      </c>
      <c r="U286" s="1131">
        <f t="shared" si="68"/>
        <v>0.10522314957078965</v>
      </c>
      <c r="V286" s="1132">
        <f t="shared" si="68"/>
        <v>0.75672107111582532</v>
      </c>
      <c r="W286" s="1124">
        <f t="shared" si="68"/>
        <v>4.5961501391620363E-3</v>
      </c>
      <c r="X286" s="117">
        <f t="shared" si="68"/>
        <v>6.7592727231349809E-3</v>
      </c>
      <c r="Y286" s="1133" t="str">
        <f t="shared" si="68"/>
        <v>BBB-</v>
      </c>
      <c r="Z286" s="1134" t="str">
        <f t="shared" si="66"/>
        <v>=  ¯ ¯</v>
      </c>
      <c r="AA286" s="1128">
        <f t="shared" si="65"/>
        <v>2.9152503149286035</v>
      </c>
      <c r="AB286" s="1135">
        <f t="shared" si="65"/>
        <v>-0.14664752669478531</v>
      </c>
      <c r="AC286" s="1129">
        <f t="shared" si="65"/>
        <v>2.8370691340232916</v>
      </c>
    </row>
    <row r="287" spans="1:29">
      <c r="A287" s="1156" t="s">
        <v>323</v>
      </c>
      <c r="B287" s="726" t="s">
        <v>774</v>
      </c>
      <c r="C287" s="1151">
        <f t="shared" si="67"/>
        <v>3541.6238999999996</v>
      </c>
      <c r="D287" s="1152">
        <f t="shared" si="67"/>
        <v>9.0745028357006995E-3</v>
      </c>
      <c r="E287" s="1136">
        <f t="shared" si="67"/>
        <v>0.67327297771392325</v>
      </c>
      <c r="F287" s="1136">
        <f t="shared" si="67"/>
        <v>0.77504855661956218</v>
      </c>
      <c r="G287" s="1137">
        <f t="shared" si="67"/>
        <v>4048.9897999999998</v>
      </c>
      <c r="H287" s="1138">
        <f t="shared" si="67"/>
        <v>1.1212443346293226E-2</v>
      </c>
      <c r="I287" s="1139">
        <f t="shared" si="67"/>
        <v>-1.4186196832586249</v>
      </c>
      <c r="J287" s="1139">
        <f t="shared" si="67"/>
        <v>-2.7147098893731143</v>
      </c>
      <c r="K287" s="1140">
        <f t="shared" si="67"/>
        <v>8.6861758729657641</v>
      </c>
      <c r="L287" s="1136">
        <f t="shared" si="67"/>
        <v>0.26215680659638446</v>
      </c>
      <c r="M287" s="1141">
        <f t="shared" si="68"/>
        <v>9.0506669895995948</v>
      </c>
      <c r="N287" s="1136">
        <f t="shared" si="68"/>
        <v>6.4385445236561381E-2</v>
      </c>
      <c r="O287" s="1143">
        <f t="shared" si="68"/>
        <v>14.697799124913645</v>
      </c>
      <c r="P287" s="1144">
        <f t="shared" si="68"/>
        <v>0.15462918080465343</v>
      </c>
      <c r="Q287" s="1142">
        <f t="shared" si="68"/>
        <v>0.42399287000325037</v>
      </c>
      <c r="R287" s="1143">
        <f t="shared" si="68"/>
        <v>4.5742782667206161E-2</v>
      </c>
      <c r="S287" s="1144">
        <f t="shared" si="68"/>
        <v>0.48144640266975475</v>
      </c>
      <c r="T287" s="1142">
        <f t="shared" si="68"/>
        <v>0.42695023434228802</v>
      </c>
      <c r="U287" s="1143">
        <f t="shared" si="68"/>
        <v>4.1366838913311048E-2</v>
      </c>
      <c r="V287" s="1144">
        <f t="shared" si="68"/>
        <v>0.4832654138496531</v>
      </c>
      <c r="W287" s="1136">
        <f t="shared" si="68"/>
        <v>2.9573643390376492E-3</v>
      </c>
      <c r="X287" s="1071">
        <f t="shared" si="68"/>
        <v>6.9750331863245195E-3</v>
      </c>
      <c r="Y287" s="1145" t="str">
        <f t="shared" si="68"/>
        <v>B+</v>
      </c>
      <c r="Z287" s="1146" t="str">
        <f t="shared" si="66"/>
        <v>=  =  =</v>
      </c>
      <c r="AA287" s="1140">
        <f t="shared" si="65"/>
        <v>3.7014756930154613</v>
      </c>
      <c r="AB287" s="1147">
        <f t="shared" si="65"/>
        <v>0.31334582285320112</v>
      </c>
      <c r="AC287" s="1141">
        <f t="shared" si="65"/>
        <v>4.3704719780651446</v>
      </c>
    </row>
    <row r="290" spans="1:29">
      <c r="A290" s="1252" t="s">
        <v>1079</v>
      </c>
      <c r="B290" s="1123" t="s">
        <v>1278</v>
      </c>
      <c r="C290" s="1068"/>
      <c r="E290" s="1068"/>
      <c r="F290" s="1068"/>
      <c r="G290" s="1068"/>
      <c r="K290" s="1068"/>
      <c r="L290" s="1068"/>
      <c r="M290" s="1153"/>
      <c r="N290" s="1068"/>
      <c r="O290" s="1068"/>
      <c r="P290" s="1068"/>
      <c r="T290" s="1068"/>
      <c r="U290" s="1068"/>
      <c r="V290" s="1068"/>
      <c r="Y290" s="1068"/>
      <c r="Z290" s="1068"/>
      <c r="AA290" s="1068"/>
      <c r="AB290" s="1068"/>
      <c r="AC290" s="1068"/>
    </row>
    <row r="291" spans="1:29">
      <c r="A291" s="1155" t="s">
        <v>503</v>
      </c>
      <c r="B291" s="73" t="s">
        <v>286</v>
      </c>
      <c r="C291" s="1149">
        <f t="shared" ref="C291:L298" si="69">VLOOKUP($B291,$B$7:$AC$28,C$37+1,FALSE)</f>
        <v>15596.516285714286</v>
      </c>
      <c r="D291" s="1150">
        <f t="shared" si="69"/>
        <v>3.9962072557101963E-2</v>
      </c>
      <c r="E291" s="1124">
        <f t="shared" si="69"/>
        <v>-0.41209116095583281</v>
      </c>
      <c r="F291" s="1124">
        <f t="shared" si="69"/>
        <v>-0.31031558205019388</v>
      </c>
      <c r="G291" s="1125">
        <f t="shared" si="69"/>
        <v>10295.917100000001</v>
      </c>
      <c r="H291" s="1126">
        <f t="shared" si="69"/>
        <v>2.8511404790864545E-2</v>
      </c>
      <c r="I291" s="1127">
        <f t="shared" si="69"/>
        <v>0.58081043687158529</v>
      </c>
      <c r="J291" s="1127">
        <f t="shared" si="69"/>
        <v>0.5027794267018264</v>
      </c>
      <c r="K291" s="1128">
        <f t="shared" si="69"/>
        <v>4.5606838408134944</v>
      </c>
      <c r="L291" s="1124">
        <f t="shared" si="69"/>
        <v>-0.18379111287045302</v>
      </c>
      <c r="M291" s="1129">
        <f t="shared" ref="M291:V298" si="70">VLOOKUP($B291,$B$7:$AC$28,M$37+1,FALSE)</f>
        <v>4.0606354500113753</v>
      </c>
      <c r="N291" s="1130">
        <f t="shared" si="70"/>
        <v>0.34534166666666666</v>
      </c>
      <c r="O291" s="1131">
        <f t="shared" si="70"/>
        <v>-5.4500069338510607E-2</v>
      </c>
      <c r="P291" s="1132">
        <f t="shared" si="70"/>
        <v>0.3626280111015483</v>
      </c>
      <c r="Q291" s="1130">
        <f t="shared" si="70"/>
        <v>0.67997702229572432</v>
      </c>
      <c r="R291" s="1131">
        <f t="shared" si="70"/>
        <v>0.10658020511075152</v>
      </c>
      <c r="S291" s="1132">
        <f t="shared" si="70"/>
        <v>0.75270955685414354</v>
      </c>
      <c r="T291" s="1130">
        <f t="shared" si="70"/>
        <v>0.68457317243488636</v>
      </c>
      <c r="U291" s="1131">
        <f t="shared" si="70"/>
        <v>0.10522314957078965</v>
      </c>
      <c r="V291" s="104">
        <f t="shared" si="70"/>
        <v>0.75672107111582532</v>
      </c>
      <c r="W291" s="1124">
        <f t="shared" ref="W291:AC298" si="71">VLOOKUP($B291,$B$7:$AC$28,W$37+1,FALSE)</f>
        <v>4.5961501391620363E-3</v>
      </c>
      <c r="X291" s="1124">
        <f t="shared" si="71"/>
        <v>6.7592727231349809E-3</v>
      </c>
      <c r="Y291" s="1133" t="str">
        <f t="shared" si="71"/>
        <v>BBB-</v>
      </c>
      <c r="Z291" s="1134" t="str">
        <f t="shared" si="71"/>
        <v>=  ¯ ¯</v>
      </c>
      <c r="AA291" s="1128">
        <f t="shared" si="71"/>
        <v>2.9152503149286035</v>
      </c>
      <c r="AB291" s="1135">
        <f t="shared" si="71"/>
        <v>-0.14664752669478531</v>
      </c>
      <c r="AC291" s="1129">
        <f t="shared" si="71"/>
        <v>2.8370691340232916</v>
      </c>
    </row>
    <row r="292" spans="1:29">
      <c r="A292" s="1155" t="s">
        <v>27</v>
      </c>
      <c r="B292" s="73" t="s">
        <v>54</v>
      </c>
      <c r="C292" s="1149">
        <f t="shared" si="69"/>
        <v>4745.1447857142857</v>
      </c>
      <c r="D292" s="1150">
        <f t="shared" si="69"/>
        <v>1.2158216408516635E-2</v>
      </c>
      <c r="E292" s="1124">
        <f t="shared" si="69"/>
        <v>-0.63447330491761056</v>
      </c>
      <c r="F292" s="1124">
        <f t="shared" si="69"/>
        <v>-0.53269772601197163</v>
      </c>
      <c r="G292" s="1125">
        <f t="shared" si="69"/>
        <v>2680.5724</v>
      </c>
      <c r="H292" s="1126">
        <f t="shared" si="69"/>
        <v>7.4230283738025878E-3</v>
      </c>
      <c r="I292" s="1127">
        <f t="shared" si="69"/>
        <v>1.3569881249181368</v>
      </c>
      <c r="J292" s="1127">
        <f t="shared" si="69"/>
        <v>1.0332545966156574</v>
      </c>
      <c r="K292" s="1128">
        <f t="shared" si="69"/>
        <v>6.4063105209788551</v>
      </c>
      <c r="L292" s="1124">
        <f t="shared" si="69"/>
        <v>-0.24924595564935845</v>
      </c>
      <c r="M292" s="1129">
        <f t="shared" si="70"/>
        <v>5.3369406950798908</v>
      </c>
      <c r="N292" s="1130">
        <f t="shared" si="70"/>
        <v>0.48460704112825509</v>
      </c>
      <c r="O292" s="1131">
        <f t="shared" si="70"/>
        <v>-0.18079580514885477</v>
      </c>
      <c r="P292" s="1132">
        <f t="shared" si="70"/>
        <v>0.49497857034449522</v>
      </c>
      <c r="Q292" s="1130">
        <f t="shared" si="70"/>
        <v>0.56717095077467305</v>
      </c>
      <c r="R292" s="1131">
        <f t="shared" si="70"/>
        <v>0.64731222518720821</v>
      </c>
      <c r="S292" s="1132">
        <f t="shared" si="70"/>
        <v>0.74754623070756221</v>
      </c>
      <c r="T292" s="1130">
        <f t="shared" si="70"/>
        <v>0.5748403529709204</v>
      </c>
      <c r="U292" s="1131">
        <f t="shared" si="70"/>
        <v>0.5906099669472562</v>
      </c>
      <c r="V292" s="104">
        <f t="shared" si="70"/>
        <v>0.7506672643344422</v>
      </c>
      <c r="W292" s="1124">
        <f t="shared" si="71"/>
        <v>7.6694021962473435E-3</v>
      </c>
      <c r="X292" s="1124">
        <f t="shared" si="71"/>
        <v>1.3522205581530675E-2</v>
      </c>
      <c r="Y292" s="1133" t="str">
        <f t="shared" si="71"/>
        <v>BBB-</v>
      </c>
      <c r="Z292" s="1134" t="str">
        <f t="shared" si="71"/>
        <v>¯  ¯ ¯</v>
      </c>
      <c r="AA292" s="1128">
        <f t="shared" si="71"/>
        <v>3.4278891827637503</v>
      </c>
      <c r="AB292" s="1135">
        <f t="shared" si="71"/>
        <v>0.24423537898737996</v>
      </c>
      <c r="AC292" s="1129">
        <f t="shared" si="71"/>
        <v>3.8230610288109381</v>
      </c>
    </row>
    <row r="293" spans="1:29">
      <c r="A293" s="1155" t="s">
        <v>19</v>
      </c>
      <c r="B293" s="152" t="s">
        <v>288</v>
      </c>
      <c r="C293" s="1149">
        <f t="shared" si="69"/>
        <v>31174.883771428573</v>
      </c>
      <c r="D293" s="1150">
        <f t="shared" si="69"/>
        <v>7.9877643469276421E-2</v>
      </c>
      <c r="E293" s="1124">
        <f t="shared" si="69"/>
        <v>-0.49416922878378883</v>
      </c>
      <c r="F293" s="1124">
        <f t="shared" si="69"/>
        <v>-0.3923936498781499</v>
      </c>
      <c r="G293" s="1125">
        <f t="shared" si="69"/>
        <v>19124.593099999998</v>
      </c>
      <c r="H293" s="1126">
        <f t="shared" si="69"/>
        <v>5.2959732488004868E-2</v>
      </c>
      <c r="I293" s="1127">
        <f t="shared" si="69"/>
        <v>1.0546425468926217</v>
      </c>
      <c r="J293" s="1127">
        <f t="shared" si="69"/>
        <v>0.72989058468819168</v>
      </c>
      <c r="K293" s="1128">
        <f t="shared" si="69"/>
        <v>4.7838493303826084</v>
      </c>
      <c r="L293" s="1124">
        <f t="shared" si="69"/>
        <v>-0.19812930900653591</v>
      </c>
      <c r="M293" s="1129">
        <f t="shared" si="70"/>
        <v>4.438539176760524</v>
      </c>
      <c r="N293" s="1130">
        <f t="shared" si="70"/>
        <v>0.60741568747204655</v>
      </c>
      <c r="O293" s="1131">
        <f t="shared" si="70"/>
        <v>4.0950219141690898E-2</v>
      </c>
      <c r="P293" s="1132">
        <f t="shared" si="70"/>
        <v>0.62738172243152124</v>
      </c>
      <c r="Q293" s="1130">
        <f t="shared" si="70"/>
        <v>0.50834561454306215</v>
      </c>
      <c r="R293" s="1131">
        <f t="shared" si="70"/>
        <v>0.27477182203191691</v>
      </c>
      <c r="S293" s="1132">
        <f t="shared" si="70"/>
        <v>0.61196382356206247</v>
      </c>
      <c r="T293" s="1130">
        <f t="shared" si="70"/>
        <v>0.54898628094174651</v>
      </c>
      <c r="U293" s="1131">
        <f t="shared" si="70"/>
        <v>0.26756473067663017</v>
      </c>
      <c r="V293" s="104">
        <f t="shared" si="70"/>
        <v>0.65530118542007598</v>
      </c>
      <c r="W293" s="1124">
        <f t="shared" si="71"/>
        <v>4.0640666398684355E-2</v>
      </c>
      <c r="X293" s="1124">
        <f t="shared" si="71"/>
        <v>7.9946920433679999E-2</v>
      </c>
      <c r="Y293" s="1133" t="str">
        <f t="shared" si="71"/>
        <v>BBB+</v>
      </c>
      <c r="Z293" s="1134" t="str">
        <f t="shared" si="71"/>
        <v>=  ¯ ¯</v>
      </c>
      <c r="AA293" s="1128">
        <f t="shared" si="71"/>
        <v>2.5321561588471506</v>
      </c>
      <c r="AB293" s="1135">
        <f t="shared" si="71"/>
        <v>1.3257606300410854E-2</v>
      </c>
      <c r="AC293" s="1129">
        <f t="shared" si="71"/>
        <v>2.8138910595815916</v>
      </c>
    </row>
    <row r="294" spans="1:29">
      <c r="A294" s="1155" t="s">
        <v>505</v>
      </c>
      <c r="B294" s="73" t="s">
        <v>44</v>
      </c>
      <c r="C294" s="1149">
        <f t="shared" si="69"/>
        <v>12234.494271428572</v>
      </c>
      <c r="D294" s="1150">
        <f t="shared" si="69"/>
        <v>3.1347753486597643E-2</v>
      </c>
      <c r="E294" s="1124">
        <f t="shared" si="69"/>
        <v>-0.59766521701552</v>
      </c>
      <c r="F294" s="1124">
        <f t="shared" si="69"/>
        <v>-0.49588963810988107</v>
      </c>
      <c r="G294" s="1125">
        <f t="shared" si="69"/>
        <v>6819.5967000000001</v>
      </c>
      <c r="H294" s="1126">
        <f t="shared" si="69"/>
        <v>1.8884794830384175E-2</v>
      </c>
      <c r="I294" s="1127">
        <f t="shared" si="69"/>
        <v>3.9295455833111754</v>
      </c>
      <c r="J294" s="1127">
        <f t="shared" si="69"/>
        <v>1.2175677021960365</v>
      </c>
      <c r="K294" s="1128">
        <f t="shared" si="69"/>
        <v>4.9270605931091591</v>
      </c>
      <c r="L294" s="1124">
        <f t="shared" si="69"/>
        <v>-0.26680842971581226</v>
      </c>
      <c r="M294" s="1129">
        <f t="shared" si="70"/>
        <v>4.0325018858098245</v>
      </c>
      <c r="N294" s="1130">
        <f t="shared" si="70"/>
        <v>0.5805147103617575</v>
      </c>
      <c r="O294" s="1131">
        <f t="shared" si="70"/>
        <v>8.4948466413752491E-2</v>
      </c>
      <c r="P294" s="1132">
        <f t="shared" si="70"/>
        <v>0.6264024463118032</v>
      </c>
      <c r="Q294" s="1130">
        <f t="shared" si="70"/>
        <v>0.51826084585195908</v>
      </c>
      <c r="R294" s="1131">
        <f t="shared" si="70"/>
        <v>0.40005999871326348</v>
      </c>
      <c r="S294" s="1132">
        <f t="shared" si="70"/>
        <v>0.58973938770950263</v>
      </c>
      <c r="T294" s="1130">
        <f t="shared" si="70"/>
        <v>0.5495689942142129</v>
      </c>
      <c r="U294" s="1131">
        <f t="shared" si="70"/>
        <v>0.40637993517884302</v>
      </c>
      <c r="V294" s="104">
        <f t="shared" si="70"/>
        <v>0.63323863537070213</v>
      </c>
      <c r="W294" s="1124">
        <f t="shared" si="71"/>
        <v>3.1308148362253818E-2</v>
      </c>
      <c r="X294" s="1124">
        <f t="shared" si="71"/>
        <v>6.0410020577161203E-2</v>
      </c>
      <c r="Y294" s="1133" t="str">
        <f t="shared" si="71"/>
        <v>BBB-</v>
      </c>
      <c r="Z294" s="1134" t="str">
        <f t="shared" si="71"/>
        <v>=  ¯ =</v>
      </c>
      <c r="AA294" s="1128">
        <f t="shared" si="71"/>
        <v>2.643581803383519</v>
      </c>
      <c r="AB294" s="1135">
        <f t="shared" si="71"/>
        <v>2.8580691559688957E-2</v>
      </c>
      <c r="AC294" s="1129">
        <f t="shared" si="71"/>
        <v>2.5466878830879209</v>
      </c>
    </row>
    <row r="295" spans="1:29">
      <c r="A295" s="1155" t="s">
        <v>389</v>
      </c>
      <c r="B295" s="73" t="s">
        <v>278</v>
      </c>
      <c r="C295" s="1149">
        <f t="shared" si="69"/>
        <v>3544.0522571428578</v>
      </c>
      <c r="D295" s="1150">
        <f t="shared" si="69"/>
        <v>9.0807248780183369E-3</v>
      </c>
      <c r="E295" s="1124">
        <f t="shared" si="69"/>
        <v>-0.4675424361384804</v>
      </c>
      <c r="F295" s="1124">
        <f t="shared" si="69"/>
        <v>-0.36576685723284147</v>
      </c>
      <c r="G295" s="1125">
        <f t="shared" si="69"/>
        <v>2152.6311000000001</v>
      </c>
      <c r="H295" s="1126">
        <f t="shared" si="69"/>
        <v>5.9610558303255963E-3</v>
      </c>
      <c r="I295" s="1127">
        <f t="shared" si="69"/>
        <v>3.4941691326062152</v>
      </c>
      <c r="J295" s="1127">
        <f t="shared" si="69"/>
        <v>2.2961398399999999</v>
      </c>
      <c r="K295" s="1128">
        <f t="shared" si="69"/>
        <v>4.4503654862327</v>
      </c>
      <c r="L295" s="1124">
        <f t="shared" si="69"/>
        <v>-2.9835823683801648E-2</v>
      </c>
      <c r="M295" s="1129">
        <f t="shared" si="70"/>
        <v>4.0530525032062261</v>
      </c>
      <c r="N295" s="1130">
        <f t="shared" si="70"/>
        <v>0.60910298289809772</v>
      </c>
      <c r="O295" s="1131">
        <f t="shared" si="70"/>
        <v>-5.2071170724915891E-2</v>
      </c>
      <c r="P295" s="1132">
        <f t="shared" si="70"/>
        <v>0.6207941242005639</v>
      </c>
      <c r="Q295" s="1130">
        <f t="shared" si="70"/>
        <v>0.49050145598877937</v>
      </c>
      <c r="R295" s="1131">
        <f t="shared" si="70"/>
        <v>0.42102559519407173</v>
      </c>
      <c r="S295" s="1132">
        <f t="shared" si="70"/>
        <v>0.61744816018521742</v>
      </c>
      <c r="T295" s="1130">
        <f t="shared" si="70"/>
        <v>0.49698573886957192</v>
      </c>
      <c r="U295" s="1131">
        <f t="shared" si="70"/>
        <v>0.41032171167013903</v>
      </c>
      <c r="V295" s="104">
        <f t="shared" si="70"/>
        <v>0.62319136029119382</v>
      </c>
      <c r="W295" s="1124">
        <f t="shared" si="71"/>
        <v>6.4842828807925579E-3</v>
      </c>
      <c r="X295" s="1124">
        <f t="shared" si="71"/>
        <v>1.3219701596443154E-2</v>
      </c>
      <c r="Y295" s="1133" t="str">
        <f t="shared" si="71"/>
        <v>BBB</v>
      </c>
      <c r="Z295" s="1134" t="str">
        <f t="shared" si="71"/>
        <v>=  ¯ -</v>
      </c>
      <c r="AA295" s="1128">
        <f t="shared" si="71"/>
        <v>2.1902281092407181</v>
      </c>
      <c r="AB295" s="1135">
        <f t="shared" si="71"/>
        <v>0.36844726500440206</v>
      </c>
      <c r="AC295" s="1129">
        <f t="shared" si="71"/>
        <v>2.5252968522290931</v>
      </c>
    </row>
    <row r="296" spans="1:29">
      <c r="A296" s="1155" t="s">
        <v>502</v>
      </c>
      <c r="B296" s="73" t="s">
        <v>52</v>
      </c>
      <c r="C296" s="1149">
        <f t="shared" si="69"/>
        <v>40464.923042857146</v>
      </c>
      <c r="D296" s="1150">
        <f t="shared" si="69"/>
        <v>0.1036809862557167</v>
      </c>
      <c r="E296" s="1124">
        <f t="shared" si="69"/>
        <v>-6.1458653761923776E-2</v>
      </c>
      <c r="F296" s="1124">
        <f t="shared" si="69"/>
        <v>4.0316925143715168E-2</v>
      </c>
      <c r="G296" s="1125">
        <f t="shared" si="69"/>
        <v>39791.94</v>
      </c>
      <c r="H296" s="1126">
        <f t="shared" si="69"/>
        <v>0.1101916514803518</v>
      </c>
      <c r="I296" s="1127">
        <f t="shared" si="69"/>
        <v>1.0840589348936991</v>
      </c>
      <c r="J296" s="1127">
        <f t="shared" si="69"/>
        <v>1.2733420800000002</v>
      </c>
      <c r="K296" s="1128">
        <f t="shared" si="69"/>
        <v>4.9905713850513198</v>
      </c>
      <c r="L296" s="1124">
        <f t="shared" si="69"/>
        <v>0.1448238320606966</v>
      </c>
      <c r="M296" s="1129">
        <f t="shared" si="70"/>
        <v>5.2964626193065953</v>
      </c>
      <c r="N296" s="1130">
        <f t="shared" si="70"/>
        <v>0.61</v>
      </c>
      <c r="O296" s="1131">
        <f t="shared" si="70"/>
        <v>0</v>
      </c>
      <c r="P296" s="1132">
        <f t="shared" si="70"/>
        <v>0.62983042679437373</v>
      </c>
      <c r="Q296" s="1130">
        <f t="shared" si="70"/>
        <v>0.51528895508035288</v>
      </c>
      <c r="R296" s="1131">
        <f t="shared" si="70"/>
        <v>-2.4931247740904369E-2</v>
      </c>
      <c r="S296" s="1132">
        <f t="shared" si="70"/>
        <v>0.51939744871548044</v>
      </c>
      <c r="T296" s="1130">
        <f t="shared" si="70"/>
        <v>0.58808850315066874</v>
      </c>
      <c r="U296" s="1131">
        <f t="shared" si="70"/>
        <v>-2.8226553900756759E-2</v>
      </c>
      <c r="V296" s="104">
        <f t="shared" si="70"/>
        <v>0.59074959904524027</v>
      </c>
      <c r="W296" s="1124">
        <f t="shared" si="71"/>
        <v>7.2799548070315856E-2</v>
      </c>
      <c r="X296" s="1124">
        <f t="shared" si="71"/>
        <v>0.14127907721011346</v>
      </c>
      <c r="Y296" s="1133" t="str">
        <f t="shared" si="71"/>
        <v>BBB+</v>
      </c>
      <c r="Z296" s="1134" t="str">
        <f t="shared" si="71"/>
        <v>=  =  =</v>
      </c>
      <c r="AA296" s="1128">
        <f t="shared" si="71"/>
        <v>2.7906818261625395</v>
      </c>
      <c r="AB296" s="1135">
        <f t="shared" si="71"/>
        <v>8.5841806528642844E-2</v>
      </c>
      <c r="AC296" s="1129">
        <f t="shared" si="71"/>
        <v>2.9178287645268703</v>
      </c>
    </row>
    <row r="297" spans="1:29">
      <c r="A297" s="1155" t="s">
        <v>219</v>
      </c>
      <c r="B297" s="73" t="s">
        <v>53</v>
      </c>
      <c r="C297" s="1149">
        <f t="shared" si="69"/>
        <v>60036.853628571422</v>
      </c>
      <c r="D297" s="1150">
        <f t="shared" si="69"/>
        <v>0.15382903828354536</v>
      </c>
      <c r="E297" s="1124">
        <f t="shared" si="69"/>
        <v>-0.3618479655094986</v>
      </c>
      <c r="F297" s="1124">
        <f t="shared" si="69"/>
        <v>-0.26007238660385967</v>
      </c>
      <c r="G297" s="1125">
        <f t="shared" si="69"/>
        <v>44430.485000000001</v>
      </c>
      <c r="H297" s="1126">
        <f t="shared" si="69"/>
        <v>0.1230366882897139</v>
      </c>
      <c r="I297" s="1127">
        <f t="shared" si="69"/>
        <v>2.2644833808097031</v>
      </c>
      <c r="J297" s="1127">
        <f t="shared" si="69"/>
        <v>1.7716210773954304</v>
      </c>
      <c r="K297" s="1128">
        <f t="shared" si="69"/>
        <v>5.6943354572509941</v>
      </c>
      <c r="L297" s="1124">
        <f t="shared" si="69"/>
        <v>-7.3155042359885195E-2</v>
      </c>
      <c r="M297" s="1129">
        <f t="shared" si="70"/>
        <v>5.1937231412225326</v>
      </c>
      <c r="N297" s="1130">
        <f t="shared" si="70"/>
        <v>0.6158872479982318</v>
      </c>
      <c r="O297" s="1131">
        <f t="shared" si="70"/>
        <v>0.11044311863454735</v>
      </c>
      <c r="P297" s="1132">
        <f t="shared" si="70"/>
        <v>0.66127040038880336</v>
      </c>
      <c r="Q297" s="1130">
        <f t="shared" si="70"/>
        <v>0.48384306036910518</v>
      </c>
      <c r="R297" s="1131">
        <f t="shared" si="70"/>
        <v>0.2595878527386451</v>
      </c>
      <c r="S297" s="1132">
        <f t="shared" si="70"/>
        <v>0.54381370963962039</v>
      </c>
      <c r="T297" s="1130">
        <f t="shared" si="70"/>
        <v>0.51513010935716153</v>
      </c>
      <c r="U297" s="1131">
        <f t="shared" si="70"/>
        <v>0.26130995158024306</v>
      </c>
      <c r="V297" s="104">
        <f t="shared" si="70"/>
        <v>0.57929804018594233</v>
      </c>
      <c r="W297" s="1124">
        <f t="shared" si="71"/>
        <v>3.1287048988056343E-2</v>
      </c>
      <c r="X297" s="1124">
        <f t="shared" si="71"/>
        <v>6.4663630732222685E-2</v>
      </c>
      <c r="Y297" s="1133" t="str">
        <f t="shared" si="71"/>
        <v>BBB</v>
      </c>
      <c r="Z297" s="1134" t="str">
        <f t="shared" si="71"/>
        <v>¯  ¯ ¯</v>
      </c>
      <c r="AA297" s="1128">
        <f t="shared" si="71"/>
        <v>2.7929780820851775</v>
      </c>
      <c r="AB297" s="1135">
        <f t="shared" si="71"/>
        <v>0.12404595260605845</v>
      </c>
      <c r="AC297" s="1129">
        <f t="shared" si="71"/>
        <v>2.8353348809740444</v>
      </c>
    </row>
    <row r="298" spans="1:29">
      <c r="A298" s="1156" t="s">
        <v>323</v>
      </c>
      <c r="B298" s="726" t="s">
        <v>774</v>
      </c>
      <c r="C298" s="1151">
        <f t="shared" si="69"/>
        <v>3541.6238999999996</v>
      </c>
      <c r="D298" s="1152">
        <f t="shared" si="69"/>
        <v>9.0745028357006995E-3</v>
      </c>
      <c r="E298" s="1136">
        <f t="shared" si="69"/>
        <v>0.67327297771392325</v>
      </c>
      <c r="F298" s="1136">
        <f t="shared" si="69"/>
        <v>0.77504855661956218</v>
      </c>
      <c r="G298" s="1137">
        <f t="shared" si="69"/>
        <v>4048.9897999999998</v>
      </c>
      <c r="H298" s="1138">
        <f t="shared" si="69"/>
        <v>1.1212443346293226E-2</v>
      </c>
      <c r="I298" s="1139">
        <f t="shared" si="69"/>
        <v>-1.4186196832586249</v>
      </c>
      <c r="J298" s="1139">
        <f t="shared" si="69"/>
        <v>-2.7147098893731143</v>
      </c>
      <c r="K298" s="1140">
        <f t="shared" si="69"/>
        <v>8.6861758729657641</v>
      </c>
      <c r="L298" s="1136">
        <f t="shared" si="69"/>
        <v>0.26215680659638446</v>
      </c>
      <c r="M298" s="1141">
        <f t="shared" si="70"/>
        <v>9.0506669895995948</v>
      </c>
      <c r="N298" s="1142">
        <f t="shared" si="70"/>
        <v>6.4385445236561381E-2</v>
      </c>
      <c r="O298" s="1143">
        <f t="shared" si="70"/>
        <v>14.697799124913645</v>
      </c>
      <c r="P298" s="1144">
        <f t="shared" si="70"/>
        <v>0.15462918080465343</v>
      </c>
      <c r="Q298" s="1142">
        <f t="shared" si="70"/>
        <v>0.42399287000325037</v>
      </c>
      <c r="R298" s="1143">
        <f t="shared" si="70"/>
        <v>4.5742782667206161E-2</v>
      </c>
      <c r="S298" s="1144">
        <f t="shared" si="70"/>
        <v>0.48144640266975475</v>
      </c>
      <c r="T298" s="1142">
        <f t="shared" si="70"/>
        <v>0.42695023434228802</v>
      </c>
      <c r="U298" s="1143">
        <f t="shared" si="70"/>
        <v>4.1366838913311048E-2</v>
      </c>
      <c r="V298" s="1077">
        <f t="shared" si="70"/>
        <v>0.4832654138496531</v>
      </c>
      <c r="W298" s="1136">
        <f t="shared" si="71"/>
        <v>2.9573643390376492E-3</v>
      </c>
      <c r="X298" s="1136">
        <f t="shared" si="71"/>
        <v>6.9750331863245195E-3</v>
      </c>
      <c r="Y298" s="1145" t="str">
        <f t="shared" si="71"/>
        <v>B+</v>
      </c>
      <c r="Z298" s="1146" t="str">
        <f t="shared" si="71"/>
        <v>=  =  =</v>
      </c>
      <c r="AA298" s="1140">
        <f t="shared" si="71"/>
        <v>3.7014756930154613</v>
      </c>
      <c r="AB298" s="1147">
        <f t="shared" si="71"/>
        <v>0.31334582285320112</v>
      </c>
      <c r="AC298" s="1141">
        <f t="shared" si="71"/>
        <v>4.3704719780651446</v>
      </c>
    </row>
    <row r="299" spans="1:29">
      <c r="A299" s="1155" t="s">
        <v>27</v>
      </c>
      <c r="B299" s="73" t="s">
        <v>357</v>
      </c>
      <c r="C299" s="1149">
        <f t="shared" ref="C299:L312" si="72">VLOOKUP($B299,$B$7:$AC$28,C$37+1,FALSE)</f>
        <v>504.56125714285719</v>
      </c>
      <c r="D299" s="1150">
        <f t="shared" si="72"/>
        <v>1.292808804099037E-3</v>
      </c>
      <c r="E299" s="1124">
        <f t="shared" si="72"/>
        <v>0.11241291049139049</v>
      </c>
      <c r="F299" s="1124">
        <f t="shared" si="72"/>
        <v>0.21418848939702945</v>
      </c>
      <c r="G299" s="1125">
        <f t="shared" si="72"/>
        <v>562.64409999999998</v>
      </c>
      <c r="H299" s="1126">
        <f t="shared" si="72"/>
        <v>1.5580713726115437E-3</v>
      </c>
      <c r="I299" s="1127">
        <f t="shared" si="72"/>
        <v>0.48825120153947199</v>
      </c>
      <c r="J299" s="1127">
        <f t="shared" si="72"/>
        <v>0.52140126030951717</v>
      </c>
      <c r="K299" s="1128">
        <f t="shared" si="72"/>
        <v>3.8552632920912293</v>
      </c>
      <c r="L299" s="1124">
        <f t="shared" si="72"/>
        <v>-0.11001004882442665</v>
      </c>
      <c r="M299" s="1129">
        <f t="shared" ref="M299:Y312" si="73">VLOOKUP($B299,$B$7:$AC$28,M$37+1,FALSE)</f>
        <v>3.9063069179772585</v>
      </c>
      <c r="N299" s="1130">
        <f t="shared" si="73"/>
        <v>0.90539538726018864</v>
      </c>
      <c r="O299" s="1131">
        <f t="shared" si="73"/>
        <v>-4.1189056985539901E-2</v>
      </c>
      <c r="P299" s="1132">
        <f t="shared" si="73"/>
        <v>0.90138346931536006</v>
      </c>
      <c r="Q299" s="1130">
        <f t="shared" si="73"/>
        <v>0.38160323267486906</v>
      </c>
      <c r="R299" s="1131">
        <f t="shared" si="73"/>
        <v>0.13281779457810056</v>
      </c>
      <c r="S299" s="1132">
        <f t="shared" si="73"/>
        <v>0.39444904186551905</v>
      </c>
      <c r="T299" s="1130">
        <f t="shared" si="73"/>
        <v>0.47841518539184064</v>
      </c>
      <c r="U299" s="1131">
        <f t="shared" si="73"/>
        <v>1.1717685634717274E-2</v>
      </c>
      <c r="V299" s="104">
        <f t="shared" si="73"/>
        <v>0.46507375880431212</v>
      </c>
      <c r="W299" s="1124">
        <f t="shared" si="73"/>
        <v>9.6811952716971572E-2</v>
      </c>
      <c r="X299" s="1124">
        <f t="shared" si="73"/>
        <v>0.25369793656715856</v>
      </c>
      <c r="Y299" s="1133" t="str">
        <f t="shared" si="73"/>
        <v>Not rated</v>
      </c>
      <c r="Z299" s="1134"/>
      <c r="AA299" s="1128">
        <f t="shared" ref="AA299:AC312" si="74">VLOOKUP($B299,$B$7:$AC$28,AA$37+1,FALSE)</f>
        <v>1.832329792526622</v>
      </c>
      <c r="AB299" s="1135">
        <f t="shared" si="74"/>
        <v>-9.9442962217240083E-2</v>
      </c>
      <c r="AC299" s="1129">
        <f t="shared" si="74"/>
        <v>1.8160302149559577</v>
      </c>
    </row>
    <row r="300" spans="1:29">
      <c r="A300" s="1156" t="s">
        <v>323</v>
      </c>
      <c r="B300" s="726" t="s">
        <v>773</v>
      </c>
      <c r="C300" s="1151">
        <f t="shared" si="72"/>
        <v>2121.4584571428572</v>
      </c>
      <c r="D300" s="1152">
        <f t="shared" si="72"/>
        <v>5.4356931534045982E-3</v>
      </c>
      <c r="E300" s="1136">
        <f t="shared" si="72"/>
        <v>-0.63331383871554725</v>
      </c>
      <c r="F300" s="1136">
        <f t="shared" si="72"/>
        <v>-0.53153825980990832</v>
      </c>
      <c r="G300" s="1137">
        <f t="shared" si="72"/>
        <v>960.23059999999998</v>
      </c>
      <c r="H300" s="1138">
        <f t="shared" si="72"/>
        <v>2.6590660223142948E-3</v>
      </c>
      <c r="I300" s="1139">
        <f t="shared" si="72"/>
        <v>6.3820660890696566</v>
      </c>
      <c r="J300" s="1139">
        <f t="shared" si="72"/>
        <v>3.126768479322696</v>
      </c>
      <c r="K300" s="1140">
        <f t="shared" si="72"/>
        <v>4.9107929634600707</v>
      </c>
      <c r="L300" s="1136">
        <f t="shared" si="72"/>
        <v>-0.2975700901517318</v>
      </c>
      <c r="M300" s="1141">
        <f t="shared" si="73"/>
        <v>3.6764587184436395</v>
      </c>
      <c r="N300" s="1142">
        <f t="shared" si="73"/>
        <v>0.95644485424869818</v>
      </c>
      <c r="O300" s="1143">
        <f t="shared" si="73"/>
        <v>5.7346309608293736E-3</v>
      </c>
      <c r="P300" s="1144">
        <f t="shared" si="73"/>
        <v>0.97265268915223335</v>
      </c>
      <c r="Q300" s="1142">
        <f t="shared" si="73"/>
        <v>0.16489915086810925</v>
      </c>
      <c r="R300" s="1143">
        <f t="shared" si="73"/>
        <v>2.0043608623878186</v>
      </c>
      <c r="S300" s="1144">
        <f t="shared" si="73"/>
        <v>0.32988338723452482</v>
      </c>
      <c r="T300" s="1142">
        <f t="shared" si="73"/>
        <v>0.27218937885351913</v>
      </c>
      <c r="U300" s="1143">
        <f t="shared" si="73"/>
        <v>1.2181747217666232</v>
      </c>
      <c r="V300" s="1077">
        <f t="shared" si="73"/>
        <v>0.4561905930983241</v>
      </c>
      <c r="W300" s="1136">
        <f t="shared" si="73"/>
        <v>0.10729022798540988</v>
      </c>
      <c r="X300" s="1136">
        <f t="shared" si="73"/>
        <v>0.65064148250965514</v>
      </c>
      <c r="Y300" s="1145" t="str">
        <f t="shared" si="73"/>
        <v>Not rated</v>
      </c>
      <c r="Z300" s="1146"/>
      <c r="AA300" s="1140">
        <f t="shared" si="74"/>
        <v>1.2440956586918632</v>
      </c>
      <c r="AB300" s="1147">
        <f t="shared" si="74"/>
        <v>0.5581122698382367</v>
      </c>
      <c r="AC300" s="1141">
        <f t="shared" si="74"/>
        <v>1.6771658832683087</v>
      </c>
    </row>
    <row r="301" spans="1:29">
      <c r="A301" s="1155" t="s">
        <v>378</v>
      </c>
      <c r="B301" s="73" t="s">
        <v>42</v>
      </c>
      <c r="C301" s="1149">
        <f t="shared" si="72"/>
        <v>2432.5463571428577</v>
      </c>
      <c r="D301" s="1150">
        <f t="shared" si="72"/>
        <v>6.2327761047315808E-3</v>
      </c>
      <c r="E301" s="1124">
        <f t="shared" si="72"/>
        <v>-3.2258071946582277E-2</v>
      </c>
      <c r="F301" s="1124">
        <f t="shared" si="72"/>
        <v>6.9517506959056674E-2</v>
      </c>
      <c r="G301" s="1125">
        <f t="shared" si="72"/>
        <v>2940.9023000000002</v>
      </c>
      <c r="H301" s="1126">
        <f t="shared" si="72"/>
        <v>8.143932697912316E-3</v>
      </c>
      <c r="I301" s="1127">
        <f t="shared" si="72"/>
        <v>1.2689619717468461</v>
      </c>
      <c r="J301" s="1127">
        <f t="shared" si="72"/>
        <v>1.312316956715752</v>
      </c>
      <c r="K301" s="1128">
        <f t="shared" si="72"/>
        <v>3.7488610975650749</v>
      </c>
      <c r="L301" s="1124">
        <f t="shared" si="72"/>
        <v>3.4291324439135469E-2</v>
      </c>
      <c r="M301" s="1129">
        <f t="shared" si="73"/>
        <v>3.7439277362047823</v>
      </c>
      <c r="N301" s="1130">
        <f t="shared" si="73"/>
        <v>0.56323171407839789</v>
      </c>
      <c r="O301" s="1131">
        <f t="shared" si="73"/>
        <v>-0.12023286586287618</v>
      </c>
      <c r="P301" s="1132">
        <f t="shared" si="73"/>
        <v>0.53987730061349704</v>
      </c>
      <c r="Q301" s="1130">
        <f t="shared" si="73"/>
        <v>0.60887331285954671</v>
      </c>
      <c r="R301" s="1131">
        <f t="shared" si="73"/>
        <v>-0.37303497156800469</v>
      </c>
      <c r="S301" s="1132">
        <f t="shared" si="73"/>
        <v>0.37659759063604481</v>
      </c>
      <c r="T301" s="1130">
        <f t="shared" si="73"/>
        <v>0.63388271448107447</v>
      </c>
      <c r="U301" s="1131">
        <f t="shared" si="73"/>
        <v>-0.25869992498286548</v>
      </c>
      <c r="V301" s="104">
        <f t="shared" si="73"/>
        <v>0.44527495080222473</v>
      </c>
      <c r="W301" s="1124">
        <f t="shared" si="73"/>
        <v>2.500940162152776E-2</v>
      </c>
      <c r="X301" s="1124">
        <f t="shared" si="73"/>
        <v>4.1074885519406669E-2</v>
      </c>
      <c r="Y301" s="1133" t="str">
        <f t="shared" si="73"/>
        <v>B-</v>
      </c>
      <c r="Z301" s="1134" t="str">
        <f t="shared" ref="Z301:Z308" si="75">VLOOKUP($B301,$B$7:$AC$28,Z$37+1,FALSE)</f>
        <v>=  =  -</v>
      </c>
      <c r="AA301" s="1128">
        <f t="shared" si="74"/>
        <v>2.172629043332774</v>
      </c>
      <c r="AB301" s="1135">
        <f t="shared" si="74"/>
        <v>-0.22035736928264804</v>
      </c>
      <c r="AC301" s="1129">
        <f t="shared" si="74"/>
        <v>1.5517268924243866</v>
      </c>
    </row>
    <row r="302" spans="1:29">
      <c r="A302" s="1155" t="s">
        <v>545</v>
      </c>
      <c r="B302" s="73" t="s">
        <v>39</v>
      </c>
      <c r="C302" s="1149">
        <f t="shared" si="72"/>
        <v>5059.5155870714543</v>
      </c>
      <c r="D302" s="1150">
        <f t="shared" si="72"/>
        <v>1.2963710952524294E-2</v>
      </c>
      <c r="E302" s="1124">
        <f t="shared" si="72"/>
        <v>-0.13366823909704381</v>
      </c>
      <c r="F302" s="1124">
        <f t="shared" si="72"/>
        <v>-3.1892660191404867E-2</v>
      </c>
      <c r="G302" s="1125">
        <f t="shared" si="72"/>
        <v>5057.8123335929276</v>
      </c>
      <c r="H302" s="1126">
        <f t="shared" si="72"/>
        <v>1.4006069920599414E-2</v>
      </c>
      <c r="I302" s="1127">
        <f t="shared" si="72"/>
        <v>1.6858649053444912</v>
      </c>
      <c r="J302" s="1127">
        <f t="shared" si="72"/>
        <v>1.7703056194544857</v>
      </c>
      <c r="K302" s="1128">
        <f t="shared" si="72"/>
        <v>5.8927844479191869</v>
      </c>
      <c r="L302" s="1124">
        <f t="shared" si="72"/>
        <v>-0.19036897853308513</v>
      </c>
      <c r="M302" s="1129">
        <f t="shared" si="73"/>
        <v>5.9052222685092017</v>
      </c>
      <c r="N302" s="1130">
        <f t="shared" si="73"/>
        <v>0.31054928118178421</v>
      </c>
      <c r="O302" s="1131">
        <f t="shared" si="73"/>
        <v>-0.11491916916279199</v>
      </c>
      <c r="P302" s="1132">
        <f t="shared" si="73"/>
        <v>0.28165979767703259</v>
      </c>
      <c r="Q302" s="1130">
        <f t="shared" si="73"/>
        <v>0.3899242463002407</v>
      </c>
      <c r="R302" s="1131">
        <f t="shared" si="73"/>
        <v>-0.1197676600756727</v>
      </c>
      <c r="S302" s="1132">
        <f t="shared" si="73"/>
        <v>0.37944762378701169</v>
      </c>
      <c r="T302" s="1130">
        <f t="shared" si="73"/>
        <v>0.45093517146474416</v>
      </c>
      <c r="U302" s="1131">
        <f t="shared" si="73"/>
        <v>-8.3572610535330494E-2</v>
      </c>
      <c r="V302" s="104">
        <f t="shared" si="73"/>
        <v>0.43916945384982109</v>
      </c>
      <c r="W302" s="1124">
        <f t="shared" si="73"/>
        <v>6.101092516450346E-2</v>
      </c>
      <c r="X302" s="1124">
        <f t="shared" si="73"/>
        <v>0.15646866216553562</v>
      </c>
      <c r="Y302" s="1133" t="str">
        <f t="shared" si="73"/>
        <v>BBB</v>
      </c>
      <c r="Z302" s="1134" t="str">
        <f t="shared" si="75"/>
        <v>­  = =</v>
      </c>
      <c r="AA302" s="1128">
        <f t="shared" si="74"/>
        <v>2.6587814840492587</v>
      </c>
      <c r="AB302" s="1135">
        <f t="shared" si="74"/>
        <v>-0.25803195656746131</v>
      </c>
      <c r="AC302" s="1129">
        <f t="shared" si="74"/>
        <v>2.5933932385229874</v>
      </c>
    </row>
    <row r="303" spans="1:29">
      <c r="A303" s="1155" t="s">
        <v>32</v>
      </c>
      <c r="B303" s="73" t="s">
        <v>50</v>
      </c>
      <c r="C303" s="1149">
        <f t="shared" si="72"/>
        <v>19515.355899391296</v>
      </c>
      <c r="D303" s="1150">
        <f t="shared" si="72"/>
        <v>5.0003093905237848E-2</v>
      </c>
      <c r="E303" s="1124">
        <f t="shared" si="72"/>
        <v>1.1994936816856254</v>
      </c>
      <c r="F303" s="1124">
        <f t="shared" si="72"/>
        <v>1.3012692605912644</v>
      </c>
      <c r="G303" s="1125">
        <f t="shared" si="72"/>
        <v>28491.576306321644</v>
      </c>
      <c r="H303" s="1126">
        <f t="shared" si="72"/>
        <v>7.8898737947233621E-2</v>
      </c>
      <c r="I303" s="1127">
        <f t="shared" si="72"/>
        <v>-0.89894076859195104</v>
      </c>
      <c r="J303" s="1127">
        <f t="shared" si="72"/>
        <v>39.625784878048783</v>
      </c>
      <c r="K303" s="1128">
        <f t="shared" si="72"/>
        <v>4.6985221679038922</v>
      </c>
      <c r="L303" s="1124">
        <f t="shared" si="72"/>
        <v>0.4140020451008824</v>
      </c>
      <c r="M303" s="1129">
        <f t="shared" si="73"/>
        <v>5.7096258695546744</v>
      </c>
      <c r="N303" s="1130">
        <f t="shared" si="73"/>
        <v>0</v>
      </c>
      <c r="O303" s="1131">
        <f t="shared" si="73"/>
        <v>0</v>
      </c>
      <c r="P303" s="1132">
        <f t="shared" si="73"/>
        <v>0</v>
      </c>
      <c r="Q303" s="1130">
        <f t="shared" si="73"/>
        <v>0.37025195227815472</v>
      </c>
      <c r="R303" s="1131">
        <f t="shared" si="73"/>
        <v>-0.46222821771061889</v>
      </c>
      <c r="S303" s="1132">
        <f t="shared" si="73"/>
        <v>0.26403640782716253</v>
      </c>
      <c r="T303" s="1130">
        <f t="shared" si="73"/>
        <v>0.48927059752514818</v>
      </c>
      <c r="U303" s="1131">
        <f t="shared" si="73"/>
        <v>-0.38189416595312975</v>
      </c>
      <c r="V303" s="104">
        <f t="shared" si="73"/>
        <v>0.37414035756341019</v>
      </c>
      <c r="W303" s="1124">
        <f t="shared" si="73"/>
        <v>0.11901864524699346</v>
      </c>
      <c r="X303" s="1124">
        <f t="shared" si="73"/>
        <v>0.32145312000294263</v>
      </c>
      <c r="Y303" s="1133" t="str">
        <f t="shared" si="73"/>
        <v>BBB</v>
      </c>
      <c r="Z303" s="1134" t="str">
        <f t="shared" si="75"/>
        <v xml:space="preserve">=  -  = </v>
      </c>
      <c r="AA303" s="1128">
        <f t="shared" si="74"/>
        <v>2.2664974928712622</v>
      </c>
      <c r="AB303" s="1135">
        <f t="shared" si="74"/>
        <v>-0.12537902502142731</v>
      </c>
      <c r="AC303" s="1129">
        <f t="shared" si="74"/>
        <v>2.136201464388483</v>
      </c>
    </row>
    <row r="304" spans="1:29">
      <c r="A304" s="1155" t="s">
        <v>506</v>
      </c>
      <c r="B304" s="73" t="s">
        <v>289</v>
      </c>
      <c r="C304" s="1149">
        <f t="shared" si="72"/>
        <v>4580.8423286191064</v>
      </c>
      <c r="D304" s="1150">
        <f t="shared" si="72"/>
        <v>1.1737233504933111E-2</v>
      </c>
      <c r="E304" s="1124">
        <f t="shared" si="72"/>
        <v>-0.49577837871365099</v>
      </c>
      <c r="F304" s="1124">
        <f t="shared" si="72"/>
        <v>-0.39400279980801206</v>
      </c>
      <c r="G304" s="1125">
        <f t="shared" si="72"/>
        <v>2322.4005110115481</v>
      </c>
      <c r="H304" s="1126">
        <f t="shared" si="72"/>
        <v>6.4311804779353665E-3</v>
      </c>
      <c r="I304" s="1127">
        <f t="shared" si="72"/>
        <v>1.4234279787340207</v>
      </c>
      <c r="J304" s="1127">
        <f t="shared" si="72"/>
        <v>0.8056764866383116</v>
      </c>
      <c r="K304" s="1128">
        <f t="shared" si="72"/>
        <v>4.3871958272574467</v>
      </c>
      <c r="L304" s="1124">
        <f t="shared" si="72"/>
        <v>-8.1025400882275472E-2</v>
      </c>
      <c r="M304" s="1129">
        <f t="shared" si="73"/>
        <v>3.4400754167452243</v>
      </c>
      <c r="N304" s="1130">
        <f t="shared" si="73"/>
        <v>0.42290073595624156</v>
      </c>
      <c r="O304" s="1131">
        <f t="shared" si="73"/>
        <v>-9.0086339251873371E-2</v>
      </c>
      <c r="P304" s="1132">
        <f t="shared" si="73"/>
        <v>0.44946685046944856</v>
      </c>
      <c r="Q304" s="1130">
        <f t="shared" si="73"/>
        <v>0.16307046534988884</v>
      </c>
      <c r="R304" s="1131">
        <f t="shared" si="73"/>
        <v>1.3005419282788433</v>
      </c>
      <c r="S304" s="1132">
        <f t="shared" si="73"/>
        <v>0.30950096360373897</v>
      </c>
      <c r="T304" s="1130">
        <f t="shared" si="73"/>
        <v>0.18570292678335293</v>
      </c>
      <c r="U304" s="1131">
        <f t="shared" si="73"/>
        <v>1.251733079461073</v>
      </c>
      <c r="V304" s="104">
        <f t="shared" si="73"/>
        <v>0.34197601038246805</v>
      </c>
      <c r="W304" s="1124">
        <f t="shared" si="73"/>
        <v>2.2632461433464091E-2</v>
      </c>
      <c r="X304" s="1124">
        <f t="shared" si="73"/>
        <v>0.13878945758144007</v>
      </c>
      <c r="Y304" s="1133" t="str">
        <f t="shared" si="73"/>
        <v>BBB</v>
      </c>
      <c r="Z304" s="1134" t="str">
        <f t="shared" si="75"/>
        <v>=  ¯ -</v>
      </c>
      <c r="AA304" s="1128">
        <f t="shared" si="74"/>
        <v>0.77886477042851432</v>
      </c>
      <c r="AB304" s="1135">
        <f t="shared" si="74"/>
        <v>1.0703005310133176</v>
      </c>
      <c r="AC304" s="1129">
        <f t="shared" si="74"/>
        <v>1.1762690733772538</v>
      </c>
    </row>
    <row r="305" spans="1:29">
      <c r="A305" s="1155" t="s">
        <v>73</v>
      </c>
      <c r="B305" s="73" t="s">
        <v>285</v>
      </c>
      <c r="C305" s="1149">
        <f t="shared" si="72"/>
        <v>2461.5190857142857</v>
      </c>
      <c r="D305" s="1150">
        <f t="shared" si="72"/>
        <v>6.3070112903421734E-3</v>
      </c>
      <c r="E305" s="1124">
        <f t="shared" si="72"/>
        <v>6.738754525599433E-2</v>
      </c>
      <c r="F305" s="1124">
        <f t="shared" si="72"/>
        <v>0.16916312416163326</v>
      </c>
      <c r="G305" s="1125">
        <f t="shared" si="72"/>
        <v>2364.3629999999998</v>
      </c>
      <c r="H305" s="1126">
        <f t="shared" si="72"/>
        <v>6.5473828033777437E-3</v>
      </c>
      <c r="I305" s="1127">
        <f t="shared" si="72"/>
        <v>3.1397518024733277</v>
      </c>
      <c r="J305" s="1127">
        <f t="shared" si="72"/>
        <v>3.0995844257996854</v>
      </c>
      <c r="K305" s="1128">
        <f t="shared" si="72"/>
        <v>6.7052926466266065</v>
      </c>
      <c r="L305" s="1124">
        <f t="shared" si="72"/>
        <v>0.14721542174528052</v>
      </c>
      <c r="M305" s="1129">
        <f t="shared" si="73"/>
        <v>7.0127743881429545</v>
      </c>
      <c r="N305" s="1130">
        <f t="shared" si="73"/>
        <v>0.62657499999999999</v>
      </c>
      <c r="O305" s="1131">
        <f t="shared" si="73"/>
        <v>5.5614710459497153E-2</v>
      </c>
      <c r="P305" s="1132">
        <f t="shared" si="73"/>
        <v>0.64439999999999997</v>
      </c>
      <c r="Q305" s="1130">
        <f t="shared" si="73"/>
        <v>0.24190098439360719</v>
      </c>
      <c r="R305" s="1131">
        <f t="shared" si="73"/>
        <v>0.20667512064869559</v>
      </c>
      <c r="S305" s="1132">
        <f t="shared" si="73"/>
        <v>0.30597960586046052</v>
      </c>
      <c r="T305" s="1130">
        <f t="shared" si="73"/>
        <v>0.2616424852780464</v>
      </c>
      <c r="U305" s="1131">
        <f t="shared" si="73"/>
        <v>0.20296552626351777</v>
      </c>
      <c r="V305" s="104">
        <f t="shared" si="73"/>
        <v>0.32061814749302248</v>
      </c>
      <c r="W305" s="1124">
        <f t="shared" si="73"/>
        <v>1.9741500884439211E-2</v>
      </c>
      <c r="X305" s="1124">
        <f t="shared" si="73"/>
        <v>8.1609841042717679E-2</v>
      </c>
      <c r="Y305" s="1133" t="str">
        <f t="shared" si="73"/>
        <v>BBB</v>
      </c>
      <c r="Z305" s="1134" t="str">
        <f t="shared" si="75"/>
        <v>=  =  -</v>
      </c>
      <c r="AA305" s="1128">
        <f t="shared" si="74"/>
        <v>1.7511002028712532</v>
      </c>
      <c r="AB305" s="1135">
        <f t="shared" si="74"/>
        <v>0.37093258903528414</v>
      </c>
      <c r="AC305" s="1129">
        <f t="shared" si="74"/>
        <v>2.2311132077757287</v>
      </c>
    </row>
    <row r="306" spans="1:29">
      <c r="A306" s="1155" t="s">
        <v>508</v>
      </c>
      <c r="B306" s="73" t="s">
        <v>290</v>
      </c>
      <c r="C306" s="1149">
        <f t="shared" si="72"/>
        <v>16250.837973523972</v>
      </c>
      <c r="D306" s="1150">
        <f t="shared" si="72"/>
        <v>4.1638604052015776E-2</v>
      </c>
      <c r="E306" s="1124">
        <f t="shared" si="72"/>
        <v>0.20894195471198634</v>
      </c>
      <c r="F306" s="1124">
        <f t="shared" si="72"/>
        <v>0.31071753361762527</v>
      </c>
      <c r="G306" s="1125">
        <f t="shared" si="72"/>
        <v>17428.290742138299</v>
      </c>
      <c r="H306" s="1126">
        <f t="shared" si="72"/>
        <v>4.826234004564605E-2</v>
      </c>
      <c r="I306" s="1127">
        <f t="shared" si="72"/>
        <v>4.0995220850209826</v>
      </c>
      <c r="J306" s="1127">
        <f t="shared" si="72"/>
        <v>4.5731712273212377</v>
      </c>
      <c r="K306" s="1128">
        <f t="shared" si="72"/>
        <v>6.7995363362554677</v>
      </c>
      <c r="L306" s="1124">
        <f t="shared" si="72"/>
        <v>0.2149868566781509</v>
      </c>
      <c r="M306" s="1129">
        <f t="shared" si="73"/>
        <v>7.5822149145373468</v>
      </c>
      <c r="N306" s="1130">
        <f t="shared" si="73"/>
        <v>0.32615050588405037</v>
      </c>
      <c r="O306" s="1131">
        <f t="shared" si="73"/>
        <v>-8.7660674172335792E-2</v>
      </c>
      <c r="P306" s="1132">
        <f t="shared" si="73"/>
        <v>0.30985103942866765</v>
      </c>
      <c r="Q306" s="1130">
        <f t="shared" si="73"/>
        <v>0.30558583418722468</v>
      </c>
      <c r="R306" s="1131">
        <f t="shared" si="73"/>
        <v>-0.13620468181810452</v>
      </c>
      <c r="S306" s="1132">
        <f t="shared" si="73"/>
        <v>0.29018390059321952</v>
      </c>
      <c r="T306" s="1130">
        <f t="shared" si="73"/>
        <v>0.31922230141848357</v>
      </c>
      <c r="U306" s="1131">
        <f t="shared" si="73"/>
        <v>-0.13496032758973828</v>
      </c>
      <c r="V306" s="104">
        <f t="shared" si="73"/>
        <v>0.30362227391248225</v>
      </c>
      <c r="W306" s="1124">
        <f t="shared" si="73"/>
        <v>1.3636467231258886E-2</v>
      </c>
      <c r="X306" s="1124">
        <f t="shared" si="73"/>
        <v>4.4624016252350789E-2</v>
      </c>
      <c r="Y306" s="1133" t="str">
        <f t="shared" si="73"/>
        <v>A</v>
      </c>
      <c r="Z306" s="1134" t="str">
        <f t="shared" si="75"/>
        <v>=  =  -</v>
      </c>
      <c r="AA306" s="1128">
        <f t="shared" si="74"/>
        <v>2.1579177629636748</v>
      </c>
      <c r="AB306" s="1135">
        <f t="shared" si="74"/>
        <v>6.0078851309961184E-2</v>
      </c>
      <c r="AC306" s="1129">
        <f t="shared" si="74"/>
        <v>2.3009327536910358</v>
      </c>
    </row>
    <row r="307" spans="1:29">
      <c r="A307" s="1156" t="s">
        <v>323</v>
      </c>
      <c r="B307" s="726" t="s">
        <v>772</v>
      </c>
      <c r="C307" s="1151">
        <f t="shared" si="72"/>
        <v>7616.907214285714</v>
      </c>
      <c r="D307" s="1152">
        <f t="shared" si="72"/>
        <v>1.9516371039653539E-2</v>
      </c>
      <c r="E307" s="1136">
        <f t="shared" si="72"/>
        <v>-0.33365525120929096</v>
      </c>
      <c r="F307" s="1136">
        <f t="shared" si="72"/>
        <v>-0.23187967230365203</v>
      </c>
      <c r="G307" s="1137">
        <f t="shared" si="72"/>
        <v>5825.8631999999998</v>
      </c>
      <c r="H307" s="1138">
        <f t="shared" si="72"/>
        <v>1.6132952736323161E-2</v>
      </c>
      <c r="I307" s="1139">
        <f t="shared" si="72"/>
        <v>2.4107651340270966</v>
      </c>
      <c r="J307" s="1139">
        <f t="shared" si="72"/>
        <v>2.0327505931612002</v>
      </c>
      <c r="K307" s="1140">
        <f t="shared" si="72"/>
        <v>4.8426442674927213</v>
      </c>
      <c r="L307" s="1136">
        <f t="shared" si="72"/>
        <v>0.1951757211867983</v>
      </c>
      <c r="M307" s="1141">
        <f t="shared" si="73"/>
        <v>4.6619962755533297</v>
      </c>
      <c r="N307" s="1142">
        <f t="shared" si="73"/>
        <v>0.37158673775730477</v>
      </c>
      <c r="O307" s="1143">
        <f t="shared" si="73"/>
        <v>-0.1153634304384116</v>
      </c>
      <c r="P307" s="1144">
        <f t="shared" si="73"/>
        <v>0.36037883142173305</v>
      </c>
      <c r="Q307" s="1142">
        <f t="shared" si="73"/>
        <v>0.17383796150947908</v>
      </c>
      <c r="R307" s="1143">
        <f t="shared" si="73"/>
        <v>0.54445307336528614</v>
      </c>
      <c r="S307" s="1144">
        <f t="shared" si="73"/>
        <v>0.26356163003804695</v>
      </c>
      <c r="T307" s="1142">
        <f t="shared" si="73"/>
        <v>0.19702478682132593</v>
      </c>
      <c r="U307" s="1143">
        <f t="shared" si="73"/>
        <v>0.50034734616182497</v>
      </c>
      <c r="V307" s="1077">
        <f t="shared" si="73"/>
        <v>0.28756363720088318</v>
      </c>
      <c r="W307" s="1136">
        <f t="shared" si="73"/>
        <v>2.3186825311846848E-2</v>
      </c>
      <c r="X307" s="1136">
        <f t="shared" si="73"/>
        <v>0.13338182932260462</v>
      </c>
      <c r="Y307" s="1145" t="str">
        <f t="shared" si="73"/>
        <v>A</v>
      </c>
      <c r="Z307" s="1146" t="str">
        <f t="shared" si="75"/>
        <v>=  =  -</v>
      </c>
      <c r="AA307" s="1140">
        <f t="shared" si="74"/>
        <v>0.93248540191552354</v>
      </c>
      <c r="AB307" s="1147">
        <f t="shared" si="74"/>
        <v>0.78949919521054279</v>
      </c>
      <c r="AC307" s="1141">
        <f t="shared" si="74"/>
        <v>1.3109622071604587</v>
      </c>
    </row>
    <row r="308" spans="1:29">
      <c r="A308" s="1155" t="s">
        <v>507</v>
      </c>
      <c r="B308" s="73" t="s">
        <v>284</v>
      </c>
      <c r="C308" s="1149">
        <f t="shared" si="72"/>
        <v>22949.481858519866</v>
      </c>
      <c r="D308" s="1150">
        <f t="shared" si="72"/>
        <v>5.8802160840116385E-2</v>
      </c>
      <c r="E308" s="1124">
        <f t="shared" si="72"/>
        <v>-8.3288171902550459E-2</v>
      </c>
      <c r="F308" s="1124">
        <f t="shared" si="72"/>
        <v>1.8487407003088485E-2</v>
      </c>
      <c r="G308" s="1125">
        <f t="shared" si="72"/>
        <v>21731.57918967646</v>
      </c>
      <c r="H308" s="1126">
        <f t="shared" si="72"/>
        <v>6.0178986000343146E-2</v>
      </c>
      <c r="I308" s="1127">
        <f t="shared" si="72"/>
        <v>1.7647070716020126</v>
      </c>
      <c r="J308" s="1127">
        <f t="shared" si="72"/>
        <v>1.7786623686113903</v>
      </c>
      <c r="K308" s="1128">
        <f t="shared" si="72"/>
        <v>7.5421176018870622</v>
      </c>
      <c r="L308" s="1124">
        <f t="shared" si="72"/>
        <v>2.1076957712408067E-2</v>
      </c>
      <c r="M308" s="1129">
        <f t="shared" si="73"/>
        <v>7.6896404016441506</v>
      </c>
      <c r="N308" s="1130">
        <f t="shared" si="73"/>
        <v>0.67984865616162071</v>
      </c>
      <c r="O308" s="1131">
        <f t="shared" si="73"/>
        <v>0.13956056160252914</v>
      </c>
      <c r="P308" s="1132">
        <f t="shared" si="73"/>
        <v>0.7167630057803468</v>
      </c>
      <c r="Q308" s="1130">
        <f t="shared" si="73"/>
        <v>0.23215418017261674</v>
      </c>
      <c r="R308" s="1131">
        <f t="shared" si="73"/>
        <v>0.36187217108516367</v>
      </c>
      <c r="S308" s="1132">
        <f t="shared" si="73"/>
        <v>0.26525179681706468</v>
      </c>
      <c r="T308" s="1130">
        <f t="shared" si="73"/>
        <v>0.2501311526811702</v>
      </c>
      <c r="U308" s="1131">
        <f t="shared" si="73"/>
        <v>0.31916438327965047</v>
      </c>
      <c r="V308" s="104">
        <f t="shared" si="73"/>
        <v>0.28287599661626001</v>
      </c>
      <c r="W308" s="1124">
        <f t="shared" si="73"/>
        <v>1.7976972508553457E-2</v>
      </c>
      <c r="X308" s="1124">
        <f t="shared" si="73"/>
        <v>7.7435489187344358E-2</v>
      </c>
      <c r="Y308" s="1133" t="str">
        <f t="shared" si="73"/>
        <v>A-</v>
      </c>
      <c r="Z308" s="1134" t="str">
        <f t="shared" si="75"/>
        <v>=  =  =</v>
      </c>
      <c r="AA308" s="1128">
        <f t="shared" si="74"/>
        <v>1.845874038975184</v>
      </c>
      <c r="AB308" s="1135">
        <f t="shared" si="74"/>
        <v>0.36079457239176377</v>
      </c>
      <c r="AC308" s="1129">
        <f t="shared" si="74"/>
        <v>2.1424428051274771</v>
      </c>
    </row>
    <row r="309" spans="1:29">
      <c r="A309" s="1155" t="s">
        <v>507</v>
      </c>
      <c r="B309" s="73" t="s">
        <v>282</v>
      </c>
      <c r="C309" s="1149">
        <f t="shared" si="72"/>
        <v>5769.8566757446433</v>
      </c>
      <c r="D309" s="1150">
        <f t="shared" si="72"/>
        <v>1.4783777793466828E-2</v>
      </c>
      <c r="E309" s="1124">
        <f t="shared" si="72"/>
        <v>-0.24705029723080094</v>
      </c>
      <c r="F309" s="1124">
        <f t="shared" si="72"/>
        <v>-0.14527471832516198</v>
      </c>
      <c r="G309" s="1125">
        <f t="shared" si="72"/>
        <v>4026.3480952657014</v>
      </c>
      <c r="H309" s="1126">
        <f t="shared" si="72"/>
        <v>1.1149744044952231E-2</v>
      </c>
      <c r="I309" s="1127">
        <f t="shared" si="72"/>
        <v>2.446298838298576</v>
      </c>
      <c r="J309" s="1127">
        <f t="shared" si="72"/>
        <v>1.6476276710656086</v>
      </c>
      <c r="K309" s="1128">
        <f t="shared" si="72"/>
        <v>6.6837223425180285</v>
      </c>
      <c r="L309" s="1124">
        <f t="shared" si="72"/>
        <v>1.2127469272410992E-3</v>
      </c>
      <c r="M309" s="1129">
        <f t="shared" si="73"/>
        <v>5.5145354419406587</v>
      </c>
      <c r="N309" s="1130">
        <f t="shared" si="73"/>
        <v>0.67083419702973635</v>
      </c>
      <c r="O309" s="1131">
        <f t="shared" si="73"/>
        <v>-0.11335389957676706</v>
      </c>
      <c r="P309" s="1132">
        <f t="shared" si="73"/>
        <v>0.63639387890884902</v>
      </c>
      <c r="Q309" s="1130">
        <f t="shared" si="73"/>
        <v>0.1536920907726812</v>
      </c>
      <c r="R309" s="1131">
        <f t="shared" si="73"/>
        <v>1.6283818604559013</v>
      </c>
      <c r="S309" s="1132">
        <f t="shared" si="73"/>
        <v>0.2022242346359609</v>
      </c>
      <c r="T309" s="1130">
        <f t="shared" si="73"/>
        <v>0.20961441125119315</v>
      </c>
      <c r="U309" s="1131">
        <f t="shared" si="73"/>
        <v>0.84200521424561081</v>
      </c>
      <c r="V309" s="104">
        <f t="shared" si="73"/>
        <v>0.28147528322389997</v>
      </c>
      <c r="W309" s="1124">
        <f t="shared" si="73"/>
        <v>5.592232047851195E-2</v>
      </c>
      <c r="X309" s="1124">
        <f t="shared" si="73"/>
        <v>0.36385945559959909</v>
      </c>
      <c r="Y309" s="1133" t="str">
        <f t="shared" si="73"/>
        <v>Not rated</v>
      </c>
      <c r="Z309" s="1134"/>
      <c r="AA309" s="1128">
        <f t="shared" si="74"/>
        <v>1.4399592566697517</v>
      </c>
      <c r="AB309" s="1135">
        <f t="shared" si="74"/>
        <v>0.8442860967329926</v>
      </c>
      <c r="AC309" s="1129">
        <f t="shared" si="74"/>
        <v>1.5521418473212367</v>
      </c>
    </row>
    <row r="310" spans="1:29">
      <c r="A310" s="1155" t="s">
        <v>32</v>
      </c>
      <c r="B310" s="73" t="s">
        <v>279</v>
      </c>
      <c r="C310" s="1149">
        <f t="shared" si="72"/>
        <v>103061.53572524291</v>
      </c>
      <c r="D310" s="1150">
        <f t="shared" si="72"/>
        <v>0.26406875054982143</v>
      </c>
      <c r="E310" s="1124">
        <f t="shared" si="72"/>
        <v>7.5306160052783275E-2</v>
      </c>
      <c r="F310" s="1124">
        <f t="shared" si="72"/>
        <v>0.17708173895842222</v>
      </c>
      <c r="G310" s="1125">
        <f t="shared" si="72"/>
        <v>106720.85775234729</v>
      </c>
      <c r="H310" s="1126">
        <f t="shared" si="72"/>
        <v>0.29553089301830604</v>
      </c>
      <c r="I310" s="1127">
        <f t="shared" si="72"/>
        <v>1.0837821931217524</v>
      </c>
      <c r="J310" s="1127">
        <f t="shared" si="72"/>
        <v>1.259272460269286</v>
      </c>
      <c r="K310" s="1128">
        <f t="shared" si="72"/>
        <v>7.5360879751187033</v>
      </c>
      <c r="L310" s="1124">
        <f t="shared" si="72"/>
        <v>0.12910548637067604</v>
      </c>
      <c r="M310" s="1129">
        <f t="shared" si="73"/>
        <v>8.6584668441025876</v>
      </c>
      <c r="N310" s="1130">
        <f t="shared" si="73"/>
        <v>0.91487499999999988</v>
      </c>
      <c r="O310" s="1131">
        <f t="shared" si="73"/>
        <v>-4.3736501079913587E-2</v>
      </c>
      <c r="P310" s="1132">
        <f t="shared" si="73"/>
        <v>0.89481420237931208</v>
      </c>
      <c r="Q310" s="1130">
        <f t="shared" si="73"/>
        <v>0.24509229252810941</v>
      </c>
      <c r="R310" s="1131">
        <f t="shared" si="73"/>
        <v>-0.16501821733667812</v>
      </c>
      <c r="S310" s="1132">
        <f t="shared" si="73"/>
        <v>0.23828807339295358</v>
      </c>
      <c r="T310" s="1130">
        <f t="shared" si="73"/>
        <v>0.27870192226407053</v>
      </c>
      <c r="U310" s="1131">
        <f t="shared" si="73"/>
        <v>-0.14309331637647091</v>
      </c>
      <c r="V310" s="104">
        <f t="shared" si="73"/>
        <v>0.2718321660431175</v>
      </c>
      <c r="W310" s="1124">
        <f t="shared" si="73"/>
        <v>3.3609629735961127E-2</v>
      </c>
      <c r="X310" s="1124">
        <f t="shared" si="73"/>
        <v>0.13713050455108242</v>
      </c>
      <c r="Y310" s="1133" t="str">
        <f t="shared" si="73"/>
        <v>A-</v>
      </c>
      <c r="Z310" s="1134" t="str">
        <f>VLOOKUP($B310,$B$7:$AC$28,Z$37+1,FALSE)</f>
        <v>=  =  =</v>
      </c>
      <c r="AA310" s="1128">
        <f t="shared" si="74"/>
        <v>2.0880314655341889</v>
      </c>
      <c r="AB310" s="1135">
        <f t="shared" si="74"/>
        <v>-3.7762767487534328E-2</v>
      </c>
      <c r="AC310" s="1129">
        <f t="shared" si="74"/>
        <v>2.3348198024327131</v>
      </c>
    </row>
    <row r="311" spans="1:29">
      <c r="A311" s="1155" t="s">
        <v>504</v>
      </c>
      <c r="B311" s="73" t="s">
        <v>281</v>
      </c>
      <c r="C311" s="1149">
        <f t="shared" si="72"/>
        <v>20617.292984255655</v>
      </c>
      <c r="D311" s="1150">
        <f t="shared" si="72"/>
        <v>5.2826525044090682E-2</v>
      </c>
      <c r="E311" s="1124">
        <f t="shared" si="72"/>
        <v>0.37985561177970401</v>
      </c>
      <c r="F311" s="1124">
        <f t="shared" si="72"/>
        <v>0.48163119068534294</v>
      </c>
      <c r="G311" s="1125">
        <f t="shared" si="72"/>
        <v>23766.623796323693</v>
      </c>
      <c r="H311" s="1126">
        <f t="shared" si="72"/>
        <v>6.5814421871090864E-2</v>
      </c>
      <c r="I311" s="1127">
        <f t="shared" si="72"/>
        <v>1.8990159277875758</v>
      </c>
      <c r="J311" s="1127">
        <f t="shared" si="72"/>
        <v>2.509154465418888</v>
      </c>
      <c r="K311" s="1128">
        <f t="shared" si="72"/>
        <v>5.8033589040079683</v>
      </c>
      <c r="L311" s="1124">
        <f t="shared" si="72"/>
        <v>4.5724350121793801E-2</v>
      </c>
      <c r="M311" s="1129">
        <f t="shared" si="73"/>
        <v>6.1939465303838475</v>
      </c>
      <c r="N311" s="1130">
        <f t="shared" si="73"/>
        <v>0.7344324868237998</v>
      </c>
      <c r="O311" s="1131">
        <f t="shared" si="73"/>
        <v>0.10784712869930438</v>
      </c>
      <c r="P311" s="1132">
        <f t="shared" si="73"/>
        <v>0.74956908795771016</v>
      </c>
      <c r="Q311" s="1130">
        <f t="shared" si="73"/>
        <v>0.14726898954609682</v>
      </c>
      <c r="R311" s="1131">
        <f t="shared" si="73"/>
        <v>4.9939774449528171E-2</v>
      </c>
      <c r="S311" s="1132">
        <f t="shared" si="73"/>
        <v>0.17272839211728983</v>
      </c>
      <c r="T311" s="1130">
        <f t="shared" si="73"/>
        <v>0.18443136241749356</v>
      </c>
      <c r="U311" s="1131">
        <f t="shared" si="73"/>
        <v>-5.7258906752796622E-2</v>
      </c>
      <c r="V311" s="104">
        <f t="shared" si="73"/>
        <v>0.198117589718218</v>
      </c>
      <c r="W311" s="1124">
        <f t="shared" si="73"/>
        <v>3.7162372871396732E-2</v>
      </c>
      <c r="X311" s="1124">
        <f t="shared" si="73"/>
        <v>0.25234350412762557</v>
      </c>
      <c r="Y311" s="1133" t="str">
        <f t="shared" si="73"/>
        <v>A-</v>
      </c>
      <c r="Z311" s="1134" t="str">
        <f>VLOOKUP($B311,$B$7:$AC$28,Z$37+1,FALSE)</f>
        <v>=  =  -</v>
      </c>
      <c r="AA311" s="1128">
        <f t="shared" si="74"/>
        <v>1.0395975936863313</v>
      </c>
      <c r="AB311" s="1135">
        <f t="shared" si="74"/>
        <v>2.9438923535487854E-2</v>
      </c>
      <c r="AC311" s="1129">
        <f t="shared" si="74"/>
        <v>1.2087727199953455</v>
      </c>
    </row>
    <row r="312" spans="1:29">
      <c r="A312" s="1155" t="s">
        <v>19</v>
      </c>
      <c r="B312" s="73" t="s">
        <v>287</v>
      </c>
      <c r="C312" s="1149">
        <f t="shared" si="72"/>
        <v>6002.7646707914537</v>
      </c>
      <c r="D312" s="1150">
        <f t="shared" si="72"/>
        <v>1.538054479108892E-2</v>
      </c>
      <c r="E312" s="1124">
        <f t="shared" si="72"/>
        <v>1.7468659495150733</v>
      </c>
      <c r="F312" s="1124">
        <f t="shared" si="72"/>
        <v>1.8486415284207123</v>
      </c>
      <c r="G312" s="1125">
        <f t="shared" si="72"/>
        <v>9571.524995540176</v>
      </c>
      <c r="H312" s="1126">
        <f t="shared" si="72"/>
        <v>2.6505421611613778E-2</v>
      </c>
      <c r="I312" s="1127">
        <f t="shared" si="72"/>
        <v>4.1497848696984878</v>
      </c>
      <c r="J312" s="1127">
        <f t="shared" si="72"/>
        <v>5.1075046454025781</v>
      </c>
      <c r="K312" s="1128">
        <f t="shared" si="72"/>
        <v>7.8889454092528393</v>
      </c>
      <c r="L312" s="1124">
        <f t="shared" si="72"/>
        <v>0.8464659845431286</v>
      </c>
      <c r="M312" s="1129">
        <f t="shared" si="73"/>
        <v>9.6719476082953495</v>
      </c>
      <c r="N312" s="1124">
        <f t="shared" si="73"/>
        <v>9.1630231095150338E-2</v>
      </c>
      <c r="O312" s="1148" t="str">
        <f t="shared" si="73"/>
        <v>¥</v>
      </c>
      <c r="P312" s="1132">
        <f t="shared" si="73"/>
        <v>0.34976819018989347</v>
      </c>
      <c r="Q312" s="1130">
        <f t="shared" si="73"/>
        <v>0.13477545507373562</v>
      </c>
      <c r="R312" s="1131">
        <f t="shared" si="73"/>
        <v>-0.4264373226073967</v>
      </c>
      <c r="S312" s="1132">
        <f t="shared" si="73"/>
        <v>9.7905485588969735E-2</v>
      </c>
      <c r="T312" s="1130">
        <f t="shared" si="73"/>
        <v>0.16024846762312819</v>
      </c>
      <c r="U312" s="1131">
        <f t="shared" si="73"/>
        <v>-0.25253039609468159</v>
      </c>
      <c r="V312" s="104">
        <f t="shared" si="73"/>
        <v>0.12849893093161849</v>
      </c>
      <c r="W312" s="1124">
        <f t="shared" si="73"/>
        <v>2.5473012549392576E-2</v>
      </c>
      <c r="X312" s="1124">
        <f t="shared" si="73"/>
        <v>0.18900335031669008</v>
      </c>
      <c r="Y312" s="1133" t="str">
        <f t="shared" si="73"/>
        <v>Not rated</v>
      </c>
      <c r="Z312" s="1134"/>
      <c r="AA312" s="1128">
        <f t="shared" si="74"/>
        <v>1.265551414722516</v>
      </c>
      <c r="AB312" s="1135">
        <f t="shared" si="74"/>
        <v>0.38040351489576829</v>
      </c>
      <c r="AC312" s="1129">
        <f t="shared" si="74"/>
        <v>1.242834927692577</v>
      </c>
    </row>
    <row r="315" spans="1:29">
      <c r="A315" s="1252" t="s">
        <v>1064</v>
      </c>
      <c r="B315" s="1123" t="s">
        <v>1075</v>
      </c>
      <c r="C315" s="1068"/>
      <c r="E315" s="1068"/>
      <c r="F315" s="1068"/>
      <c r="G315" s="1068"/>
      <c r="K315" s="1068"/>
      <c r="L315" s="1068"/>
      <c r="M315" s="1153"/>
      <c r="N315" s="1068"/>
      <c r="O315" s="1068"/>
      <c r="P315" s="1068"/>
      <c r="T315" s="1068"/>
      <c r="U315" s="1068"/>
      <c r="V315" s="1068"/>
      <c r="Y315" s="1068"/>
      <c r="Z315" s="1068"/>
      <c r="AA315" s="1068"/>
      <c r="AB315" s="1068"/>
      <c r="AC315" s="1068"/>
    </row>
    <row r="316" spans="1:29">
      <c r="A316" s="1156" t="s">
        <v>323</v>
      </c>
      <c r="B316" s="726" t="s">
        <v>774</v>
      </c>
      <c r="C316" s="1151">
        <f t="shared" ref="C316:L329" si="76">VLOOKUP($B316,$B$7:$AC$28,C$37+1,FALSE)</f>
        <v>3541.6238999999996</v>
      </c>
      <c r="D316" s="1152">
        <f t="shared" si="76"/>
        <v>9.0745028357006995E-3</v>
      </c>
      <c r="E316" s="1136">
        <f t="shared" si="76"/>
        <v>0.67327297771392325</v>
      </c>
      <c r="F316" s="1136">
        <f t="shared" si="76"/>
        <v>0.77504855661956218</v>
      </c>
      <c r="G316" s="1137">
        <f t="shared" si="76"/>
        <v>4048.9897999999998</v>
      </c>
      <c r="H316" s="1138">
        <f t="shared" si="76"/>
        <v>1.1212443346293226E-2</v>
      </c>
      <c r="I316" s="1139">
        <f t="shared" si="76"/>
        <v>-1.4186196832586249</v>
      </c>
      <c r="J316" s="1139">
        <f t="shared" si="76"/>
        <v>-2.7147098893731143</v>
      </c>
      <c r="K316" s="1140">
        <f t="shared" si="76"/>
        <v>8.6861758729657641</v>
      </c>
      <c r="L316" s="1136">
        <f t="shared" si="76"/>
        <v>0.26215680659638446</v>
      </c>
      <c r="M316" s="1141">
        <f t="shared" ref="M316:V329" si="77">VLOOKUP($B316,$B$7:$AC$28,M$37+1,FALSE)</f>
        <v>9.0506669895995948</v>
      </c>
      <c r="N316" s="1142">
        <f t="shared" si="77"/>
        <v>6.4385445236561381E-2</v>
      </c>
      <c r="O316" s="1143">
        <f t="shared" si="77"/>
        <v>14.697799124913645</v>
      </c>
      <c r="P316" s="1144">
        <f t="shared" si="77"/>
        <v>0.15462918080465343</v>
      </c>
      <c r="Q316" s="1142">
        <f t="shared" si="77"/>
        <v>0.42399287000325037</v>
      </c>
      <c r="R316" s="1143">
        <f t="shared" si="77"/>
        <v>4.5742782667206161E-2</v>
      </c>
      <c r="S316" s="1144">
        <f t="shared" si="77"/>
        <v>0.48144640266975475</v>
      </c>
      <c r="T316" s="1142">
        <f t="shared" si="77"/>
        <v>0.42695023434228802</v>
      </c>
      <c r="U316" s="1143">
        <f t="shared" si="77"/>
        <v>4.1366838913311048E-2</v>
      </c>
      <c r="V316" s="1144">
        <f t="shared" si="77"/>
        <v>0.4832654138496531</v>
      </c>
      <c r="W316" s="1136">
        <f t="shared" ref="W316:AC329" si="78">VLOOKUP($B316,$B$7:$AC$28,W$37+1,FALSE)</f>
        <v>2.9573643390376492E-3</v>
      </c>
      <c r="X316" s="1136">
        <f t="shared" si="78"/>
        <v>6.9750331863245195E-3</v>
      </c>
      <c r="Y316" s="1145" t="str">
        <f t="shared" si="78"/>
        <v>B+</v>
      </c>
      <c r="Z316" s="1146" t="str">
        <f t="shared" si="78"/>
        <v>=  =  =</v>
      </c>
      <c r="AA316" s="1074">
        <f t="shared" si="78"/>
        <v>3.7014756930154613</v>
      </c>
      <c r="AB316" s="1147">
        <f t="shared" si="78"/>
        <v>0.31334582285320112</v>
      </c>
      <c r="AC316" s="1141">
        <f t="shared" si="78"/>
        <v>4.3704719780651446</v>
      </c>
    </row>
    <row r="317" spans="1:29">
      <c r="A317" s="1155" t="s">
        <v>27</v>
      </c>
      <c r="B317" s="73" t="s">
        <v>54</v>
      </c>
      <c r="C317" s="1149">
        <f t="shared" si="76"/>
        <v>4745.1447857142857</v>
      </c>
      <c r="D317" s="1150">
        <f t="shared" si="76"/>
        <v>1.2158216408516635E-2</v>
      </c>
      <c r="E317" s="1124">
        <f t="shared" si="76"/>
        <v>-0.63447330491761056</v>
      </c>
      <c r="F317" s="1124">
        <f t="shared" si="76"/>
        <v>-0.53269772601197163</v>
      </c>
      <c r="G317" s="1125">
        <f t="shared" si="76"/>
        <v>2680.5724</v>
      </c>
      <c r="H317" s="1126">
        <f t="shared" si="76"/>
        <v>7.4230283738025878E-3</v>
      </c>
      <c r="I317" s="1127">
        <f t="shared" si="76"/>
        <v>1.3569881249181368</v>
      </c>
      <c r="J317" s="1127">
        <f t="shared" si="76"/>
        <v>1.0332545966156574</v>
      </c>
      <c r="K317" s="1128">
        <f t="shared" si="76"/>
        <v>6.4063105209788551</v>
      </c>
      <c r="L317" s="1124">
        <f t="shared" si="76"/>
        <v>-0.24924595564935845</v>
      </c>
      <c r="M317" s="1129">
        <f t="shared" si="77"/>
        <v>5.3369406950798908</v>
      </c>
      <c r="N317" s="1130">
        <f t="shared" si="77"/>
        <v>0.48460704112825509</v>
      </c>
      <c r="O317" s="1131">
        <f t="shared" si="77"/>
        <v>-0.18079580514885477</v>
      </c>
      <c r="P317" s="1132">
        <f t="shared" si="77"/>
        <v>0.49497857034449522</v>
      </c>
      <c r="Q317" s="1130">
        <f t="shared" si="77"/>
        <v>0.56717095077467305</v>
      </c>
      <c r="R317" s="1131">
        <f t="shared" si="77"/>
        <v>0.64731222518720821</v>
      </c>
      <c r="S317" s="1132">
        <f t="shared" si="77"/>
        <v>0.74754623070756221</v>
      </c>
      <c r="T317" s="1130">
        <f t="shared" si="77"/>
        <v>0.5748403529709204</v>
      </c>
      <c r="U317" s="1131">
        <f t="shared" si="77"/>
        <v>0.5906099669472562</v>
      </c>
      <c r="V317" s="1132">
        <f t="shared" si="77"/>
        <v>0.7506672643344422</v>
      </c>
      <c r="W317" s="1124">
        <f t="shared" si="78"/>
        <v>7.6694021962473435E-3</v>
      </c>
      <c r="X317" s="1124">
        <f t="shared" si="78"/>
        <v>1.3522205581530675E-2</v>
      </c>
      <c r="Y317" s="1133" t="str">
        <f t="shared" si="78"/>
        <v>BBB-</v>
      </c>
      <c r="Z317" s="1134" t="str">
        <f t="shared" si="78"/>
        <v>¯  ¯ ¯</v>
      </c>
      <c r="AA317" s="132">
        <f t="shared" si="78"/>
        <v>3.4278891827637503</v>
      </c>
      <c r="AB317" s="1135">
        <f t="shared" si="78"/>
        <v>0.24423537898737996</v>
      </c>
      <c r="AC317" s="1129">
        <f t="shared" si="78"/>
        <v>3.8230610288109381</v>
      </c>
    </row>
    <row r="318" spans="1:29">
      <c r="A318" s="1155" t="s">
        <v>503</v>
      </c>
      <c r="B318" s="73" t="s">
        <v>286</v>
      </c>
      <c r="C318" s="1149">
        <f t="shared" si="76"/>
        <v>15596.516285714286</v>
      </c>
      <c r="D318" s="1150">
        <f t="shared" si="76"/>
        <v>3.9962072557101963E-2</v>
      </c>
      <c r="E318" s="1124">
        <f t="shared" si="76"/>
        <v>-0.41209116095583281</v>
      </c>
      <c r="F318" s="1124">
        <f t="shared" si="76"/>
        <v>-0.31031558205019388</v>
      </c>
      <c r="G318" s="1125">
        <f t="shared" si="76"/>
        <v>10295.917100000001</v>
      </c>
      <c r="H318" s="1126">
        <f t="shared" si="76"/>
        <v>2.8511404790864545E-2</v>
      </c>
      <c r="I318" s="1127">
        <f t="shared" si="76"/>
        <v>0.58081043687158529</v>
      </c>
      <c r="J318" s="1127">
        <f t="shared" si="76"/>
        <v>0.5027794267018264</v>
      </c>
      <c r="K318" s="1128">
        <f t="shared" si="76"/>
        <v>4.5606838408134944</v>
      </c>
      <c r="L318" s="1124">
        <f t="shared" si="76"/>
        <v>-0.18379111287045302</v>
      </c>
      <c r="M318" s="1129">
        <f t="shared" si="77"/>
        <v>4.0606354500113753</v>
      </c>
      <c r="N318" s="1130">
        <f t="shared" si="77"/>
        <v>0.34534166666666666</v>
      </c>
      <c r="O318" s="1131">
        <f t="shared" si="77"/>
        <v>-5.4500069338510607E-2</v>
      </c>
      <c r="P318" s="1132">
        <f t="shared" si="77"/>
        <v>0.3626280111015483</v>
      </c>
      <c r="Q318" s="1130">
        <f t="shared" si="77"/>
        <v>0.67997702229572432</v>
      </c>
      <c r="R318" s="1131">
        <f t="shared" si="77"/>
        <v>0.10658020511075152</v>
      </c>
      <c r="S318" s="1132">
        <f t="shared" si="77"/>
        <v>0.75270955685414354</v>
      </c>
      <c r="T318" s="1130">
        <f t="shared" si="77"/>
        <v>0.68457317243488636</v>
      </c>
      <c r="U318" s="1131">
        <f t="shared" si="77"/>
        <v>0.10522314957078965</v>
      </c>
      <c r="V318" s="1132">
        <f t="shared" si="77"/>
        <v>0.75672107111582532</v>
      </c>
      <c r="W318" s="1124">
        <f t="shared" si="78"/>
        <v>4.5961501391620363E-3</v>
      </c>
      <c r="X318" s="1124">
        <f t="shared" si="78"/>
        <v>6.7592727231349809E-3</v>
      </c>
      <c r="Y318" s="1133" t="str">
        <f t="shared" si="78"/>
        <v>BBB-</v>
      </c>
      <c r="Z318" s="1134" t="str">
        <f t="shared" si="78"/>
        <v>=  ¯ ¯</v>
      </c>
      <c r="AA318" s="132">
        <f t="shared" si="78"/>
        <v>2.9152503149286035</v>
      </c>
      <c r="AB318" s="1135">
        <f t="shared" si="78"/>
        <v>-0.14664752669478531</v>
      </c>
      <c r="AC318" s="1129">
        <f t="shared" si="78"/>
        <v>2.8370691340232916</v>
      </c>
    </row>
    <row r="319" spans="1:29">
      <c r="A319" s="1155" t="s">
        <v>219</v>
      </c>
      <c r="B319" s="73" t="s">
        <v>53</v>
      </c>
      <c r="C319" s="1149">
        <f t="shared" si="76"/>
        <v>60036.853628571422</v>
      </c>
      <c r="D319" s="1150">
        <f t="shared" si="76"/>
        <v>0.15382903828354536</v>
      </c>
      <c r="E319" s="1124">
        <f t="shared" si="76"/>
        <v>-0.3618479655094986</v>
      </c>
      <c r="F319" s="1124">
        <f t="shared" si="76"/>
        <v>-0.26007238660385967</v>
      </c>
      <c r="G319" s="1125">
        <f t="shared" si="76"/>
        <v>44430.485000000001</v>
      </c>
      <c r="H319" s="1126">
        <f t="shared" si="76"/>
        <v>0.1230366882897139</v>
      </c>
      <c r="I319" s="1127">
        <f t="shared" si="76"/>
        <v>2.2644833808097031</v>
      </c>
      <c r="J319" s="1127">
        <f t="shared" si="76"/>
        <v>1.7716210773954304</v>
      </c>
      <c r="K319" s="1128">
        <f t="shared" si="76"/>
        <v>5.6943354572509941</v>
      </c>
      <c r="L319" s="1124">
        <f t="shared" si="76"/>
        <v>-7.3155042359885195E-2</v>
      </c>
      <c r="M319" s="1129">
        <f t="shared" si="77"/>
        <v>5.1937231412225326</v>
      </c>
      <c r="N319" s="1130">
        <f t="shared" si="77"/>
        <v>0.6158872479982318</v>
      </c>
      <c r="O319" s="1131">
        <f t="shared" si="77"/>
        <v>0.11044311863454735</v>
      </c>
      <c r="P319" s="1132">
        <f t="shared" si="77"/>
        <v>0.66127040038880336</v>
      </c>
      <c r="Q319" s="1130">
        <f t="shared" si="77"/>
        <v>0.48384306036910518</v>
      </c>
      <c r="R319" s="1131">
        <f t="shared" si="77"/>
        <v>0.2595878527386451</v>
      </c>
      <c r="S319" s="1132">
        <f t="shared" si="77"/>
        <v>0.54381370963962039</v>
      </c>
      <c r="T319" s="1130">
        <f t="shared" si="77"/>
        <v>0.51513010935716153</v>
      </c>
      <c r="U319" s="1131">
        <f t="shared" si="77"/>
        <v>0.26130995158024306</v>
      </c>
      <c r="V319" s="1132">
        <f t="shared" si="77"/>
        <v>0.57929804018594233</v>
      </c>
      <c r="W319" s="1124">
        <f t="shared" si="78"/>
        <v>3.1287048988056343E-2</v>
      </c>
      <c r="X319" s="1124">
        <f t="shared" si="78"/>
        <v>6.4663630732222685E-2</v>
      </c>
      <c r="Y319" s="1133" t="str">
        <f t="shared" si="78"/>
        <v>BBB</v>
      </c>
      <c r="Z319" s="1134" t="str">
        <f t="shared" si="78"/>
        <v>¯  ¯ ¯</v>
      </c>
      <c r="AA319" s="132">
        <f t="shared" si="78"/>
        <v>2.7929780820851775</v>
      </c>
      <c r="AB319" s="1135">
        <f t="shared" si="78"/>
        <v>0.12404595260605845</v>
      </c>
      <c r="AC319" s="1129">
        <f t="shared" si="78"/>
        <v>2.8353348809740444</v>
      </c>
    </row>
    <row r="320" spans="1:29">
      <c r="A320" s="1155" t="s">
        <v>502</v>
      </c>
      <c r="B320" s="73" t="s">
        <v>52</v>
      </c>
      <c r="C320" s="1149">
        <f t="shared" si="76"/>
        <v>40464.923042857146</v>
      </c>
      <c r="D320" s="1150">
        <f t="shared" si="76"/>
        <v>0.1036809862557167</v>
      </c>
      <c r="E320" s="1124">
        <f t="shared" si="76"/>
        <v>-6.1458653761923776E-2</v>
      </c>
      <c r="F320" s="1124">
        <f t="shared" si="76"/>
        <v>4.0316925143715168E-2</v>
      </c>
      <c r="G320" s="1125">
        <f t="shared" si="76"/>
        <v>39791.94</v>
      </c>
      <c r="H320" s="1126">
        <f t="shared" si="76"/>
        <v>0.1101916514803518</v>
      </c>
      <c r="I320" s="1127">
        <f t="shared" si="76"/>
        <v>1.0840589348936991</v>
      </c>
      <c r="J320" s="1127">
        <f t="shared" si="76"/>
        <v>1.2733420800000002</v>
      </c>
      <c r="K320" s="1128">
        <f t="shared" si="76"/>
        <v>4.9905713850513198</v>
      </c>
      <c r="L320" s="1124">
        <f t="shared" si="76"/>
        <v>0.1448238320606966</v>
      </c>
      <c r="M320" s="1129">
        <f t="shared" si="77"/>
        <v>5.2964626193065953</v>
      </c>
      <c r="N320" s="1130">
        <f t="shared" si="77"/>
        <v>0.61</v>
      </c>
      <c r="O320" s="1131">
        <f t="shared" si="77"/>
        <v>0</v>
      </c>
      <c r="P320" s="1132">
        <f t="shared" si="77"/>
        <v>0.62983042679437373</v>
      </c>
      <c r="Q320" s="1130">
        <f t="shared" si="77"/>
        <v>0.51528895508035288</v>
      </c>
      <c r="R320" s="1131">
        <f t="shared" si="77"/>
        <v>-2.4931247740904369E-2</v>
      </c>
      <c r="S320" s="1132">
        <f t="shared" si="77"/>
        <v>0.51939744871548044</v>
      </c>
      <c r="T320" s="1130">
        <f t="shared" si="77"/>
        <v>0.58808850315066874</v>
      </c>
      <c r="U320" s="1131">
        <f t="shared" si="77"/>
        <v>-2.8226553900756759E-2</v>
      </c>
      <c r="V320" s="1132">
        <f t="shared" si="77"/>
        <v>0.59074959904524027</v>
      </c>
      <c r="W320" s="1124">
        <f t="shared" si="78"/>
        <v>7.2799548070315856E-2</v>
      </c>
      <c r="X320" s="1124">
        <f t="shared" si="78"/>
        <v>0.14127907721011346</v>
      </c>
      <c r="Y320" s="1133" t="str">
        <f t="shared" si="78"/>
        <v>BBB+</v>
      </c>
      <c r="Z320" s="1134" t="str">
        <f t="shared" si="78"/>
        <v>=  =  =</v>
      </c>
      <c r="AA320" s="132">
        <f t="shared" si="78"/>
        <v>2.7906818261625395</v>
      </c>
      <c r="AB320" s="1135">
        <f t="shared" si="78"/>
        <v>8.5841806528642844E-2</v>
      </c>
      <c r="AC320" s="1129">
        <f t="shared" si="78"/>
        <v>2.9178287645268703</v>
      </c>
    </row>
    <row r="321" spans="1:29">
      <c r="A321" s="1155" t="s">
        <v>545</v>
      </c>
      <c r="B321" s="73" t="s">
        <v>39</v>
      </c>
      <c r="C321" s="1149">
        <f t="shared" si="76"/>
        <v>5059.5155870714543</v>
      </c>
      <c r="D321" s="1150">
        <f t="shared" si="76"/>
        <v>1.2963710952524294E-2</v>
      </c>
      <c r="E321" s="1124">
        <f t="shared" si="76"/>
        <v>-0.13366823909704381</v>
      </c>
      <c r="F321" s="1124">
        <f t="shared" si="76"/>
        <v>-3.1892660191404867E-2</v>
      </c>
      <c r="G321" s="1125">
        <f t="shared" si="76"/>
        <v>5057.8123335929276</v>
      </c>
      <c r="H321" s="1126">
        <f t="shared" si="76"/>
        <v>1.4006069920599414E-2</v>
      </c>
      <c r="I321" s="1127">
        <f t="shared" si="76"/>
        <v>1.6858649053444912</v>
      </c>
      <c r="J321" s="1127">
        <f t="shared" si="76"/>
        <v>1.7703056194544857</v>
      </c>
      <c r="K321" s="1128">
        <f t="shared" si="76"/>
        <v>5.8927844479191869</v>
      </c>
      <c r="L321" s="1124">
        <f t="shared" si="76"/>
        <v>-0.19036897853308513</v>
      </c>
      <c r="M321" s="1129">
        <f t="shared" si="77"/>
        <v>5.9052222685092017</v>
      </c>
      <c r="N321" s="1130">
        <f t="shared" si="77"/>
        <v>0.31054928118178421</v>
      </c>
      <c r="O321" s="1131">
        <f t="shared" si="77"/>
        <v>-0.11491916916279199</v>
      </c>
      <c r="P321" s="1132">
        <f t="shared" si="77"/>
        <v>0.28165979767703259</v>
      </c>
      <c r="Q321" s="1130">
        <f t="shared" si="77"/>
        <v>0.3899242463002407</v>
      </c>
      <c r="R321" s="1131">
        <f t="shared" si="77"/>
        <v>-0.1197676600756727</v>
      </c>
      <c r="S321" s="1132">
        <f t="shared" si="77"/>
        <v>0.37944762378701169</v>
      </c>
      <c r="T321" s="1130">
        <f t="shared" si="77"/>
        <v>0.45093517146474416</v>
      </c>
      <c r="U321" s="1131">
        <f t="shared" si="77"/>
        <v>-8.3572610535330494E-2</v>
      </c>
      <c r="V321" s="1132">
        <f t="shared" si="77"/>
        <v>0.43916945384982109</v>
      </c>
      <c r="W321" s="1124">
        <f t="shared" si="78"/>
        <v>6.101092516450346E-2</v>
      </c>
      <c r="X321" s="1124">
        <f t="shared" si="78"/>
        <v>0.15646866216553562</v>
      </c>
      <c r="Y321" s="1133" t="str">
        <f t="shared" si="78"/>
        <v>BBB</v>
      </c>
      <c r="Z321" s="1134" t="str">
        <f t="shared" si="78"/>
        <v>­  = =</v>
      </c>
      <c r="AA321" s="132">
        <f t="shared" si="78"/>
        <v>2.6587814840492587</v>
      </c>
      <c r="AB321" s="1135">
        <f t="shared" si="78"/>
        <v>-0.25803195656746131</v>
      </c>
      <c r="AC321" s="1129">
        <f t="shared" si="78"/>
        <v>2.5933932385229874</v>
      </c>
    </row>
    <row r="322" spans="1:29">
      <c r="A322" s="1155" t="s">
        <v>505</v>
      </c>
      <c r="B322" s="73" t="s">
        <v>44</v>
      </c>
      <c r="C322" s="1149">
        <f t="shared" si="76"/>
        <v>12234.494271428572</v>
      </c>
      <c r="D322" s="1150">
        <f t="shared" si="76"/>
        <v>3.1347753486597643E-2</v>
      </c>
      <c r="E322" s="1124">
        <f t="shared" si="76"/>
        <v>-0.59766521701552</v>
      </c>
      <c r="F322" s="1124">
        <f t="shared" si="76"/>
        <v>-0.49588963810988107</v>
      </c>
      <c r="G322" s="1125">
        <f t="shared" si="76"/>
        <v>6819.5967000000001</v>
      </c>
      <c r="H322" s="1126">
        <f t="shared" si="76"/>
        <v>1.8884794830384175E-2</v>
      </c>
      <c r="I322" s="1127">
        <f t="shared" si="76"/>
        <v>3.9295455833111754</v>
      </c>
      <c r="J322" s="1127">
        <f t="shared" si="76"/>
        <v>1.2175677021960365</v>
      </c>
      <c r="K322" s="1128">
        <f t="shared" si="76"/>
        <v>4.9270605931091591</v>
      </c>
      <c r="L322" s="1124">
        <f t="shared" si="76"/>
        <v>-0.26680842971581226</v>
      </c>
      <c r="M322" s="1129">
        <f t="shared" si="77"/>
        <v>4.0325018858098245</v>
      </c>
      <c r="N322" s="1130">
        <f t="shared" si="77"/>
        <v>0.5805147103617575</v>
      </c>
      <c r="O322" s="1131">
        <f t="shared" si="77"/>
        <v>8.4948466413752491E-2</v>
      </c>
      <c r="P322" s="1132">
        <f t="shared" si="77"/>
        <v>0.6264024463118032</v>
      </c>
      <c r="Q322" s="1130">
        <f t="shared" si="77"/>
        <v>0.51826084585195908</v>
      </c>
      <c r="R322" s="1131">
        <f t="shared" si="77"/>
        <v>0.40005999871326348</v>
      </c>
      <c r="S322" s="1132">
        <f t="shared" si="77"/>
        <v>0.58973938770950263</v>
      </c>
      <c r="T322" s="1130">
        <f t="shared" si="77"/>
        <v>0.5495689942142129</v>
      </c>
      <c r="U322" s="1131">
        <f t="shared" si="77"/>
        <v>0.40637993517884302</v>
      </c>
      <c r="V322" s="1132">
        <f t="shared" si="77"/>
        <v>0.63323863537070213</v>
      </c>
      <c r="W322" s="1124">
        <f t="shared" si="78"/>
        <v>3.1308148362253818E-2</v>
      </c>
      <c r="X322" s="1124">
        <f t="shared" si="78"/>
        <v>6.0410020577161203E-2</v>
      </c>
      <c r="Y322" s="1133" t="str">
        <f t="shared" si="78"/>
        <v>BBB-</v>
      </c>
      <c r="Z322" s="1134" t="str">
        <f t="shared" si="78"/>
        <v>=  ¯ =</v>
      </c>
      <c r="AA322" s="132">
        <f t="shared" si="78"/>
        <v>2.643581803383519</v>
      </c>
      <c r="AB322" s="1135">
        <f t="shared" si="78"/>
        <v>2.8580691559688957E-2</v>
      </c>
      <c r="AC322" s="1129">
        <f t="shared" si="78"/>
        <v>2.5466878830879209</v>
      </c>
    </row>
    <row r="323" spans="1:29">
      <c r="A323" s="1155" t="s">
        <v>19</v>
      </c>
      <c r="B323" s="152" t="s">
        <v>288</v>
      </c>
      <c r="C323" s="1149">
        <f t="shared" si="76"/>
        <v>31174.883771428573</v>
      </c>
      <c r="D323" s="1150">
        <f t="shared" si="76"/>
        <v>7.9877643469276421E-2</v>
      </c>
      <c r="E323" s="1124">
        <f t="shared" si="76"/>
        <v>-0.49416922878378883</v>
      </c>
      <c r="F323" s="1124">
        <f t="shared" si="76"/>
        <v>-0.3923936498781499</v>
      </c>
      <c r="G323" s="1125">
        <f t="shared" si="76"/>
        <v>19124.593099999998</v>
      </c>
      <c r="H323" s="1126">
        <f t="shared" si="76"/>
        <v>5.2959732488004868E-2</v>
      </c>
      <c r="I323" s="1127">
        <f t="shared" si="76"/>
        <v>1.0546425468926217</v>
      </c>
      <c r="J323" s="1127">
        <f t="shared" si="76"/>
        <v>0.72989058468819168</v>
      </c>
      <c r="K323" s="1128">
        <f t="shared" si="76"/>
        <v>4.7838493303826084</v>
      </c>
      <c r="L323" s="1124">
        <f t="shared" si="76"/>
        <v>-0.19812930900653591</v>
      </c>
      <c r="M323" s="1129">
        <f t="shared" si="77"/>
        <v>4.438539176760524</v>
      </c>
      <c r="N323" s="1130">
        <f t="shared" si="77"/>
        <v>0.60741568747204655</v>
      </c>
      <c r="O323" s="1131">
        <f t="shared" si="77"/>
        <v>4.0950219141690898E-2</v>
      </c>
      <c r="P323" s="1132">
        <f t="shared" si="77"/>
        <v>0.62738172243152124</v>
      </c>
      <c r="Q323" s="1130">
        <f t="shared" si="77"/>
        <v>0.50834561454306215</v>
      </c>
      <c r="R323" s="1131">
        <f t="shared" si="77"/>
        <v>0.27477182203191691</v>
      </c>
      <c r="S323" s="1132">
        <f t="shared" si="77"/>
        <v>0.61196382356206247</v>
      </c>
      <c r="T323" s="1130">
        <f t="shared" si="77"/>
        <v>0.54898628094174651</v>
      </c>
      <c r="U323" s="1131">
        <f t="shared" si="77"/>
        <v>0.26756473067663017</v>
      </c>
      <c r="V323" s="1132">
        <f t="shared" si="77"/>
        <v>0.65530118542007598</v>
      </c>
      <c r="W323" s="1124">
        <f t="shared" si="78"/>
        <v>4.0640666398684355E-2</v>
      </c>
      <c r="X323" s="1124">
        <f t="shared" si="78"/>
        <v>7.9946920433679999E-2</v>
      </c>
      <c r="Y323" s="1133" t="str">
        <f t="shared" si="78"/>
        <v>BBB+</v>
      </c>
      <c r="Z323" s="1134" t="str">
        <f t="shared" si="78"/>
        <v>=  ¯ ¯</v>
      </c>
      <c r="AA323" s="132">
        <f t="shared" si="78"/>
        <v>2.5321561588471506</v>
      </c>
      <c r="AB323" s="1135">
        <f t="shared" si="78"/>
        <v>1.3257606300410854E-2</v>
      </c>
      <c r="AC323" s="1129">
        <f t="shared" si="78"/>
        <v>2.8138910595815916</v>
      </c>
    </row>
    <row r="324" spans="1:29">
      <c r="A324" s="1155" t="s">
        <v>32</v>
      </c>
      <c r="B324" s="73" t="s">
        <v>50</v>
      </c>
      <c r="C324" s="1149">
        <f t="shared" si="76"/>
        <v>19515.355899391296</v>
      </c>
      <c r="D324" s="1150">
        <f t="shared" si="76"/>
        <v>5.0003093905237848E-2</v>
      </c>
      <c r="E324" s="1124">
        <f t="shared" si="76"/>
        <v>1.1994936816856254</v>
      </c>
      <c r="F324" s="1124">
        <f t="shared" si="76"/>
        <v>1.3012692605912644</v>
      </c>
      <c r="G324" s="1125">
        <f t="shared" si="76"/>
        <v>28491.576306321644</v>
      </c>
      <c r="H324" s="1126">
        <f t="shared" si="76"/>
        <v>7.8898737947233621E-2</v>
      </c>
      <c r="I324" s="1127">
        <f t="shared" si="76"/>
        <v>-0.89894076859195104</v>
      </c>
      <c r="J324" s="1127">
        <f t="shared" si="76"/>
        <v>39.625784878048783</v>
      </c>
      <c r="K324" s="1128">
        <f t="shared" si="76"/>
        <v>4.6985221679038922</v>
      </c>
      <c r="L324" s="1124">
        <f t="shared" si="76"/>
        <v>0.4140020451008824</v>
      </c>
      <c r="M324" s="1129">
        <f t="shared" si="77"/>
        <v>5.7096258695546744</v>
      </c>
      <c r="N324" s="1130">
        <f t="shared" si="77"/>
        <v>0</v>
      </c>
      <c r="O324" s="1131">
        <f t="shared" si="77"/>
        <v>0</v>
      </c>
      <c r="P324" s="1132">
        <f t="shared" si="77"/>
        <v>0</v>
      </c>
      <c r="Q324" s="1130">
        <f t="shared" si="77"/>
        <v>0.37025195227815472</v>
      </c>
      <c r="R324" s="1131">
        <f t="shared" si="77"/>
        <v>-0.46222821771061889</v>
      </c>
      <c r="S324" s="1132">
        <f t="shared" si="77"/>
        <v>0.26403640782716253</v>
      </c>
      <c r="T324" s="1130">
        <f t="shared" si="77"/>
        <v>0.48927059752514818</v>
      </c>
      <c r="U324" s="1131">
        <f t="shared" si="77"/>
        <v>-0.38189416595312975</v>
      </c>
      <c r="V324" s="1132">
        <f t="shared" si="77"/>
        <v>0.37414035756341019</v>
      </c>
      <c r="W324" s="1124">
        <f t="shared" si="78"/>
        <v>0.11901864524699346</v>
      </c>
      <c r="X324" s="1124">
        <f t="shared" si="78"/>
        <v>0.32145312000294263</v>
      </c>
      <c r="Y324" s="1133" t="str">
        <f t="shared" si="78"/>
        <v>BBB</v>
      </c>
      <c r="Z324" s="1134" t="str">
        <f t="shared" si="78"/>
        <v xml:space="preserve">=  -  = </v>
      </c>
      <c r="AA324" s="132">
        <f t="shared" si="78"/>
        <v>2.2664974928712622</v>
      </c>
      <c r="AB324" s="1135">
        <f t="shared" si="78"/>
        <v>-0.12537902502142731</v>
      </c>
      <c r="AC324" s="1129">
        <f t="shared" si="78"/>
        <v>2.136201464388483</v>
      </c>
    </row>
    <row r="325" spans="1:29">
      <c r="A325" s="1155" t="s">
        <v>389</v>
      </c>
      <c r="B325" s="73" t="s">
        <v>278</v>
      </c>
      <c r="C325" s="1149">
        <f t="shared" si="76"/>
        <v>3544.0522571428578</v>
      </c>
      <c r="D325" s="1150">
        <f t="shared" si="76"/>
        <v>9.0807248780183369E-3</v>
      </c>
      <c r="E325" s="1124">
        <f t="shared" si="76"/>
        <v>-0.4675424361384804</v>
      </c>
      <c r="F325" s="1124">
        <f t="shared" si="76"/>
        <v>-0.36576685723284147</v>
      </c>
      <c r="G325" s="1125">
        <f t="shared" si="76"/>
        <v>2152.6311000000001</v>
      </c>
      <c r="H325" s="1126">
        <f t="shared" si="76"/>
        <v>5.9610558303255963E-3</v>
      </c>
      <c r="I325" s="1127">
        <f t="shared" si="76"/>
        <v>3.4941691326062152</v>
      </c>
      <c r="J325" s="1127">
        <f t="shared" si="76"/>
        <v>2.2961398399999999</v>
      </c>
      <c r="K325" s="1128">
        <f t="shared" si="76"/>
        <v>4.4503654862327</v>
      </c>
      <c r="L325" s="1124">
        <f t="shared" si="76"/>
        <v>-2.9835823683801648E-2</v>
      </c>
      <c r="M325" s="1129">
        <f t="shared" si="77"/>
        <v>4.0530525032062261</v>
      </c>
      <c r="N325" s="1130">
        <f t="shared" si="77"/>
        <v>0.60910298289809772</v>
      </c>
      <c r="O325" s="1131">
        <f t="shared" si="77"/>
        <v>-5.2071170724915891E-2</v>
      </c>
      <c r="P325" s="1132">
        <f t="shared" si="77"/>
        <v>0.6207941242005639</v>
      </c>
      <c r="Q325" s="1130">
        <f t="shared" si="77"/>
        <v>0.49050145598877937</v>
      </c>
      <c r="R325" s="1131">
        <f t="shared" si="77"/>
        <v>0.42102559519407173</v>
      </c>
      <c r="S325" s="1132">
        <f t="shared" si="77"/>
        <v>0.61744816018521742</v>
      </c>
      <c r="T325" s="1130">
        <f t="shared" si="77"/>
        <v>0.49698573886957192</v>
      </c>
      <c r="U325" s="1131">
        <f t="shared" si="77"/>
        <v>0.41032171167013903</v>
      </c>
      <c r="V325" s="1132">
        <f t="shared" si="77"/>
        <v>0.62319136029119382</v>
      </c>
      <c r="W325" s="1124">
        <f t="shared" si="78"/>
        <v>6.4842828807925579E-3</v>
      </c>
      <c r="X325" s="1124">
        <f t="shared" si="78"/>
        <v>1.3219701596443154E-2</v>
      </c>
      <c r="Y325" s="1133" t="str">
        <f t="shared" si="78"/>
        <v>BBB</v>
      </c>
      <c r="Z325" s="1134" t="str">
        <f t="shared" si="78"/>
        <v>=  ¯ -</v>
      </c>
      <c r="AA325" s="132">
        <f t="shared" si="78"/>
        <v>2.1902281092407181</v>
      </c>
      <c r="AB325" s="1135">
        <f t="shared" si="78"/>
        <v>0.36844726500440206</v>
      </c>
      <c r="AC325" s="1129">
        <f t="shared" si="78"/>
        <v>2.5252968522290931</v>
      </c>
    </row>
    <row r="326" spans="1:29">
      <c r="A326" s="1155" t="s">
        <v>378</v>
      </c>
      <c r="B326" s="73" t="s">
        <v>42</v>
      </c>
      <c r="C326" s="1149">
        <f t="shared" si="76"/>
        <v>2432.5463571428577</v>
      </c>
      <c r="D326" s="1150">
        <f t="shared" si="76"/>
        <v>6.2327761047315808E-3</v>
      </c>
      <c r="E326" s="1124">
        <f t="shared" si="76"/>
        <v>-3.2258071946582277E-2</v>
      </c>
      <c r="F326" s="1124">
        <f t="shared" si="76"/>
        <v>6.9517506959056674E-2</v>
      </c>
      <c r="G326" s="1125">
        <f t="shared" si="76"/>
        <v>2940.9023000000002</v>
      </c>
      <c r="H326" s="1126">
        <f t="shared" si="76"/>
        <v>8.143932697912316E-3</v>
      </c>
      <c r="I326" s="1127">
        <f t="shared" si="76"/>
        <v>1.2689619717468461</v>
      </c>
      <c r="J326" s="1127">
        <f t="shared" si="76"/>
        <v>1.312316956715752</v>
      </c>
      <c r="K326" s="1128">
        <f t="shared" si="76"/>
        <v>3.7488610975650749</v>
      </c>
      <c r="L326" s="1124">
        <f t="shared" si="76"/>
        <v>3.4291324439135469E-2</v>
      </c>
      <c r="M326" s="1129">
        <f t="shared" si="77"/>
        <v>3.7439277362047823</v>
      </c>
      <c r="N326" s="1130">
        <f t="shared" si="77"/>
        <v>0.56323171407839789</v>
      </c>
      <c r="O326" s="1131">
        <f t="shared" si="77"/>
        <v>-0.12023286586287618</v>
      </c>
      <c r="P326" s="1132">
        <f t="shared" si="77"/>
        <v>0.53987730061349704</v>
      </c>
      <c r="Q326" s="1130">
        <f t="shared" si="77"/>
        <v>0.60887331285954671</v>
      </c>
      <c r="R326" s="1131">
        <f t="shared" si="77"/>
        <v>-0.37303497156800469</v>
      </c>
      <c r="S326" s="1132">
        <f t="shared" si="77"/>
        <v>0.37659759063604481</v>
      </c>
      <c r="T326" s="1130">
        <f t="shared" si="77"/>
        <v>0.63388271448107447</v>
      </c>
      <c r="U326" s="1131">
        <f t="shared" si="77"/>
        <v>-0.25869992498286548</v>
      </c>
      <c r="V326" s="1132">
        <f t="shared" si="77"/>
        <v>0.44527495080222473</v>
      </c>
      <c r="W326" s="1124">
        <f t="shared" si="78"/>
        <v>2.500940162152776E-2</v>
      </c>
      <c r="X326" s="1124">
        <f t="shared" si="78"/>
        <v>4.1074885519406669E-2</v>
      </c>
      <c r="Y326" s="1133" t="str">
        <f t="shared" si="78"/>
        <v>B-</v>
      </c>
      <c r="Z326" s="1134" t="str">
        <f t="shared" si="78"/>
        <v>=  =  -</v>
      </c>
      <c r="AA326" s="132">
        <f t="shared" si="78"/>
        <v>2.172629043332774</v>
      </c>
      <c r="AB326" s="1135">
        <f t="shared" si="78"/>
        <v>-0.22035736928264804</v>
      </c>
      <c r="AC326" s="1129">
        <f t="shared" si="78"/>
        <v>1.5517268924243866</v>
      </c>
    </row>
    <row r="327" spans="1:29">
      <c r="A327" s="1155" t="s">
        <v>508</v>
      </c>
      <c r="B327" s="73" t="s">
        <v>290</v>
      </c>
      <c r="C327" s="1149">
        <f t="shared" si="76"/>
        <v>16250.837973523972</v>
      </c>
      <c r="D327" s="1150">
        <f t="shared" si="76"/>
        <v>4.1638604052015776E-2</v>
      </c>
      <c r="E327" s="1124">
        <f t="shared" si="76"/>
        <v>0.20894195471198634</v>
      </c>
      <c r="F327" s="1124">
        <f t="shared" si="76"/>
        <v>0.31071753361762527</v>
      </c>
      <c r="G327" s="1125">
        <f t="shared" si="76"/>
        <v>17428.290742138299</v>
      </c>
      <c r="H327" s="1126">
        <f t="shared" si="76"/>
        <v>4.826234004564605E-2</v>
      </c>
      <c r="I327" s="1127">
        <f t="shared" si="76"/>
        <v>4.0995220850209826</v>
      </c>
      <c r="J327" s="1127">
        <f t="shared" si="76"/>
        <v>4.5731712273212377</v>
      </c>
      <c r="K327" s="1128">
        <f t="shared" si="76"/>
        <v>6.7995363362554677</v>
      </c>
      <c r="L327" s="1124">
        <f t="shared" si="76"/>
        <v>0.2149868566781509</v>
      </c>
      <c r="M327" s="1129">
        <f t="shared" si="77"/>
        <v>7.5822149145373468</v>
      </c>
      <c r="N327" s="1130">
        <f t="shared" si="77"/>
        <v>0.32615050588405037</v>
      </c>
      <c r="O327" s="1131">
        <f t="shared" si="77"/>
        <v>-8.7660674172335792E-2</v>
      </c>
      <c r="P327" s="1132">
        <f t="shared" si="77"/>
        <v>0.30985103942866765</v>
      </c>
      <c r="Q327" s="1130">
        <f t="shared" si="77"/>
        <v>0.30558583418722468</v>
      </c>
      <c r="R327" s="1131">
        <f t="shared" si="77"/>
        <v>-0.13620468181810452</v>
      </c>
      <c r="S327" s="1132">
        <f t="shared" si="77"/>
        <v>0.29018390059321952</v>
      </c>
      <c r="T327" s="1130">
        <f t="shared" si="77"/>
        <v>0.31922230141848357</v>
      </c>
      <c r="U327" s="1131">
        <f t="shared" si="77"/>
        <v>-0.13496032758973828</v>
      </c>
      <c r="V327" s="1132">
        <f t="shared" si="77"/>
        <v>0.30362227391248225</v>
      </c>
      <c r="W327" s="1124">
        <f t="shared" si="78"/>
        <v>1.3636467231258886E-2</v>
      </c>
      <c r="X327" s="1124">
        <f t="shared" si="78"/>
        <v>4.4624016252350789E-2</v>
      </c>
      <c r="Y327" s="1133" t="str">
        <f t="shared" si="78"/>
        <v>A</v>
      </c>
      <c r="Z327" s="1134" t="str">
        <f t="shared" si="78"/>
        <v>=  =  -</v>
      </c>
      <c r="AA327" s="132">
        <f t="shared" si="78"/>
        <v>2.1579177629636748</v>
      </c>
      <c r="AB327" s="1135">
        <f t="shared" si="78"/>
        <v>6.0078851309961184E-2</v>
      </c>
      <c r="AC327" s="1129">
        <f t="shared" si="78"/>
        <v>2.3009327536910358</v>
      </c>
    </row>
    <row r="328" spans="1:29">
      <c r="A328" s="1155" t="s">
        <v>32</v>
      </c>
      <c r="B328" s="73" t="s">
        <v>279</v>
      </c>
      <c r="C328" s="1149">
        <f t="shared" si="76"/>
        <v>103061.53572524291</v>
      </c>
      <c r="D328" s="1150">
        <f t="shared" si="76"/>
        <v>0.26406875054982143</v>
      </c>
      <c r="E328" s="1124">
        <f t="shared" si="76"/>
        <v>7.5306160052783275E-2</v>
      </c>
      <c r="F328" s="1124">
        <f t="shared" si="76"/>
        <v>0.17708173895842222</v>
      </c>
      <c r="G328" s="1125">
        <f t="shared" si="76"/>
        <v>106720.85775234729</v>
      </c>
      <c r="H328" s="1126">
        <f t="shared" si="76"/>
        <v>0.29553089301830604</v>
      </c>
      <c r="I328" s="1127">
        <f t="shared" si="76"/>
        <v>1.0837821931217524</v>
      </c>
      <c r="J328" s="1127">
        <f t="shared" si="76"/>
        <v>1.259272460269286</v>
      </c>
      <c r="K328" s="1128">
        <f t="shared" si="76"/>
        <v>7.5360879751187033</v>
      </c>
      <c r="L328" s="1124">
        <f t="shared" si="76"/>
        <v>0.12910548637067604</v>
      </c>
      <c r="M328" s="1129">
        <f t="shared" si="77"/>
        <v>8.6584668441025876</v>
      </c>
      <c r="N328" s="1130">
        <f t="shared" si="77"/>
        <v>0.91487499999999988</v>
      </c>
      <c r="O328" s="1131">
        <f t="shared" si="77"/>
        <v>-4.3736501079913587E-2</v>
      </c>
      <c r="P328" s="1132">
        <f t="shared" si="77"/>
        <v>0.89481420237931208</v>
      </c>
      <c r="Q328" s="1130">
        <f t="shared" si="77"/>
        <v>0.24509229252810941</v>
      </c>
      <c r="R328" s="1131">
        <f t="shared" si="77"/>
        <v>-0.16501821733667812</v>
      </c>
      <c r="S328" s="1132">
        <f t="shared" si="77"/>
        <v>0.23828807339295358</v>
      </c>
      <c r="T328" s="1130">
        <f t="shared" si="77"/>
        <v>0.27870192226407053</v>
      </c>
      <c r="U328" s="1131">
        <f t="shared" si="77"/>
        <v>-0.14309331637647091</v>
      </c>
      <c r="V328" s="1132">
        <f t="shared" si="77"/>
        <v>0.2718321660431175</v>
      </c>
      <c r="W328" s="1124">
        <f t="shared" si="78"/>
        <v>3.3609629735961127E-2</v>
      </c>
      <c r="X328" s="1124">
        <f t="shared" si="78"/>
        <v>0.13713050455108242</v>
      </c>
      <c r="Y328" s="1133" t="str">
        <f t="shared" si="78"/>
        <v>A-</v>
      </c>
      <c r="Z328" s="1134" t="str">
        <f t="shared" si="78"/>
        <v>=  =  =</v>
      </c>
      <c r="AA328" s="132">
        <f t="shared" si="78"/>
        <v>2.0880314655341889</v>
      </c>
      <c r="AB328" s="1135">
        <f t="shared" si="78"/>
        <v>-3.7762767487534328E-2</v>
      </c>
      <c r="AC328" s="1129">
        <f t="shared" si="78"/>
        <v>2.3348198024327131</v>
      </c>
    </row>
    <row r="329" spans="1:29">
      <c r="A329" s="1155" t="s">
        <v>507</v>
      </c>
      <c r="B329" s="73" t="s">
        <v>284</v>
      </c>
      <c r="C329" s="1149">
        <f t="shared" si="76"/>
        <v>22949.481858519866</v>
      </c>
      <c r="D329" s="1150">
        <f t="shared" si="76"/>
        <v>5.8802160840116385E-2</v>
      </c>
      <c r="E329" s="1124">
        <f t="shared" si="76"/>
        <v>-8.3288171902550459E-2</v>
      </c>
      <c r="F329" s="1124">
        <f t="shared" si="76"/>
        <v>1.8487407003088485E-2</v>
      </c>
      <c r="G329" s="1125">
        <f t="shared" si="76"/>
        <v>21731.57918967646</v>
      </c>
      <c r="H329" s="1126">
        <f t="shared" si="76"/>
        <v>6.0178986000343146E-2</v>
      </c>
      <c r="I329" s="1127">
        <f t="shared" si="76"/>
        <v>1.7647070716020126</v>
      </c>
      <c r="J329" s="1127">
        <f t="shared" si="76"/>
        <v>1.7786623686113903</v>
      </c>
      <c r="K329" s="1128">
        <f t="shared" si="76"/>
        <v>7.5421176018870622</v>
      </c>
      <c r="L329" s="1124">
        <f t="shared" si="76"/>
        <v>2.1076957712408067E-2</v>
      </c>
      <c r="M329" s="1129">
        <f t="shared" si="77"/>
        <v>7.6896404016441506</v>
      </c>
      <c r="N329" s="1130">
        <f t="shared" si="77"/>
        <v>0.67984865616162071</v>
      </c>
      <c r="O329" s="1131">
        <f t="shared" si="77"/>
        <v>0.13956056160252914</v>
      </c>
      <c r="P329" s="1132">
        <f t="shared" si="77"/>
        <v>0.7167630057803468</v>
      </c>
      <c r="Q329" s="1130">
        <f t="shared" si="77"/>
        <v>0.23215418017261674</v>
      </c>
      <c r="R329" s="1131">
        <f t="shared" si="77"/>
        <v>0.36187217108516367</v>
      </c>
      <c r="S329" s="1132">
        <f t="shared" si="77"/>
        <v>0.26525179681706468</v>
      </c>
      <c r="T329" s="1130">
        <f t="shared" si="77"/>
        <v>0.2501311526811702</v>
      </c>
      <c r="U329" s="1131">
        <f t="shared" si="77"/>
        <v>0.31916438327965047</v>
      </c>
      <c r="V329" s="1132">
        <f t="shared" si="77"/>
        <v>0.28287599661626001</v>
      </c>
      <c r="W329" s="1124">
        <f t="shared" si="78"/>
        <v>1.7976972508553457E-2</v>
      </c>
      <c r="X329" s="1124">
        <f t="shared" si="78"/>
        <v>7.7435489187344358E-2</v>
      </c>
      <c r="Y329" s="1133" t="str">
        <f t="shared" si="78"/>
        <v>A-</v>
      </c>
      <c r="Z329" s="1134" t="str">
        <f t="shared" si="78"/>
        <v>=  =  =</v>
      </c>
      <c r="AA329" s="132">
        <f t="shared" si="78"/>
        <v>1.845874038975184</v>
      </c>
      <c r="AB329" s="1135">
        <f t="shared" si="78"/>
        <v>0.36079457239176377</v>
      </c>
      <c r="AC329" s="1129">
        <f t="shared" si="78"/>
        <v>2.1424428051274771</v>
      </c>
    </row>
    <row r="330" spans="1:29">
      <c r="A330" s="1155" t="s">
        <v>27</v>
      </c>
      <c r="B330" s="73" t="s">
        <v>357</v>
      </c>
      <c r="C330" s="1149">
        <f t="shared" ref="C330:L337" si="79">VLOOKUP($B330,$B$7:$AC$28,C$37+1,FALSE)</f>
        <v>504.56125714285719</v>
      </c>
      <c r="D330" s="1150">
        <f t="shared" si="79"/>
        <v>1.292808804099037E-3</v>
      </c>
      <c r="E330" s="1124">
        <f t="shared" si="79"/>
        <v>0.11241291049139049</v>
      </c>
      <c r="F330" s="1124">
        <f t="shared" si="79"/>
        <v>0.21418848939702945</v>
      </c>
      <c r="G330" s="1125">
        <f t="shared" si="79"/>
        <v>562.64409999999998</v>
      </c>
      <c r="H330" s="1126">
        <f t="shared" si="79"/>
        <v>1.5580713726115437E-3</v>
      </c>
      <c r="I330" s="1127">
        <f t="shared" si="79"/>
        <v>0.48825120153947199</v>
      </c>
      <c r="J330" s="1127">
        <f t="shared" si="79"/>
        <v>0.52140126030951717</v>
      </c>
      <c r="K330" s="1128">
        <f t="shared" si="79"/>
        <v>3.8552632920912293</v>
      </c>
      <c r="L330" s="1124">
        <f t="shared" si="79"/>
        <v>-0.11001004882442665</v>
      </c>
      <c r="M330" s="1129">
        <f t="shared" ref="M330:Y337" si="80">VLOOKUP($B330,$B$7:$AC$28,M$37+1,FALSE)</f>
        <v>3.9063069179772585</v>
      </c>
      <c r="N330" s="1130">
        <f t="shared" si="80"/>
        <v>0.90539538726018864</v>
      </c>
      <c r="O330" s="1131">
        <f t="shared" si="80"/>
        <v>-4.1189056985539901E-2</v>
      </c>
      <c r="P330" s="1132">
        <f t="shared" si="80"/>
        <v>0.90138346931536006</v>
      </c>
      <c r="Q330" s="1130">
        <f t="shared" si="80"/>
        <v>0.38160323267486906</v>
      </c>
      <c r="R330" s="1131">
        <f t="shared" si="80"/>
        <v>0.13281779457810056</v>
      </c>
      <c r="S330" s="1132">
        <f t="shared" si="80"/>
        <v>0.39444904186551905</v>
      </c>
      <c r="T330" s="1130">
        <f t="shared" si="80"/>
        <v>0.47841518539184064</v>
      </c>
      <c r="U330" s="1131">
        <f t="shared" si="80"/>
        <v>1.1717685634717274E-2</v>
      </c>
      <c r="V330" s="1132">
        <f t="shared" si="80"/>
        <v>0.46507375880431212</v>
      </c>
      <c r="W330" s="1124">
        <f t="shared" si="80"/>
        <v>9.6811952716971572E-2</v>
      </c>
      <c r="X330" s="1124">
        <f t="shared" si="80"/>
        <v>0.25369793656715856</v>
      </c>
      <c r="Y330" s="1133" t="str">
        <f t="shared" si="80"/>
        <v>Not rated</v>
      </c>
      <c r="Z330" s="1134"/>
      <c r="AA330" s="132">
        <f t="shared" ref="AA330:AC337" si="81">VLOOKUP($B330,$B$7:$AC$28,AA$37+1,FALSE)</f>
        <v>1.832329792526622</v>
      </c>
      <c r="AB330" s="1135">
        <f t="shared" si="81"/>
        <v>-9.9442962217240083E-2</v>
      </c>
      <c r="AC330" s="1129">
        <f t="shared" si="81"/>
        <v>1.8160302149559577</v>
      </c>
    </row>
    <row r="331" spans="1:29">
      <c r="A331" s="1155" t="s">
        <v>73</v>
      </c>
      <c r="B331" s="73" t="s">
        <v>285</v>
      </c>
      <c r="C331" s="1149">
        <f t="shared" si="79"/>
        <v>2461.5190857142857</v>
      </c>
      <c r="D331" s="1150">
        <f t="shared" si="79"/>
        <v>6.3070112903421734E-3</v>
      </c>
      <c r="E331" s="1124">
        <f t="shared" si="79"/>
        <v>6.738754525599433E-2</v>
      </c>
      <c r="F331" s="1124">
        <f t="shared" si="79"/>
        <v>0.16916312416163326</v>
      </c>
      <c r="G331" s="1125">
        <f t="shared" si="79"/>
        <v>2364.3629999999998</v>
      </c>
      <c r="H331" s="1126">
        <f t="shared" si="79"/>
        <v>6.5473828033777437E-3</v>
      </c>
      <c r="I331" s="1127">
        <f t="shared" si="79"/>
        <v>3.1397518024733277</v>
      </c>
      <c r="J331" s="1127">
        <f t="shared" si="79"/>
        <v>3.0995844257996854</v>
      </c>
      <c r="K331" s="1128">
        <f t="shared" si="79"/>
        <v>6.7052926466266065</v>
      </c>
      <c r="L331" s="1124">
        <f t="shared" si="79"/>
        <v>0.14721542174528052</v>
      </c>
      <c r="M331" s="1129">
        <f t="shared" si="80"/>
        <v>7.0127743881429545</v>
      </c>
      <c r="N331" s="1130">
        <f t="shared" si="80"/>
        <v>0.62657499999999999</v>
      </c>
      <c r="O331" s="1131">
        <f t="shared" si="80"/>
        <v>5.5614710459497153E-2</v>
      </c>
      <c r="P331" s="1132">
        <f t="shared" si="80"/>
        <v>0.64439999999999997</v>
      </c>
      <c r="Q331" s="1130">
        <f t="shared" si="80"/>
        <v>0.24190098439360719</v>
      </c>
      <c r="R331" s="1131">
        <f t="shared" si="80"/>
        <v>0.20667512064869559</v>
      </c>
      <c r="S331" s="1132">
        <f t="shared" si="80"/>
        <v>0.30597960586046052</v>
      </c>
      <c r="T331" s="1130">
        <f t="shared" si="80"/>
        <v>0.2616424852780464</v>
      </c>
      <c r="U331" s="1131">
        <f t="shared" si="80"/>
        <v>0.20296552626351777</v>
      </c>
      <c r="V331" s="1132">
        <f t="shared" si="80"/>
        <v>0.32061814749302248</v>
      </c>
      <c r="W331" s="1124">
        <f t="shared" si="80"/>
        <v>1.9741500884439211E-2</v>
      </c>
      <c r="X331" s="1124">
        <f t="shared" si="80"/>
        <v>8.1609841042717679E-2</v>
      </c>
      <c r="Y331" s="1133" t="str">
        <f t="shared" si="80"/>
        <v>BBB</v>
      </c>
      <c r="Z331" s="1134" t="str">
        <f>VLOOKUP($B331,$B$7:$AC$28,Z$37+1,FALSE)</f>
        <v>=  =  -</v>
      </c>
      <c r="AA331" s="132">
        <f t="shared" si="81"/>
        <v>1.7511002028712532</v>
      </c>
      <c r="AB331" s="1135">
        <f t="shared" si="81"/>
        <v>0.37093258903528414</v>
      </c>
      <c r="AC331" s="1129">
        <f t="shared" si="81"/>
        <v>2.2311132077757287</v>
      </c>
    </row>
    <row r="332" spans="1:29">
      <c r="A332" s="1155" t="s">
        <v>507</v>
      </c>
      <c r="B332" s="73" t="s">
        <v>282</v>
      </c>
      <c r="C332" s="1149">
        <f t="shared" si="79"/>
        <v>5769.8566757446433</v>
      </c>
      <c r="D332" s="1150">
        <f t="shared" si="79"/>
        <v>1.4783777793466828E-2</v>
      </c>
      <c r="E332" s="1124">
        <f t="shared" si="79"/>
        <v>-0.24705029723080094</v>
      </c>
      <c r="F332" s="1124">
        <f t="shared" si="79"/>
        <v>-0.14527471832516198</v>
      </c>
      <c r="G332" s="1125">
        <f t="shared" si="79"/>
        <v>4026.3480952657014</v>
      </c>
      <c r="H332" s="1126">
        <f t="shared" si="79"/>
        <v>1.1149744044952231E-2</v>
      </c>
      <c r="I332" s="1127">
        <f t="shared" si="79"/>
        <v>2.446298838298576</v>
      </c>
      <c r="J332" s="1127">
        <f t="shared" si="79"/>
        <v>1.6476276710656086</v>
      </c>
      <c r="K332" s="1128">
        <f t="shared" si="79"/>
        <v>6.6837223425180285</v>
      </c>
      <c r="L332" s="1124">
        <f t="shared" si="79"/>
        <v>1.2127469272410992E-3</v>
      </c>
      <c r="M332" s="1129">
        <f t="shared" si="80"/>
        <v>5.5145354419406587</v>
      </c>
      <c r="N332" s="1130">
        <f t="shared" si="80"/>
        <v>0.67083419702973635</v>
      </c>
      <c r="O332" s="1131">
        <f t="shared" si="80"/>
        <v>-0.11335389957676706</v>
      </c>
      <c r="P332" s="1132">
        <f t="shared" si="80"/>
        <v>0.63639387890884902</v>
      </c>
      <c r="Q332" s="1130">
        <f t="shared" si="80"/>
        <v>0.1536920907726812</v>
      </c>
      <c r="R332" s="1131">
        <f t="shared" si="80"/>
        <v>1.6283818604559013</v>
      </c>
      <c r="S332" s="1132">
        <f t="shared" si="80"/>
        <v>0.2022242346359609</v>
      </c>
      <c r="T332" s="1130">
        <f t="shared" si="80"/>
        <v>0.20961441125119315</v>
      </c>
      <c r="U332" s="1131">
        <f t="shared" si="80"/>
        <v>0.84200521424561081</v>
      </c>
      <c r="V332" s="1132">
        <f t="shared" si="80"/>
        <v>0.28147528322389997</v>
      </c>
      <c r="W332" s="1124">
        <f t="shared" si="80"/>
        <v>5.592232047851195E-2</v>
      </c>
      <c r="X332" s="1124">
        <f t="shared" si="80"/>
        <v>0.36385945559959909</v>
      </c>
      <c r="Y332" s="1133" t="str">
        <f t="shared" si="80"/>
        <v>Not rated</v>
      </c>
      <c r="Z332" s="1134"/>
      <c r="AA332" s="132">
        <f t="shared" si="81"/>
        <v>1.4399592566697517</v>
      </c>
      <c r="AB332" s="1135">
        <f t="shared" si="81"/>
        <v>0.8442860967329926</v>
      </c>
      <c r="AC332" s="1129">
        <f t="shared" si="81"/>
        <v>1.5521418473212367</v>
      </c>
    </row>
    <row r="333" spans="1:29">
      <c r="A333" s="1155" t="s">
        <v>19</v>
      </c>
      <c r="B333" s="73" t="s">
        <v>287</v>
      </c>
      <c r="C333" s="1149">
        <f t="shared" si="79"/>
        <v>6002.7646707914537</v>
      </c>
      <c r="D333" s="1150">
        <f t="shared" si="79"/>
        <v>1.538054479108892E-2</v>
      </c>
      <c r="E333" s="1124">
        <f t="shared" si="79"/>
        <v>1.7468659495150733</v>
      </c>
      <c r="F333" s="1124">
        <f t="shared" si="79"/>
        <v>1.8486415284207123</v>
      </c>
      <c r="G333" s="1125">
        <f t="shared" si="79"/>
        <v>9571.524995540176</v>
      </c>
      <c r="H333" s="1126">
        <f t="shared" si="79"/>
        <v>2.6505421611613778E-2</v>
      </c>
      <c r="I333" s="1127">
        <f t="shared" si="79"/>
        <v>4.1497848696984878</v>
      </c>
      <c r="J333" s="1127">
        <f t="shared" si="79"/>
        <v>5.1075046454025781</v>
      </c>
      <c r="K333" s="1128">
        <f t="shared" si="79"/>
        <v>7.8889454092528393</v>
      </c>
      <c r="L333" s="1124">
        <f t="shared" si="79"/>
        <v>0.8464659845431286</v>
      </c>
      <c r="M333" s="1129">
        <f t="shared" si="80"/>
        <v>9.6719476082953495</v>
      </c>
      <c r="N333" s="1130">
        <f t="shared" si="80"/>
        <v>9.1630231095150338E-2</v>
      </c>
      <c r="O333" s="1148" t="str">
        <f t="shared" si="80"/>
        <v>¥</v>
      </c>
      <c r="P333" s="1132">
        <f t="shared" si="80"/>
        <v>0.34976819018989347</v>
      </c>
      <c r="Q333" s="1130">
        <f t="shared" si="80"/>
        <v>0.13477545507373562</v>
      </c>
      <c r="R333" s="1131">
        <f t="shared" si="80"/>
        <v>-0.4264373226073967</v>
      </c>
      <c r="S333" s="1132">
        <f t="shared" si="80"/>
        <v>9.7905485588969735E-2</v>
      </c>
      <c r="T333" s="1130">
        <f t="shared" si="80"/>
        <v>0.16024846762312819</v>
      </c>
      <c r="U333" s="1131">
        <f t="shared" si="80"/>
        <v>-0.25253039609468159</v>
      </c>
      <c r="V333" s="1132">
        <f t="shared" si="80"/>
        <v>0.12849893093161849</v>
      </c>
      <c r="W333" s="1124">
        <f t="shared" si="80"/>
        <v>2.5473012549392576E-2</v>
      </c>
      <c r="X333" s="1124">
        <f t="shared" si="80"/>
        <v>0.18900335031669008</v>
      </c>
      <c r="Y333" s="1133" t="str">
        <f t="shared" si="80"/>
        <v>Not rated</v>
      </c>
      <c r="Z333" s="1134"/>
      <c r="AA333" s="132">
        <f t="shared" si="81"/>
        <v>1.265551414722516</v>
      </c>
      <c r="AB333" s="1135">
        <f t="shared" si="81"/>
        <v>0.38040351489576829</v>
      </c>
      <c r="AC333" s="1129">
        <f t="shared" si="81"/>
        <v>1.242834927692577</v>
      </c>
    </row>
    <row r="334" spans="1:29">
      <c r="A334" s="1156" t="s">
        <v>323</v>
      </c>
      <c r="B334" s="726" t="s">
        <v>773</v>
      </c>
      <c r="C334" s="1151">
        <f t="shared" si="79"/>
        <v>2121.4584571428572</v>
      </c>
      <c r="D334" s="1152">
        <f t="shared" si="79"/>
        <v>5.4356931534045982E-3</v>
      </c>
      <c r="E334" s="1136">
        <f t="shared" si="79"/>
        <v>-0.63331383871554725</v>
      </c>
      <c r="F334" s="1136">
        <f t="shared" si="79"/>
        <v>-0.53153825980990832</v>
      </c>
      <c r="G334" s="1137">
        <f t="shared" si="79"/>
        <v>960.23059999999998</v>
      </c>
      <c r="H334" s="1138">
        <f t="shared" si="79"/>
        <v>2.6590660223142948E-3</v>
      </c>
      <c r="I334" s="1139">
        <f t="shared" si="79"/>
        <v>6.3820660890696566</v>
      </c>
      <c r="J334" s="1139">
        <f t="shared" si="79"/>
        <v>3.126768479322696</v>
      </c>
      <c r="K334" s="1140">
        <f t="shared" si="79"/>
        <v>4.9107929634600707</v>
      </c>
      <c r="L334" s="1136">
        <f t="shared" si="79"/>
        <v>-0.2975700901517318</v>
      </c>
      <c r="M334" s="1141">
        <f t="shared" si="80"/>
        <v>3.6764587184436395</v>
      </c>
      <c r="N334" s="1142">
        <f t="shared" si="80"/>
        <v>0.95644485424869818</v>
      </c>
      <c r="O334" s="1143">
        <f t="shared" si="80"/>
        <v>5.7346309608293736E-3</v>
      </c>
      <c r="P334" s="1144">
        <f t="shared" si="80"/>
        <v>0.97265268915223335</v>
      </c>
      <c r="Q334" s="1142">
        <f t="shared" si="80"/>
        <v>0.16489915086810925</v>
      </c>
      <c r="R334" s="1143">
        <f t="shared" si="80"/>
        <v>2.0043608623878186</v>
      </c>
      <c r="S334" s="1144">
        <f t="shared" si="80"/>
        <v>0.32988338723452482</v>
      </c>
      <c r="T334" s="1142">
        <f t="shared" si="80"/>
        <v>0.27218937885351913</v>
      </c>
      <c r="U334" s="1143">
        <f t="shared" si="80"/>
        <v>1.2181747217666232</v>
      </c>
      <c r="V334" s="1144">
        <f t="shared" si="80"/>
        <v>0.4561905930983241</v>
      </c>
      <c r="W334" s="1136">
        <f t="shared" si="80"/>
        <v>0.10729022798540988</v>
      </c>
      <c r="X334" s="1136">
        <f t="shared" si="80"/>
        <v>0.65064148250965514</v>
      </c>
      <c r="Y334" s="1145" t="str">
        <f t="shared" si="80"/>
        <v>Not rated</v>
      </c>
      <c r="Z334" s="1146"/>
      <c r="AA334" s="1074">
        <f t="shared" si="81"/>
        <v>1.2440956586918632</v>
      </c>
      <c r="AB334" s="1147">
        <f t="shared" si="81"/>
        <v>0.5581122698382367</v>
      </c>
      <c r="AC334" s="1141">
        <f t="shared" si="81"/>
        <v>1.6771658832683087</v>
      </c>
    </row>
    <row r="335" spans="1:29">
      <c r="A335" s="1155" t="s">
        <v>504</v>
      </c>
      <c r="B335" s="73" t="s">
        <v>281</v>
      </c>
      <c r="C335" s="1149">
        <f t="shared" si="79"/>
        <v>20617.292984255655</v>
      </c>
      <c r="D335" s="1150">
        <f t="shared" si="79"/>
        <v>5.2826525044090682E-2</v>
      </c>
      <c r="E335" s="1124">
        <f t="shared" si="79"/>
        <v>0.37985561177970401</v>
      </c>
      <c r="F335" s="1124">
        <f t="shared" si="79"/>
        <v>0.48163119068534294</v>
      </c>
      <c r="G335" s="1125">
        <f t="shared" si="79"/>
        <v>23766.623796323693</v>
      </c>
      <c r="H335" s="1126">
        <f t="shared" si="79"/>
        <v>6.5814421871090864E-2</v>
      </c>
      <c r="I335" s="1127">
        <f t="shared" si="79"/>
        <v>1.8990159277875758</v>
      </c>
      <c r="J335" s="1127">
        <f t="shared" si="79"/>
        <v>2.509154465418888</v>
      </c>
      <c r="K335" s="1128">
        <f t="shared" si="79"/>
        <v>5.8033589040079683</v>
      </c>
      <c r="L335" s="1124">
        <f t="shared" si="79"/>
        <v>4.5724350121793801E-2</v>
      </c>
      <c r="M335" s="1129">
        <f t="shared" si="80"/>
        <v>6.1939465303838475</v>
      </c>
      <c r="N335" s="1130">
        <f t="shared" si="80"/>
        <v>0.7344324868237998</v>
      </c>
      <c r="O335" s="1131">
        <f t="shared" si="80"/>
        <v>0.10784712869930438</v>
      </c>
      <c r="P335" s="1132">
        <f t="shared" si="80"/>
        <v>0.74956908795771016</v>
      </c>
      <c r="Q335" s="1130">
        <f t="shared" si="80"/>
        <v>0.14726898954609682</v>
      </c>
      <c r="R335" s="1131">
        <f t="shared" si="80"/>
        <v>4.9939774449528171E-2</v>
      </c>
      <c r="S335" s="1132">
        <f t="shared" si="80"/>
        <v>0.17272839211728983</v>
      </c>
      <c r="T335" s="1130">
        <f t="shared" si="80"/>
        <v>0.18443136241749356</v>
      </c>
      <c r="U335" s="1131">
        <f t="shared" si="80"/>
        <v>-5.7258906752796622E-2</v>
      </c>
      <c r="V335" s="1132">
        <f t="shared" si="80"/>
        <v>0.198117589718218</v>
      </c>
      <c r="W335" s="1124">
        <f t="shared" si="80"/>
        <v>3.7162372871396732E-2</v>
      </c>
      <c r="X335" s="1124">
        <f t="shared" si="80"/>
        <v>0.25234350412762557</v>
      </c>
      <c r="Y335" s="1133" t="str">
        <f t="shared" si="80"/>
        <v>A-</v>
      </c>
      <c r="Z335" s="1134" t="str">
        <f>VLOOKUP($B335,$B$7:$AC$28,Z$37+1,FALSE)</f>
        <v>=  =  -</v>
      </c>
      <c r="AA335" s="132">
        <f t="shared" si="81"/>
        <v>1.0395975936863313</v>
      </c>
      <c r="AB335" s="1135">
        <f t="shared" si="81"/>
        <v>2.9438923535487854E-2</v>
      </c>
      <c r="AC335" s="1129">
        <f t="shared" si="81"/>
        <v>1.2087727199953455</v>
      </c>
    </row>
    <row r="336" spans="1:29">
      <c r="A336" s="1156" t="s">
        <v>323</v>
      </c>
      <c r="B336" s="726" t="s">
        <v>772</v>
      </c>
      <c r="C336" s="1151">
        <f t="shared" si="79"/>
        <v>7616.907214285714</v>
      </c>
      <c r="D336" s="1152">
        <f t="shared" si="79"/>
        <v>1.9516371039653539E-2</v>
      </c>
      <c r="E336" s="1136">
        <f t="shared" si="79"/>
        <v>-0.33365525120929096</v>
      </c>
      <c r="F336" s="1136">
        <f t="shared" si="79"/>
        <v>-0.23187967230365203</v>
      </c>
      <c r="G336" s="1137">
        <f t="shared" si="79"/>
        <v>5825.8631999999998</v>
      </c>
      <c r="H336" s="1138">
        <f t="shared" si="79"/>
        <v>1.6132952736323161E-2</v>
      </c>
      <c r="I336" s="1139">
        <f t="shared" si="79"/>
        <v>2.4107651340270966</v>
      </c>
      <c r="J336" s="1139">
        <f t="shared" si="79"/>
        <v>2.0327505931612002</v>
      </c>
      <c r="K336" s="1140">
        <f t="shared" si="79"/>
        <v>4.8426442674927213</v>
      </c>
      <c r="L336" s="1136">
        <f t="shared" si="79"/>
        <v>0.1951757211867983</v>
      </c>
      <c r="M336" s="1141">
        <f t="shared" si="80"/>
        <v>4.6619962755533297</v>
      </c>
      <c r="N336" s="1142">
        <f t="shared" si="80"/>
        <v>0.37158673775730477</v>
      </c>
      <c r="O336" s="1143">
        <f t="shared" si="80"/>
        <v>-0.1153634304384116</v>
      </c>
      <c r="P336" s="1144">
        <f t="shared" si="80"/>
        <v>0.36037883142173305</v>
      </c>
      <c r="Q336" s="1142">
        <f t="shared" si="80"/>
        <v>0.17383796150947908</v>
      </c>
      <c r="R336" s="1143">
        <f t="shared" si="80"/>
        <v>0.54445307336528614</v>
      </c>
      <c r="S336" s="1144">
        <f t="shared" si="80"/>
        <v>0.26356163003804695</v>
      </c>
      <c r="T336" s="1142">
        <f t="shared" si="80"/>
        <v>0.19702478682132593</v>
      </c>
      <c r="U336" s="1143">
        <f t="shared" si="80"/>
        <v>0.50034734616182497</v>
      </c>
      <c r="V336" s="1144">
        <f t="shared" si="80"/>
        <v>0.28756363720088318</v>
      </c>
      <c r="W336" s="1136">
        <f t="shared" si="80"/>
        <v>2.3186825311846848E-2</v>
      </c>
      <c r="X336" s="1136">
        <f t="shared" si="80"/>
        <v>0.13338182932260462</v>
      </c>
      <c r="Y336" s="1145" t="str">
        <f t="shared" si="80"/>
        <v>A</v>
      </c>
      <c r="Z336" s="1146" t="str">
        <f>VLOOKUP($B336,$B$7:$AC$28,Z$37+1,FALSE)</f>
        <v>=  =  -</v>
      </c>
      <c r="AA336" s="1074">
        <f t="shared" si="81"/>
        <v>0.93248540191552354</v>
      </c>
      <c r="AB336" s="1147">
        <f t="shared" si="81"/>
        <v>0.78949919521054279</v>
      </c>
      <c r="AC336" s="1141">
        <f t="shared" si="81"/>
        <v>1.3109622071604587</v>
      </c>
    </row>
    <row r="337" spans="1:29">
      <c r="A337" s="1155" t="s">
        <v>506</v>
      </c>
      <c r="B337" s="73" t="s">
        <v>289</v>
      </c>
      <c r="C337" s="1149">
        <f t="shared" si="79"/>
        <v>4580.8423286191064</v>
      </c>
      <c r="D337" s="1150">
        <f t="shared" si="79"/>
        <v>1.1737233504933111E-2</v>
      </c>
      <c r="E337" s="1124">
        <f t="shared" si="79"/>
        <v>-0.49577837871365099</v>
      </c>
      <c r="F337" s="1124">
        <f t="shared" si="79"/>
        <v>-0.39400279980801206</v>
      </c>
      <c r="G337" s="1125">
        <f t="shared" si="79"/>
        <v>2322.4005110115481</v>
      </c>
      <c r="H337" s="1126">
        <f t="shared" si="79"/>
        <v>6.4311804779353665E-3</v>
      </c>
      <c r="I337" s="1127">
        <f t="shared" si="79"/>
        <v>1.4234279787340207</v>
      </c>
      <c r="J337" s="1127">
        <f t="shared" si="79"/>
        <v>0.8056764866383116</v>
      </c>
      <c r="K337" s="1128">
        <f t="shared" si="79"/>
        <v>4.3871958272574467</v>
      </c>
      <c r="L337" s="1124">
        <f t="shared" si="79"/>
        <v>-8.1025400882275472E-2</v>
      </c>
      <c r="M337" s="1129">
        <f t="shared" si="80"/>
        <v>3.4400754167452243</v>
      </c>
      <c r="N337" s="1124">
        <f t="shared" si="80"/>
        <v>0.42290073595624156</v>
      </c>
      <c r="O337" s="1131">
        <f t="shared" si="80"/>
        <v>-9.0086339251873371E-2</v>
      </c>
      <c r="P337" s="1132">
        <f t="shared" si="80"/>
        <v>0.44946685046944856</v>
      </c>
      <c r="Q337" s="1130">
        <f t="shared" si="80"/>
        <v>0.16307046534988884</v>
      </c>
      <c r="R337" s="1131">
        <f t="shared" si="80"/>
        <v>1.3005419282788433</v>
      </c>
      <c r="S337" s="1132">
        <f t="shared" si="80"/>
        <v>0.30950096360373897</v>
      </c>
      <c r="T337" s="1130">
        <f t="shared" si="80"/>
        <v>0.18570292678335293</v>
      </c>
      <c r="U337" s="1131">
        <f t="shared" si="80"/>
        <v>1.251733079461073</v>
      </c>
      <c r="V337" s="1132">
        <f t="shared" si="80"/>
        <v>0.34197601038246805</v>
      </c>
      <c r="W337" s="1124">
        <f t="shared" si="80"/>
        <v>2.2632461433464091E-2</v>
      </c>
      <c r="X337" s="1124">
        <f t="shared" si="80"/>
        <v>0.13878945758144007</v>
      </c>
      <c r="Y337" s="1133" t="str">
        <f t="shared" si="80"/>
        <v>BBB</v>
      </c>
      <c r="Z337" s="1134" t="str">
        <f>VLOOKUP($B337,$B$7:$AC$28,Z$37+1,FALSE)</f>
        <v>=  ¯ -</v>
      </c>
      <c r="AA337" s="132">
        <f t="shared" si="81"/>
        <v>0.77886477042851432</v>
      </c>
      <c r="AB337" s="1135">
        <f t="shared" si="81"/>
        <v>1.0703005310133176</v>
      </c>
      <c r="AC337" s="1129">
        <f t="shared" si="81"/>
        <v>1.1762690733772538</v>
      </c>
    </row>
    <row r="340" spans="1:29">
      <c r="A340" s="1252" t="s">
        <v>1064</v>
      </c>
      <c r="B340" s="1123" t="s">
        <v>1278</v>
      </c>
      <c r="C340" s="1068"/>
      <c r="E340" s="1068"/>
      <c r="F340" s="1068"/>
      <c r="G340" s="1068"/>
      <c r="K340" s="1068"/>
      <c r="L340" s="1068"/>
      <c r="M340" s="1153"/>
      <c r="N340" s="1068"/>
      <c r="O340" s="1068"/>
      <c r="P340" s="1068"/>
      <c r="T340" s="1068"/>
      <c r="U340" s="1068"/>
      <c r="V340" s="1068"/>
      <c r="Y340" s="1068"/>
      <c r="Z340" s="1068"/>
      <c r="AA340" s="1068"/>
      <c r="AB340" s="1068"/>
      <c r="AC340" s="1068"/>
    </row>
    <row r="341" spans="1:29">
      <c r="A341" s="1156" t="s">
        <v>323</v>
      </c>
      <c r="B341" s="726" t="s">
        <v>774</v>
      </c>
      <c r="C341" s="1151">
        <f t="shared" ref="C341:L354" si="82">VLOOKUP($B341,$B$7:$AC$28,C$37+1,FALSE)</f>
        <v>3541.6238999999996</v>
      </c>
      <c r="D341" s="1152">
        <f t="shared" si="82"/>
        <v>9.0745028357006995E-3</v>
      </c>
      <c r="E341" s="1136">
        <f t="shared" si="82"/>
        <v>0.67327297771392325</v>
      </c>
      <c r="F341" s="1136">
        <f t="shared" si="82"/>
        <v>0.77504855661956218</v>
      </c>
      <c r="G341" s="1137">
        <f t="shared" si="82"/>
        <v>4048.9897999999998</v>
      </c>
      <c r="H341" s="1138">
        <f t="shared" si="82"/>
        <v>1.1212443346293226E-2</v>
      </c>
      <c r="I341" s="1139">
        <f t="shared" si="82"/>
        <v>-1.4186196832586249</v>
      </c>
      <c r="J341" s="1139">
        <f t="shared" si="82"/>
        <v>-2.7147098893731143</v>
      </c>
      <c r="K341" s="1140">
        <f t="shared" si="82"/>
        <v>8.6861758729657641</v>
      </c>
      <c r="L341" s="1136">
        <f t="shared" si="82"/>
        <v>0.26215680659638446</v>
      </c>
      <c r="M341" s="1141">
        <f t="shared" ref="M341:V354" si="83">VLOOKUP($B341,$B$7:$AC$28,M$37+1,FALSE)</f>
        <v>9.0506669895995948</v>
      </c>
      <c r="N341" s="1142">
        <f t="shared" si="83"/>
        <v>6.4385445236561381E-2</v>
      </c>
      <c r="O341" s="1143">
        <f t="shared" si="83"/>
        <v>14.697799124913645</v>
      </c>
      <c r="P341" s="1144">
        <f t="shared" si="83"/>
        <v>0.15462918080465343</v>
      </c>
      <c r="Q341" s="1142">
        <f t="shared" si="83"/>
        <v>0.42399287000325037</v>
      </c>
      <c r="R341" s="1143">
        <f t="shared" si="83"/>
        <v>4.5742782667206161E-2</v>
      </c>
      <c r="S341" s="1144">
        <f t="shared" si="83"/>
        <v>0.48144640266975475</v>
      </c>
      <c r="T341" s="1142">
        <f t="shared" si="83"/>
        <v>0.42695023434228802</v>
      </c>
      <c r="U341" s="1143">
        <f t="shared" si="83"/>
        <v>4.1366838913311048E-2</v>
      </c>
      <c r="V341" s="1144">
        <f t="shared" si="83"/>
        <v>0.4832654138496531</v>
      </c>
      <c r="W341" s="1136">
        <f t="shared" ref="W341:AC354" si="84">VLOOKUP($B341,$B$7:$AC$28,W$37+1,FALSE)</f>
        <v>2.9573643390376492E-3</v>
      </c>
      <c r="X341" s="1136">
        <f t="shared" si="84"/>
        <v>6.9750331863245195E-3</v>
      </c>
      <c r="Y341" s="1145" t="str">
        <f t="shared" si="84"/>
        <v>B+</v>
      </c>
      <c r="Z341" s="1146" t="str">
        <f t="shared" si="84"/>
        <v>=  =  =</v>
      </c>
      <c r="AA341" s="1140">
        <f t="shared" si="84"/>
        <v>3.7014756930154613</v>
      </c>
      <c r="AB341" s="1147">
        <f t="shared" si="84"/>
        <v>0.31334582285320112</v>
      </c>
      <c r="AC341" s="1075">
        <f t="shared" si="84"/>
        <v>4.3704719780651446</v>
      </c>
    </row>
    <row r="342" spans="1:29">
      <c r="A342" s="1155" t="s">
        <v>27</v>
      </c>
      <c r="B342" s="73" t="s">
        <v>54</v>
      </c>
      <c r="C342" s="1149">
        <f t="shared" si="82"/>
        <v>4745.1447857142857</v>
      </c>
      <c r="D342" s="1150">
        <f t="shared" si="82"/>
        <v>1.2158216408516635E-2</v>
      </c>
      <c r="E342" s="1124">
        <f t="shared" si="82"/>
        <v>-0.63447330491761056</v>
      </c>
      <c r="F342" s="1124">
        <f t="shared" si="82"/>
        <v>-0.53269772601197163</v>
      </c>
      <c r="G342" s="1125">
        <f t="shared" si="82"/>
        <v>2680.5724</v>
      </c>
      <c r="H342" s="1126">
        <f t="shared" si="82"/>
        <v>7.4230283738025878E-3</v>
      </c>
      <c r="I342" s="1127">
        <f t="shared" si="82"/>
        <v>1.3569881249181368</v>
      </c>
      <c r="J342" s="1127">
        <f t="shared" si="82"/>
        <v>1.0332545966156574</v>
      </c>
      <c r="K342" s="1128">
        <f t="shared" si="82"/>
        <v>6.4063105209788551</v>
      </c>
      <c r="L342" s="1124">
        <f t="shared" si="82"/>
        <v>-0.24924595564935845</v>
      </c>
      <c r="M342" s="1129">
        <f t="shared" si="83"/>
        <v>5.3369406950798908</v>
      </c>
      <c r="N342" s="1130">
        <f t="shared" si="83"/>
        <v>0.48460704112825509</v>
      </c>
      <c r="O342" s="1131">
        <f t="shared" si="83"/>
        <v>-0.18079580514885477</v>
      </c>
      <c r="P342" s="1132">
        <f t="shared" si="83"/>
        <v>0.49497857034449522</v>
      </c>
      <c r="Q342" s="1130">
        <f t="shared" si="83"/>
        <v>0.56717095077467305</v>
      </c>
      <c r="R342" s="1131">
        <f t="shared" si="83"/>
        <v>0.64731222518720821</v>
      </c>
      <c r="S342" s="1132">
        <f t="shared" si="83"/>
        <v>0.74754623070756221</v>
      </c>
      <c r="T342" s="1130">
        <f t="shared" si="83"/>
        <v>0.5748403529709204</v>
      </c>
      <c r="U342" s="1131">
        <f t="shared" si="83"/>
        <v>0.5906099669472562</v>
      </c>
      <c r="V342" s="1132">
        <f t="shared" si="83"/>
        <v>0.7506672643344422</v>
      </c>
      <c r="W342" s="1124">
        <f t="shared" si="84"/>
        <v>7.6694021962473435E-3</v>
      </c>
      <c r="X342" s="1124">
        <f t="shared" si="84"/>
        <v>1.3522205581530675E-2</v>
      </c>
      <c r="Y342" s="1133" t="str">
        <f t="shared" si="84"/>
        <v>BBB-</v>
      </c>
      <c r="Z342" s="1134" t="str">
        <f t="shared" si="84"/>
        <v>¯  ¯ ¯</v>
      </c>
      <c r="AA342" s="1128">
        <f t="shared" si="84"/>
        <v>3.4278891827637503</v>
      </c>
      <c r="AB342" s="1135">
        <f t="shared" si="84"/>
        <v>0.24423537898737996</v>
      </c>
      <c r="AC342" s="131">
        <f t="shared" si="84"/>
        <v>3.8230610288109381</v>
      </c>
    </row>
    <row r="343" spans="1:29">
      <c r="A343" s="1155" t="s">
        <v>502</v>
      </c>
      <c r="B343" s="73" t="s">
        <v>52</v>
      </c>
      <c r="C343" s="1149">
        <f t="shared" si="82"/>
        <v>40464.923042857146</v>
      </c>
      <c r="D343" s="1150">
        <f t="shared" si="82"/>
        <v>0.1036809862557167</v>
      </c>
      <c r="E343" s="1124">
        <f t="shared" si="82"/>
        <v>-6.1458653761923776E-2</v>
      </c>
      <c r="F343" s="1124">
        <f t="shared" si="82"/>
        <v>4.0316925143715168E-2</v>
      </c>
      <c r="G343" s="1125">
        <f t="shared" si="82"/>
        <v>39791.94</v>
      </c>
      <c r="H343" s="1126">
        <f t="shared" si="82"/>
        <v>0.1101916514803518</v>
      </c>
      <c r="I343" s="1127">
        <f t="shared" si="82"/>
        <v>1.0840589348936991</v>
      </c>
      <c r="J343" s="1127">
        <f t="shared" si="82"/>
        <v>1.2733420800000002</v>
      </c>
      <c r="K343" s="1128">
        <f t="shared" si="82"/>
        <v>4.9905713850513198</v>
      </c>
      <c r="L343" s="1124">
        <f t="shared" si="82"/>
        <v>0.1448238320606966</v>
      </c>
      <c r="M343" s="1129">
        <f t="shared" si="83"/>
        <v>5.2964626193065953</v>
      </c>
      <c r="N343" s="1130">
        <f t="shared" si="83"/>
        <v>0.61</v>
      </c>
      <c r="O343" s="1131">
        <f t="shared" si="83"/>
        <v>0</v>
      </c>
      <c r="P343" s="1132">
        <f t="shared" si="83"/>
        <v>0.62983042679437373</v>
      </c>
      <c r="Q343" s="1130">
        <f t="shared" si="83"/>
        <v>0.51528895508035288</v>
      </c>
      <c r="R343" s="1131">
        <f t="shared" si="83"/>
        <v>-2.4931247740904369E-2</v>
      </c>
      <c r="S343" s="1132">
        <f t="shared" si="83"/>
        <v>0.51939744871548044</v>
      </c>
      <c r="T343" s="1130">
        <f t="shared" si="83"/>
        <v>0.58808850315066874</v>
      </c>
      <c r="U343" s="1131">
        <f t="shared" si="83"/>
        <v>-2.8226553900756759E-2</v>
      </c>
      <c r="V343" s="1132">
        <f t="shared" si="83"/>
        <v>0.59074959904524027</v>
      </c>
      <c r="W343" s="1124">
        <f t="shared" si="84"/>
        <v>7.2799548070315856E-2</v>
      </c>
      <c r="X343" s="1124">
        <f t="shared" si="84"/>
        <v>0.14127907721011346</v>
      </c>
      <c r="Y343" s="1133" t="str">
        <f t="shared" si="84"/>
        <v>BBB+</v>
      </c>
      <c r="Z343" s="1134" t="str">
        <f t="shared" si="84"/>
        <v>=  =  =</v>
      </c>
      <c r="AA343" s="1128">
        <f t="shared" si="84"/>
        <v>2.7906818261625395</v>
      </c>
      <c r="AB343" s="1135">
        <f t="shared" si="84"/>
        <v>8.5841806528642844E-2</v>
      </c>
      <c r="AC343" s="131">
        <f t="shared" si="84"/>
        <v>2.9178287645268703</v>
      </c>
    </row>
    <row r="344" spans="1:29">
      <c r="A344" s="1155" t="s">
        <v>503</v>
      </c>
      <c r="B344" s="73" t="s">
        <v>286</v>
      </c>
      <c r="C344" s="1149">
        <f t="shared" si="82"/>
        <v>15596.516285714286</v>
      </c>
      <c r="D344" s="1150">
        <f t="shared" si="82"/>
        <v>3.9962072557101963E-2</v>
      </c>
      <c r="E344" s="1124">
        <f t="shared" si="82"/>
        <v>-0.41209116095583281</v>
      </c>
      <c r="F344" s="1124">
        <f t="shared" si="82"/>
        <v>-0.31031558205019388</v>
      </c>
      <c r="G344" s="1125">
        <f t="shared" si="82"/>
        <v>10295.917100000001</v>
      </c>
      <c r="H344" s="1126">
        <f t="shared" si="82"/>
        <v>2.8511404790864545E-2</v>
      </c>
      <c r="I344" s="1127">
        <f t="shared" si="82"/>
        <v>0.58081043687158529</v>
      </c>
      <c r="J344" s="1127">
        <f t="shared" si="82"/>
        <v>0.5027794267018264</v>
      </c>
      <c r="K344" s="1128">
        <f t="shared" si="82"/>
        <v>4.5606838408134944</v>
      </c>
      <c r="L344" s="1124">
        <f t="shared" si="82"/>
        <v>-0.18379111287045302</v>
      </c>
      <c r="M344" s="1129">
        <f t="shared" si="83"/>
        <v>4.0606354500113753</v>
      </c>
      <c r="N344" s="1130">
        <f t="shared" si="83"/>
        <v>0.34534166666666666</v>
      </c>
      <c r="O344" s="1131">
        <f t="shared" si="83"/>
        <v>-5.4500069338510607E-2</v>
      </c>
      <c r="P344" s="1132">
        <f t="shared" si="83"/>
        <v>0.3626280111015483</v>
      </c>
      <c r="Q344" s="1130">
        <f t="shared" si="83"/>
        <v>0.67997702229572432</v>
      </c>
      <c r="R344" s="1131">
        <f t="shared" si="83"/>
        <v>0.10658020511075152</v>
      </c>
      <c r="S344" s="1132">
        <f t="shared" si="83"/>
        <v>0.75270955685414354</v>
      </c>
      <c r="T344" s="1130">
        <f t="shared" si="83"/>
        <v>0.68457317243488636</v>
      </c>
      <c r="U344" s="1131">
        <f t="shared" si="83"/>
        <v>0.10522314957078965</v>
      </c>
      <c r="V344" s="1132">
        <f t="shared" si="83"/>
        <v>0.75672107111582532</v>
      </c>
      <c r="W344" s="1124">
        <f t="shared" si="84"/>
        <v>4.5961501391620363E-3</v>
      </c>
      <c r="X344" s="1124">
        <f t="shared" si="84"/>
        <v>6.7592727231349809E-3</v>
      </c>
      <c r="Y344" s="1133" t="str">
        <f t="shared" si="84"/>
        <v>BBB-</v>
      </c>
      <c r="Z344" s="1134" t="str">
        <f t="shared" si="84"/>
        <v>=  ¯ ¯</v>
      </c>
      <c r="AA344" s="1128">
        <f t="shared" si="84"/>
        <v>2.9152503149286035</v>
      </c>
      <c r="AB344" s="1135">
        <f t="shared" si="84"/>
        <v>-0.14664752669478531</v>
      </c>
      <c r="AC344" s="131">
        <f t="shared" si="84"/>
        <v>2.8370691340232916</v>
      </c>
    </row>
    <row r="345" spans="1:29">
      <c r="A345" s="1155" t="s">
        <v>219</v>
      </c>
      <c r="B345" s="73" t="s">
        <v>53</v>
      </c>
      <c r="C345" s="1149">
        <f t="shared" si="82"/>
        <v>60036.853628571422</v>
      </c>
      <c r="D345" s="1150">
        <f t="shared" si="82"/>
        <v>0.15382903828354536</v>
      </c>
      <c r="E345" s="1124">
        <f t="shared" si="82"/>
        <v>-0.3618479655094986</v>
      </c>
      <c r="F345" s="1124">
        <f t="shared" si="82"/>
        <v>-0.26007238660385967</v>
      </c>
      <c r="G345" s="1125">
        <f t="shared" si="82"/>
        <v>44430.485000000001</v>
      </c>
      <c r="H345" s="1126">
        <f t="shared" si="82"/>
        <v>0.1230366882897139</v>
      </c>
      <c r="I345" s="1127">
        <f t="shared" si="82"/>
        <v>2.2644833808097031</v>
      </c>
      <c r="J345" s="1127">
        <f t="shared" si="82"/>
        <v>1.7716210773954304</v>
      </c>
      <c r="K345" s="1128">
        <f t="shared" si="82"/>
        <v>5.6943354572509941</v>
      </c>
      <c r="L345" s="1124">
        <f t="shared" si="82"/>
        <v>-7.3155042359885195E-2</v>
      </c>
      <c r="M345" s="1129">
        <f t="shared" si="83"/>
        <v>5.1937231412225326</v>
      </c>
      <c r="N345" s="1130">
        <f t="shared" si="83"/>
        <v>0.6158872479982318</v>
      </c>
      <c r="O345" s="1131">
        <f t="shared" si="83"/>
        <v>0.11044311863454735</v>
      </c>
      <c r="P345" s="1132">
        <f t="shared" si="83"/>
        <v>0.66127040038880336</v>
      </c>
      <c r="Q345" s="1130">
        <f t="shared" si="83"/>
        <v>0.48384306036910518</v>
      </c>
      <c r="R345" s="1131">
        <f t="shared" si="83"/>
        <v>0.2595878527386451</v>
      </c>
      <c r="S345" s="1132">
        <f t="shared" si="83"/>
        <v>0.54381370963962039</v>
      </c>
      <c r="T345" s="1130">
        <f t="shared" si="83"/>
        <v>0.51513010935716153</v>
      </c>
      <c r="U345" s="1131">
        <f t="shared" si="83"/>
        <v>0.26130995158024306</v>
      </c>
      <c r="V345" s="1132">
        <f t="shared" si="83"/>
        <v>0.57929804018594233</v>
      </c>
      <c r="W345" s="1124">
        <f t="shared" si="84"/>
        <v>3.1287048988056343E-2</v>
      </c>
      <c r="X345" s="1124">
        <f t="shared" si="84"/>
        <v>6.4663630732222685E-2</v>
      </c>
      <c r="Y345" s="1133" t="str">
        <f t="shared" si="84"/>
        <v>BBB</v>
      </c>
      <c r="Z345" s="1134" t="str">
        <f t="shared" si="84"/>
        <v>¯  ¯ ¯</v>
      </c>
      <c r="AA345" s="1128">
        <f t="shared" si="84"/>
        <v>2.7929780820851775</v>
      </c>
      <c r="AB345" s="1135">
        <f t="shared" si="84"/>
        <v>0.12404595260605845</v>
      </c>
      <c r="AC345" s="131">
        <f t="shared" si="84"/>
        <v>2.8353348809740444</v>
      </c>
    </row>
    <row r="346" spans="1:29">
      <c r="A346" s="1155" t="s">
        <v>19</v>
      </c>
      <c r="B346" s="152" t="s">
        <v>288</v>
      </c>
      <c r="C346" s="1149">
        <f t="shared" si="82"/>
        <v>31174.883771428573</v>
      </c>
      <c r="D346" s="1150">
        <f t="shared" si="82"/>
        <v>7.9877643469276421E-2</v>
      </c>
      <c r="E346" s="1124">
        <f t="shared" si="82"/>
        <v>-0.49416922878378883</v>
      </c>
      <c r="F346" s="1124">
        <f t="shared" si="82"/>
        <v>-0.3923936498781499</v>
      </c>
      <c r="G346" s="1125">
        <f t="shared" si="82"/>
        <v>19124.593099999998</v>
      </c>
      <c r="H346" s="1126">
        <f t="shared" si="82"/>
        <v>5.2959732488004868E-2</v>
      </c>
      <c r="I346" s="1127">
        <f t="shared" si="82"/>
        <v>1.0546425468926217</v>
      </c>
      <c r="J346" s="1127">
        <f t="shared" si="82"/>
        <v>0.72989058468819168</v>
      </c>
      <c r="K346" s="1128">
        <f t="shared" si="82"/>
        <v>4.7838493303826084</v>
      </c>
      <c r="L346" s="1124">
        <f t="shared" si="82"/>
        <v>-0.19812930900653591</v>
      </c>
      <c r="M346" s="1129">
        <f t="shared" si="83"/>
        <v>4.438539176760524</v>
      </c>
      <c r="N346" s="1130">
        <f t="shared" si="83"/>
        <v>0.60741568747204655</v>
      </c>
      <c r="O346" s="1131">
        <f t="shared" si="83"/>
        <v>4.0950219141690898E-2</v>
      </c>
      <c r="P346" s="1132">
        <f t="shared" si="83"/>
        <v>0.62738172243152124</v>
      </c>
      <c r="Q346" s="1130">
        <f t="shared" si="83"/>
        <v>0.50834561454306215</v>
      </c>
      <c r="R346" s="1131">
        <f t="shared" si="83"/>
        <v>0.27477182203191691</v>
      </c>
      <c r="S346" s="1132">
        <f t="shared" si="83"/>
        <v>0.61196382356206247</v>
      </c>
      <c r="T346" s="1130">
        <f t="shared" si="83"/>
        <v>0.54898628094174651</v>
      </c>
      <c r="U346" s="1131">
        <f t="shared" si="83"/>
        <v>0.26756473067663017</v>
      </c>
      <c r="V346" s="1132">
        <f t="shared" si="83"/>
        <v>0.65530118542007598</v>
      </c>
      <c r="W346" s="1124">
        <f t="shared" si="84"/>
        <v>4.0640666398684355E-2</v>
      </c>
      <c r="X346" s="1124">
        <f t="shared" si="84"/>
        <v>7.9946920433679999E-2</v>
      </c>
      <c r="Y346" s="1133" t="str">
        <f t="shared" si="84"/>
        <v>BBB+</v>
      </c>
      <c r="Z346" s="1134" t="str">
        <f t="shared" si="84"/>
        <v>=  ¯ ¯</v>
      </c>
      <c r="AA346" s="1128">
        <f t="shared" si="84"/>
        <v>2.5321561588471506</v>
      </c>
      <c r="AB346" s="1135">
        <f t="shared" si="84"/>
        <v>1.3257606300410854E-2</v>
      </c>
      <c r="AC346" s="131">
        <f t="shared" si="84"/>
        <v>2.8138910595815916</v>
      </c>
    </row>
    <row r="347" spans="1:29">
      <c r="A347" s="1155" t="s">
        <v>545</v>
      </c>
      <c r="B347" s="73" t="s">
        <v>39</v>
      </c>
      <c r="C347" s="1149">
        <f t="shared" si="82"/>
        <v>5059.5155870714543</v>
      </c>
      <c r="D347" s="1150">
        <f t="shared" si="82"/>
        <v>1.2963710952524294E-2</v>
      </c>
      <c r="E347" s="1124">
        <f t="shared" si="82"/>
        <v>-0.13366823909704381</v>
      </c>
      <c r="F347" s="1124">
        <f t="shared" si="82"/>
        <v>-3.1892660191404867E-2</v>
      </c>
      <c r="G347" s="1125">
        <f t="shared" si="82"/>
        <v>5057.8123335929276</v>
      </c>
      <c r="H347" s="1126">
        <f t="shared" si="82"/>
        <v>1.4006069920599414E-2</v>
      </c>
      <c r="I347" s="1127">
        <f t="shared" si="82"/>
        <v>1.6858649053444912</v>
      </c>
      <c r="J347" s="1127">
        <f t="shared" si="82"/>
        <v>1.7703056194544857</v>
      </c>
      <c r="K347" s="1128">
        <f t="shared" si="82"/>
        <v>5.8927844479191869</v>
      </c>
      <c r="L347" s="1124">
        <f t="shared" si="82"/>
        <v>-0.19036897853308513</v>
      </c>
      <c r="M347" s="1129">
        <f t="shared" si="83"/>
        <v>5.9052222685092017</v>
      </c>
      <c r="N347" s="1130">
        <f t="shared" si="83"/>
        <v>0.31054928118178421</v>
      </c>
      <c r="O347" s="1131">
        <f t="shared" si="83"/>
        <v>-0.11491916916279199</v>
      </c>
      <c r="P347" s="1132">
        <f t="shared" si="83"/>
        <v>0.28165979767703259</v>
      </c>
      <c r="Q347" s="1130">
        <f t="shared" si="83"/>
        <v>0.3899242463002407</v>
      </c>
      <c r="R347" s="1131">
        <f t="shared" si="83"/>
        <v>-0.1197676600756727</v>
      </c>
      <c r="S347" s="1132">
        <f t="shared" si="83"/>
        <v>0.37944762378701169</v>
      </c>
      <c r="T347" s="1130">
        <f t="shared" si="83"/>
        <v>0.45093517146474416</v>
      </c>
      <c r="U347" s="1131">
        <f t="shared" si="83"/>
        <v>-8.3572610535330494E-2</v>
      </c>
      <c r="V347" s="1132">
        <f t="shared" si="83"/>
        <v>0.43916945384982109</v>
      </c>
      <c r="W347" s="1124">
        <f t="shared" si="84"/>
        <v>6.101092516450346E-2</v>
      </c>
      <c r="X347" s="1124">
        <f t="shared" si="84"/>
        <v>0.15646866216553562</v>
      </c>
      <c r="Y347" s="1133" t="str">
        <f t="shared" si="84"/>
        <v>BBB</v>
      </c>
      <c r="Z347" s="1134" t="str">
        <f t="shared" si="84"/>
        <v>­  = =</v>
      </c>
      <c r="AA347" s="1128">
        <f t="shared" si="84"/>
        <v>2.6587814840492587</v>
      </c>
      <c r="AB347" s="1135">
        <f t="shared" si="84"/>
        <v>-0.25803195656746131</v>
      </c>
      <c r="AC347" s="131">
        <f t="shared" si="84"/>
        <v>2.5933932385229874</v>
      </c>
    </row>
    <row r="348" spans="1:29">
      <c r="A348" s="1155" t="s">
        <v>505</v>
      </c>
      <c r="B348" s="73" t="s">
        <v>44</v>
      </c>
      <c r="C348" s="1149">
        <f t="shared" si="82"/>
        <v>12234.494271428572</v>
      </c>
      <c r="D348" s="1150">
        <f t="shared" si="82"/>
        <v>3.1347753486597643E-2</v>
      </c>
      <c r="E348" s="1124">
        <f t="shared" si="82"/>
        <v>-0.59766521701552</v>
      </c>
      <c r="F348" s="1124">
        <f t="shared" si="82"/>
        <v>-0.49588963810988107</v>
      </c>
      <c r="G348" s="1125">
        <f t="shared" si="82"/>
        <v>6819.5967000000001</v>
      </c>
      <c r="H348" s="1126">
        <f t="shared" si="82"/>
        <v>1.8884794830384175E-2</v>
      </c>
      <c r="I348" s="1127">
        <f t="shared" si="82"/>
        <v>3.9295455833111754</v>
      </c>
      <c r="J348" s="1127">
        <f t="shared" si="82"/>
        <v>1.2175677021960365</v>
      </c>
      <c r="K348" s="1128">
        <f t="shared" si="82"/>
        <v>4.9270605931091591</v>
      </c>
      <c r="L348" s="1124">
        <f t="shared" si="82"/>
        <v>-0.26680842971581226</v>
      </c>
      <c r="M348" s="1129">
        <f t="shared" si="83"/>
        <v>4.0325018858098245</v>
      </c>
      <c r="N348" s="1130">
        <f t="shared" si="83"/>
        <v>0.5805147103617575</v>
      </c>
      <c r="O348" s="1131">
        <f t="shared" si="83"/>
        <v>8.4948466413752491E-2</v>
      </c>
      <c r="P348" s="1132">
        <f t="shared" si="83"/>
        <v>0.6264024463118032</v>
      </c>
      <c r="Q348" s="1130">
        <f t="shared" si="83"/>
        <v>0.51826084585195908</v>
      </c>
      <c r="R348" s="1131">
        <f t="shared" si="83"/>
        <v>0.40005999871326348</v>
      </c>
      <c r="S348" s="1132">
        <f t="shared" si="83"/>
        <v>0.58973938770950263</v>
      </c>
      <c r="T348" s="1130">
        <f t="shared" si="83"/>
        <v>0.5495689942142129</v>
      </c>
      <c r="U348" s="1131">
        <f t="shared" si="83"/>
        <v>0.40637993517884302</v>
      </c>
      <c r="V348" s="1132">
        <f t="shared" si="83"/>
        <v>0.63323863537070213</v>
      </c>
      <c r="W348" s="1124">
        <f t="shared" si="84"/>
        <v>3.1308148362253818E-2</v>
      </c>
      <c r="X348" s="1124">
        <f t="shared" si="84"/>
        <v>6.0410020577161203E-2</v>
      </c>
      <c r="Y348" s="1133" t="str">
        <f t="shared" si="84"/>
        <v>BBB-</v>
      </c>
      <c r="Z348" s="1134" t="str">
        <f t="shared" si="84"/>
        <v>=  ¯ =</v>
      </c>
      <c r="AA348" s="1128">
        <f t="shared" si="84"/>
        <v>2.643581803383519</v>
      </c>
      <c r="AB348" s="1135">
        <f t="shared" si="84"/>
        <v>2.8580691559688957E-2</v>
      </c>
      <c r="AC348" s="131">
        <f t="shared" si="84"/>
        <v>2.5466878830879209</v>
      </c>
    </row>
    <row r="349" spans="1:29">
      <c r="A349" s="1155" t="s">
        <v>389</v>
      </c>
      <c r="B349" s="73" t="s">
        <v>278</v>
      </c>
      <c r="C349" s="1149">
        <f t="shared" si="82"/>
        <v>3544.0522571428578</v>
      </c>
      <c r="D349" s="1150">
        <f t="shared" si="82"/>
        <v>9.0807248780183369E-3</v>
      </c>
      <c r="E349" s="1124">
        <f t="shared" si="82"/>
        <v>-0.4675424361384804</v>
      </c>
      <c r="F349" s="1124">
        <f t="shared" si="82"/>
        <v>-0.36576685723284147</v>
      </c>
      <c r="G349" s="1125">
        <f t="shared" si="82"/>
        <v>2152.6311000000001</v>
      </c>
      <c r="H349" s="1126">
        <f t="shared" si="82"/>
        <v>5.9610558303255963E-3</v>
      </c>
      <c r="I349" s="1127">
        <f t="shared" si="82"/>
        <v>3.4941691326062152</v>
      </c>
      <c r="J349" s="1127">
        <f t="shared" si="82"/>
        <v>2.2961398399999999</v>
      </c>
      <c r="K349" s="1128">
        <f t="shared" si="82"/>
        <v>4.4503654862327</v>
      </c>
      <c r="L349" s="1124">
        <f t="shared" si="82"/>
        <v>-2.9835823683801648E-2</v>
      </c>
      <c r="M349" s="1129">
        <f t="shared" si="83"/>
        <v>4.0530525032062261</v>
      </c>
      <c r="N349" s="1130">
        <f t="shared" si="83"/>
        <v>0.60910298289809772</v>
      </c>
      <c r="O349" s="1131">
        <f t="shared" si="83"/>
        <v>-5.2071170724915891E-2</v>
      </c>
      <c r="P349" s="1132">
        <f t="shared" si="83"/>
        <v>0.6207941242005639</v>
      </c>
      <c r="Q349" s="1130">
        <f t="shared" si="83"/>
        <v>0.49050145598877937</v>
      </c>
      <c r="R349" s="1131">
        <f t="shared" si="83"/>
        <v>0.42102559519407173</v>
      </c>
      <c r="S349" s="1132">
        <f t="shared" si="83"/>
        <v>0.61744816018521742</v>
      </c>
      <c r="T349" s="1130">
        <f t="shared" si="83"/>
        <v>0.49698573886957192</v>
      </c>
      <c r="U349" s="1131">
        <f t="shared" si="83"/>
        <v>0.41032171167013903</v>
      </c>
      <c r="V349" s="1132">
        <f t="shared" si="83"/>
        <v>0.62319136029119382</v>
      </c>
      <c r="W349" s="1124">
        <f t="shared" si="84"/>
        <v>6.4842828807925579E-3</v>
      </c>
      <c r="X349" s="1124">
        <f t="shared" si="84"/>
        <v>1.3219701596443154E-2</v>
      </c>
      <c r="Y349" s="1133" t="str">
        <f t="shared" si="84"/>
        <v>BBB</v>
      </c>
      <c r="Z349" s="1134" t="str">
        <f t="shared" si="84"/>
        <v>=  ¯ -</v>
      </c>
      <c r="AA349" s="1128">
        <f t="shared" si="84"/>
        <v>2.1902281092407181</v>
      </c>
      <c r="AB349" s="1135">
        <f t="shared" si="84"/>
        <v>0.36844726500440206</v>
      </c>
      <c r="AC349" s="131">
        <f t="shared" si="84"/>
        <v>2.5252968522290931</v>
      </c>
    </row>
    <row r="350" spans="1:29">
      <c r="A350" s="1155" t="s">
        <v>32</v>
      </c>
      <c r="B350" s="73" t="s">
        <v>279</v>
      </c>
      <c r="C350" s="1149">
        <f t="shared" si="82"/>
        <v>103061.53572524291</v>
      </c>
      <c r="D350" s="1150">
        <f t="shared" si="82"/>
        <v>0.26406875054982143</v>
      </c>
      <c r="E350" s="1124">
        <f t="shared" si="82"/>
        <v>7.5306160052783275E-2</v>
      </c>
      <c r="F350" s="1124">
        <f t="shared" si="82"/>
        <v>0.17708173895842222</v>
      </c>
      <c r="G350" s="1125">
        <f t="shared" si="82"/>
        <v>106720.85775234729</v>
      </c>
      <c r="H350" s="1126">
        <f t="shared" si="82"/>
        <v>0.29553089301830604</v>
      </c>
      <c r="I350" s="1127">
        <f t="shared" si="82"/>
        <v>1.0837821931217524</v>
      </c>
      <c r="J350" s="1127">
        <f t="shared" si="82"/>
        <v>1.259272460269286</v>
      </c>
      <c r="K350" s="1128">
        <f t="shared" si="82"/>
        <v>7.5360879751187033</v>
      </c>
      <c r="L350" s="1124">
        <f t="shared" si="82"/>
        <v>0.12910548637067604</v>
      </c>
      <c r="M350" s="1129">
        <f t="shared" si="83"/>
        <v>8.6584668441025876</v>
      </c>
      <c r="N350" s="1130">
        <f t="shared" si="83"/>
        <v>0.91487499999999988</v>
      </c>
      <c r="O350" s="1131">
        <f t="shared" si="83"/>
        <v>-4.3736501079913587E-2</v>
      </c>
      <c r="P350" s="1132">
        <f t="shared" si="83"/>
        <v>0.89481420237931208</v>
      </c>
      <c r="Q350" s="1130">
        <f t="shared" si="83"/>
        <v>0.24509229252810941</v>
      </c>
      <c r="R350" s="1131">
        <f t="shared" si="83"/>
        <v>-0.16501821733667812</v>
      </c>
      <c r="S350" s="1132">
        <f t="shared" si="83"/>
        <v>0.23828807339295358</v>
      </c>
      <c r="T350" s="1130">
        <f t="shared" si="83"/>
        <v>0.27870192226407053</v>
      </c>
      <c r="U350" s="1131">
        <f t="shared" si="83"/>
        <v>-0.14309331637647091</v>
      </c>
      <c r="V350" s="1132">
        <f t="shared" si="83"/>
        <v>0.2718321660431175</v>
      </c>
      <c r="W350" s="1124">
        <f t="shared" si="84"/>
        <v>3.3609629735961127E-2</v>
      </c>
      <c r="X350" s="1124">
        <f t="shared" si="84"/>
        <v>0.13713050455108242</v>
      </c>
      <c r="Y350" s="1133" t="str">
        <f t="shared" si="84"/>
        <v>A-</v>
      </c>
      <c r="Z350" s="1134" t="str">
        <f t="shared" si="84"/>
        <v>=  =  =</v>
      </c>
      <c r="AA350" s="1128">
        <f t="shared" si="84"/>
        <v>2.0880314655341889</v>
      </c>
      <c r="AB350" s="1135">
        <f t="shared" si="84"/>
        <v>-3.7762767487534328E-2</v>
      </c>
      <c r="AC350" s="131">
        <f t="shared" si="84"/>
        <v>2.3348198024327131</v>
      </c>
    </row>
    <row r="351" spans="1:29">
      <c r="A351" s="1155" t="s">
        <v>508</v>
      </c>
      <c r="B351" s="73" t="s">
        <v>290</v>
      </c>
      <c r="C351" s="1149">
        <f t="shared" si="82"/>
        <v>16250.837973523972</v>
      </c>
      <c r="D351" s="1150">
        <f t="shared" si="82"/>
        <v>4.1638604052015776E-2</v>
      </c>
      <c r="E351" s="1124">
        <f t="shared" si="82"/>
        <v>0.20894195471198634</v>
      </c>
      <c r="F351" s="1124">
        <f t="shared" si="82"/>
        <v>0.31071753361762527</v>
      </c>
      <c r="G351" s="1125">
        <f t="shared" si="82"/>
        <v>17428.290742138299</v>
      </c>
      <c r="H351" s="1126">
        <f t="shared" si="82"/>
        <v>4.826234004564605E-2</v>
      </c>
      <c r="I351" s="1127">
        <f t="shared" si="82"/>
        <v>4.0995220850209826</v>
      </c>
      <c r="J351" s="1127">
        <f t="shared" si="82"/>
        <v>4.5731712273212377</v>
      </c>
      <c r="K351" s="1128">
        <f t="shared" si="82"/>
        <v>6.7995363362554677</v>
      </c>
      <c r="L351" s="1124">
        <f t="shared" si="82"/>
        <v>0.2149868566781509</v>
      </c>
      <c r="M351" s="1129">
        <f t="shared" si="83"/>
        <v>7.5822149145373468</v>
      </c>
      <c r="N351" s="1130">
        <f t="shared" si="83"/>
        <v>0.32615050588405037</v>
      </c>
      <c r="O351" s="1131">
        <f t="shared" si="83"/>
        <v>-8.7660674172335792E-2</v>
      </c>
      <c r="P351" s="1132">
        <f t="shared" si="83"/>
        <v>0.30985103942866765</v>
      </c>
      <c r="Q351" s="1130">
        <f t="shared" si="83"/>
        <v>0.30558583418722468</v>
      </c>
      <c r="R351" s="1131">
        <f t="shared" si="83"/>
        <v>-0.13620468181810452</v>
      </c>
      <c r="S351" s="1132">
        <f t="shared" si="83"/>
        <v>0.29018390059321952</v>
      </c>
      <c r="T351" s="1130">
        <f t="shared" si="83"/>
        <v>0.31922230141848357</v>
      </c>
      <c r="U351" s="1131">
        <f t="shared" si="83"/>
        <v>-0.13496032758973828</v>
      </c>
      <c r="V351" s="1132">
        <f t="shared" si="83"/>
        <v>0.30362227391248225</v>
      </c>
      <c r="W351" s="1124">
        <f t="shared" si="84"/>
        <v>1.3636467231258886E-2</v>
      </c>
      <c r="X351" s="1124">
        <f t="shared" si="84"/>
        <v>4.4624016252350789E-2</v>
      </c>
      <c r="Y351" s="1133" t="str">
        <f t="shared" si="84"/>
        <v>A</v>
      </c>
      <c r="Z351" s="1134" t="str">
        <f t="shared" si="84"/>
        <v>=  =  -</v>
      </c>
      <c r="AA351" s="1128">
        <f t="shared" si="84"/>
        <v>2.1579177629636748</v>
      </c>
      <c r="AB351" s="1135">
        <f t="shared" si="84"/>
        <v>6.0078851309961184E-2</v>
      </c>
      <c r="AC351" s="131">
        <f t="shared" si="84"/>
        <v>2.3009327536910358</v>
      </c>
    </row>
    <row r="352" spans="1:29">
      <c r="A352" s="1155" t="s">
        <v>73</v>
      </c>
      <c r="B352" s="73" t="s">
        <v>285</v>
      </c>
      <c r="C352" s="1149">
        <f t="shared" si="82"/>
        <v>2461.5190857142857</v>
      </c>
      <c r="D352" s="1150">
        <f t="shared" si="82"/>
        <v>6.3070112903421734E-3</v>
      </c>
      <c r="E352" s="1124">
        <f t="shared" si="82"/>
        <v>6.738754525599433E-2</v>
      </c>
      <c r="F352" s="1124">
        <f t="shared" si="82"/>
        <v>0.16916312416163326</v>
      </c>
      <c r="G352" s="1125">
        <f t="shared" si="82"/>
        <v>2364.3629999999998</v>
      </c>
      <c r="H352" s="1126">
        <f t="shared" si="82"/>
        <v>6.5473828033777437E-3</v>
      </c>
      <c r="I352" s="1127">
        <f t="shared" si="82"/>
        <v>3.1397518024733277</v>
      </c>
      <c r="J352" s="1127">
        <f t="shared" si="82"/>
        <v>3.0995844257996854</v>
      </c>
      <c r="K352" s="1128">
        <f t="shared" si="82"/>
        <v>6.7052926466266065</v>
      </c>
      <c r="L352" s="1124">
        <f t="shared" si="82"/>
        <v>0.14721542174528052</v>
      </c>
      <c r="M352" s="1129">
        <f t="shared" si="83"/>
        <v>7.0127743881429545</v>
      </c>
      <c r="N352" s="1130">
        <f t="shared" si="83"/>
        <v>0.62657499999999999</v>
      </c>
      <c r="O352" s="1131">
        <f t="shared" si="83"/>
        <v>5.5614710459497153E-2</v>
      </c>
      <c r="P352" s="1132">
        <f t="shared" si="83"/>
        <v>0.64439999999999997</v>
      </c>
      <c r="Q352" s="1130">
        <f t="shared" si="83"/>
        <v>0.24190098439360719</v>
      </c>
      <c r="R352" s="1131">
        <f t="shared" si="83"/>
        <v>0.20667512064869559</v>
      </c>
      <c r="S352" s="1132">
        <f t="shared" si="83"/>
        <v>0.30597960586046052</v>
      </c>
      <c r="T352" s="1130">
        <f t="shared" si="83"/>
        <v>0.2616424852780464</v>
      </c>
      <c r="U352" s="1131">
        <f t="shared" si="83"/>
        <v>0.20296552626351777</v>
      </c>
      <c r="V352" s="1132">
        <f t="shared" si="83"/>
        <v>0.32061814749302248</v>
      </c>
      <c r="W352" s="1124">
        <f t="shared" si="84"/>
        <v>1.9741500884439211E-2</v>
      </c>
      <c r="X352" s="1124">
        <f t="shared" si="84"/>
        <v>8.1609841042717679E-2</v>
      </c>
      <c r="Y352" s="1133" t="str">
        <f t="shared" si="84"/>
        <v>BBB</v>
      </c>
      <c r="Z352" s="1134" t="str">
        <f t="shared" si="84"/>
        <v>=  =  -</v>
      </c>
      <c r="AA352" s="1128">
        <f t="shared" si="84"/>
        <v>1.7511002028712532</v>
      </c>
      <c r="AB352" s="1135">
        <f t="shared" si="84"/>
        <v>0.37093258903528414</v>
      </c>
      <c r="AC352" s="131">
        <f t="shared" si="84"/>
        <v>2.2311132077757287</v>
      </c>
    </row>
    <row r="353" spans="1:29">
      <c r="A353" s="1155" t="s">
        <v>507</v>
      </c>
      <c r="B353" s="73" t="s">
        <v>284</v>
      </c>
      <c r="C353" s="1149">
        <f t="shared" si="82"/>
        <v>22949.481858519866</v>
      </c>
      <c r="D353" s="1150">
        <f t="shared" si="82"/>
        <v>5.8802160840116385E-2</v>
      </c>
      <c r="E353" s="1124">
        <f t="shared" si="82"/>
        <v>-8.3288171902550459E-2</v>
      </c>
      <c r="F353" s="1124">
        <f t="shared" si="82"/>
        <v>1.8487407003088485E-2</v>
      </c>
      <c r="G353" s="1125">
        <f t="shared" si="82"/>
        <v>21731.57918967646</v>
      </c>
      <c r="H353" s="1126">
        <f t="shared" si="82"/>
        <v>6.0178986000343146E-2</v>
      </c>
      <c r="I353" s="1127">
        <f t="shared" si="82"/>
        <v>1.7647070716020126</v>
      </c>
      <c r="J353" s="1127">
        <f t="shared" si="82"/>
        <v>1.7786623686113903</v>
      </c>
      <c r="K353" s="1128">
        <f t="shared" si="82"/>
        <v>7.5421176018870622</v>
      </c>
      <c r="L353" s="1124">
        <f t="shared" si="82"/>
        <v>2.1076957712408067E-2</v>
      </c>
      <c r="M353" s="1129">
        <f t="shared" si="83"/>
        <v>7.6896404016441506</v>
      </c>
      <c r="N353" s="1130">
        <f t="shared" si="83"/>
        <v>0.67984865616162071</v>
      </c>
      <c r="O353" s="1131">
        <f t="shared" si="83"/>
        <v>0.13956056160252914</v>
      </c>
      <c r="P353" s="1132">
        <f t="shared" si="83"/>
        <v>0.7167630057803468</v>
      </c>
      <c r="Q353" s="1130">
        <f t="shared" si="83"/>
        <v>0.23215418017261674</v>
      </c>
      <c r="R353" s="1131">
        <f t="shared" si="83"/>
        <v>0.36187217108516367</v>
      </c>
      <c r="S353" s="1132">
        <f t="shared" si="83"/>
        <v>0.26525179681706468</v>
      </c>
      <c r="T353" s="1130">
        <f t="shared" si="83"/>
        <v>0.2501311526811702</v>
      </c>
      <c r="U353" s="1131">
        <f t="shared" si="83"/>
        <v>0.31916438327965047</v>
      </c>
      <c r="V353" s="1132">
        <f t="shared" si="83"/>
        <v>0.28287599661626001</v>
      </c>
      <c r="W353" s="1124">
        <f t="shared" si="84"/>
        <v>1.7976972508553457E-2</v>
      </c>
      <c r="X353" s="1124">
        <f t="shared" si="84"/>
        <v>7.7435489187344358E-2</v>
      </c>
      <c r="Y353" s="1133" t="str">
        <f t="shared" si="84"/>
        <v>A-</v>
      </c>
      <c r="Z353" s="1134" t="str">
        <f t="shared" si="84"/>
        <v>=  =  =</v>
      </c>
      <c r="AA353" s="1128">
        <f t="shared" si="84"/>
        <v>1.845874038975184</v>
      </c>
      <c r="AB353" s="1135">
        <f t="shared" si="84"/>
        <v>0.36079457239176377</v>
      </c>
      <c r="AC353" s="131">
        <f t="shared" si="84"/>
        <v>2.1424428051274771</v>
      </c>
    </row>
    <row r="354" spans="1:29">
      <c r="A354" s="1155" t="s">
        <v>32</v>
      </c>
      <c r="B354" s="73" t="s">
        <v>50</v>
      </c>
      <c r="C354" s="1149">
        <f t="shared" si="82"/>
        <v>19515.355899391296</v>
      </c>
      <c r="D354" s="1150">
        <f t="shared" si="82"/>
        <v>5.0003093905237848E-2</v>
      </c>
      <c r="E354" s="1124">
        <f t="shared" si="82"/>
        <v>1.1994936816856254</v>
      </c>
      <c r="F354" s="1124">
        <f t="shared" si="82"/>
        <v>1.3012692605912644</v>
      </c>
      <c r="G354" s="1125">
        <f t="shared" si="82"/>
        <v>28491.576306321644</v>
      </c>
      <c r="H354" s="1126">
        <f t="shared" si="82"/>
        <v>7.8898737947233621E-2</v>
      </c>
      <c r="I354" s="1127">
        <f t="shared" si="82"/>
        <v>-0.89894076859195104</v>
      </c>
      <c r="J354" s="1127">
        <f t="shared" si="82"/>
        <v>39.625784878048783</v>
      </c>
      <c r="K354" s="1128">
        <f t="shared" si="82"/>
        <v>4.6985221679038922</v>
      </c>
      <c r="L354" s="1124">
        <f t="shared" si="82"/>
        <v>0.4140020451008824</v>
      </c>
      <c r="M354" s="1129">
        <f t="shared" si="83"/>
        <v>5.7096258695546744</v>
      </c>
      <c r="N354" s="1130">
        <f t="shared" si="83"/>
        <v>0</v>
      </c>
      <c r="O354" s="1131">
        <f t="shared" si="83"/>
        <v>0</v>
      </c>
      <c r="P354" s="1132">
        <f t="shared" si="83"/>
        <v>0</v>
      </c>
      <c r="Q354" s="1130">
        <f t="shared" si="83"/>
        <v>0.37025195227815472</v>
      </c>
      <c r="R354" s="1131">
        <f t="shared" si="83"/>
        <v>-0.46222821771061889</v>
      </c>
      <c r="S354" s="1132">
        <f t="shared" si="83"/>
        <v>0.26403640782716253</v>
      </c>
      <c r="T354" s="1130">
        <f t="shared" si="83"/>
        <v>0.48927059752514818</v>
      </c>
      <c r="U354" s="1131">
        <f t="shared" si="83"/>
        <v>-0.38189416595312975</v>
      </c>
      <c r="V354" s="1132">
        <f t="shared" si="83"/>
        <v>0.37414035756341019</v>
      </c>
      <c r="W354" s="1124">
        <f t="shared" si="84"/>
        <v>0.11901864524699346</v>
      </c>
      <c r="X354" s="1124">
        <f t="shared" si="84"/>
        <v>0.32145312000294263</v>
      </c>
      <c r="Y354" s="1133" t="str">
        <f t="shared" si="84"/>
        <v>BBB</v>
      </c>
      <c r="Z354" s="1134" t="str">
        <f t="shared" si="84"/>
        <v xml:space="preserve">=  -  = </v>
      </c>
      <c r="AA354" s="1128">
        <f t="shared" si="84"/>
        <v>2.2664974928712622</v>
      </c>
      <c r="AB354" s="1135">
        <f t="shared" si="84"/>
        <v>-0.12537902502142731</v>
      </c>
      <c r="AC354" s="131">
        <f t="shared" si="84"/>
        <v>2.136201464388483</v>
      </c>
    </row>
    <row r="355" spans="1:29">
      <c r="A355" s="1155" t="s">
        <v>27</v>
      </c>
      <c r="B355" s="73" t="s">
        <v>357</v>
      </c>
      <c r="C355" s="1149">
        <f t="shared" ref="C355:L362" si="85">VLOOKUP($B355,$B$7:$AC$28,C$37+1,FALSE)</f>
        <v>504.56125714285719</v>
      </c>
      <c r="D355" s="1150">
        <f t="shared" si="85"/>
        <v>1.292808804099037E-3</v>
      </c>
      <c r="E355" s="1124">
        <f t="shared" si="85"/>
        <v>0.11241291049139049</v>
      </c>
      <c r="F355" s="1124">
        <f t="shared" si="85"/>
        <v>0.21418848939702945</v>
      </c>
      <c r="G355" s="1125">
        <f t="shared" si="85"/>
        <v>562.64409999999998</v>
      </c>
      <c r="H355" s="1126">
        <f t="shared" si="85"/>
        <v>1.5580713726115437E-3</v>
      </c>
      <c r="I355" s="1127">
        <f t="shared" si="85"/>
        <v>0.48825120153947199</v>
      </c>
      <c r="J355" s="1127">
        <f t="shared" si="85"/>
        <v>0.52140126030951717</v>
      </c>
      <c r="K355" s="1128">
        <f t="shared" si="85"/>
        <v>3.8552632920912293</v>
      </c>
      <c r="L355" s="1124">
        <f t="shared" si="85"/>
        <v>-0.11001004882442665</v>
      </c>
      <c r="M355" s="1129">
        <f t="shared" ref="M355:Y362" si="86">VLOOKUP($B355,$B$7:$AC$28,M$37+1,FALSE)</f>
        <v>3.9063069179772585</v>
      </c>
      <c r="N355" s="1130">
        <f t="shared" si="86"/>
        <v>0.90539538726018864</v>
      </c>
      <c r="O355" s="1131">
        <f t="shared" si="86"/>
        <v>-4.1189056985539901E-2</v>
      </c>
      <c r="P355" s="1132">
        <f t="shared" si="86"/>
        <v>0.90138346931536006</v>
      </c>
      <c r="Q355" s="1130">
        <f t="shared" si="86"/>
        <v>0.38160323267486906</v>
      </c>
      <c r="R355" s="1131">
        <f t="shared" si="86"/>
        <v>0.13281779457810056</v>
      </c>
      <c r="S355" s="1132">
        <f t="shared" si="86"/>
        <v>0.39444904186551905</v>
      </c>
      <c r="T355" s="1130">
        <f t="shared" si="86"/>
        <v>0.47841518539184064</v>
      </c>
      <c r="U355" s="1131">
        <f t="shared" si="86"/>
        <v>1.1717685634717274E-2</v>
      </c>
      <c r="V355" s="1132">
        <f t="shared" si="86"/>
        <v>0.46507375880431212</v>
      </c>
      <c r="W355" s="1124">
        <f t="shared" si="86"/>
        <v>9.6811952716971572E-2</v>
      </c>
      <c r="X355" s="1124">
        <f t="shared" si="86"/>
        <v>0.25369793656715856</v>
      </c>
      <c r="Y355" s="1133" t="str">
        <f t="shared" si="86"/>
        <v>Not rated</v>
      </c>
      <c r="Z355" s="1134"/>
      <c r="AA355" s="1128">
        <f t="shared" ref="AA355:AC362" si="87">VLOOKUP($B355,$B$7:$AC$28,AA$37+1,FALSE)</f>
        <v>1.832329792526622</v>
      </c>
      <c r="AB355" s="1135">
        <f t="shared" si="87"/>
        <v>-9.9442962217240083E-2</v>
      </c>
      <c r="AC355" s="131">
        <f t="shared" si="87"/>
        <v>1.8160302149559577</v>
      </c>
    </row>
    <row r="356" spans="1:29">
      <c r="A356" s="1156" t="s">
        <v>323</v>
      </c>
      <c r="B356" s="726" t="s">
        <v>773</v>
      </c>
      <c r="C356" s="1151">
        <f t="shared" si="85"/>
        <v>2121.4584571428572</v>
      </c>
      <c r="D356" s="1152">
        <f t="shared" si="85"/>
        <v>5.4356931534045982E-3</v>
      </c>
      <c r="E356" s="1136">
        <f t="shared" si="85"/>
        <v>-0.63331383871554725</v>
      </c>
      <c r="F356" s="1136">
        <f t="shared" si="85"/>
        <v>-0.53153825980990832</v>
      </c>
      <c r="G356" s="1137">
        <f t="shared" si="85"/>
        <v>960.23059999999998</v>
      </c>
      <c r="H356" s="1138">
        <f t="shared" si="85"/>
        <v>2.6590660223142948E-3</v>
      </c>
      <c r="I356" s="1139">
        <f t="shared" si="85"/>
        <v>6.3820660890696566</v>
      </c>
      <c r="J356" s="1139">
        <f t="shared" si="85"/>
        <v>3.126768479322696</v>
      </c>
      <c r="K356" s="1140">
        <f t="shared" si="85"/>
        <v>4.9107929634600707</v>
      </c>
      <c r="L356" s="1136">
        <f t="shared" si="85"/>
        <v>-0.2975700901517318</v>
      </c>
      <c r="M356" s="1141">
        <f t="shared" si="86"/>
        <v>3.6764587184436395</v>
      </c>
      <c r="N356" s="1142">
        <f t="shared" si="86"/>
        <v>0.95644485424869818</v>
      </c>
      <c r="O356" s="1143">
        <f t="shared" si="86"/>
        <v>5.7346309608293736E-3</v>
      </c>
      <c r="P356" s="1144">
        <f t="shared" si="86"/>
        <v>0.97265268915223335</v>
      </c>
      <c r="Q356" s="1142">
        <f t="shared" si="86"/>
        <v>0.16489915086810925</v>
      </c>
      <c r="R356" s="1143">
        <f t="shared" si="86"/>
        <v>2.0043608623878186</v>
      </c>
      <c r="S356" s="1144">
        <f t="shared" si="86"/>
        <v>0.32988338723452482</v>
      </c>
      <c r="T356" s="1142">
        <f t="shared" si="86"/>
        <v>0.27218937885351913</v>
      </c>
      <c r="U356" s="1143">
        <f t="shared" si="86"/>
        <v>1.2181747217666232</v>
      </c>
      <c r="V356" s="1144">
        <f t="shared" si="86"/>
        <v>0.4561905930983241</v>
      </c>
      <c r="W356" s="1136">
        <f t="shared" si="86"/>
        <v>0.10729022798540988</v>
      </c>
      <c r="X356" s="1136">
        <f t="shared" si="86"/>
        <v>0.65064148250965514</v>
      </c>
      <c r="Y356" s="1145" t="str">
        <f t="shared" si="86"/>
        <v>Not rated</v>
      </c>
      <c r="Z356" s="1146"/>
      <c r="AA356" s="1140">
        <f t="shared" si="87"/>
        <v>1.2440956586918632</v>
      </c>
      <c r="AB356" s="1147">
        <f t="shared" si="87"/>
        <v>0.5581122698382367</v>
      </c>
      <c r="AC356" s="1075">
        <f t="shared" si="87"/>
        <v>1.6771658832683087</v>
      </c>
    </row>
    <row r="357" spans="1:29">
      <c r="A357" s="1155" t="s">
        <v>507</v>
      </c>
      <c r="B357" s="73" t="s">
        <v>282</v>
      </c>
      <c r="C357" s="1149">
        <f t="shared" si="85"/>
        <v>5769.8566757446433</v>
      </c>
      <c r="D357" s="1150">
        <f t="shared" si="85"/>
        <v>1.4783777793466828E-2</v>
      </c>
      <c r="E357" s="1124">
        <f t="shared" si="85"/>
        <v>-0.24705029723080094</v>
      </c>
      <c r="F357" s="1124">
        <f t="shared" si="85"/>
        <v>-0.14527471832516198</v>
      </c>
      <c r="G357" s="1125">
        <f t="shared" si="85"/>
        <v>4026.3480952657014</v>
      </c>
      <c r="H357" s="1126">
        <f t="shared" si="85"/>
        <v>1.1149744044952231E-2</v>
      </c>
      <c r="I357" s="1127">
        <f t="shared" si="85"/>
        <v>2.446298838298576</v>
      </c>
      <c r="J357" s="1127">
        <f t="shared" si="85"/>
        <v>1.6476276710656086</v>
      </c>
      <c r="K357" s="1128">
        <f t="shared" si="85"/>
        <v>6.6837223425180285</v>
      </c>
      <c r="L357" s="1124">
        <f t="shared" si="85"/>
        <v>1.2127469272410992E-3</v>
      </c>
      <c r="M357" s="1129">
        <f t="shared" si="86"/>
        <v>5.5145354419406587</v>
      </c>
      <c r="N357" s="1130">
        <f t="shared" si="86"/>
        <v>0.67083419702973635</v>
      </c>
      <c r="O357" s="1131">
        <f t="shared" si="86"/>
        <v>-0.11335389957676706</v>
      </c>
      <c r="P357" s="1132">
        <f t="shared" si="86"/>
        <v>0.63639387890884902</v>
      </c>
      <c r="Q357" s="1130">
        <f t="shared" si="86"/>
        <v>0.1536920907726812</v>
      </c>
      <c r="R357" s="1131">
        <f t="shared" si="86"/>
        <v>1.6283818604559013</v>
      </c>
      <c r="S357" s="1132">
        <f t="shared" si="86"/>
        <v>0.2022242346359609</v>
      </c>
      <c r="T357" s="1130">
        <f t="shared" si="86"/>
        <v>0.20961441125119315</v>
      </c>
      <c r="U357" s="1131">
        <f t="shared" si="86"/>
        <v>0.84200521424561081</v>
      </c>
      <c r="V357" s="1132">
        <f t="shared" si="86"/>
        <v>0.28147528322389997</v>
      </c>
      <c r="W357" s="1124">
        <f t="shared" si="86"/>
        <v>5.592232047851195E-2</v>
      </c>
      <c r="X357" s="1124">
        <f t="shared" si="86"/>
        <v>0.36385945559959909</v>
      </c>
      <c r="Y357" s="1133" t="str">
        <f t="shared" si="86"/>
        <v>Not rated</v>
      </c>
      <c r="Z357" s="1134"/>
      <c r="AA357" s="1128">
        <f t="shared" si="87"/>
        <v>1.4399592566697517</v>
      </c>
      <c r="AB357" s="1135">
        <f t="shared" si="87"/>
        <v>0.8442860967329926</v>
      </c>
      <c r="AC357" s="131">
        <f t="shared" si="87"/>
        <v>1.5521418473212367</v>
      </c>
    </row>
    <row r="358" spans="1:29">
      <c r="A358" s="1155" t="s">
        <v>378</v>
      </c>
      <c r="B358" s="73" t="s">
        <v>42</v>
      </c>
      <c r="C358" s="1149">
        <f t="shared" si="85"/>
        <v>2432.5463571428577</v>
      </c>
      <c r="D358" s="1150">
        <f t="shared" si="85"/>
        <v>6.2327761047315808E-3</v>
      </c>
      <c r="E358" s="1124">
        <f t="shared" si="85"/>
        <v>-3.2258071946582277E-2</v>
      </c>
      <c r="F358" s="1124">
        <f t="shared" si="85"/>
        <v>6.9517506959056674E-2</v>
      </c>
      <c r="G358" s="1125">
        <f t="shared" si="85"/>
        <v>2940.9023000000002</v>
      </c>
      <c r="H358" s="1126">
        <f t="shared" si="85"/>
        <v>8.143932697912316E-3</v>
      </c>
      <c r="I358" s="1127">
        <f t="shared" si="85"/>
        <v>1.2689619717468461</v>
      </c>
      <c r="J358" s="1127">
        <f t="shared" si="85"/>
        <v>1.312316956715752</v>
      </c>
      <c r="K358" s="1128">
        <f t="shared" si="85"/>
        <v>3.7488610975650749</v>
      </c>
      <c r="L358" s="1124">
        <f t="shared" si="85"/>
        <v>3.4291324439135469E-2</v>
      </c>
      <c r="M358" s="1129">
        <f t="shared" si="86"/>
        <v>3.7439277362047823</v>
      </c>
      <c r="N358" s="1130">
        <f t="shared" si="86"/>
        <v>0.56323171407839789</v>
      </c>
      <c r="O358" s="1131">
        <f t="shared" si="86"/>
        <v>-0.12023286586287618</v>
      </c>
      <c r="P358" s="1132">
        <f t="shared" si="86"/>
        <v>0.53987730061349704</v>
      </c>
      <c r="Q358" s="1130">
        <f t="shared" si="86"/>
        <v>0.60887331285954671</v>
      </c>
      <c r="R358" s="1131">
        <f t="shared" si="86"/>
        <v>-0.37303497156800469</v>
      </c>
      <c r="S358" s="1132">
        <f t="shared" si="86"/>
        <v>0.37659759063604481</v>
      </c>
      <c r="T358" s="1130">
        <f t="shared" si="86"/>
        <v>0.63388271448107447</v>
      </c>
      <c r="U358" s="1131">
        <f t="shared" si="86"/>
        <v>-0.25869992498286548</v>
      </c>
      <c r="V358" s="1132">
        <f t="shared" si="86"/>
        <v>0.44527495080222473</v>
      </c>
      <c r="W358" s="1124">
        <f t="shared" si="86"/>
        <v>2.500940162152776E-2</v>
      </c>
      <c r="X358" s="1124">
        <f t="shared" si="86"/>
        <v>4.1074885519406669E-2</v>
      </c>
      <c r="Y358" s="1133" t="str">
        <f t="shared" si="86"/>
        <v>B-</v>
      </c>
      <c r="Z358" s="1134" t="str">
        <f>VLOOKUP($B358,$B$7:$AC$28,Z$37+1,FALSE)</f>
        <v>=  =  -</v>
      </c>
      <c r="AA358" s="1128">
        <f t="shared" si="87"/>
        <v>2.172629043332774</v>
      </c>
      <c r="AB358" s="1135">
        <f t="shared" si="87"/>
        <v>-0.22035736928264804</v>
      </c>
      <c r="AC358" s="131">
        <f t="shared" si="87"/>
        <v>1.5517268924243866</v>
      </c>
    </row>
    <row r="359" spans="1:29">
      <c r="A359" s="1155" t="s">
        <v>19</v>
      </c>
      <c r="B359" s="73" t="s">
        <v>287</v>
      </c>
      <c r="C359" s="1149">
        <f t="shared" si="85"/>
        <v>6002.7646707914537</v>
      </c>
      <c r="D359" s="1150">
        <f t="shared" si="85"/>
        <v>1.538054479108892E-2</v>
      </c>
      <c r="E359" s="1124">
        <f t="shared" si="85"/>
        <v>1.7468659495150733</v>
      </c>
      <c r="F359" s="1124">
        <f t="shared" si="85"/>
        <v>1.8486415284207123</v>
      </c>
      <c r="G359" s="1125">
        <f t="shared" si="85"/>
        <v>9571.524995540176</v>
      </c>
      <c r="H359" s="1126">
        <f t="shared" si="85"/>
        <v>2.6505421611613778E-2</v>
      </c>
      <c r="I359" s="1127">
        <f t="shared" si="85"/>
        <v>4.1497848696984878</v>
      </c>
      <c r="J359" s="1127">
        <f t="shared" si="85"/>
        <v>5.1075046454025781</v>
      </c>
      <c r="K359" s="1128">
        <f t="shared" si="85"/>
        <v>7.8889454092528393</v>
      </c>
      <c r="L359" s="1124">
        <f t="shared" si="85"/>
        <v>0.8464659845431286</v>
      </c>
      <c r="M359" s="1129">
        <f t="shared" si="86"/>
        <v>9.6719476082953495</v>
      </c>
      <c r="N359" s="1130">
        <f t="shared" si="86"/>
        <v>9.1630231095150338E-2</v>
      </c>
      <c r="O359" s="1148" t="str">
        <f t="shared" si="86"/>
        <v>¥</v>
      </c>
      <c r="P359" s="1132">
        <f t="shared" si="86"/>
        <v>0.34976819018989347</v>
      </c>
      <c r="Q359" s="1130">
        <f t="shared" si="86"/>
        <v>0.13477545507373562</v>
      </c>
      <c r="R359" s="1131">
        <f t="shared" si="86"/>
        <v>-0.4264373226073967</v>
      </c>
      <c r="S359" s="1132">
        <f t="shared" si="86"/>
        <v>9.7905485588969735E-2</v>
      </c>
      <c r="T359" s="1130">
        <f t="shared" si="86"/>
        <v>0.16024846762312819</v>
      </c>
      <c r="U359" s="1131">
        <f t="shared" si="86"/>
        <v>-0.25253039609468159</v>
      </c>
      <c r="V359" s="1132">
        <f t="shared" si="86"/>
        <v>0.12849893093161849</v>
      </c>
      <c r="W359" s="1124">
        <f t="shared" si="86"/>
        <v>2.5473012549392576E-2</v>
      </c>
      <c r="X359" s="1124">
        <f t="shared" si="86"/>
        <v>0.18900335031669008</v>
      </c>
      <c r="Y359" s="1133" t="str">
        <f t="shared" si="86"/>
        <v>Not rated</v>
      </c>
      <c r="Z359" s="1134"/>
      <c r="AA359" s="1128">
        <f t="shared" si="87"/>
        <v>1.265551414722516</v>
      </c>
      <c r="AB359" s="1135">
        <f t="shared" si="87"/>
        <v>0.38040351489576829</v>
      </c>
      <c r="AC359" s="131">
        <f t="shared" si="87"/>
        <v>1.242834927692577</v>
      </c>
    </row>
    <row r="360" spans="1:29">
      <c r="A360" s="1156" t="s">
        <v>323</v>
      </c>
      <c r="B360" s="726" t="s">
        <v>772</v>
      </c>
      <c r="C360" s="1151">
        <f t="shared" si="85"/>
        <v>7616.907214285714</v>
      </c>
      <c r="D360" s="1152">
        <f t="shared" si="85"/>
        <v>1.9516371039653539E-2</v>
      </c>
      <c r="E360" s="1136">
        <f t="shared" si="85"/>
        <v>-0.33365525120929096</v>
      </c>
      <c r="F360" s="1136">
        <f t="shared" si="85"/>
        <v>-0.23187967230365203</v>
      </c>
      <c r="G360" s="1137">
        <f t="shared" si="85"/>
        <v>5825.8631999999998</v>
      </c>
      <c r="H360" s="1138">
        <f t="shared" si="85"/>
        <v>1.6132952736323161E-2</v>
      </c>
      <c r="I360" s="1139">
        <f t="shared" si="85"/>
        <v>2.4107651340270966</v>
      </c>
      <c r="J360" s="1139">
        <f t="shared" si="85"/>
        <v>2.0327505931612002</v>
      </c>
      <c r="K360" s="1140">
        <f t="shared" si="85"/>
        <v>4.8426442674927213</v>
      </c>
      <c r="L360" s="1136">
        <f t="shared" si="85"/>
        <v>0.1951757211867983</v>
      </c>
      <c r="M360" s="1141">
        <f t="shared" si="86"/>
        <v>4.6619962755533297</v>
      </c>
      <c r="N360" s="1142">
        <f t="shared" si="86"/>
        <v>0.37158673775730477</v>
      </c>
      <c r="O360" s="1143">
        <f t="shared" si="86"/>
        <v>-0.1153634304384116</v>
      </c>
      <c r="P360" s="1144">
        <f t="shared" si="86"/>
        <v>0.36037883142173305</v>
      </c>
      <c r="Q360" s="1142">
        <f t="shared" si="86"/>
        <v>0.17383796150947908</v>
      </c>
      <c r="R360" s="1143">
        <f t="shared" si="86"/>
        <v>0.54445307336528614</v>
      </c>
      <c r="S360" s="1144">
        <f t="shared" si="86"/>
        <v>0.26356163003804695</v>
      </c>
      <c r="T360" s="1142">
        <f t="shared" si="86"/>
        <v>0.19702478682132593</v>
      </c>
      <c r="U360" s="1143">
        <f t="shared" si="86"/>
        <v>0.50034734616182497</v>
      </c>
      <c r="V360" s="1144">
        <f t="shared" si="86"/>
        <v>0.28756363720088318</v>
      </c>
      <c r="W360" s="1136">
        <f t="shared" si="86"/>
        <v>2.3186825311846848E-2</v>
      </c>
      <c r="X360" s="1136">
        <f t="shared" si="86"/>
        <v>0.13338182932260462</v>
      </c>
      <c r="Y360" s="1145" t="str">
        <f t="shared" si="86"/>
        <v>A</v>
      </c>
      <c r="Z360" s="1146" t="str">
        <f>VLOOKUP($B360,$B$7:$AC$28,Z$37+1,FALSE)</f>
        <v>=  =  -</v>
      </c>
      <c r="AA360" s="1140">
        <f t="shared" si="87"/>
        <v>0.93248540191552354</v>
      </c>
      <c r="AB360" s="1147">
        <f t="shared" si="87"/>
        <v>0.78949919521054279</v>
      </c>
      <c r="AC360" s="1075">
        <f t="shared" si="87"/>
        <v>1.3109622071604587</v>
      </c>
    </row>
    <row r="361" spans="1:29">
      <c r="A361" s="1155" t="s">
        <v>504</v>
      </c>
      <c r="B361" s="73" t="s">
        <v>281</v>
      </c>
      <c r="C361" s="1149">
        <f t="shared" si="85"/>
        <v>20617.292984255655</v>
      </c>
      <c r="D361" s="1150">
        <f t="shared" si="85"/>
        <v>5.2826525044090682E-2</v>
      </c>
      <c r="E361" s="1124">
        <f t="shared" si="85"/>
        <v>0.37985561177970401</v>
      </c>
      <c r="F361" s="1124">
        <f t="shared" si="85"/>
        <v>0.48163119068534294</v>
      </c>
      <c r="G361" s="1125">
        <f t="shared" si="85"/>
        <v>23766.623796323693</v>
      </c>
      <c r="H361" s="1126">
        <f t="shared" si="85"/>
        <v>6.5814421871090864E-2</v>
      </c>
      <c r="I361" s="1127">
        <f t="shared" si="85"/>
        <v>1.8990159277875758</v>
      </c>
      <c r="J361" s="1127">
        <f t="shared" si="85"/>
        <v>2.509154465418888</v>
      </c>
      <c r="K361" s="1128">
        <f t="shared" si="85"/>
        <v>5.8033589040079683</v>
      </c>
      <c r="L361" s="1124">
        <f t="shared" si="85"/>
        <v>4.5724350121793801E-2</v>
      </c>
      <c r="M361" s="1129">
        <f t="shared" si="86"/>
        <v>6.1939465303838475</v>
      </c>
      <c r="N361" s="1130">
        <f t="shared" si="86"/>
        <v>0.7344324868237998</v>
      </c>
      <c r="O361" s="1131">
        <f t="shared" si="86"/>
        <v>0.10784712869930438</v>
      </c>
      <c r="P361" s="1132">
        <f t="shared" si="86"/>
        <v>0.74956908795771016</v>
      </c>
      <c r="Q361" s="1130">
        <f t="shared" si="86"/>
        <v>0.14726898954609682</v>
      </c>
      <c r="R361" s="1131">
        <f t="shared" si="86"/>
        <v>4.9939774449528171E-2</v>
      </c>
      <c r="S361" s="1132">
        <f t="shared" si="86"/>
        <v>0.17272839211728983</v>
      </c>
      <c r="T361" s="1130">
        <f t="shared" si="86"/>
        <v>0.18443136241749356</v>
      </c>
      <c r="U361" s="1131">
        <f t="shared" si="86"/>
        <v>-5.7258906752796622E-2</v>
      </c>
      <c r="V361" s="1132">
        <f t="shared" si="86"/>
        <v>0.198117589718218</v>
      </c>
      <c r="W361" s="1124">
        <f t="shared" si="86"/>
        <v>3.7162372871396732E-2</v>
      </c>
      <c r="X361" s="1124">
        <f t="shared" si="86"/>
        <v>0.25234350412762557</v>
      </c>
      <c r="Y361" s="1133" t="str">
        <f t="shared" si="86"/>
        <v>A-</v>
      </c>
      <c r="Z361" s="1134" t="str">
        <f>VLOOKUP($B361,$B$7:$AC$28,Z$37+1,FALSE)</f>
        <v>=  =  -</v>
      </c>
      <c r="AA361" s="1128">
        <f t="shared" si="87"/>
        <v>1.0395975936863313</v>
      </c>
      <c r="AB361" s="1135">
        <f t="shared" si="87"/>
        <v>2.9438923535487854E-2</v>
      </c>
      <c r="AC361" s="131">
        <f t="shared" si="87"/>
        <v>1.2087727199953455</v>
      </c>
    </row>
    <row r="362" spans="1:29">
      <c r="A362" s="1155" t="s">
        <v>506</v>
      </c>
      <c r="B362" s="73" t="s">
        <v>289</v>
      </c>
      <c r="C362" s="1149">
        <f t="shared" si="85"/>
        <v>4580.8423286191064</v>
      </c>
      <c r="D362" s="1150">
        <f t="shared" si="85"/>
        <v>1.1737233504933111E-2</v>
      </c>
      <c r="E362" s="1124">
        <f t="shared" si="85"/>
        <v>-0.49577837871365099</v>
      </c>
      <c r="F362" s="1124">
        <f t="shared" si="85"/>
        <v>-0.39400279980801206</v>
      </c>
      <c r="G362" s="1125">
        <f t="shared" si="85"/>
        <v>2322.4005110115481</v>
      </c>
      <c r="H362" s="1126">
        <f t="shared" si="85"/>
        <v>6.4311804779353665E-3</v>
      </c>
      <c r="I362" s="1127">
        <f t="shared" si="85"/>
        <v>1.4234279787340207</v>
      </c>
      <c r="J362" s="1127">
        <f t="shared" si="85"/>
        <v>0.8056764866383116</v>
      </c>
      <c r="K362" s="1128">
        <f t="shared" si="85"/>
        <v>4.3871958272574467</v>
      </c>
      <c r="L362" s="1124">
        <f t="shared" si="85"/>
        <v>-8.1025400882275472E-2</v>
      </c>
      <c r="M362" s="1129">
        <f t="shared" si="86"/>
        <v>3.4400754167452243</v>
      </c>
      <c r="N362" s="1124">
        <f t="shared" si="86"/>
        <v>0.42290073595624156</v>
      </c>
      <c r="O362" s="1131">
        <f t="shared" si="86"/>
        <v>-9.0086339251873371E-2</v>
      </c>
      <c r="P362" s="1132">
        <f t="shared" si="86"/>
        <v>0.44946685046944856</v>
      </c>
      <c r="Q362" s="1130">
        <f t="shared" si="86"/>
        <v>0.16307046534988884</v>
      </c>
      <c r="R362" s="1131">
        <f t="shared" si="86"/>
        <v>1.3005419282788433</v>
      </c>
      <c r="S362" s="1132">
        <f t="shared" si="86"/>
        <v>0.30950096360373897</v>
      </c>
      <c r="T362" s="1130">
        <f t="shared" si="86"/>
        <v>0.18570292678335293</v>
      </c>
      <c r="U362" s="1131">
        <f t="shared" si="86"/>
        <v>1.251733079461073</v>
      </c>
      <c r="V362" s="1132">
        <f t="shared" si="86"/>
        <v>0.34197601038246805</v>
      </c>
      <c r="W362" s="1124">
        <f t="shared" si="86"/>
        <v>2.2632461433464091E-2</v>
      </c>
      <c r="X362" s="1124">
        <f t="shared" si="86"/>
        <v>0.13878945758144007</v>
      </c>
      <c r="Y362" s="1133" t="str">
        <f t="shared" si="86"/>
        <v>BBB</v>
      </c>
      <c r="Z362" s="1134" t="str">
        <f>VLOOKUP($B362,$B$7:$AC$28,Z$37+1,FALSE)</f>
        <v>=  ¯ -</v>
      </c>
      <c r="AA362" s="1128">
        <f t="shared" si="87"/>
        <v>0.77886477042851432</v>
      </c>
      <c r="AB362" s="1135">
        <f t="shared" si="87"/>
        <v>1.0703005310133176</v>
      </c>
      <c r="AC362" s="131">
        <f t="shared" si="87"/>
        <v>1.1762690733772538</v>
      </c>
    </row>
    <row r="364" spans="1:29">
      <c r="V364" s="1153" t="s">
        <v>2609</v>
      </c>
    </row>
    <row r="365" spans="1:29">
      <c r="A365" s="1252" t="s">
        <v>103</v>
      </c>
      <c r="B365" s="1123" t="s">
        <v>511</v>
      </c>
      <c r="E365" s="1068"/>
      <c r="F365" s="1068"/>
      <c r="G365" s="1068"/>
      <c r="K365" s="1068"/>
      <c r="L365" s="1068"/>
      <c r="M365" s="1153"/>
      <c r="N365" s="1068"/>
      <c r="O365" s="1068"/>
      <c r="P365" s="1068"/>
      <c r="V365" s="1068"/>
      <c r="Z365" s="1068"/>
      <c r="AA365" s="1068"/>
      <c r="AB365" s="1068"/>
      <c r="AC365" s="144" t="s">
        <v>2608</v>
      </c>
    </row>
    <row r="366" spans="1:29">
      <c r="A366" s="1156" t="s">
        <v>323</v>
      </c>
      <c r="B366" s="726" t="s">
        <v>772</v>
      </c>
      <c r="C366" s="1151">
        <f t="shared" ref="C366:L375" si="88">VLOOKUP($B366,$B$7:$AC$28,C$37+1,FALSE)</f>
        <v>7616.907214285714</v>
      </c>
      <c r="D366" s="1152">
        <f t="shared" si="88"/>
        <v>1.9516371039653539E-2</v>
      </c>
      <c r="E366" s="1136">
        <f t="shared" si="88"/>
        <v>-0.33365525120929096</v>
      </c>
      <c r="F366" s="1136">
        <f t="shared" si="88"/>
        <v>-0.23187967230365203</v>
      </c>
      <c r="G366" s="1137">
        <f t="shared" si="88"/>
        <v>5825.8631999999998</v>
      </c>
      <c r="H366" s="1138">
        <f t="shared" si="88"/>
        <v>1.6132952736323161E-2</v>
      </c>
      <c r="I366" s="1139">
        <f t="shared" si="88"/>
        <v>2.4107651340270966</v>
      </c>
      <c r="J366" s="1139">
        <f t="shared" si="88"/>
        <v>2.0327505931612002</v>
      </c>
      <c r="K366" s="1140">
        <f t="shared" si="88"/>
        <v>4.8426442674927213</v>
      </c>
      <c r="L366" s="1136">
        <f t="shared" si="88"/>
        <v>0.1951757211867983</v>
      </c>
      <c r="M366" s="1141">
        <f t="shared" ref="M366:V375" si="89">VLOOKUP($B366,$B$7:$AC$28,M$37+1,FALSE)</f>
        <v>4.6619962755533297</v>
      </c>
      <c r="N366" s="1142">
        <f t="shared" si="89"/>
        <v>0.37158673775730477</v>
      </c>
      <c r="O366" s="1143">
        <f t="shared" si="89"/>
        <v>-0.1153634304384116</v>
      </c>
      <c r="P366" s="1144">
        <f t="shared" si="89"/>
        <v>0.36037883142173305</v>
      </c>
      <c r="Q366" s="1142">
        <f t="shared" si="89"/>
        <v>0.17383796150947908</v>
      </c>
      <c r="R366" s="1143">
        <f t="shared" si="89"/>
        <v>0.54445307336528614</v>
      </c>
      <c r="S366" s="1144">
        <f t="shared" si="89"/>
        <v>0.26356163003804695</v>
      </c>
      <c r="T366" s="1142">
        <f t="shared" si="89"/>
        <v>0.19702478682132593</v>
      </c>
      <c r="U366" s="1143">
        <f t="shared" si="89"/>
        <v>0.50034734616182497</v>
      </c>
      <c r="V366" s="1144">
        <f t="shared" si="89"/>
        <v>0.28756363720088318</v>
      </c>
      <c r="W366" s="1136">
        <f t="shared" ref="W366:AC375" si="90">VLOOKUP($B366,$B$7:$AC$28,W$37+1,FALSE)</f>
        <v>2.3186825311846848E-2</v>
      </c>
      <c r="X366" s="1136">
        <f t="shared" si="90"/>
        <v>0.13338182932260462</v>
      </c>
      <c r="Y366" s="1079" t="str">
        <f t="shared" si="90"/>
        <v>A</v>
      </c>
      <c r="Z366" s="1121" t="str">
        <f t="shared" si="90"/>
        <v>=  =  -</v>
      </c>
      <c r="AA366" s="1140">
        <f t="shared" si="90"/>
        <v>0.93248540191552354</v>
      </c>
      <c r="AB366" s="1147">
        <f t="shared" si="90"/>
        <v>0.78949919521054279</v>
      </c>
      <c r="AC366" s="1075">
        <f t="shared" si="90"/>
        <v>1.3109622071604587</v>
      </c>
    </row>
    <row r="367" spans="1:29">
      <c r="A367" s="1155" t="s">
        <v>508</v>
      </c>
      <c r="B367" s="73" t="s">
        <v>290</v>
      </c>
      <c r="C367" s="1149">
        <f t="shared" si="88"/>
        <v>16250.837973523972</v>
      </c>
      <c r="D367" s="1150">
        <f t="shared" si="88"/>
        <v>4.1638604052015776E-2</v>
      </c>
      <c r="E367" s="1124">
        <f t="shared" si="88"/>
        <v>0.20894195471198634</v>
      </c>
      <c r="F367" s="1124">
        <f t="shared" si="88"/>
        <v>0.31071753361762527</v>
      </c>
      <c r="G367" s="1125">
        <f t="shared" si="88"/>
        <v>17428.290742138299</v>
      </c>
      <c r="H367" s="1126">
        <f t="shared" si="88"/>
        <v>4.826234004564605E-2</v>
      </c>
      <c r="I367" s="1127">
        <f t="shared" si="88"/>
        <v>4.0995220850209826</v>
      </c>
      <c r="J367" s="1127">
        <f t="shared" si="88"/>
        <v>4.5731712273212377</v>
      </c>
      <c r="K367" s="1128">
        <f t="shared" si="88"/>
        <v>6.7995363362554677</v>
      </c>
      <c r="L367" s="1124">
        <f t="shared" si="88"/>
        <v>0.2149868566781509</v>
      </c>
      <c r="M367" s="1129">
        <f t="shared" si="89"/>
        <v>7.5822149145373468</v>
      </c>
      <c r="N367" s="1130">
        <f t="shared" si="89"/>
        <v>0.32615050588405037</v>
      </c>
      <c r="O367" s="1131">
        <f t="shared" si="89"/>
        <v>-8.7660674172335792E-2</v>
      </c>
      <c r="P367" s="1132">
        <f t="shared" si="89"/>
        <v>0.30985103942866765</v>
      </c>
      <c r="Q367" s="1130">
        <f t="shared" si="89"/>
        <v>0.30558583418722468</v>
      </c>
      <c r="R367" s="1131">
        <f t="shared" si="89"/>
        <v>-0.13620468181810452</v>
      </c>
      <c r="S367" s="1132">
        <f t="shared" si="89"/>
        <v>0.29018390059321952</v>
      </c>
      <c r="T367" s="1130">
        <f t="shared" si="89"/>
        <v>0.31922230141848357</v>
      </c>
      <c r="U367" s="1131">
        <f t="shared" si="89"/>
        <v>-0.13496032758973828</v>
      </c>
      <c r="V367" s="1132">
        <f t="shared" si="89"/>
        <v>0.30362227391248225</v>
      </c>
      <c r="W367" s="1124">
        <f t="shared" si="90"/>
        <v>1.3636467231258886E-2</v>
      </c>
      <c r="X367" s="1124">
        <f t="shared" si="90"/>
        <v>4.4624016252350789E-2</v>
      </c>
      <c r="Y367" s="80" t="str">
        <f t="shared" si="90"/>
        <v>A</v>
      </c>
      <c r="Z367" s="88" t="str">
        <f t="shared" si="90"/>
        <v>=  =  -</v>
      </c>
      <c r="AA367" s="1128">
        <f t="shared" si="90"/>
        <v>2.1579177629636748</v>
      </c>
      <c r="AB367" s="1135">
        <f t="shared" si="90"/>
        <v>6.0078851309961184E-2</v>
      </c>
      <c r="AC367" s="131">
        <f t="shared" si="90"/>
        <v>2.3009327536910358</v>
      </c>
    </row>
    <row r="368" spans="1:29">
      <c r="A368" s="1155" t="s">
        <v>504</v>
      </c>
      <c r="B368" s="73" t="s">
        <v>281</v>
      </c>
      <c r="C368" s="1149">
        <f t="shared" si="88"/>
        <v>20617.292984255655</v>
      </c>
      <c r="D368" s="1150">
        <f t="shared" si="88"/>
        <v>5.2826525044090682E-2</v>
      </c>
      <c r="E368" s="1124">
        <f t="shared" si="88"/>
        <v>0.37985561177970401</v>
      </c>
      <c r="F368" s="1124">
        <f t="shared" si="88"/>
        <v>0.48163119068534294</v>
      </c>
      <c r="G368" s="1125">
        <f t="shared" si="88"/>
        <v>23766.623796323693</v>
      </c>
      <c r="H368" s="1126">
        <f t="shared" si="88"/>
        <v>6.5814421871090864E-2</v>
      </c>
      <c r="I368" s="1127">
        <f t="shared" si="88"/>
        <v>1.8990159277875758</v>
      </c>
      <c r="J368" s="1127">
        <f t="shared" si="88"/>
        <v>2.509154465418888</v>
      </c>
      <c r="K368" s="1128">
        <f t="shared" si="88"/>
        <v>5.8033589040079683</v>
      </c>
      <c r="L368" s="1124">
        <f t="shared" si="88"/>
        <v>4.5724350121793801E-2</v>
      </c>
      <c r="M368" s="1129">
        <f t="shared" si="89"/>
        <v>6.1939465303838475</v>
      </c>
      <c r="N368" s="1130">
        <f t="shared" si="89"/>
        <v>0.7344324868237998</v>
      </c>
      <c r="O368" s="1131">
        <f t="shared" si="89"/>
        <v>0.10784712869930438</v>
      </c>
      <c r="P368" s="1132">
        <f t="shared" si="89"/>
        <v>0.74956908795771016</v>
      </c>
      <c r="Q368" s="1130">
        <f t="shared" si="89"/>
        <v>0.14726898954609682</v>
      </c>
      <c r="R368" s="1131">
        <f t="shared" si="89"/>
        <v>4.9939774449528171E-2</v>
      </c>
      <c r="S368" s="1132">
        <f t="shared" si="89"/>
        <v>0.17272839211728983</v>
      </c>
      <c r="T368" s="1130">
        <f t="shared" si="89"/>
        <v>0.18443136241749356</v>
      </c>
      <c r="U368" s="1131">
        <f t="shared" si="89"/>
        <v>-5.7258906752796622E-2</v>
      </c>
      <c r="V368" s="1132">
        <f t="shared" si="89"/>
        <v>0.198117589718218</v>
      </c>
      <c r="W368" s="1124">
        <f t="shared" si="90"/>
        <v>3.7162372871396732E-2</v>
      </c>
      <c r="X368" s="1124">
        <f t="shared" si="90"/>
        <v>0.25234350412762557</v>
      </c>
      <c r="Y368" s="80" t="str">
        <f t="shared" si="90"/>
        <v>A-</v>
      </c>
      <c r="Z368" s="88" t="str">
        <f t="shared" si="90"/>
        <v>=  =  -</v>
      </c>
      <c r="AA368" s="1128">
        <f t="shared" si="90"/>
        <v>1.0395975936863313</v>
      </c>
      <c r="AB368" s="1135">
        <f t="shared" si="90"/>
        <v>2.9438923535487854E-2</v>
      </c>
      <c r="AC368" s="131">
        <f t="shared" si="90"/>
        <v>1.2087727199953455</v>
      </c>
    </row>
    <row r="369" spans="1:29">
      <c r="A369" s="1155" t="s">
        <v>507</v>
      </c>
      <c r="B369" s="73" t="s">
        <v>284</v>
      </c>
      <c r="C369" s="1149">
        <f t="shared" si="88"/>
        <v>22949.481858519866</v>
      </c>
      <c r="D369" s="1150">
        <f t="shared" si="88"/>
        <v>5.8802160840116385E-2</v>
      </c>
      <c r="E369" s="1124">
        <f t="shared" si="88"/>
        <v>-8.3288171902550459E-2</v>
      </c>
      <c r="F369" s="1124">
        <f t="shared" si="88"/>
        <v>1.8487407003088485E-2</v>
      </c>
      <c r="G369" s="1125">
        <f t="shared" si="88"/>
        <v>21731.57918967646</v>
      </c>
      <c r="H369" s="1126">
        <f t="shared" si="88"/>
        <v>6.0178986000343146E-2</v>
      </c>
      <c r="I369" s="1127">
        <f t="shared" si="88"/>
        <v>1.7647070716020126</v>
      </c>
      <c r="J369" s="1127">
        <f t="shared" si="88"/>
        <v>1.7786623686113903</v>
      </c>
      <c r="K369" s="1128">
        <f t="shared" si="88"/>
        <v>7.5421176018870622</v>
      </c>
      <c r="L369" s="1124">
        <f t="shared" si="88"/>
        <v>2.1076957712408067E-2</v>
      </c>
      <c r="M369" s="1129">
        <f t="shared" si="89"/>
        <v>7.6896404016441506</v>
      </c>
      <c r="N369" s="1130">
        <f t="shared" si="89"/>
        <v>0.67984865616162071</v>
      </c>
      <c r="O369" s="1131">
        <f t="shared" si="89"/>
        <v>0.13956056160252914</v>
      </c>
      <c r="P369" s="1132">
        <f t="shared" si="89"/>
        <v>0.7167630057803468</v>
      </c>
      <c r="Q369" s="1130">
        <f t="shared" si="89"/>
        <v>0.23215418017261674</v>
      </c>
      <c r="R369" s="1131">
        <f t="shared" si="89"/>
        <v>0.36187217108516367</v>
      </c>
      <c r="S369" s="1132">
        <f t="shared" si="89"/>
        <v>0.26525179681706468</v>
      </c>
      <c r="T369" s="1130">
        <f t="shared" si="89"/>
        <v>0.2501311526811702</v>
      </c>
      <c r="U369" s="1131">
        <f t="shared" si="89"/>
        <v>0.31916438327965047</v>
      </c>
      <c r="V369" s="1132">
        <f t="shared" si="89"/>
        <v>0.28287599661626001</v>
      </c>
      <c r="W369" s="1124">
        <f t="shared" si="90"/>
        <v>1.7976972508553457E-2</v>
      </c>
      <c r="X369" s="1124">
        <f t="shared" si="90"/>
        <v>7.7435489187344358E-2</v>
      </c>
      <c r="Y369" s="80" t="str">
        <f t="shared" si="90"/>
        <v>A-</v>
      </c>
      <c r="Z369" s="88" t="str">
        <f t="shared" si="90"/>
        <v>=  =  =</v>
      </c>
      <c r="AA369" s="1128">
        <f t="shared" si="90"/>
        <v>1.845874038975184</v>
      </c>
      <c r="AB369" s="1135">
        <f t="shared" si="90"/>
        <v>0.36079457239176377</v>
      </c>
      <c r="AC369" s="131">
        <f t="shared" si="90"/>
        <v>2.1424428051274771</v>
      </c>
    </row>
    <row r="370" spans="1:29">
      <c r="A370" s="1155" t="s">
        <v>32</v>
      </c>
      <c r="B370" s="73" t="s">
        <v>279</v>
      </c>
      <c r="C370" s="1149">
        <f t="shared" si="88"/>
        <v>103061.53572524291</v>
      </c>
      <c r="D370" s="1150">
        <f t="shared" si="88"/>
        <v>0.26406875054982143</v>
      </c>
      <c r="E370" s="1124">
        <f t="shared" si="88"/>
        <v>7.5306160052783275E-2</v>
      </c>
      <c r="F370" s="1124">
        <f t="shared" si="88"/>
        <v>0.17708173895842222</v>
      </c>
      <c r="G370" s="1125">
        <f t="shared" si="88"/>
        <v>106720.85775234729</v>
      </c>
      <c r="H370" s="1126">
        <f t="shared" si="88"/>
        <v>0.29553089301830604</v>
      </c>
      <c r="I370" s="1127">
        <f t="shared" si="88"/>
        <v>1.0837821931217524</v>
      </c>
      <c r="J370" s="1127">
        <f t="shared" si="88"/>
        <v>1.259272460269286</v>
      </c>
      <c r="K370" s="1128">
        <f t="shared" si="88"/>
        <v>7.5360879751187033</v>
      </c>
      <c r="L370" s="1124">
        <f t="shared" si="88"/>
        <v>0.12910548637067604</v>
      </c>
      <c r="M370" s="1129">
        <f t="shared" si="89"/>
        <v>8.6584668441025876</v>
      </c>
      <c r="N370" s="1130">
        <f t="shared" si="89"/>
        <v>0.91487499999999988</v>
      </c>
      <c r="O370" s="1131">
        <f t="shared" si="89"/>
        <v>-4.3736501079913587E-2</v>
      </c>
      <c r="P370" s="1132">
        <f t="shared" si="89"/>
        <v>0.89481420237931208</v>
      </c>
      <c r="Q370" s="1130">
        <f t="shared" si="89"/>
        <v>0.24509229252810941</v>
      </c>
      <c r="R370" s="1131">
        <f t="shared" si="89"/>
        <v>-0.16501821733667812</v>
      </c>
      <c r="S370" s="1132">
        <f t="shared" si="89"/>
        <v>0.23828807339295358</v>
      </c>
      <c r="T370" s="1130">
        <f t="shared" si="89"/>
        <v>0.27870192226407053</v>
      </c>
      <c r="U370" s="1131">
        <f t="shared" si="89"/>
        <v>-0.14309331637647091</v>
      </c>
      <c r="V370" s="1132">
        <f t="shared" si="89"/>
        <v>0.2718321660431175</v>
      </c>
      <c r="W370" s="1124">
        <f t="shared" si="90"/>
        <v>3.3609629735961127E-2</v>
      </c>
      <c r="X370" s="1124">
        <f t="shared" si="90"/>
        <v>0.13713050455108242</v>
      </c>
      <c r="Y370" s="80" t="str">
        <f t="shared" si="90"/>
        <v>A-</v>
      </c>
      <c r="Z370" s="88" t="str">
        <f t="shared" si="90"/>
        <v>=  =  =</v>
      </c>
      <c r="AA370" s="1128">
        <f t="shared" si="90"/>
        <v>2.0880314655341889</v>
      </c>
      <c r="AB370" s="1135">
        <f t="shared" si="90"/>
        <v>-3.7762767487534328E-2</v>
      </c>
      <c r="AC370" s="131">
        <f t="shared" si="90"/>
        <v>2.3348198024327131</v>
      </c>
    </row>
    <row r="371" spans="1:29">
      <c r="A371" s="1155" t="s">
        <v>502</v>
      </c>
      <c r="B371" s="73" t="s">
        <v>52</v>
      </c>
      <c r="C371" s="1149">
        <f t="shared" si="88"/>
        <v>40464.923042857146</v>
      </c>
      <c r="D371" s="1150">
        <f t="shared" si="88"/>
        <v>0.1036809862557167</v>
      </c>
      <c r="E371" s="1124">
        <f t="shared" si="88"/>
        <v>-6.1458653761923776E-2</v>
      </c>
      <c r="F371" s="1124">
        <f t="shared" si="88"/>
        <v>4.0316925143715168E-2</v>
      </c>
      <c r="G371" s="1125">
        <f t="shared" si="88"/>
        <v>39791.94</v>
      </c>
      <c r="H371" s="1126">
        <f t="shared" si="88"/>
        <v>0.1101916514803518</v>
      </c>
      <c r="I371" s="1127">
        <f t="shared" si="88"/>
        <v>1.0840589348936991</v>
      </c>
      <c r="J371" s="1127">
        <f t="shared" si="88"/>
        <v>1.2733420800000002</v>
      </c>
      <c r="K371" s="1128">
        <f t="shared" si="88"/>
        <v>4.9905713850513198</v>
      </c>
      <c r="L371" s="1124">
        <f t="shared" si="88"/>
        <v>0.1448238320606966</v>
      </c>
      <c r="M371" s="1129">
        <f t="shared" si="89"/>
        <v>5.2964626193065953</v>
      </c>
      <c r="N371" s="1130">
        <f t="shared" si="89"/>
        <v>0.61</v>
      </c>
      <c r="O371" s="1131">
        <f t="shared" si="89"/>
        <v>0</v>
      </c>
      <c r="P371" s="1132">
        <f t="shared" si="89"/>
        <v>0.62983042679437373</v>
      </c>
      <c r="Q371" s="1130">
        <f t="shared" si="89"/>
        <v>0.51528895508035288</v>
      </c>
      <c r="R371" s="1131">
        <f t="shared" si="89"/>
        <v>-2.4931247740904369E-2</v>
      </c>
      <c r="S371" s="1132">
        <f t="shared" si="89"/>
        <v>0.51939744871548044</v>
      </c>
      <c r="T371" s="1130">
        <f t="shared" si="89"/>
        <v>0.58808850315066874</v>
      </c>
      <c r="U371" s="1131">
        <f t="shared" si="89"/>
        <v>-2.8226553900756759E-2</v>
      </c>
      <c r="V371" s="1132">
        <f t="shared" si="89"/>
        <v>0.59074959904524027</v>
      </c>
      <c r="W371" s="1124">
        <f t="shared" si="90"/>
        <v>7.2799548070315856E-2</v>
      </c>
      <c r="X371" s="1124">
        <f t="shared" si="90"/>
        <v>0.14127907721011346</v>
      </c>
      <c r="Y371" s="80" t="str">
        <f t="shared" si="90"/>
        <v>BBB+</v>
      </c>
      <c r="Z371" s="88" t="str">
        <f t="shared" si="90"/>
        <v>=  =  =</v>
      </c>
      <c r="AA371" s="1128">
        <f t="shared" si="90"/>
        <v>2.7906818261625395</v>
      </c>
      <c r="AB371" s="1135">
        <f t="shared" si="90"/>
        <v>8.5841806528642844E-2</v>
      </c>
      <c r="AC371" s="131">
        <f t="shared" si="90"/>
        <v>2.9178287645268703</v>
      </c>
    </row>
    <row r="372" spans="1:29">
      <c r="A372" s="1155" t="s">
        <v>19</v>
      </c>
      <c r="B372" s="152" t="s">
        <v>288</v>
      </c>
      <c r="C372" s="1149">
        <f t="shared" si="88"/>
        <v>31174.883771428573</v>
      </c>
      <c r="D372" s="1150">
        <f t="shared" si="88"/>
        <v>7.9877643469276421E-2</v>
      </c>
      <c r="E372" s="1124">
        <f t="shared" si="88"/>
        <v>-0.49416922878378883</v>
      </c>
      <c r="F372" s="1124">
        <f t="shared" si="88"/>
        <v>-0.3923936498781499</v>
      </c>
      <c r="G372" s="1125">
        <f t="shared" si="88"/>
        <v>19124.593099999998</v>
      </c>
      <c r="H372" s="1126">
        <f t="shared" si="88"/>
        <v>5.2959732488004868E-2</v>
      </c>
      <c r="I372" s="1127">
        <f t="shared" si="88"/>
        <v>1.0546425468926217</v>
      </c>
      <c r="J372" s="1127">
        <f t="shared" si="88"/>
        <v>0.72989058468819168</v>
      </c>
      <c r="K372" s="1128">
        <f t="shared" si="88"/>
        <v>4.7838493303826084</v>
      </c>
      <c r="L372" s="1124">
        <f t="shared" si="88"/>
        <v>-0.19812930900653591</v>
      </c>
      <c r="M372" s="1129">
        <f t="shared" si="89"/>
        <v>4.438539176760524</v>
      </c>
      <c r="N372" s="1130">
        <f t="shared" si="89"/>
        <v>0.60741568747204655</v>
      </c>
      <c r="O372" s="1131">
        <f t="shared" si="89"/>
        <v>4.0950219141690898E-2</v>
      </c>
      <c r="P372" s="1132">
        <f t="shared" si="89"/>
        <v>0.62738172243152124</v>
      </c>
      <c r="Q372" s="1130">
        <f t="shared" si="89"/>
        <v>0.50834561454306215</v>
      </c>
      <c r="R372" s="1131">
        <f t="shared" si="89"/>
        <v>0.27477182203191691</v>
      </c>
      <c r="S372" s="1132">
        <f t="shared" si="89"/>
        <v>0.61196382356206247</v>
      </c>
      <c r="T372" s="1130">
        <f t="shared" si="89"/>
        <v>0.54898628094174651</v>
      </c>
      <c r="U372" s="1131">
        <f t="shared" si="89"/>
        <v>0.26756473067663017</v>
      </c>
      <c r="V372" s="1132">
        <f t="shared" si="89"/>
        <v>0.65530118542007598</v>
      </c>
      <c r="W372" s="1124">
        <f t="shared" si="90"/>
        <v>4.0640666398684355E-2</v>
      </c>
      <c r="X372" s="1124">
        <f t="shared" si="90"/>
        <v>7.9946920433679999E-2</v>
      </c>
      <c r="Y372" s="80" t="str">
        <f t="shared" si="90"/>
        <v>BBB+</v>
      </c>
      <c r="Z372" s="88" t="str">
        <f t="shared" si="90"/>
        <v>=  ¯ ¯</v>
      </c>
      <c r="AA372" s="1128">
        <f t="shared" si="90"/>
        <v>2.5321561588471506</v>
      </c>
      <c r="AB372" s="1135">
        <f t="shared" si="90"/>
        <v>1.3257606300410854E-2</v>
      </c>
      <c r="AC372" s="131">
        <f t="shared" si="90"/>
        <v>2.8138910595815916</v>
      </c>
    </row>
    <row r="373" spans="1:29">
      <c r="A373" s="1155" t="s">
        <v>506</v>
      </c>
      <c r="B373" s="73" t="s">
        <v>289</v>
      </c>
      <c r="C373" s="1149">
        <f t="shared" si="88"/>
        <v>4580.8423286191064</v>
      </c>
      <c r="D373" s="1150">
        <f t="shared" si="88"/>
        <v>1.1737233504933111E-2</v>
      </c>
      <c r="E373" s="1124">
        <f t="shared" si="88"/>
        <v>-0.49577837871365099</v>
      </c>
      <c r="F373" s="1124">
        <f t="shared" si="88"/>
        <v>-0.39400279980801206</v>
      </c>
      <c r="G373" s="1125">
        <f t="shared" si="88"/>
        <v>2322.4005110115481</v>
      </c>
      <c r="H373" s="1126">
        <f t="shared" si="88"/>
        <v>6.4311804779353665E-3</v>
      </c>
      <c r="I373" s="1127">
        <f t="shared" si="88"/>
        <v>1.4234279787340207</v>
      </c>
      <c r="J373" s="1127">
        <f t="shared" si="88"/>
        <v>0.8056764866383116</v>
      </c>
      <c r="K373" s="1128">
        <f t="shared" si="88"/>
        <v>4.3871958272574467</v>
      </c>
      <c r="L373" s="1124">
        <f t="shared" si="88"/>
        <v>-8.1025400882275472E-2</v>
      </c>
      <c r="M373" s="1129">
        <f t="shared" si="89"/>
        <v>3.4400754167452243</v>
      </c>
      <c r="N373" s="1130">
        <f t="shared" si="89"/>
        <v>0.42290073595624156</v>
      </c>
      <c r="O373" s="1131">
        <f t="shared" si="89"/>
        <v>-9.0086339251873371E-2</v>
      </c>
      <c r="P373" s="1132">
        <f t="shared" si="89"/>
        <v>0.44946685046944856</v>
      </c>
      <c r="Q373" s="1130">
        <f t="shared" si="89"/>
        <v>0.16307046534988884</v>
      </c>
      <c r="R373" s="1131">
        <f t="shared" si="89"/>
        <v>1.3005419282788433</v>
      </c>
      <c r="S373" s="1132">
        <f t="shared" si="89"/>
        <v>0.30950096360373897</v>
      </c>
      <c r="T373" s="1130">
        <f t="shared" si="89"/>
        <v>0.18570292678335293</v>
      </c>
      <c r="U373" s="1131">
        <f t="shared" si="89"/>
        <v>1.251733079461073</v>
      </c>
      <c r="V373" s="1132">
        <f t="shared" si="89"/>
        <v>0.34197601038246805</v>
      </c>
      <c r="W373" s="1124">
        <f t="shared" si="90"/>
        <v>2.2632461433464091E-2</v>
      </c>
      <c r="X373" s="1124">
        <f t="shared" si="90"/>
        <v>0.13878945758144007</v>
      </c>
      <c r="Y373" s="80" t="str">
        <f t="shared" si="90"/>
        <v>BBB</v>
      </c>
      <c r="Z373" s="88" t="str">
        <f t="shared" si="90"/>
        <v>=  ¯ -</v>
      </c>
      <c r="AA373" s="1128">
        <f t="shared" si="90"/>
        <v>0.77886477042851432</v>
      </c>
      <c r="AB373" s="1135">
        <f t="shared" si="90"/>
        <v>1.0703005310133176</v>
      </c>
      <c r="AC373" s="131">
        <f t="shared" si="90"/>
        <v>1.1762690733772538</v>
      </c>
    </row>
    <row r="374" spans="1:29">
      <c r="A374" s="1155" t="s">
        <v>545</v>
      </c>
      <c r="B374" s="73" t="s">
        <v>39</v>
      </c>
      <c r="C374" s="1149">
        <f t="shared" si="88"/>
        <v>5059.5155870714543</v>
      </c>
      <c r="D374" s="1150">
        <f t="shared" si="88"/>
        <v>1.2963710952524294E-2</v>
      </c>
      <c r="E374" s="1124">
        <f t="shared" si="88"/>
        <v>-0.13366823909704381</v>
      </c>
      <c r="F374" s="1124">
        <f t="shared" si="88"/>
        <v>-3.1892660191404867E-2</v>
      </c>
      <c r="G374" s="1125">
        <f t="shared" si="88"/>
        <v>5057.8123335929276</v>
      </c>
      <c r="H374" s="1126">
        <f t="shared" si="88"/>
        <v>1.4006069920599414E-2</v>
      </c>
      <c r="I374" s="1127">
        <f t="shared" si="88"/>
        <v>1.6858649053444912</v>
      </c>
      <c r="J374" s="1127">
        <f t="shared" si="88"/>
        <v>1.7703056194544857</v>
      </c>
      <c r="K374" s="1128">
        <f t="shared" si="88"/>
        <v>5.8927844479191869</v>
      </c>
      <c r="L374" s="1124">
        <f t="shared" si="88"/>
        <v>-0.19036897853308513</v>
      </c>
      <c r="M374" s="1129">
        <f t="shared" si="89"/>
        <v>5.9052222685092017</v>
      </c>
      <c r="N374" s="1130">
        <f t="shared" si="89"/>
        <v>0.31054928118178421</v>
      </c>
      <c r="O374" s="1131">
        <f t="shared" si="89"/>
        <v>-0.11491916916279199</v>
      </c>
      <c r="P374" s="1132">
        <f t="shared" si="89"/>
        <v>0.28165979767703259</v>
      </c>
      <c r="Q374" s="1130">
        <f t="shared" si="89"/>
        <v>0.3899242463002407</v>
      </c>
      <c r="R374" s="1131">
        <f t="shared" si="89"/>
        <v>-0.1197676600756727</v>
      </c>
      <c r="S374" s="1132">
        <f t="shared" si="89"/>
        <v>0.37944762378701169</v>
      </c>
      <c r="T374" s="1130">
        <f t="shared" si="89"/>
        <v>0.45093517146474416</v>
      </c>
      <c r="U374" s="1131">
        <f t="shared" si="89"/>
        <v>-8.3572610535330494E-2</v>
      </c>
      <c r="V374" s="1132">
        <f t="shared" si="89"/>
        <v>0.43916945384982109</v>
      </c>
      <c r="W374" s="1124">
        <f t="shared" si="90"/>
        <v>6.101092516450346E-2</v>
      </c>
      <c r="X374" s="1124">
        <f t="shared" si="90"/>
        <v>0.15646866216553562</v>
      </c>
      <c r="Y374" s="80" t="str">
        <f t="shared" si="90"/>
        <v>BBB</v>
      </c>
      <c r="Z374" s="88" t="str">
        <f t="shared" si="90"/>
        <v>­  = =</v>
      </c>
      <c r="AA374" s="1128">
        <f t="shared" si="90"/>
        <v>2.6587814840492587</v>
      </c>
      <c r="AB374" s="1135">
        <f t="shared" si="90"/>
        <v>-0.25803195656746131</v>
      </c>
      <c r="AC374" s="131">
        <f t="shared" si="90"/>
        <v>2.5933932385229874</v>
      </c>
    </row>
    <row r="375" spans="1:29">
      <c r="A375" s="1155" t="s">
        <v>32</v>
      </c>
      <c r="B375" s="73" t="s">
        <v>50</v>
      </c>
      <c r="C375" s="1149">
        <f t="shared" si="88"/>
        <v>19515.355899391296</v>
      </c>
      <c r="D375" s="1150">
        <f t="shared" si="88"/>
        <v>5.0003093905237848E-2</v>
      </c>
      <c r="E375" s="1124">
        <f t="shared" si="88"/>
        <v>1.1994936816856254</v>
      </c>
      <c r="F375" s="1124">
        <f t="shared" si="88"/>
        <v>1.3012692605912644</v>
      </c>
      <c r="G375" s="1125">
        <f t="shared" si="88"/>
        <v>28491.576306321644</v>
      </c>
      <c r="H375" s="1126">
        <f t="shared" si="88"/>
        <v>7.8898737947233621E-2</v>
      </c>
      <c r="I375" s="1127">
        <f t="shared" si="88"/>
        <v>-0.89894076859195104</v>
      </c>
      <c r="J375" s="1127">
        <f t="shared" si="88"/>
        <v>39.625784878048783</v>
      </c>
      <c r="K375" s="1128">
        <f t="shared" si="88"/>
        <v>4.6985221679038922</v>
      </c>
      <c r="L375" s="1124">
        <f t="shared" si="88"/>
        <v>0.4140020451008824</v>
      </c>
      <c r="M375" s="1129">
        <f t="shared" si="89"/>
        <v>5.7096258695546744</v>
      </c>
      <c r="N375" s="1130">
        <f t="shared" si="89"/>
        <v>0</v>
      </c>
      <c r="O375" s="1131">
        <f t="shared" si="89"/>
        <v>0</v>
      </c>
      <c r="P375" s="1132">
        <f t="shared" si="89"/>
        <v>0</v>
      </c>
      <c r="Q375" s="1130">
        <f t="shared" si="89"/>
        <v>0.37025195227815472</v>
      </c>
      <c r="R375" s="1131">
        <f t="shared" si="89"/>
        <v>-0.46222821771061889</v>
      </c>
      <c r="S375" s="1132">
        <f t="shared" si="89"/>
        <v>0.26403640782716253</v>
      </c>
      <c r="T375" s="1130">
        <f t="shared" si="89"/>
        <v>0.48927059752514818</v>
      </c>
      <c r="U375" s="1131">
        <f t="shared" si="89"/>
        <v>-0.38189416595312975</v>
      </c>
      <c r="V375" s="1132">
        <f t="shared" si="89"/>
        <v>0.37414035756341019</v>
      </c>
      <c r="W375" s="1124">
        <f t="shared" si="90"/>
        <v>0.11901864524699346</v>
      </c>
      <c r="X375" s="1124">
        <f t="shared" si="90"/>
        <v>0.32145312000294263</v>
      </c>
      <c r="Y375" s="80" t="str">
        <f t="shared" si="90"/>
        <v>BBB</v>
      </c>
      <c r="Z375" s="88" t="str">
        <f t="shared" si="90"/>
        <v xml:space="preserve">=  -  = </v>
      </c>
      <c r="AA375" s="1128">
        <f t="shared" si="90"/>
        <v>2.2664974928712622</v>
      </c>
      <c r="AB375" s="1135">
        <f t="shared" si="90"/>
        <v>-0.12537902502142731</v>
      </c>
      <c r="AC375" s="131">
        <f t="shared" si="90"/>
        <v>2.136201464388483</v>
      </c>
    </row>
    <row r="376" spans="1:29">
      <c r="A376" s="1155" t="s">
        <v>73</v>
      </c>
      <c r="B376" s="73" t="s">
        <v>285</v>
      </c>
      <c r="C376" s="1149">
        <f t="shared" ref="C376:L383" si="91">VLOOKUP($B376,$B$7:$AC$28,C$37+1,FALSE)</f>
        <v>2461.5190857142857</v>
      </c>
      <c r="D376" s="1150">
        <f t="shared" si="91"/>
        <v>6.3070112903421734E-3</v>
      </c>
      <c r="E376" s="1124">
        <f t="shared" si="91"/>
        <v>6.738754525599433E-2</v>
      </c>
      <c r="F376" s="1124">
        <f t="shared" si="91"/>
        <v>0.16916312416163326</v>
      </c>
      <c r="G376" s="1125">
        <f t="shared" si="91"/>
        <v>2364.3629999999998</v>
      </c>
      <c r="H376" s="1126">
        <f t="shared" si="91"/>
        <v>6.5473828033777437E-3</v>
      </c>
      <c r="I376" s="1127">
        <f t="shared" si="91"/>
        <v>3.1397518024733277</v>
      </c>
      <c r="J376" s="1127">
        <f t="shared" si="91"/>
        <v>3.0995844257996854</v>
      </c>
      <c r="K376" s="1128">
        <f t="shared" si="91"/>
        <v>6.7052926466266065</v>
      </c>
      <c r="L376" s="1124">
        <f t="shared" si="91"/>
        <v>0.14721542174528052</v>
      </c>
      <c r="M376" s="1129">
        <f t="shared" ref="M376:V383" si="92">VLOOKUP($B376,$B$7:$AC$28,M$37+1,FALSE)</f>
        <v>7.0127743881429545</v>
      </c>
      <c r="N376" s="1130">
        <f t="shared" si="92"/>
        <v>0.62657499999999999</v>
      </c>
      <c r="O376" s="1131">
        <f t="shared" si="92"/>
        <v>5.5614710459497153E-2</v>
      </c>
      <c r="P376" s="1132">
        <f t="shared" si="92"/>
        <v>0.64439999999999997</v>
      </c>
      <c r="Q376" s="1130">
        <f t="shared" si="92"/>
        <v>0.24190098439360719</v>
      </c>
      <c r="R376" s="1131">
        <f t="shared" si="92"/>
        <v>0.20667512064869559</v>
      </c>
      <c r="S376" s="1132">
        <f t="shared" si="92"/>
        <v>0.30597960586046052</v>
      </c>
      <c r="T376" s="1130">
        <f t="shared" si="92"/>
        <v>0.2616424852780464</v>
      </c>
      <c r="U376" s="1131">
        <f t="shared" si="92"/>
        <v>0.20296552626351777</v>
      </c>
      <c r="V376" s="1132">
        <f t="shared" si="92"/>
        <v>0.32061814749302248</v>
      </c>
      <c r="W376" s="1124">
        <f t="shared" ref="W376:AC383" si="93">VLOOKUP($B376,$B$7:$AC$28,W$37+1,FALSE)</f>
        <v>1.9741500884439211E-2</v>
      </c>
      <c r="X376" s="1124">
        <f t="shared" si="93"/>
        <v>8.1609841042717679E-2</v>
      </c>
      <c r="Y376" s="80" t="str">
        <f t="shared" si="93"/>
        <v>BBB</v>
      </c>
      <c r="Z376" s="88" t="str">
        <f t="shared" si="93"/>
        <v>=  =  -</v>
      </c>
      <c r="AA376" s="1128">
        <f t="shared" si="93"/>
        <v>1.7511002028712532</v>
      </c>
      <c r="AB376" s="1135">
        <f t="shared" si="93"/>
        <v>0.37093258903528414</v>
      </c>
      <c r="AC376" s="131">
        <f t="shared" si="93"/>
        <v>2.2311132077757287</v>
      </c>
    </row>
    <row r="377" spans="1:29">
      <c r="A377" s="1155" t="s">
        <v>389</v>
      </c>
      <c r="B377" s="73" t="s">
        <v>278</v>
      </c>
      <c r="C377" s="1149">
        <f t="shared" si="91"/>
        <v>3544.0522571428578</v>
      </c>
      <c r="D377" s="1150">
        <f t="shared" si="91"/>
        <v>9.0807248780183369E-3</v>
      </c>
      <c r="E377" s="1124">
        <f t="shared" si="91"/>
        <v>-0.4675424361384804</v>
      </c>
      <c r="F377" s="1124">
        <f t="shared" si="91"/>
        <v>-0.36576685723284147</v>
      </c>
      <c r="G377" s="1125">
        <f t="shared" si="91"/>
        <v>2152.6311000000001</v>
      </c>
      <c r="H377" s="1126">
        <f t="shared" si="91"/>
        <v>5.9610558303255963E-3</v>
      </c>
      <c r="I377" s="1127">
        <f t="shared" si="91"/>
        <v>3.4941691326062152</v>
      </c>
      <c r="J377" s="1127">
        <f t="shared" si="91"/>
        <v>2.2961398399999999</v>
      </c>
      <c r="K377" s="1128">
        <f t="shared" si="91"/>
        <v>4.4503654862327</v>
      </c>
      <c r="L377" s="1124">
        <f t="shared" si="91"/>
        <v>-2.9835823683801648E-2</v>
      </c>
      <c r="M377" s="1129">
        <f t="shared" si="92"/>
        <v>4.0530525032062261</v>
      </c>
      <c r="N377" s="1130">
        <f t="shared" si="92"/>
        <v>0.60910298289809772</v>
      </c>
      <c r="O377" s="1131">
        <f t="shared" si="92"/>
        <v>-5.2071170724915891E-2</v>
      </c>
      <c r="P377" s="1132">
        <f t="shared" si="92"/>
        <v>0.6207941242005639</v>
      </c>
      <c r="Q377" s="1130">
        <f t="shared" si="92"/>
        <v>0.49050145598877937</v>
      </c>
      <c r="R377" s="1131">
        <f t="shared" si="92"/>
        <v>0.42102559519407173</v>
      </c>
      <c r="S377" s="1132">
        <f t="shared" si="92"/>
        <v>0.61744816018521742</v>
      </c>
      <c r="T377" s="1130">
        <f t="shared" si="92"/>
        <v>0.49698573886957192</v>
      </c>
      <c r="U377" s="1131">
        <f t="shared" si="92"/>
        <v>0.41032171167013903</v>
      </c>
      <c r="V377" s="1132">
        <f t="shared" si="92"/>
        <v>0.62319136029119382</v>
      </c>
      <c r="W377" s="1124">
        <f t="shared" si="93"/>
        <v>6.4842828807925579E-3</v>
      </c>
      <c r="X377" s="1124">
        <f t="shared" si="93"/>
        <v>1.3219701596443154E-2</v>
      </c>
      <c r="Y377" s="80" t="str">
        <f t="shared" si="93"/>
        <v>BBB</v>
      </c>
      <c r="Z377" s="88" t="str">
        <f t="shared" si="93"/>
        <v>=  ¯ -</v>
      </c>
      <c r="AA377" s="1128">
        <f t="shared" si="93"/>
        <v>2.1902281092407181</v>
      </c>
      <c r="AB377" s="1135">
        <f t="shared" si="93"/>
        <v>0.36844726500440206</v>
      </c>
      <c r="AC377" s="131">
        <f t="shared" si="93"/>
        <v>2.5252968522290931</v>
      </c>
    </row>
    <row r="378" spans="1:29">
      <c r="A378" s="1155" t="s">
        <v>219</v>
      </c>
      <c r="B378" s="73" t="s">
        <v>53</v>
      </c>
      <c r="C378" s="1149">
        <f t="shared" si="91"/>
        <v>60036.853628571422</v>
      </c>
      <c r="D378" s="1150">
        <f t="shared" si="91"/>
        <v>0.15382903828354536</v>
      </c>
      <c r="E378" s="1124">
        <f t="shared" si="91"/>
        <v>-0.3618479655094986</v>
      </c>
      <c r="F378" s="1124">
        <f t="shared" si="91"/>
        <v>-0.26007238660385967</v>
      </c>
      <c r="G378" s="1125">
        <f t="shared" si="91"/>
        <v>44430.485000000001</v>
      </c>
      <c r="H378" s="1126">
        <f t="shared" si="91"/>
        <v>0.1230366882897139</v>
      </c>
      <c r="I378" s="1127">
        <f t="shared" si="91"/>
        <v>2.2644833808097031</v>
      </c>
      <c r="J378" s="1127">
        <f t="shared" si="91"/>
        <v>1.7716210773954304</v>
      </c>
      <c r="K378" s="1128">
        <f t="shared" si="91"/>
        <v>5.6943354572509941</v>
      </c>
      <c r="L378" s="1124">
        <f t="shared" si="91"/>
        <v>-7.3155042359885195E-2</v>
      </c>
      <c r="M378" s="1129">
        <f t="shared" si="92"/>
        <v>5.1937231412225326</v>
      </c>
      <c r="N378" s="1130">
        <f t="shared" si="92"/>
        <v>0.6158872479982318</v>
      </c>
      <c r="O378" s="1131">
        <f t="shared" si="92"/>
        <v>0.11044311863454735</v>
      </c>
      <c r="P378" s="1132">
        <f t="shared" si="92"/>
        <v>0.66127040038880336</v>
      </c>
      <c r="Q378" s="1130">
        <f t="shared" si="92"/>
        <v>0.48384306036910518</v>
      </c>
      <c r="R378" s="1131">
        <f t="shared" si="92"/>
        <v>0.2595878527386451</v>
      </c>
      <c r="S378" s="1132">
        <f t="shared" si="92"/>
        <v>0.54381370963962039</v>
      </c>
      <c r="T378" s="1130">
        <f t="shared" si="92"/>
        <v>0.51513010935716153</v>
      </c>
      <c r="U378" s="1131">
        <f t="shared" si="92"/>
        <v>0.26130995158024306</v>
      </c>
      <c r="V378" s="1132">
        <f t="shared" si="92"/>
        <v>0.57929804018594233</v>
      </c>
      <c r="W378" s="1124">
        <f t="shared" si="93"/>
        <v>3.1287048988056343E-2</v>
      </c>
      <c r="X378" s="1124">
        <f t="shared" si="93"/>
        <v>6.4663630732222685E-2</v>
      </c>
      <c r="Y378" s="80" t="str">
        <f t="shared" si="93"/>
        <v>BBB</v>
      </c>
      <c r="Z378" s="88" t="str">
        <f t="shared" si="93"/>
        <v>¯  ¯ ¯</v>
      </c>
      <c r="AA378" s="1128">
        <f t="shared" si="93"/>
        <v>2.7929780820851775</v>
      </c>
      <c r="AB378" s="1135">
        <f t="shared" si="93"/>
        <v>0.12404595260605845</v>
      </c>
      <c r="AC378" s="131">
        <f t="shared" si="93"/>
        <v>2.8353348809740444</v>
      </c>
    </row>
    <row r="379" spans="1:29">
      <c r="A379" s="1155" t="s">
        <v>505</v>
      </c>
      <c r="B379" s="73" t="s">
        <v>44</v>
      </c>
      <c r="C379" s="1149">
        <f t="shared" si="91"/>
        <v>12234.494271428572</v>
      </c>
      <c r="D379" s="1150">
        <f t="shared" si="91"/>
        <v>3.1347753486597643E-2</v>
      </c>
      <c r="E379" s="1124">
        <f t="shared" si="91"/>
        <v>-0.59766521701552</v>
      </c>
      <c r="F379" s="1124">
        <f t="shared" si="91"/>
        <v>-0.49588963810988107</v>
      </c>
      <c r="G379" s="1125">
        <f t="shared" si="91"/>
        <v>6819.5967000000001</v>
      </c>
      <c r="H379" s="1126">
        <f t="shared" si="91"/>
        <v>1.8884794830384175E-2</v>
      </c>
      <c r="I379" s="1127">
        <f t="shared" si="91"/>
        <v>3.9295455833111754</v>
      </c>
      <c r="J379" s="1127">
        <f t="shared" si="91"/>
        <v>1.2175677021960365</v>
      </c>
      <c r="K379" s="1128">
        <f t="shared" si="91"/>
        <v>4.9270605931091591</v>
      </c>
      <c r="L379" s="1124">
        <f t="shared" si="91"/>
        <v>-0.26680842971581226</v>
      </c>
      <c r="M379" s="1129">
        <f t="shared" si="92"/>
        <v>4.0325018858098245</v>
      </c>
      <c r="N379" s="1130">
        <f t="shared" si="92"/>
        <v>0.5805147103617575</v>
      </c>
      <c r="O379" s="1131">
        <f t="shared" si="92"/>
        <v>8.4948466413752491E-2</v>
      </c>
      <c r="P379" s="1132">
        <f t="shared" si="92"/>
        <v>0.6264024463118032</v>
      </c>
      <c r="Q379" s="1130">
        <f t="shared" si="92"/>
        <v>0.51826084585195908</v>
      </c>
      <c r="R379" s="1131">
        <f t="shared" si="92"/>
        <v>0.40005999871326348</v>
      </c>
      <c r="S379" s="1132">
        <f t="shared" si="92"/>
        <v>0.58973938770950263</v>
      </c>
      <c r="T379" s="1130">
        <f t="shared" si="92"/>
        <v>0.5495689942142129</v>
      </c>
      <c r="U379" s="1131">
        <f t="shared" si="92"/>
        <v>0.40637993517884302</v>
      </c>
      <c r="V379" s="1132">
        <f t="shared" si="92"/>
        <v>0.63323863537070213</v>
      </c>
      <c r="W379" s="1124">
        <f t="shared" si="93"/>
        <v>3.1308148362253818E-2</v>
      </c>
      <c r="X379" s="1124">
        <f t="shared" si="93"/>
        <v>6.0410020577161203E-2</v>
      </c>
      <c r="Y379" s="80" t="str">
        <f t="shared" si="93"/>
        <v>BBB-</v>
      </c>
      <c r="Z379" s="88" t="str">
        <f t="shared" si="93"/>
        <v>=  ¯ =</v>
      </c>
      <c r="AA379" s="1128">
        <f t="shared" si="93"/>
        <v>2.643581803383519</v>
      </c>
      <c r="AB379" s="1135">
        <f t="shared" si="93"/>
        <v>2.8580691559688957E-2</v>
      </c>
      <c r="AC379" s="131">
        <f t="shared" si="93"/>
        <v>2.5466878830879209</v>
      </c>
    </row>
    <row r="380" spans="1:29">
      <c r="A380" s="1155" t="s">
        <v>503</v>
      </c>
      <c r="B380" s="73" t="s">
        <v>286</v>
      </c>
      <c r="C380" s="1149">
        <f t="shared" si="91"/>
        <v>15596.516285714286</v>
      </c>
      <c r="D380" s="1150">
        <f t="shared" si="91"/>
        <v>3.9962072557101963E-2</v>
      </c>
      <c r="E380" s="1124">
        <f t="shared" si="91"/>
        <v>-0.41209116095583281</v>
      </c>
      <c r="F380" s="1124">
        <f t="shared" si="91"/>
        <v>-0.31031558205019388</v>
      </c>
      <c r="G380" s="1125">
        <f t="shared" si="91"/>
        <v>10295.917100000001</v>
      </c>
      <c r="H380" s="1126">
        <f t="shared" si="91"/>
        <v>2.8511404790864545E-2</v>
      </c>
      <c r="I380" s="1127">
        <f t="shared" si="91"/>
        <v>0.58081043687158529</v>
      </c>
      <c r="J380" s="1127">
        <f t="shared" si="91"/>
        <v>0.5027794267018264</v>
      </c>
      <c r="K380" s="1128">
        <f t="shared" si="91"/>
        <v>4.5606838408134944</v>
      </c>
      <c r="L380" s="1124">
        <f t="shared" si="91"/>
        <v>-0.18379111287045302</v>
      </c>
      <c r="M380" s="1129">
        <f t="shared" si="92"/>
        <v>4.0606354500113753</v>
      </c>
      <c r="N380" s="1130">
        <f t="shared" si="92"/>
        <v>0.34534166666666666</v>
      </c>
      <c r="O380" s="1131">
        <f t="shared" si="92"/>
        <v>-5.4500069338510607E-2</v>
      </c>
      <c r="P380" s="1132">
        <f t="shared" si="92"/>
        <v>0.3626280111015483</v>
      </c>
      <c r="Q380" s="1130">
        <f t="shared" si="92"/>
        <v>0.67997702229572432</v>
      </c>
      <c r="R380" s="1131">
        <f t="shared" si="92"/>
        <v>0.10658020511075152</v>
      </c>
      <c r="S380" s="1132">
        <f t="shared" si="92"/>
        <v>0.75270955685414354</v>
      </c>
      <c r="T380" s="1130">
        <f t="shared" si="92"/>
        <v>0.68457317243488636</v>
      </c>
      <c r="U380" s="1131">
        <f t="shared" si="92"/>
        <v>0.10522314957078965</v>
      </c>
      <c r="V380" s="1132">
        <f t="shared" si="92"/>
        <v>0.75672107111582532</v>
      </c>
      <c r="W380" s="1124">
        <f t="shared" si="93"/>
        <v>4.5961501391620363E-3</v>
      </c>
      <c r="X380" s="1124">
        <f t="shared" si="93"/>
        <v>6.7592727231349809E-3</v>
      </c>
      <c r="Y380" s="80" t="str">
        <f t="shared" si="93"/>
        <v>BBB-</v>
      </c>
      <c r="Z380" s="88" t="str">
        <f t="shared" si="93"/>
        <v>=  ¯ ¯</v>
      </c>
      <c r="AA380" s="1128">
        <f t="shared" si="93"/>
        <v>2.9152503149286035</v>
      </c>
      <c r="AB380" s="1135">
        <f t="shared" si="93"/>
        <v>-0.14664752669478531</v>
      </c>
      <c r="AC380" s="131">
        <f t="shared" si="93"/>
        <v>2.8370691340232916</v>
      </c>
    </row>
    <row r="381" spans="1:29">
      <c r="A381" s="1155" t="s">
        <v>27</v>
      </c>
      <c r="B381" s="73" t="s">
        <v>54</v>
      </c>
      <c r="C381" s="1149">
        <f t="shared" si="91"/>
        <v>4745.1447857142857</v>
      </c>
      <c r="D381" s="1150">
        <f t="shared" si="91"/>
        <v>1.2158216408516635E-2</v>
      </c>
      <c r="E381" s="1124">
        <f t="shared" si="91"/>
        <v>-0.63447330491761056</v>
      </c>
      <c r="F381" s="1124">
        <f t="shared" si="91"/>
        <v>-0.53269772601197163</v>
      </c>
      <c r="G381" s="1125">
        <f t="shared" si="91"/>
        <v>2680.5724</v>
      </c>
      <c r="H381" s="1126">
        <f t="shared" si="91"/>
        <v>7.4230283738025878E-3</v>
      </c>
      <c r="I381" s="1127">
        <f t="shared" si="91"/>
        <v>1.3569881249181368</v>
      </c>
      <c r="J381" s="1127">
        <f t="shared" si="91"/>
        <v>1.0332545966156574</v>
      </c>
      <c r="K381" s="1128">
        <f t="shared" si="91"/>
        <v>6.4063105209788551</v>
      </c>
      <c r="L381" s="1124">
        <f t="shared" si="91"/>
        <v>-0.24924595564935845</v>
      </c>
      <c r="M381" s="1129">
        <f t="shared" si="92"/>
        <v>5.3369406950798908</v>
      </c>
      <c r="N381" s="1130">
        <f t="shared" si="92"/>
        <v>0.48460704112825509</v>
      </c>
      <c r="O381" s="1131">
        <f t="shared" si="92"/>
        <v>-0.18079580514885477</v>
      </c>
      <c r="P381" s="1132">
        <f t="shared" si="92"/>
        <v>0.49497857034449522</v>
      </c>
      <c r="Q381" s="1130">
        <f t="shared" si="92"/>
        <v>0.56717095077467305</v>
      </c>
      <c r="R381" s="1131">
        <f t="shared" si="92"/>
        <v>0.64731222518720821</v>
      </c>
      <c r="S381" s="1132">
        <f t="shared" si="92"/>
        <v>0.74754623070756221</v>
      </c>
      <c r="T381" s="1130">
        <f t="shared" si="92"/>
        <v>0.5748403529709204</v>
      </c>
      <c r="U381" s="1131">
        <f t="shared" si="92"/>
        <v>0.5906099669472562</v>
      </c>
      <c r="V381" s="1132">
        <f t="shared" si="92"/>
        <v>0.7506672643344422</v>
      </c>
      <c r="W381" s="1124">
        <f t="shared" si="93"/>
        <v>7.6694021962473435E-3</v>
      </c>
      <c r="X381" s="1124">
        <f t="shared" si="93"/>
        <v>1.3522205581530675E-2</v>
      </c>
      <c r="Y381" s="80" t="str">
        <f t="shared" si="93"/>
        <v>BBB-</v>
      </c>
      <c r="Z381" s="88" t="str">
        <f t="shared" si="93"/>
        <v>¯  ¯ ¯</v>
      </c>
      <c r="AA381" s="1128">
        <f t="shared" si="93"/>
        <v>3.4278891827637503</v>
      </c>
      <c r="AB381" s="1135">
        <f t="shared" si="93"/>
        <v>0.24423537898737996</v>
      </c>
      <c r="AC381" s="131">
        <f t="shared" si="93"/>
        <v>3.8230610288109381</v>
      </c>
    </row>
    <row r="382" spans="1:29">
      <c r="A382" s="1156" t="s">
        <v>323</v>
      </c>
      <c r="B382" s="726" t="s">
        <v>774</v>
      </c>
      <c r="C382" s="1151">
        <f t="shared" si="91"/>
        <v>3541.6238999999996</v>
      </c>
      <c r="D382" s="1152">
        <f t="shared" si="91"/>
        <v>9.0745028357006995E-3</v>
      </c>
      <c r="E382" s="1136">
        <f t="shared" si="91"/>
        <v>0.67327297771392325</v>
      </c>
      <c r="F382" s="1136">
        <f t="shared" si="91"/>
        <v>0.77504855661956218</v>
      </c>
      <c r="G382" s="1137">
        <f t="shared" si="91"/>
        <v>4048.9897999999998</v>
      </c>
      <c r="H382" s="1138">
        <f t="shared" si="91"/>
        <v>1.1212443346293226E-2</v>
      </c>
      <c r="I382" s="1139">
        <f t="shared" si="91"/>
        <v>-1.4186196832586249</v>
      </c>
      <c r="J382" s="1139">
        <f t="shared" si="91"/>
        <v>-2.7147098893731143</v>
      </c>
      <c r="K382" s="1140">
        <f t="shared" si="91"/>
        <v>8.6861758729657641</v>
      </c>
      <c r="L382" s="1136">
        <f t="shared" si="91"/>
        <v>0.26215680659638446</v>
      </c>
      <c r="M382" s="1141">
        <f t="shared" si="92"/>
        <v>9.0506669895995948</v>
      </c>
      <c r="N382" s="1136">
        <f t="shared" si="92"/>
        <v>6.4385445236561381E-2</v>
      </c>
      <c r="O382" s="1143">
        <f t="shared" si="92"/>
        <v>14.697799124913645</v>
      </c>
      <c r="P382" s="1144">
        <f t="shared" si="92"/>
        <v>0.15462918080465343</v>
      </c>
      <c r="Q382" s="1142">
        <f t="shared" si="92"/>
        <v>0.42399287000325037</v>
      </c>
      <c r="R382" s="1143">
        <f t="shared" si="92"/>
        <v>4.5742782667206161E-2</v>
      </c>
      <c r="S382" s="1144">
        <f t="shared" si="92"/>
        <v>0.48144640266975475</v>
      </c>
      <c r="T382" s="1142">
        <f t="shared" si="92"/>
        <v>0.42695023434228802</v>
      </c>
      <c r="U382" s="1143">
        <f t="shared" si="92"/>
        <v>4.1366838913311048E-2</v>
      </c>
      <c r="V382" s="1144">
        <f t="shared" si="92"/>
        <v>0.4832654138496531</v>
      </c>
      <c r="W382" s="1136">
        <f t="shared" si="93"/>
        <v>2.9573643390376492E-3</v>
      </c>
      <c r="X382" s="1136">
        <f t="shared" si="93"/>
        <v>6.9750331863245195E-3</v>
      </c>
      <c r="Y382" s="1079" t="str">
        <f t="shared" si="93"/>
        <v>B+</v>
      </c>
      <c r="Z382" s="1121" t="str">
        <f t="shared" si="93"/>
        <v>=  =  =</v>
      </c>
      <c r="AA382" s="1140">
        <f t="shared" si="93"/>
        <v>3.7014756930154613</v>
      </c>
      <c r="AB382" s="1147">
        <f t="shared" si="93"/>
        <v>0.31334582285320112</v>
      </c>
      <c r="AC382" s="1075">
        <f t="shared" si="93"/>
        <v>4.3704719780651446</v>
      </c>
    </row>
    <row r="383" spans="1:29">
      <c r="A383" s="1155" t="s">
        <v>378</v>
      </c>
      <c r="B383" s="73" t="s">
        <v>42</v>
      </c>
      <c r="C383" s="1149">
        <f t="shared" si="91"/>
        <v>2432.5463571428577</v>
      </c>
      <c r="D383" s="1150">
        <f t="shared" si="91"/>
        <v>6.2327761047315808E-3</v>
      </c>
      <c r="E383" s="1124">
        <f t="shared" si="91"/>
        <v>-3.2258071946582277E-2</v>
      </c>
      <c r="F383" s="1124">
        <f t="shared" si="91"/>
        <v>6.9517506959056674E-2</v>
      </c>
      <c r="G383" s="1125">
        <f t="shared" si="91"/>
        <v>2940.9023000000002</v>
      </c>
      <c r="H383" s="1126">
        <f t="shared" si="91"/>
        <v>8.143932697912316E-3</v>
      </c>
      <c r="I383" s="1127">
        <f t="shared" si="91"/>
        <v>1.2689619717468461</v>
      </c>
      <c r="J383" s="1127">
        <f t="shared" si="91"/>
        <v>1.312316956715752</v>
      </c>
      <c r="K383" s="1128">
        <f t="shared" si="91"/>
        <v>3.7488610975650749</v>
      </c>
      <c r="L383" s="1124">
        <f t="shared" si="91"/>
        <v>3.4291324439135469E-2</v>
      </c>
      <c r="M383" s="1129">
        <f t="shared" si="92"/>
        <v>3.7439277362047823</v>
      </c>
      <c r="N383" s="1130">
        <f t="shared" si="92"/>
        <v>0.56323171407839789</v>
      </c>
      <c r="O383" s="1131">
        <f t="shared" si="92"/>
        <v>-0.12023286586287618</v>
      </c>
      <c r="P383" s="1132">
        <f t="shared" si="92"/>
        <v>0.53987730061349704</v>
      </c>
      <c r="Q383" s="1130">
        <f t="shared" si="92"/>
        <v>0.60887331285954671</v>
      </c>
      <c r="R383" s="1131">
        <f t="shared" si="92"/>
        <v>-0.37303497156800469</v>
      </c>
      <c r="S383" s="1132">
        <f t="shared" si="92"/>
        <v>0.37659759063604481</v>
      </c>
      <c r="T383" s="1130">
        <f t="shared" si="92"/>
        <v>0.63388271448107447</v>
      </c>
      <c r="U383" s="1131">
        <f t="shared" si="92"/>
        <v>-0.25869992498286548</v>
      </c>
      <c r="V383" s="1132">
        <f t="shared" si="92"/>
        <v>0.44527495080222473</v>
      </c>
      <c r="W383" s="1124">
        <f t="shared" si="93"/>
        <v>2.500940162152776E-2</v>
      </c>
      <c r="X383" s="1124">
        <f t="shared" si="93"/>
        <v>4.1074885519406669E-2</v>
      </c>
      <c r="Y383" s="80" t="str">
        <f t="shared" si="93"/>
        <v>B-</v>
      </c>
      <c r="Z383" s="88" t="str">
        <f t="shared" si="93"/>
        <v>=  =  -</v>
      </c>
      <c r="AA383" s="1128">
        <f t="shared" si="93"/>
        <v>2.172629043332774</v>
      </c>
      <c r="AB383" s="1135">
        <f t="shared" si="93"/>
        <v>-0.22035736928264804</v>
      </c>
      <c r="AC383" s="131">
        <f t="shared" si="93"/>
        <v>1.5517268924243866</v>
      </c>
    </row>
    <row r="384" spans="1:29">
      <c r="Y384" s="1068"/>
      <c r="Z384" s="1068"/>
    </row>
    <row r="385" spans="1:57">
      <c r="A385" s="1155" t="s">
        <v>19</v>
      </c>
      <c r="B385" s="73" t="s">
        <v>287</v>
      </c>
      <c r="C385" s="1149">
        <f t="shared" ref="C385:L388" si="94">VLOOKUP($B385,$B$7:$AC$28,C$37+1,FALSE)</f>
        <v>6002.7646707914537</v>
      </c>
      <c r="D385" s="1150">
        <f t="shared" si="94"/>
        <v>1.538054479108892E-2</v>
      </c>
      <c r="E385" s="1124">
        <f t="shared" si="94"/>
        <v>1.7468659495150733</v>
      </c>
      <c r="F385" s="1124">
        <f t="shared" si="94"/>
        <v>1.8486415284207123</v>
      </c>
      <c r="G385" s="1125">
        <f t="shared" si="94"/>
        <v>9571.524995540176</v>
      </c>
      <c r="H385" s="1126">
        <f t="shared" si="94"/>
        <v>2.6505421611613778E-2</v>
      </c>
      <c r="I385" s="1127">
        <f t="shared" si="94"/>
        <v>4.1497848696984878</v>
      </c>
      <c r="J385" s="1127">
        <f t="shared" si="94"/>
        <v>5.1075046454025781</v>
      </c>
      <c r="K385" s="1128">
        <f t="shared" si="94"/>
        <v>7.8889454092528393</v>
      </c>
      <c r="L385" s="1124">
        <f t="shared" si="94"/>
        <v>0.8464659845431286</v>
      </c>
      <c r="M385" s="1129">
        <f t="shared" ref="M385:Y388" si="95">VLOOKUP($B385,$B$7:$AC$28,M$37+1,FALSE)</f>
        <v>9.6719476082953495</v>
      </c>
      <c r="N385" s="1130">
        <f t="shared" si="95"/>
        <v>9.1630231095150338E-2</v>
      </c>
      <c r="O385" s="1148" t="str">
        <f t="shared" si="95"/>
        <v>¥</v>
      </c>
      <c r="P385" s="1132">
        <f t="shared" si="95"/>
        <v>0.34976819018989347</v>
      </c>
      <c r="Q385" s="1130">
        <f t="shared" si="95"/>
        <v>0.13477545507373562</v>
      </c>
      <c r="R385" s="1131">
        <f t="shared" si="95"/>
        <v>-0.4264373226073967</v>
      </c>
      <c r="S385" s="1132">
        <f t="shared" si="95"/>
        <v>9.7905485588969735E-2</v>
      </c>
      <c r="T385" s="1130">
        <f t="shared" si="95"/>
        <v>0.16024846762312819</v>
      </c>
      <c r="U385" s="1131">
        <f t="shared" si="95"/>
        <v>-0.25253039609468159</v>
      </c>
      <c r="V385" s="1132">
        <f t="shared" si="95"/>
        <v>0.12849893093161849</v>
      </c>
      <c r="W385" s="1124">
        <f t="shared" si="95"/>
        <v>2.5473012549392576E-2</v>
      </c>
      <c r="X385" s="1124">
        <f t="shared" si="95"/>
        <v>0.18900335031669008</v>
      </c>
      <c r="Y385" s="80" t="str">
        <f t="shared" si="95"/>
        <v>Not rated</v>
      </c>
      <c r="Z385" s="88"/>
      <c r="AA385" s="1128">
        <f t="shared" ref="AA385:AC388" si="96">VLOOKUP($B385,$B$7:$AC$28,AA$37+1,FALSE)</f>
        <v>1.265551414722516</v>
      </c>
      <c r="AB385" s="1135">
        <f t="shared" si="96"/>
        <v>0.38040351489576829</v>
      </c>
      <c r="AC385" s="131">
        <f t="shared" si="96"/>
        <v>1.242834927692577</v>
      </c>
    </row>
    <row r="386" spans="1:57">
      <c r="A386" s="1155" t="s">
        <v>507</v>
      </c>
      <c r="B386" s="73" t="s">
        <v>282</v>
      </c>
      <c r="C386" s="1149">
        <f t="shared" si="94"/>
        <v>5769.8566757446433</v>
      </c>
      <c r="D386" s="1150">
        <f t="shared" si="94"/>
        <v>1.4783777793466828E-2</v>
      </c>
      <c r="E386" s="1124">
        <f t="shared" si="94"/>
        <v>-0.24705029723080094</v>
      </c>
      <c r="F386" s="1124">
        <f t="shared" si="94"/>
        <v>-0.14527471832516198</v>
      </c>
      <c r="G386" s="1125">
        <f t="shared" si="94"/>
        <v>4026.3480952657014</v>
      </c>
      <c r="H386" s="1126">
        <f t="shared" si="94"/>
        <v>1.1149744044952231E-2</v>
      </c>
      <c r="I386" s="1127">
        <f t="shared" si="94"/>
        <v>2.446298838298576</v>
      </c>
      <c r="J386" s="1127">
        <f t="shared" si="94"/>
        <v>1.6476276710656086</v>
      </c>
      <c r="K386" s="1128">
        <f t="shared" si="94"/>
        <v>6.6837223425180285</v>
      </c>
      <c r="L386" s="1124">
        <f t="shared" si="94"/>
        <v>1.2127469272410992E-3</v>
      </c>
      <c r="M386" s="1129">
        <f t="shared" si="95"/>
        <v>5.5145354419406587</v>
      </c>
      <c r="N386" s="1130">
        <f t="shared" si="95"/>
        <v>0.67083419702973635</v>
      </c>
      <c r="O386" s="1131">
        <f t="shared" si="95"/>
        <v>-0.11335389957676706</v>
      </c>
      <c r="P386" s="1132">
        <f t="shared" si="95"/>
        <v>0.63639387890884902</v>
      </c>
      <c r="Q386" s="1130">
        <f t="shared" si="95"/>
        <v>0.1536920907726812</v>
      </c>
      <c r="R386" s="1131">
        <f t="shared" si="95"/>
        <v>1.6283818604559013</v>
      </c>
      <c r="S386" s="1132">
        <f t="shared" si="95"/>
        <v>0.2022242346359609</v>
      </c>
      <c r="T386" s="1130">
        <f t="shared" si="95"/>
        <v>0.20961441125119315</v>
      </c>
      <c r="U386" s="1131">
        <f t="shared" si="95"/>
        <v>0.84200521424561081</v>
      </c>
      <c r="V386" s="1132">
        <f t="shared" si="95"/>
        <v>0.28147528322389997</v>
      </c>
      <c r="W386" s="1124">
        <f t="shared" si="95"/>
        <v>5.592232047851195E-2</v>
      </c>
      <c r="X386" s="1124">
        <f t="shared" si="95"/>
        <v>0.36385945559959909</v>
      </c>
      <c r="Y386" s="80" t="str">
        <f t="shared" si="95"/>
        <v>Not rated</v>
      </c>
      <c r="Z386" s="88"/>
      <c r="AA386" s="1128">
        <f t="shared" si="96"/>
        <v>1.4399592566697517</v>
      </c>
      <c r="AB386" s="1135">
        <f t="shared" si="96"/>
        <v>0.8442860967329926</v>
      </c>
      <c r="AC386" s="131">
        <f t="shared" si="96"/>
        <v>1.5521418473212367</v>
      </c>
    </row>
    <row r="387" spans="1:57">
      <c r="A387" s="1156" t="s">
        <v>323</v>
      </c>
      <c r="B387" s="726" t="s">
        <v>773</v>
      </c>
      <c r="C387" s="1151">
        <f t="shared" si="94"/>
        <v>2121.4584571428572</v>
      </c>
      <c r="D387" s="1152">
        <f t="shared" si="94"/>
        <v>5.4356931534045982E-3</v>
      </c>
      <c r="E387" s="1136">
        <f t="shared" si="94"/>
        <v>-0.63331383871554725</v>
      </c>
      <c r="F387" s="1136">
        <f t="shared" si="94"/>
        <v>-0.53153825980990832</v>
      </c>
      <c r="G387" s="1137">
        <f t="shared" si="94"/>
        <v>960.23059999999998</v>
      </c>
      <c r="H387" s="1138">
        <f t="shared" si="94"/>
        <v>2.6590660223142948E-3</v>
      </c>
      <c r="I387" s="1139">
        <f t="shared" si="94"/>
        <v>6.3820660890696566</v>
      </c>
      <c r="J387" s="1139">
        <f t="shared" si="94"/>
        <v>3.126768479322696</v>
      </c>
      <c r="K387" s="1140">
        <f t="shared" si="94"/>
        <v>4.9107929634600707</v>
      </c>
      <c r="L387" s="1136">
        <f t="shared" si="94"/>
        <v>-0.2975700901517318</v>
      </c>
      <c r="M387" s="1141">
        <f t="shared" si="95"/>
        <v>3.6764587184436395</v>
      </c>
      <c r="N387" s="1142">
        <f t="shared" si="95"/>
        <v>0.95644485424869818</v>
      </c>
      <c r="O387" s="1143">
        <f t="shared" si="95"/>
        <v>5.7346309608293736E-3</v>
      </c>
      <c r="P387" s="1144">
        <f t="shared" si="95"/>
        <v>0.97265268915223335</v>
      </c>
      <c r="Q387" s="1142">
        <f t="shared" si="95"/>
        <v>0.16489915086810925</v>
      </c>
      <c r="R387" s="1143">
        <f t="shared" si="95"/>
        <v>2.0043608623878186</v>
      </c>
      <c r="S387" s="1144">
        <f t="shared" si="95"/>
        <v>0.32988338723452482</v>
      </c>
      <c r="T387" s="1142">
        <f t="shared" si="95"/>
        <v>0.27218937885351913</v>
      </c>
      <c r="U387" s="1143">
        <f t="shared" si="95"/>
        <v>1.2181747217666232</v>
      </c>
      <c r="V387" s="1144">
        <f t="shared" si="95"/>
        <v>0.4561905930983241</v>
      </c>
      <c r="W387" s="1136">
        <f t="shared" si="95"/>
        <v>0.10729022798540988</v>
      </c>
      <c r="X387" s="1136">
        <f t="shared" si="95"/>
        <v>0.65064148250965514</v>
      </c>
      <c r="Y387" s="1079" t="str">
        <f t="shared" si="95"/>
        <v>Not rated</v>
      </c>
      <c r="Z387" s="1121"/>
      <c r="AA387" s="1140">
        <f t="shared" si="96"/>
        <v>1.2440956586918632</v>
      </c>
      <c r="AB387" s="1147">
        <f t="shared" si="96"/>
        <v>0.5581122698382367</v>
      </c>
      <c r="AC387" s="1075">
        <f t="shared" si="96"/>
        <v>1.6771658832683087</v>
      </c>
    </row>
    <row r="388" spans="1:57">
      <c r="A388" s="1155" t="s">
        <v>27</v>
      </c>
      <c r="B388" s="73" t="s">
        <v>357</v>
      </c>
      <c r="C388" s="1149">
        <f t="shared" si="94"/>
        <v>504.56125714285719</v>
      </c>
      <c r="D388" s="1150">
        <f t="shared" si="94"/>
        <v>1.292808804099037E-3</v>
      </c>
      <c r="E388" s="1124">
        <f t="shared" si="94"/>
        <v>0.11241291049139049</v>
      </c>
      <c r="F388" s="1124">
        <f t="shared" si="94"/>
        <v>0.21418848939702945</v>
      </c>
      <c r="G388" s="1125">
        <f t="shared" si="94"/>
        <v>562.64409999999998</v>
      </c>
      <c r="H388" s="1126">
        <f t="shared" si="94"/>
        <v>1.5580713726115437E-3</v>
      </c>
      <c r="I388" s="1127">
        <f t="shared" si="94"/>
        <v>0.48825120153947199</v>
      </c>
      <c r="J388" s="1127">
        <f t="shared" si="94"/>
        <v>0.52140126030951717</v>
      </c>
      <c r="K388" s="1128">
        <f t="shared" si="94"/>
        <v>3.8552632920912293</v>
      </c>
      <c r="L388" s="1124">
        <f t="shared" si="94"/>
        <v>-0.11001004882442665</v>
      </c>
      <c r="M388" s="1129">
        <f t="shared" si="95"/>
        <v>3.9063069179772585</v>
      </c>
      <c r="N388" s="1130">
        <f t="shared" si="95"/>
        <v>0.90539538726018864</v>
      </c>
      <c r="O388" s="1131">
        <f t="shared" si="95"/>
        <v>-4.1189056985539901E-2</v>
      </c>
      <c r="P388" s="1132">
        <f t="shared" si="95"/>
        <v>0.90138346931536006</v>
      </c>
      <c r="Q388" s="1130">
        <f t="shared" si="95"/>
        <v>0.38160323267486906</v>
      </c>
      <c r="R388" s="1131">
        <f t="shared" si="95"/>
        <v>0.13281779457810056</v>
      </c>
      <c r="S388" s="1132">
        <f t="shared" si="95"/>
        <v>0.39444904186551905</v>
      </c>
      <c r="T388" s="1130">
        <f t="shared" si="95"/>
        <v>0.47841518539184064</v>
      </c>
      <c r="U388" s="1131">
        <f t="shared" si="95"/>
        <v>1.1717685634717274E-2</v>
      </c>
      <c r="V388" s="1132">
        <f t="shared" si="95"/>
        <v>0.46507375880431212</v>
      </c>
      <c r="W388" s="1124">
        <f t="shared" si="95"/>
        <v>9.6811952716971572E-2</v>
      </c>
      <c r="X388" s="1124">
        <f t="shared" si="95"/>
        <v>0.25369793656715856</v>
      </c>
      <c r="Y388" s="80" t="str">
        <f t="shared" si="95"/>
        <v>Not rated</v>
      </c>
      <c r="Z388" s="88"/>
      <c r="AA388" s="1128">
        <f t="shared" si="96"/>
        <v>1.832329792526622</v>
      </c>
      <c r="AB388" s="1135">
        <f t="shared" si="96"/>
        <v>-9.9442962217240083E-2</v>
      </c>
      <c r="AC388" s="131">
        <f t="shared" si="96"/>
        <v>1.8160302149559577</v>
      </c>
    </row>
    <row r="389" spans="1:57">
      <c r="Y389" s="1068"/>
      <c r="Z389" s="1068"/>
    </row>
    <row r="391" spans="1:57" s="107" customFormat="1">
      <c r="A391" s="1343" t="s">
        <v>1816</v>
      </c>
      <c r="D391" s="2371"/>
      <c r="H391" s="2371"/>
      <c r="I391" s="2371"/>
      <c r="J391" s="2371"/>
      <c r="AR391" s="2090"/>
      <c r="AS391" s="2090"/>
      <c r="AT391" s="2090"/>
      <c r="BE391" s="1616"/>
    </row>
    <row r="392" spans="1:57">
      <c r="Y392" s="1068"/>
      <c r="Z392" s="1068"/>
    </row>
    <row r="393" spans="1:57">
      <c r="Y393" s="1068"/>
      <c r="Z393" s="1068"/>
    </row>
    <row r="394" spans="1:57">
      <c r="Y394" s="1068"/>
      <c r="Z394" s="1068"/>
    </row>
    <row r="396" spans="1:57">
      <c r="Y396" s="1068"/>
      <c r="Z396" s="1068"/>
    </row>
  </sheetData>
  <sortState ref="A66:AC87">
    <sortCondition descending="1" ref="G66:G87"/>
  </sortState>
  <mergeCells count="18">
    <mergeCell ref="AA2:AB2"/>
    <mergeCell ref="W2:X2"/>
    <mergeCell ref="Y2:Z2"/>
    <mergeCell ref="I1:J1"/>
    <mergeCell ref="Q1:S1"/>
    <mergeCell ref="W1:X1"/>
    <mergeCell ref="Y1:Z1"/>
    <mergeCell ref="C2:F2"/>
    <mergeCell ref="G2:H2"/>
    <mergeCell ref="K2:L2"/>
    <mergeCell ref="N2:O2"/>
    <mergeCell ref="T2:U2"/>
    <mergeCell ref="Q2:R2"/>
    <mergeCell ref="C1:H1"/>
    <mergeCell ref="K1:M1"/>
    <mergeCell ref="N1:P1"/>
    <mergeCell ref="T1:V1"/>
    <mergeCell ref="AA1:AC1"/>
  </mergeCell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sheetPr>
    <tabColor theme="2"/>
  </sheetPr>
  <dimension ref="A1:BD431"/>
  <sheetViews>
    <sheetView showGridLines="0" zoomScale="85" zoomScaleNormal="85" zoomScaleSheetLayoutView="90" workbookViewId="0">
      <pane xSplit="1" ySplit="3" topLeftCell="B4" activePane="bottomRight" state="frozen"/>
      <selection pane="topRight" activeCell="B1" sqref="B1"/>
      <selection pane="bottomLeft" activeCell="A4" sqref="A4"/>
      <selection pane="bottomRight" activeCell="I11" sqref="I11"/>
    </sheetView>
  </sheetViews>
  <sheetFormatPr baseColWidth="10" defaultRowHeight="13.2"/>
  <cols>
    <col min="1" max="1" width="17.77734375" style="163" customWidth="1"/>
    <col min="2" max="2" width="13.21875" style="163" customWidth="1"/>
    <col min="3" max="3" width="36.44140625" style="163" customWidth="1"/>
    <col min="4" max="4" width="8.109375" style="349" customWidth="1"/>
    <col min="5" max="8" width="8.109375" style="264" customWidth="1"/>
    <col min="9" max="9" width="18.6640625" style="41" customWidth="1"/>
    <col min="10" max="10" width="6.88671875" style="273" customWidth="1"/>
    <col min="11" max="13" width="7" style="273" customWidth="1"/>
    <col min="14" max="14" width="7.5546875" style="273" customWidth="1"/>
    <col min="15" max="15" width="7" style="41" customWidth="1"/>
    <col min="16" max="16" width="8" style="45" customWidth="1"/>
    <col min="17" max="17" width="7.77734375" style="45" customWidth="1"/>
    <col min="18" max="18" width="8" style="45" customWidth="1"/>
    <col min="19" max="19" width="7.33203125" style="45" customWidth="1"/>
    <col min="20" max="20" width="7.21875" style="45" customWidth="1"/>
    <col min="21" max="21" width="7" style="45" customWidth="1"/>
    <col min="22" max="23" width="6.6640625" style="45" customWidth="1"/>
    <col min="24" max="24" width="8" style="163" customWidth="1"/>
    <col min="25" max="25" width="7.109375" style="163" customWidth="1"/>
    <col min="26" max="26" width="7.33203125" style="163" customWidth="1"/>
    <col min="27" max="33" width="6.6640625" style="163" customWidth="1"/>
    <col min="34" max="34" width="6.77734375" style="163" customWidth="1"/>
    <col min="35" max="35" width="6.6640625" style="163" customWidth="1"/>
    <col min="36" max="36" width="7.5546875" style="163" customWidth="1"/>
    <col min="37" max="44" width="6.6640625" style="163" customWidth="1"/>
    <col min="45" max="55" width="11.5546875" style="163"/>
    <col min="56" max="56" width="11.5546875" style="2389"/>
    <col min="57" max="16384" width="11.5546875" style="163"/>
  </cols>
  <sheetData>
    <row r="1" spans="1:56" s="169" customFormat="1">
      <c r="A1" s="110" t="s">
        <v>809</v>
      </c>
      <c r="B1" s="110" t="s">
        <v>810</v>
      </c>
      <c r="C1" s="256"/>
      <c r="D1" s="2370" t="s">
        <v>368</v>
      </c>
      <c r="E1" s="2324"/>
      <c r="F1" s="2324"/>
      <c r="G1" s="2324"/>
      <c r="H1" s="2325"/>
      <c r="J1" s="272"/>
      <c r="K1" s="263"/>
      <c r="L1" s="272"/>
      <c r="M1" s="272"/>
      <c r="N1" s="272"/>
      <c r="O1" s="40"/>
      <c r="P1" s="42"/>
      <c r="Q1" s="42"/>
      <c r="R1" s="42"/>
      <c r="S1" s="42"/>
      <c r="T1" s="42"/>
      <c r="U1" s="42"/>
      <c r="V1" s="42"/>
      <c r="W1" s="42"/>
      <c r="AB1" s="242">
        <v>100</v>
      </c>
      <c r="BD1" s="2388"/>
    </row>
    <row r="2" spans="1:56">
      <c r="D2" s="3136" t="s">
        <v>2603</v>
      </c>
      <c r="E2" s="172"/>
      <c r="F2" s="172"/>
      <c r="G2" s="172"/>
      <c r="H2" s="2326"/>
      <c r="K2" s="274"/>
    </row>
    <row r="3" spans="1:56" s="169" customFormat="1">
      <c r="A3" s="2353" t="s">
        <v>127</v>
      </c>
      <c r="B3" s="2354" t="s">
        <v>128</v>
      </c>
      <c r="C3" s="2355" t="s">
        <v>129</v>
      </c>
      <c r="D3" s="2366">
        <v>2013</v>
      </c>
      <c r="E3" s="2367">
        <v>2012</v>
      </c>
      <c r="F3" s="2367">
        <v>2011</v>
      </c>
      <c r="G3" s="2367">
        <v>2010</v>
      </c>
      <c r="H3" s="2368">
        <v>2009</v>
      </c>
      <c r="I3" s="2365" t="s">
        <v>369</v>
      </c>
      <c r="J3" s="2356" t="s">
        <v>367</v>
      </c>
      <c r="K3" s="2357">
        <v>2012</v>
      </c>
      <c r="L3" s="2357">
        <v>2011</v>
      </c>
      <c r="M3" s="2357">
        <v>2010</v>
      </c>
      <c r="N3" s="2358">
        <v>2009</v>
      </c>
      <c r="O3" s="271" t="s">
        <v>542</v>
      </c>
      <c r="P3" s="2363"/>
      <c r="Q3" s="2364" t="s">
        <v>543</v>
      </c>
      <c r="R3" s="2354" t="s">
        <v>367</v>
      </c>
      <c r="S3" s="2354">
        <v>2012</v>
      </c>
      <c r="T3" s="2354">
        <v>2011</v>
      </c>
      <c r="U3" s="2354">
        <v>2010</v>
      </c>
      <c r="V3" s="2355">
        <v>2009</v>
      </c>
      <c r="W3" s="2359" t="s">
        <v>905</v>
      </c>
      <c r="X3" s="2360"/>
      <c r="Y3" s="2361"/>
      <c r="Z3" s="2361"/>
      <c r="AA3" s="2361"/>
      <c r="AB3" s="2361"/>
      <c r="AC3" s="2361"/>
      <c r="AD3" s="2361"/>
      <c r="AE3" s="2361"/>
      <c r="AF3" s="2361"/>
      <c r="AG3" s="2361"/>
      <c r="AH3" s="2362"/>
      <c r="AI3" s="2361"/>
      <c r="AJ3" s="2361"/>
      <c r="AK3" s="2361"/>
      <c r="AL3" s="2361"/>
      <c r="AM3" s="2361"/>
      <c r="AN3" s="2361"/>
      <c r="AO3" s="2361"/>
      <c r="AP3" s="2361"/>
      <c r="AQ3" s="2361"/>
      <c r="AR3" s="2361"/>
      <c r="AS3" s="2361"/>
      <c r="AT3" s="2361"/>
      <c r="AU3" s="2361"/>
      <c r="AV3" s="2361"/>
      <c r="AW3" s="2361"/>
      <c r="AX3" s="2361"/>
      <c r="AY3" s="2361"/>
      <c r="AZ3" s="2361"/>
      <c r="BA3" s="2361"/>
      <c r="BB3" s="2362"/>
      <c r="BD3" s="2390" t="s">
        <v>1816</v>
      </c>
    </row>
    <row r="4" spans="1:56">
      <c r="A4" s="43"/>
      <c r="B4" s="43"/>
      <c r="C4" s="43"/>
      <c r="D4" s="2327"/>
      <c r="E4" s="265"/>
      <c r="F4" s="265"/>
      <c r="G4" s="265"/>
      <c r="H4" s="265"/>
      <c r="J4" s="275"/>
      <c r="K4" s="275"/>
      <c r="L4" s="275"/>
      <c r="M4" s="275"/>
      <c r="N4" s="275"/>
      <c r="O4" s="44"/>
      <c r="P4" s="163"/>
      <c r="Q4" s="45" t="s">
        <v>886</v>
      </c>
    </row>
    <row r="5" spans="1:56" s="172" customFormat="1">
      <c r="A5" s="255"/>
      <c r="B5" s="255"/>
      <c r="C5" s="255"/>
      <c r="D5" s="2328"/>
      <c r="E5" s="266"/>
      <c r="F5" s="266"/>
      <c r="G5" s="266"/>
      <c r="H5" s="266"/>
      <c r="I5" s="78"/>
      <c r="J5" s="276"/>
      <c r="K5" s="276"/>
      <c r="L5" s="276"/>
      <c r="M5" s="276"/>
      <c r="N5" s="276"/>
      <c r="O5" s="78"/>
      <c r="BD5" s="2391"/>
    </row>
    <row r="6" spans="1:56" s="2369" customFormat="1">
      <c r="A6" s="748" t="s">
        <v>37</v>
      </c>
      <c r="B6" s="749" t="s">
        <v>370</v>
      </c>
      <c r="C6" s="750" t="s">
        <v>130</v>
      </c>
      <c r="D6" s="2329"/>
      <c r="E6" s="751">
        <v>35.18</v>
      </c>
      <c r="F6" s="751">
        <v>34.86</v>
      </c>
      <c r="G6" s="751">
        <v>34.950000000000003</v>
      </c>
      <c r="H6" s="751"/>
      <c r="I6" s="752"/>
      <c r="J6" s="753"/>
      <c r="K6" s="753"/>
      <c r="L6" s="753"/>
      <c r="M6" s="753"/>
      <c r="N6" s="753"/>
      <c r="O6" s="752"/>
      <c r="P6" s="750"/>
      <c r="Q6" s="755"/>
      <c r="R6" s="750"/>
      <c r="S6" s="750"/>
      <c r="T6" s="765"/>
      <c r="U6" s="756"/>
      <c r="V6" s="756"/>
      <c r="W6" s="756"/>
      <c r="X6" s="756"/>
      <c r="Y6" s="755"/>
      <c r="Z6" s="750"/>
      <c r="AA6" s="750"/>
      <c r="AB6" s="750"/>
      <c r="AC6" s="750"/>
      <c r="AD6" s="750"/>
      <c r="AE6" s="750"/>
      <c r="AF6" s="750"/>
      <c r="AG6" s="750"/>
      <c r="AH6" s="750"/>
      <c r="AI6" s="750"/>
      <c r="AJ6" s="750"/>
      <c r="AK6" s="750"/>
      <c r="AL6" s="750"/>
      <c r="AM6" s="750"/>
      <c r="AN6" s="750"/>
      <c r="AO6" s="750"/>
      <c r="AP6" s="750"/>
      <c r="AQ6" s="750"/>
      <c r="AR6" s="750"/>
      <c r="AS6" s="750"/>
      <c r="AT6" s="750"/>
      <c r="AU6" s="750"/>
      <c r="AV6" s="750"/>
      <c r="AW6" s="750"/>
      <c r="AX6" s="750"/>
      <c r="AY6" s="750"/>
      <c r="AZ6" s="750"/>
      <c r="BA6" s="750"/>
      <c r="BB6" s="750"/>
      <c r="BD6" s="2392"/>
    </row>
    <row r="7" spans="1:56" s="2324" customFormat="1">
      <c r="A7" s="784"/>
      <c r="B7" s="756"/>
      <c r="C7" s="756" t="s">
        <v>132</v>
      </c>
      <c r="D7" s="849"/>
      <c r="E7" s="757">
        <v>34.770000000000003</v>
      </c>
      <c r="F7" s="757">
        <v>35.79</v>
      </c>
      <c r="G7" s="757">
        <v>35.729999999999997</v>
      </c>
      <c r="H7" s="757"/>
      <c r="I7" s="766"/>
      <c r="J7" s="767"/>
      <c r="K7" s="767"/>
      <c r="L7" s="767"/>
      <c r="M7" s="767"/>
      <c r="N7" s="767"/>
      <c r="O7" s="766"/>
      <c r="P7" s="756"/>
      <c r="Q7" s="785"/>
      <c r="R7" s="756"/>
      <c r="S7" s="756"/>
      <c r="T7" s="785"/>
      <c r="U7" s="785"/>
      <c r="V7" s="756"/>
      <c r="W7" s="765" t="s">
        <v>922</v>
      </c>
      <c r="X7" s="765"/>
      <c r="Y7" s="765"/>
      <c r="Z7" s="765"/>
      <c r="AA7" s="765" t="s">
        <v>909</v>
      </c>
      <c r="AB7" s="756"/>
      <c r="AC7" s="766" t="s">
        <v>921</v>
      </c>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D7" s="2388"/>
    </row>
    <row r="8" spans="1:56" s="2324" customFormat="1">
      <c r="A8" s="784"/>
      <c r="B8" s="756"/>
      <c r="C8" s="756" t="s">
        <v>133</v>
      </c>
      <c r="D8" s="849"/>
      <c r="E8" s="757">
        <v>24.93</v>
      </c>
      <c r="F8" s="757">
        <v>23.8</v>
      </c>
      <c r="G8" s="757">
        <v>23.76</v>
      </c>
      <c r="H8" s="757"/>
      <c r="I8" s="766"/>
      <c r="J8" s="767"/>
      <c r="K8" s="767"/>
      <c r="L8" s="767"/>
      <c r="M8" s="767"/>
      <c r="N8" s="767"/>
      <c r="O8" s="766"/>
      <c r="P8" s="761" t="s">
        <v>134</v>
      </c>
      <c r="Q8" s="786" t="s">
        <v>55</v>
      </c>
      <c r="R8" s="786">
        <v>517</v>
      </c>
      <c r="S8" s="786">
        <v>1096</v>
      </c>
      <c r="T8" s="786">
        <v>1104</v>
      </c>
      <c r="U8" s="786">
        <v>1142</v>
      </c>
      <c r="V8" s="786">
        <v>1161</v>
      </c>
      <c r="W8" s="786">
        <v>1175</v>
      </c>
      <c r="X8" s="756"/>
      <c r="Y8" s="756"/>
      <c r="Z8" s="756"/>
      <c r="AA8" s="786">
        <v>563</v>
      </c>
      <c r="AB8" s="756"/>
      <c r="AC8" s="766" t="s">
        <v>927</v>
      </c>
      <c r="AD8" s="787"/>
      <c r="AE8" s="787"/>
      <c r="AF8" s="787"/>
      <c r="AG8" s="756"/>
      <c r="AH8" s="756"/>
      <c r="AI8" s="756"/>
      <c r="AJ8" s="756"/>
      <c r="AK8" s="756"/>
      <c r="AL8" s="756"/>
      <c r="AM8" s="756"/>
      <c r="AN8" s="756"/>
      <c r="AO8" s="756"/>
      <c r="AP8" s="756"/>
      <c r="AQ8" s="756"/>
      <c r="AR8" s="756"/>
      <c r="AS8" s="756"/>
      <c r="AT8" s="756"/>
      <c r="AU8" s="756"/>
      <c r="AV8" s="756"/>
      <c r="AW8" s="756"/>
      <c r="AX8" s="756"/>
      <c r="AY8" s="756"/>
      <c r="AZ8" s="756"/>
      <c r="BA8" s="756"/>
      <c r="BB8" s="756"/>
      <c r="BD8" s="2388"/>
    </row>
    <row r="9" spans="1:56" s="2324" customFormat="1">
      <c r="A9" s="756"/>
      <c r="B9" s="756"/>
      <c r="C9" s="756" t="s">
        <v>135</v>
      </c>
      <c r="D9" s="849"/>
      <c r="E9" s="757">
        <v>4.6100000000000003</v>
      </c>
      <c r="F9" s="757">
        <v>4.84</v>
      </c>
      <c r="G9" s="757">
        <v>5.05</v>
      </c>
      <c r="H9" s="757"/>
      <c r="I9" s="766"/>
      <c r="J9" s="767"/>
      <c r="K9" s="767"/>
      <c r="L9" s="767"/>
      <c r="M9" s="767"/>
      <c r="N9" s="767"/>
      <c r="O9" s="766"/>
      <c r="P9" s="788"/>
      <c r="Q9" s="786" t="s">
        <v>372</v>
      </c>
      <c r="R9" s="786">
        <v>560</v>
      </c>
      <c r="S9" s="786">
        <v>1133</v>
      </c>
      <c r="T9" s="786">
        <v>1099</v>
      </c>
      <c r="U9" s="786">
        <v>1139</v>
      </c>
      <c r="V9" s="786">
        <v>1163</v>
      </c>
      <c r="W9" s="786">
        <v>1239</v>
      </c>
      <c r="X9" s="756"/>
      <c r="Y9" s="756"/>
      <c r="Z9" s="756"/>
      <c r="AA9" s="786">
        <v>564</v>
      </c>
      <c r="AB9" s="756"/>
      <c r="AC9" s="756"/>
      <c r="AD9" s="787"/>
      <c r="AE9" s="787"/>
      <c r="AF9" s="787"/>
      <c r="AG9" s="756"/>
      <c r="AH9" s="756"/>
      <c r="AI9" s="756"/>
      <c r="AJ9" s="756"/>
      <c r="AK9" s="756"/>
      <c r="AL9" s="756"/>
      <c r="AM9" s="756"/>
      <c r="AN9" s="756"/>
      <c r="AO9" s="756"/>
      <c r="AP9" s="756"/>
      <c r="AQ9" s="756"/>
      <c r="AR9" s="756"/>
      <c r="AS9" s="756"/>
      <c r="AT9" s="756"/>
      <c r="AU9" s="756"/>
      <c r="AV9" s="756"/>
      <c r="AW9" s="756"/>
      <c r="AX9" s="756"/>
      <c r="AY9" s="756"/>
      <c r="AZ9" s="756"/>
      <c r="BA9" s="756"/>
      <c r="BB9" s="756"/>
      <c r="BD9" s="2388"/>
    </row>
    <row r="10" spans="1:56" s="2324" customFormat="1">
      <c r="A10" s="756"/>
      <c r="B10" s="779" t="s">
        <v>370</v>
      </c>
      <c r="C10" s="779" t="s">
        <v>137</v>
      </c>
      <c r="D10" s="2330"/>
      <c r="E10" s="757">
        <v>60.62</v>
      </c>
      <c r="F10" s="757">
        <v>60.72</v>
      </c>
      <c r="G10" s="757" t="s">
        <v>138</v>
      </c>
      <c r="H10" s="757" t="s">
        <v>138</v>
      </c>
      <c r="I10" s="766"/>
      <c r="J10" s="767"/>
      <c r="K10" s="767" t="s">
        <v>561</v>
      </c>
      <c r="L10" s="789" t="s">
        <v>561</v>
      </c>
      <c r="M10" s="790"/>
      <c r="N10" s="790"/>
      <c r="O10" s="791"/>
      <c r="P10" s="761" t="s">
        <v>136</v>
      </c>
      <c r="Q10" s="786" t="s">
        <v>55</v>
      </c>
      <c r="R10" s="786">
        <v>217</v>
      </c>
      <c r="S10" s="786">
        <v>640</v>
      </c>
      <c r="T10" s="786">
        <v>677</v>
      </c>
      <c r="U10" s="786">
        <v>702</v>
      </c>
      <c r="V10" s="786">
        <v>759</v>
      </c>
      <c r="W10" s="786">
        <v>771</v>
      </c>
      <c r="X10" s="756"/>
      <c r="Y10" s="756"/>
      <c r="Z10" s="756"/>
      <c r="AA10" s="786">
        <v>328</v>
      </c>
      <c r="AB10" s="756"/>
      <c r="AC10" s="765" t="s">
        <v>926</v>
      </c>
      <c r="AD10" s="756"/>
      <c r="AE10" s="756"/>
      <c r="AF10" s="756"/>
      <c r="AG10" s="756"/>
      <c r="AH10" s="756"/>
      <c r="AI10" s="756"/>
      <c r="AJ10" s="756"/>
      <c r="AK10" s="756"/>
      <c r="AL10" s="756"/>
      <c r="AM10" s="756"/>
      <c r="AN10" s="756"/>
      <c r="AO10" s="756"/>
      <c r="AP10" s="756"/>
      <c r="AQ10" s="756"/>
      <c r="AR10" s="756"/>
      <c r="AS10" s="756"/>
      <c r="AT10" s="756"/>
      <c r="AU10" s="756"/>
      <c r="AV10" s="756"/>
      <c r="AW10" s="756"/>
      <c r="AX10" s="756"/>
      <c r="AY10" s="756"/>
      <c r="AZ10" s="756"/>
      <c r="BA10" s="756"/>
      <c r="BB10" s="756"/>
      <c r="BD10" s="2388"/>
    </row>
    <row r="11" spans="1:56" s="2324" customFormat="1">
      <c r="A11" s="756"/>
      <c r="B11" s="779"/>
      <c r="C11" s="779" t="s">
        <v>140</v>
      </c>
      <c r="D11" s="2330"/>
      <c r="E11" s="757">
        <v>39.380000000000003</v>
      </c>
      <c r="F11" s="757">
        <v>39.28</v>
      </c>
      <c r="G11" s="757" t="s">
        <v>138</v>
      </c>
      <c r="H11" s="757" t="s">
        <v>138</v>
      </c>
      <c r="I11" s="781" t="s">
        <v>373</v>
      </c>
      <c r="J11" s="838">
        <f>R12/R14</f>
        <v>0.34852801519468185</v>
      </c>
      <c r="K11" s="839">
        <f>S12/S14</f>
        <v>0.38560639715681921</v>
      </c>
      <c r="L11" s="839">
        <f>T12/T14</f>
        <v>0.39272326350606396</v>
      </c>
      <c r="M11" s="838">
        <f>U12/U14</f>
        <v>0.39401709401709401</v>
      </c>
      <c r="N11" s="838">
        <f>V12/V14</f>
        <v>0.39983340274885465</v>
      </c>
      <c r="O11" s="756"/>
      <c r="P11" s="788"/>
      <c r="Q11" s="786" t="s">
        <v>372</v>
      </c>
      <c r="R11" s="786">
        <v>812</v>
      </c>
      <c r="S11" s="786">
        <v>1633</v>
      </c>
      <c r="T11" s="786">
        <v>1655</v>
      </c>
      <c r="U11" s="786">
        <v>1697</v>
      </c>
      <c r="V11" s="786">
        <v>1719</v>
      </c>
      <c r="W11" s="786">
        <v>1729</v>
      </c>
      <c r="X11" s="756"/>
      <c r="Y11" s="756"/>
      <c r="Z11" s="792"/>
      <c r="AA11" s="786">
        <v>817</v>
      </c>
      <c r="AB11" s="756"/>
      <c r="AC11" s="765" t="s">
        <v>906</v>
      </c>
      <c r="AD11" s="756"/>
      <c r="AE11" s="756"/>
      <c r="AF11" s="756"/>
      <c r="AG11" s="756"/>
      <c r="AH11" s="756"/>
      <c r="AI11" s="756"/>
      <c r="AJ11" s="756"/>
      <c r="AK11" s="756"/>
      <c r="AL11" s="756"/>
      <c r="AM11" s="756"/>
      <c r="AN11" s="756"/>
      <c r="AO11" s="756"/>
      <c r="AP11" s="756"/>
      <c r="AQ11" s="756"/>
      <c r="AR11" s="756"/>
      <c r="AS11" s="756"/>
      <c r="AT11" s="756"/>
      <c r="AU11" s="756"/>
      <c r="AV11" s="756"/>
      <c r="AW11" s="756"/>
      <c r="AX11" s="756"/>
      <c r="AY11" s="756"/>
      <c r="AZ11" s="756"/>
      <c r="BA11" s="756"/>
      <c r="BB11" s="756"/>
      <c r="BD11" s="2388"/>
    </row>
    <row r="12" spans="1:56" s="2324" customFormat="1">
      <c r="A12" s="756"/>
      <c r="B12" s="756" t="s">
        <v>141</v>
      </c>
      <c r="C12" s="756" t="s">
        <v>132</v>
      </c>
      <c r="D12" s="849"/>
      <c r="E12" s="757">
        <v>62.07</v>
      </c>
      <c r="F12" s="757">
        <v>61.98</v>
      </c>
      <c r="G12" s="757">
        <v>61.06</v>
      </c>
      <c r="H12" s="757"/>
      <c r="I12" s="766"/>
      <c r="J12" s="834">
        <f>AA12/AA14</f>
        <v>0.3921654929577465</v>
      </c>
      <c r="K12" s="767" t="s">
        <v>911</v>
      </c>
      <c r="L12" s="767"/>
      <c r="M12" s="835" t="s">
        <v>910</v>
      </c>
      <c r="N12" s="794">
        <f>W12/W14</f>
        <v>0.39601139601139601</v>
      </c>
      <c r="O12" s="793"/>
      <c r="P12" s="760" t="s">
        <v>903</v>
      </c>
      <c r="Q12" s="786" t="s">
        <v>55</v>
      </c>
      <c r="R12" s="828">
        <f>R8+R10</f>
        <v>734</v>
      </c>
      <c r="S12" s="828">
        <f>S8+S10</f>
        <v>1736</v>
      </c>
      <c r="T12" s="828">
        <f t="shared" ref="T12:V13" si="0">T8+T10</f>
        <v>1781</v>
      </c>
      <c r="U12" s="828">
        <f t="shared" si="0"/>
        <v>1844</v>
      </c>
      <c r="V12" s="828">
        <f t="shared" si="0"/>
        <v>1920</v>
      </c>
      <c r="W12" s="828">
        <f>W8+W10</f>
        <v>1946</v>
      </c>
      <c r="X12" s="756"/>
      <c r="Y12" s="756"/>
      <c r="Z12" s="756"/>
      <c r="AA12" s="828">
        <f>AA8+AA10</f>
        <v>891</v>
      </c>
      <c r="AB12" s="756"/>
      <c r="AC12" s="766" t="s">
        <v>941</v>
      </c>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D12" s="2388"/>
    </row>
    <row r="13" spans="1:56" s="2324" customFormat="1">
      <c r="A13" s="756"/>
      <c r="B13" s="756"/>
      <c r="C13" s="756" t="s">
        <v>130</v>
      </c>
      <c r="D13" s="849"/>
      <c r="E13" s="757">
        <v>55.24</v>
      </c>
      <c r="F13" s="757">
        <v>53.61</v>
      </c>
      <c r="G13" s="757">
        <v>54.06</v>
      </c>
      <c r="H13" s="757"/>
      <c r="I13" s="766"/>
      <c r="J13" s="767"/>
      <c r="K13" s="767"/>
      <c r="L13" s="757"/>
      <c r="M13" s="767"/>
      <c r="N13" s="767"/>
      <c r="O13" s="756"/>
      <c r="P13" s="756"/>
      <c r="Q13" s="786" t="s">
        <v>372</v>
      </c>
      <c r="R13" s="828">
        <f>R9+R11</f>
        <v>1372</v>
      </c>
      <c r="S13" s="828">
        <f>S9+S11</f>
        <v>2766</v>
      </c>
      <c r="T13" s="828">
        <f t="shared" si="0"/>
        <v>2754</v>
      </c>
      <c r="U13" s="828">
        <f t="shared" si="0"/>
        <v>2836</v>
      </c>
      <c r="V13" s="828">
        <f t="shared" si="0"/>
        <v>2882</v>
      </c>
      <c r="W13" s="828">
        <f>W9+W11</f>
        <v>2968</v>
      </c>
      <c r="X13" s="756"/>
      <c r="Y13" s="756"/>
      <c r="Z13" s="792"/>
      <c r="AA13" s="828">
        <f>AA9+AA11</f>
        <v>1381</v>
      </c>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D13" s="2388"/>
    </row>
    <row r="14" spans="1:56" s="2324" customFormat="1">
      <c r="A14" s="756"/>
      <c r="B14" s="756"/>
      <c r="C14" s="756" t="s">
        <v>133</v>
      </c>
      <c r="D14" s="849"/>
      <c r="E14" s="757">
        <v>7.23</v>
      </c>
      <c r="F14" s="757">
        <v>6.38</v>
      </c>
      <c r="G14" s="757">
        <v>6.5</v>
      </c>
      <c r="H14" s="757"/>
      <c r="I14" s="766"/>
      <c r="J14" s="767"/>
      <c r="K14" s="767"/>
      <c r="L14" s="767"/>
      <c r="M14" s="767"/>
      <c r="N14" s="767"/>
      <c r="O14" s="766"/>
      <c r="P14" s="765"/>
      <c r="Q14" s="765" t="s">
        <v>139</v>
      </c>
      <c r="R14" s="766">
        <f t="shared" ref="R14:W14" si="1">R12+R13</f>
        <v>2106</v>
      </c>
      <c r="S14" s="766">
        <f t="shared" si="1"/>
        <v>4502</v>
      </c>
      <c r="T14" s="766">
        <f t="shared" si="1"/>
        <v>4535</v>
      </c>
      <c r="U14" s="766">
        <f t="shared" si="1"/>
        <v>4680</v>
      </c>
      <c r="V14" s="766">
        <f t="shared" si="1"/>
        <v>4802</v>
      </c>
      <c r="W14" s="766">
        <f t="shared" si="1"/>
        <v>4914</v>
      </c>
      <c r="X14" s="756"/>
      <c r="Y14" s="756">
        <v>2008</v>
      </c>
      <c r="Z14" s="756"/>
      <c r="AA14" s="766">
        <f>AA12+AA13</f>
        <v>2272</v>
      </c>
      <c r="AB14" s="756"/>
      <c r="AC14" s="765" t="s">
        <v>907</v>
      </c>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D14" s="2388"/>
    </row>
    <row r="15" spans="1:56" s="2324" customFormat="1">
      <c r="A15" s="756"/>
      <c r="B15" s="756"/>
      <c r="C15" s="756"/>
      <c r="D15" s="849"/>
      <c r="E15" s="757"/>
      <c r="F15" s="757"/>
      <c r="G15" s="757"/>
      <c r="H15" s="757"/>
      <c r="I15" s="756"/>
      <c r="J15" s="767"/>
      <c r="K15" s="767"/>
      <c r="L15" s="767"/>
      <c r="M15" s="767"/>
      <c r="N15" s="767"/>
      <c r="O15" s="766"/>
      <c r="P15" s="761" t="s">
        <v>374</v>
      </c>
      <c r="Q15" s="786" t="s">
        <v>55</v>
      </c>
      <c r="R15" s="832">
        <f>R20*$X$15</f>
        <v>29.8</v>
      </c>
      <c r="S15" s="832">
        <f>S20*$X$15</f>
        <v>60.800000000000004</v>
      </c>
      <c r="T15" s="832">
        <f>T20*$X$15</f>
        <v>63.6</v>
      </c>
      <c r="U15" s="832">
        <f>U20*$X$15</f>
        <v>68.400000000000006</v>
      </c>
      <c r="V15" s="832">
        <f>V20*$X$15</f>
        <v>77.2</v>
      </c>
      <c r="W15" s="786">
        <v>77</v>
      </c>
      <c r="X15" s="830">
        <f>W15/(W15+W16)</f>
        <v>0.2</v>
      </c>
      <c r="Y15" s="786">
        <v>85</v>
      </c>
      <c r="Z15" s="830">
        <f>Y15/(Y15+Y16)</f>
        <v>0.20481927710843373</v>
      </c>
      <c r="AA15" s="832">
        <f>AA20*$X$15</f>
        <v>30.8</v>
      </c>
      <c r="AB15" s="756"/>
      <c r="AC15" s="765" t="s">
        <v>908</v>
      </c>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D15" s="2388"/>
    </row>
    <row r="16" spans="1:56" s="2324" customFormat="1">
      <c r="A16" s="756"/>
      <c r="B16" s="756"/>
      <c r="C16" s="756"/>
      <c r="D16" s="849"/>
      <c r="E16" s="757"/>
      <c r="F16" s="757"/>
      <c r="G16" s="757"/>
      <c r="H16" s="757"/>
      <c r="I16" s="756"/>
      <c r="J16" s="767" t="s">
        <v>923</v>
      </c>
      <c r="K16" s="767"/>
      <c r="L16" s="767"/>
      <c r="M16" s="767"/>
      <c r="N16" s="767"/>
      <c r="O16" s="766"/>
      <c r="P16" s="788"/>
      <c r="Q16" s="786" t="s">
        <v>372</v>
      </c>
      <c r="R16" s="832">
        <f>R20*$X$16</f>
        <v>119.2</v>
      </c>
      <c r="S16" s="832">
        <f>S20*$X$16</f>
        <v>243.20000000000002</v>
      </c>
      <c r="T16" s="832">
        <f>T20*$X$16</f>
        <v>254.4</v>
      </c>
      <c r="U16" s="832">
        <f>U20*$X$16</f>
        <v>273.60000000000002</v>
      </c>
      <c r="V16" s="832">
        <f>V20*$X$16</f>
        <v>308.8</v>
      </c>
      <c r="W16" s="786">
        <v>308</v>
      </c>
      <c r="X16" s="830">
        <f>1-X15</f>
        <v>0.8</v>
      </c>
      <c r="Y16" s="786">
        <v>330</v>
      </c>
      <c r="Z16" s="830">
        <f>1-Z15</f>
        <v>0.79518072289156627</v>
      </c>
      <c r="AA16" s="832">
        <f>AA20*$X$16</f>
        <v>123.2</v>
      </c>
      <c r="AB16" s="756"/>
      <c r="AC16" s="831" t="s">
        <v>920</v>
      </c>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D16" s="2388"/>
    </row>
    <row r="17" spans="1:56" s="2324" customFormat="1">
      <c r="A17" s="756"/>
      <c r="B17" s="756"/>
      <c r="C17" s="756"/>
      <c r="D17" s="849"/>
      <c r="E17" s="757"/>
      <c r="F17" s="757"/>
      <c r="G17" s="757"/>
      <c r="H17" s="849"/>
      <c r="I17" s="868" t="s">
        <v>373</v>
      </c>
      <c r="J17" s="915">
        <f>R17/R19</f>
        <v>0.33871396895787137</v>
      </c>
      <c r="K17" s="916">
        <f>S17/S19</f>
        <v>0.37386600083229293</v>
      </c>
      <c r="L17" s="916">
        <f>T17/T19</f>
        <v>0.3800947867298578</v>
      </c>
      <c r="M17" s="916">
        <f>U17/U19</f>
        <v>0.38080446037435289</v>
      </c>
      <c r="N17" s="916">
        <f>V17/V19</f>
        <v>0.38496530454895916</v>
      </c>
      <c r="O17" s="766"/>
      <c r="P17" s="761" t="s">
        <v>139</v>
      </c>
      <c r="Q17" s="786" t="s">
        <v>55</v>
      </c>
      <c r="R17" s="832">
        <f t="shared" ref="R17:W18" si="2">R12+R15</f>
        <v>763.8</v>
      </c>
      <c r="S17" s="832">
        <f t="shared" si="2"/>
        <v>1796.8</v>
      </c>
      <c r="T17" s="832">
        <f t="shared" si="2"/>
        <v>1844.6</v>
      </c>
      <c r="U17" s="832">
        <f t="shared" si="2"/>
        <v>1912.4</v>
      </c>
      <c r="V17" s="832">
        <f t="shared" si="2"/>
        <v>1997.2</v>
      </c>
      <c r="W17" s="828">
        <f t="shared" si="2"/>
        <v>2023</v>
      </c>
      <c r="X17" s="756"/>
      <c r="Y17" s="756"/>
      <c r="Z17" s="756"/>
      <c r="AA17" s="832">
        <f>AA12+AA15</f>
        <v>921.8</v>
      </c>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D17" s="2388"/>
    </row>
    <row r="18" spans="1:56" s="2324" customFormat="1">
      <c r="A18" s="756"/>
      <c r="B18" s="756"/>
      <c r="C18" s="756"/>
      <c r="D18" s="849"/>
      <c r="E18" s="757"/>
      <c r="F18" s="757"/>
      <c r="G18" s="757"/>
      <c r="H18" s="757"/>
      <c r="I18" s="766"/>
      <c r="J18" s="834">
        <f>AA17/AA19</f>
        <v>0.3799670239076669</v>
      </c>
      <c r="K18" s="767" t="s">
        <v>911</v>
      </c>
      <c r="L18" s="767"/>
      <c r="M18" s="835" t="s">
        <v>910</v>
      </c>
      <c r="N18" s="794">
        <f>W17/W19</f>
        <v>0.3817701453104359</v>
      </c>
      <c r="O18" s="766"/>
      <c r="P18" s="756"/>
      <c r="Q18" s="786" t="s">
        <v>372</v>
      </c>
      <c r="R18" s="832">
        <f t="shared" si="2"/>
        <v>1491.2</v>
      </c>
      <c r="S18" s="832">
        <f t="shared" si="2"/>
        <v>3009.2</v>
      </c>
      <c r="T18" s="832">
        <f t="shared" si="2"/>
        <v>3008.4</v>
      </c>
      <c r="U18" s="832">
        <f t="shared" si="2"/>
        <v>3109.6</v>
      </c>
      <c r="V18" s="832">
        <f t="shared" si="2"/>
        <v>3190.8</v>
      </c>
      <c r="W18" s="828">
        <f t="shared" si="2"/>
        <v>3276</v>
      </c>
      <c r="X18" s="756"/>
      <c r="Y18" s="756"/>
      <c r="Z18" s="756"/>
      <c r="AA18" s="832">
        <f>AA13+AA16</f>
        <v>1504.2</v>
      </c>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D18" s="2388"/>
    </row>
    <row r="19" spans="1:56" s="2324" customFormat="1">
      <c r="A19" s="756"/>
      <c r="B19" s="756"/>
      <c r="C19" s="756"/>
      <c r="D19" s="849"/>
      <c r="E19" s="757"/>
      <c r="F19" s="757"/>
      <c r="G19" s="757"/>
      <c r="H19" s="757"/>
      <c r="I19" s="766"/>
      <c r="J19" s="767"/>
      <c r="K19" s="767"/>
      <c r="L19" s="767"/>
      <c r="M19" s="767"/>
      <c r="N19" s="767"/>
      <c r="O19" s="766"/>
      <c r="P19" s="765"/>
      <c r="Q19" s="756"/>
      <c r="R19" s="762">
        <f t="shared" ref="R19:W19" si="3">R17+R18</f>
        <v>2255</v>
      </c>
      <c r="S19" s="762">
        <f t="shared" si="3"/>
        <v>4806</v>
      </c>
      <c r="T19" s="762">
        <f t="shared" si="3"/>
        <v>4853</v>
      </c>
      <c r="U19" s="762">
        <f t="shared" si="3"/>
        <v>5022</v>
      </c>
      <c r="V19" s="762">
        <f t="shared" si="3"/>
        <v>5188</v>
      </c>
      <c r="W19" s="829">
        <f t="shared" si="3"/>
        <v>5299</v>
      </c>
      <c r="X19" s="756"/>
      <c r="Y19" s="756"/>
      <c r="Z19" s="756"/>
      <c r="AA19" s="762">
        <f>AA17+AA18</f>
        <v>2426</v>
      </c>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D19" s="2388"/>
    </row>
    <row r="20" spans="1:56" s="2324" customFormat="1">
      <c r="A20" s="756"/>
      <c r="B20" s="756"/>
      <c r="C20" s="756"/>
      <c r="D20" s="849"/>
      <c r="E20" s="757"/>
      <c r="F20" s="757"/>
      <c r="G20" s="757"/>
      <c r="H20" s="757"/>
      <c r="I20" s="766"/>
      <c r="J20" s="767"/>
      <c r="K20" s="767"/>
      <c r="L20" s="767"/>
      <c r="M20" s="767"/>
      <c r="N20" s="767"/>
      <c r="O20" s="766"/>
      <c r="P20" s="786" t="s">
        <v>374</v>
      </c>
      <c r="Q20" s="786" t="s">
        <v>139</v>
      </c>
      <c r="R20" s="786">
        <v>149</v>
      </c>
      <c r="S20" s="786">
        <v>304</v>
      </c>
      <c r="T20" s="786">
        <v>318</v>
      </c>
      <c r="U20" s="786">
        <v>342</v>
      </c>
      <c r="V20" s="786">
        <v>386</v>
      </c>
      <c r="W20" s="786">
        <v>386</v>
      </c>
      <c r="X20" s="756"/>
      <c r="Y20" s="756"/>
      <c r="Z20" s="756"/>
      <c r="AA20" s="786">
        <v>154</v>
      </c>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D20" s="2388"/>
    </row>
    <row r="21" spans="1:56" s="2324" customFormat="1">
      <c r="A21" s="756"/>
      <c r="B21" s="756"/>
      <c r="C21" s="756"/>
      <c r="D21" s="849"/>
      <c r="E21" s="757"/>
      <c r="F21" s="757"/>
      <c r="G21" s="757"/>
      <c r="H21" s="757"/>
      <c r="I21" s="766"/>
      <c r="J21" s="767"/>
      <c r="K21" s="767"/>
      <c r="L21" s="767"/>
      <c r="M21" s="767"/>
      <c r="N21" s="767"/>
      <c r="O21" s="766"/>
      <c r="P21" s="765"/>
      <c r="Q21" s="841" t="s">
        <v>938</v>
      </c>
      <c r="R21" s="830">
        <f t="shared" ref="R21:W21" si="4">R20/R19</f>
        <v>6.6075388026607534E-2</v>
      </c>
      <c r="S21" s="830">
        <f t="shared" si="4"/>
        <v>6.3254265501456519E-2</v>
      </c>
      <c r="T21" s="830">
        <f t="shared" si="4"/>
        <v>6.5526478466927676E-2</v>
      </c>
      <c r="U21" s="830">
        <f t="shared" si="4"/>
        <v>6.8100358422939072E-2</v>
      </c>
      <c r="V21" s="830">
        <f t="shared" si="4"/>
        <v>7.4402467232074013E-2</v>
      </c>
      <c r="W21" s="830">
        <f t="shared" si="4"/>
        <v>7.2843932817512738E-2</v>
      </c>
      <c r="X21" s="756"/>
      <c r="Y21" s="756"/>
      <c r="Z21" s="756"/>
      <c r="AA21" s="765"/>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D21" s="2388"/>
    </row>
    <row r="22" spans="1:56" s="2324" customFormat="1">
      <c r="A22" s="756"/>
      <c r="B22" s="756"/>
      <c r="C22" s="756"/>
      <c r="D22" s="849"/>
      <c r="E22" s="757"/>
      <c r="F22" s="757"/>
      <c r="G22" s="757"/>
      <c r="H22" s="757"/>
      <c r="I22" s="766"/>
      <c r="J22" s="767"/>
      <c r="K22" s="767"/>
      <c r="L22" s="767"/>
      <c r="M22" s="767"/>
      <c r="N22" s="767"/>
      <c r="O22" s="795"/>
      <c r="P22" s="796"/>
      <c r="Q22" s="796"/>
      <c r="R22" s="796"/>
      <c r="S22" s="796"/>
      <c r="T22" s="796"/>
      <c r="U22" s="796"/>
      <c r="V22" s="765"/>
      <c r="W22" s="765"/>
      <c r="X22" s="765"/>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D22" s="2388"/>
    </row>
    <row r="23" spans="1:56" s="170" customFormat="1">
      <c r="A23" s="46" t="s">
        <v>50</v>
      </c>
      <c r="B23" s="179" t="s">
        <v>370</v>
      </c>
      <c r="C23" s="170" t="s">
        <v>142</v>
      </c>
      <c r="D23" s="2331"/>
      <c r="E23" s="267">
        <v>31.28</v>
      </c>
      <c r="F23" s="267">
        <v>30.41</v>
      </c>
      <c r="G23" s="267">
        <v>36.369999999999997</v>
      </c>
      <c r="H23" s="267">
        <v>37.07</v>
      </c>
      <c r="I23" s="47"/>
      <c r="J23" s="277"/>
      <c r="K23" s="277"/>
      <c r="L23" s="277"/>
      <c r="M23" s="277"/>
      <c r="N23" s="277"/>
      <c r="O23" s="49"/>
      <c r="P23" s="50" t="s">
        <v>1219</v>
      </c>
      <c r="Q23" s="50"/>
      <c r="R23" s="50"/>
      <c r="S23" s="57"/>
      <c r="T23" s="50"/>
      <c r="U23" s="50"/>
      <c r="V23" s="48"/>
      <c r="W23" s="48"/>
      <c r="BD23" s="2393"/>
    </row>
    <row r="24" spans="1:56" s="171" customFormat="1">
      <c r="C24" s="171" t="s">
        <v>143</v>
      </c>
      <c r="D24" s="349"/>
      <c r="E24" s="264">
        <v>31.01</v>
      </c>
      <c r="F24" s="264">
        <v>32.119999999999997</v>
      </c>
      <c r="G24" s="264">
        <v>40.08</v>
      </c>
      <c r="H24" s="264">
        <v>40.71</v>
      </c>
      <c r="I24" s="49"/>
      <c r="J24" s="273"/>
      <c r="K24" s="273"/>
      <c r="L24" s="273"/>
      <c r="M24" s="273"/>
      <c r="N24" s="273"/>
      <c r="O24" s="49"/>
      <c r="Q24" s="50"/>
      <c r="R24" s="50"/>
      <c r="S24" s="50"/>
      <c r="T24" s="50"/>
      <c r="U24" s="50"/>
      <c r="V24" s="50"/>
      <c r="W24" s="50"/>
      <c r="BD24" s="2389"/>
    </row>
    <row r="25" spans="1:56" s="171" customFormat="1">
      <c r="C25" s="171" t="s">
        <v>144</v>
      </c>
      <c r="D25" s="349"/>
      <c r="E25" s="264">
        <v>21.93</v>
      </c>
      <c r="F25" s="264">
        <v>21.13</v>
      </c>
      <c r="G25" s="264">
        <v>7.27</v>
      </c>
      <c r="H25" s="264">
        <v>5.93</v>
      </c>
      <c r="I25" s="49"/>
      <c r="J25" s="273"/>
      <c r="K25" s="273"/>
      <c r="L25" s="273"/>
      <c r="M25" s="273"/>
      <c r="N25" s="273"/>
      <c r="O25" s="49"/>
      <c r="P25" s="50" t="s">
        <v>1220</v>
      </c>
      <c r="Q25" s="50"/>
      <c r="R25" s="50"/>
      <c r="S25" s="50"/>
      <c r="T25" s="50"/>
      <c r="U25" s="50"/>
      <c r="V25" s="50"/>
      <c r="W25" s="50"/>
      <c r="BD25" s="2389"/>
    </row>
    <row r="26" spans="1:56" s="171" customFormat="1">
      <c r="C26" s="171" t="s">
        <v>145</v>
      </c>
      <c r="D26" s="349"/>
      <c r="E26" s="264">
        <v>15.53</v>
      </c>
      <c r="F26" s="264">
        <v>16.239999999999998</v>
      </c>
      <c r="G26" s="264">
        <v>16.09</v>
      </c>
      <c r="H26" s="264">
        <v>16.100000000000001</v>
      </c>
      <c r="I26" s="49"/>
      <c r="J26" s="273"/>
      <c r="K26" s="273"/>
      <c r="L26" s="273"/>
      <c r="M26" s="273"/>
      <c r="N26" s="273"/>
      <c r="O26" s="49"/>
      <c r="P26" s="50" t="s">
        <v>1221</v>
      </c>
      <c r="Q26" s="50"/>
      <c r="R26" s="50"/>
      <c r="S26" s="50"/>
      <c r="T26" s="50"/>
      <c r="U26" s="50"/>
      <c r="V26" s="50"/>
      <c r="W26" s="50"/>
      <c r="BD26" s="2389"/>
    </row>
    <row r="27" spans="1:56" s="171" customFormat="1">
      <c r="B27" s="180" t="s">
        <v>370</v>
      </c>
      <c r="C27" s="171" t="s">
        <v>146</v>
      </c>
      <c r="D27" s="349"/>
      <c r="E27" s="264">
        <v>33.72</v>
      </c>
      <c r="F27" s="264">
        <v>33.32</v>
      </c>
      <c r="G27" s="264">
        <v>33.1</v>
      </c>
      <c r="H27" s="264">
        <v>31.5</v>
      </c>
      <c r="I27" s="49"/>
      <c r="J27" s="273"/>
      <c r="K27" s="273"/>
      <c r="L27" s="273"/>
      <c r="M27" s="273"/>
      <c r="N27" s="273"/>
      <c r="O27" s="49"/>
      <c r="P27" s="63" t="s">
        <v>1218</v>
      </c>
      <c r="Q27" s="50"/>
      <c r="R27" s="50"/>
      <c r="S27" s="50"/>
      <c r="T27" s="50"/>
      <c r="U27" s="50"/>
      <c r="V27" s="50"/>
      <c r="W27" s="50"/>
      <c r="BD27" s="2389"/>
    </row>
    <row r="28" spans="1:56" s="171" customFormat="1">
      <c r="C28" s="171" t="s">
        <v>147</v>
      </c>
      <c r="D28" s="349"/>
      <c r="E28" s="264">
        <v>25.78</v>
      </c>
      <c r="F28" s="264">
        <v>28.32</v>
      </c>
      <c r="G28" s="264">
        <v>27.92</v>
      </c>
      <c r="H28" s="264">
        <v>29.83</v>
      </c>
      <c r="I28" s="49"/>
      <c r="J28" s="273"/>
      <c r="K28" s="273"/>
      <c r="L28" s="273"/>
      <c r="M28" s="273"/>
      <c r="N28" s="273"/>
      <c r="O28" s="49"/>
      <c r="P28" s="1387" t="s">
        <v>1223</v>
      </c>
      <c r="Q28" s="50"/>
      <c r="R28" s="50"/>
      <c r="S28" s="50"/>
      <c r="T28" s="50"/>
      <c r="U28" s="50"/>
      <c r="V28" s="50"/>
      <c r="W28" s="50"/>
      <c r="BD28" s="2389"/>
    </row>
    <row r="29" spans="1:56" s="171" customFormat="1">
      <c r="C29" s="171" t="s">
        <v>148</v>
      </c>
      <c r="D29" s="349"/>
      <c r="E29" s="264">
        <v>23.08</v>
      </c>
      <c r="F29" s="264">
        <v>23.32</v>
      </c>
      <c r="G29" s="264">
        <v>25.17</v>
      </c>
      <c r="H29" s="264">
        <v>25.85</v>
      </c>
      <c r="I29" s="49"/>
      <c r="J29" s="273"/>
      <c r="K29" s="273"/>
      <c r="L29" s="273"/>
      <c r="M29" s="273"/>
      <c r="N29" s="273"/>
      <c r="O29" s="49"/>
      <c r="P29" s="63" t="s">
        <v>1222</v>
      </c>
      <c r="Q29" s="50"/>
      <c r="R29" s="50"/>
      <c r="S29" s="50"/>
      <c r="T29" s="50"/>
      <c r="U29" s="50"/>
      <c r="V29" s="50"/>
      <c r="W29" s="50"/>
      <c r="BD29" s="2389"/>
    </row>
    <row r="30" spans="1:56" s="171" customFormat="1">
      <c r="C30" s="171" t="s">
        <v>149</v>
      </c>
      <c r="D30" s="349"/>
      <c r="E30" s="264">
        <v>17.43</v>
      </c>
      <c r="F30" s="264">
        <v>15.04</v>
      </c>
      <c r="G30" s="264">
        <v>13.82</v>
      </c>
      <c r="H30" s="264">
        <v>12.83</v>
      </c>
      <c r="I30" s="49"/>
      <c r="J30" s="273"/>
      <c r="K30" s="273"/>
      <c r="L30" s="273"/>
      <c r="M30" s="273"/>
      <c r="N30" s="273"/>
      <c r="O30" s="49"/>
      <c r="P30" s="63" t="s">
        <v>1225</v>
      </c>
      <c r="Q30" s="50"/>
      <c r="R30" s="50"/>
      <c r="S30" s="50"/>
      <c r="T30" s="50"/>
      <c r="U30" s="50"/>
      <c r="V30" s="50"/>
      <c r="W30" s="50"/>
      <c r="BD30" s="2389"/>
    </row>
    <row r="31" spans="1:56" s="171" customFormat="1">
      <c r="B31" s="171" t="s">
        <v>141</v>
      </c>
      <c r="C31" s="171" t="s">
        <v>144</v>
      </c>
      <c r="D31" s="349"/>
      <c r="E31" s="264">
        <v>37.44</v>
      </c>
      <c r="F31" s="264">
        <v>37.909999999999997</v>
      </c>
      <c r="G31" s="264" t="s">
        <v>138</v>
      </c>
      <c r="H31" s="264" t="s">
        <v>138</v>
      </c>
      <c r="I31" s="49"/>
      <c r="J31" s="273"/>
      <c r="K31" s="273"/>
      <c r="L31" s="273"/>
      <c r="M31" s="273"/>
      <c r="N31" s="273"/>
      <c r="O31" s="49"/>
      <c r="P31" s="1387" t="s">
        <v>1224</v>
      </c>
      <c r="Q31" s="50"/>
      <c r="R31" s="50"/>
      <c r="S31" s="50"/>
      <c r="T31" s="50"/>
      <c r="U31" s="50"/>
      <c r="V31" s="50"/>
      <c r="W31" s="50"/>
      <c r="BD31" s="2389"/>
    </row>
    <row r="32" spans="1:56" s="171" customFormat="1">
      <c r="C32" s="171" t="s">
        <v>142</v>
      </c>
      <c r="D32" s="349"/>
      <c r="E32" s="264">
        <v>31.31</v>
      </c>
      <c r="F32" s="264">
        <v>30.18</v>
      </c>
      <c r="G32" s="264" t="s">
        <v>138</v>
      </c>
      <c r="H32" s="264" t="s">
        <v>138</v>
      </c>
      <c r="I32" s="49"/>
      <c r="J32" s="273"/>
      <c r="K32" s="273"/>
      <c r="L32" s="273"/>
      <c r="M32" s="273"/>
      <c r="N32" s="273"/>
      <c r="O32" s="49"/>
      <c r="P32" s="1387" t="s">
        <v>1226</v>
      </c>
      <c r="Q32" s="50"/>
      <c r="R32" s="50"/>
      <c r="S32" s="50"/>
      <c r="T32" s="50"/>
      <c r="U32" s="50"/>
      <c r="V32" s="50"/>
      <c r="W32" s="50"/>
      <c r="BD32" s="2389"/>
    </row>
    <row r="33" spans="1:56" s="171" customFormat="1">
      <c r="C33" s="171" t="s">
        <v>145</v>
      </c>
      <c r="D33" s="349"/>
      <c r="E33" s="264">
        <v>18.899999999999999</v>
      </c>
      <c r="F33" s="264">
        <v>19.920000000000002</v>
      </c>
      <c r="G33" s="264" t="s">
        <v>138</v>
      </c>
      <c r="H33" s="264" t="s">
        <v>138</v>
      </c>
      <c r="I33" s="49"/>
      <c r="J33" s="273"/>
      <c r="K33" s="273"/>
      <c r="L33" s="273"/>
      <c r="M33" s="273"/>
      <c r="N33" s="273"/>
      <c r="O33" s="49"/>
      <c r="P33" s="1387" t="s">
        <v>1227</v>
      </c>
      <c r="Q33" s="50"/>
      <c r="R33" s="50"/>
      <c r="S33" s="50"/>
      <c r="T33" s="50"/>
      <c r="U33" s="50"/>
      <c r="V33" s="50"/>
      <c r="W33" s="50"/>
      <c r="BD33" s="2389"/>
    </row>
    <row r="34" spans="1:56" s="171" customFormat="1">
      <c r="C34" s="180" t="s">
        <v>143</v>
      </c>
      <c r="D34" s="2332"/>
      <c r="E34" s="264">
        <v>10.130000000000001</v>
      </c>
      <c r="F34" s="264">
        <v>10.34</v>
      </c>
      <c r="G34" s="264" t="s">
        <v>138</v>
      </c>
      <c r="H34" s="264" t="s">
        <v>138</v>
      </c>
      <c r="I34" s="49"/>
      <c r="J34" s="273"/>
      <c r="K34" s="273"/>
      <c r="L34" s="273"/>
      <c r="M34" s="273"/>
      <c r="N34" s="273"/>
      <c r="O34" s="49"/>
      <c r="P34" s="1387" t="s">
        <v>1228</v>
      </c>
      <c r="Q34" s="50"/>
      <c r="R34" s="50"/>
      <c r="S34" s="50"/>
      <c r="T34" s="50"/>
      <c r="U34" s="50"/>
      <c r="V34" s="50"/>
      <c r="W34" s="50"/>
      <c r="BD34" s="2389"/>
    </row>
    <row r="35" spans="1:56" s="171" customFormat="1">
      <c r="C35" s="180"/>
      <c r="D35" s="2332"/>
      <c r="E35" s="264"/>
      <c r="F35" s="264"/>
      <c r="G35" s="264"/>
      <c r="H35" s="264"/>
      <c r="I35" s="49"/>
      <c r="J35" s="273"/>
      <c r="K35" s="273"/>
      <c r="L35" s="273"/>
      <c r="M35" s="273"/>
      <c r="N35" s="273"/>
      <c r="O35" s="49"/>
      <c r="P35" s="1387"/>
      <c r="Q35" s="50"/>
      <c r="R35" s="50"/>
      <c r="S35" s="50"/>
      <c r="T35" s="50"/>
      <c r="U35" s="50"/>
      <c r="V35" s="50"/>
      <c r="W35" s="50"/>
      <c r="BD35" s="2389"/>
    </row>
    <row r="36" spans="1:56" s="170" customFormat="1">
      <c r="A36" s="55" t="s">
        <v>108</v>
      </c>
      <c r="B36" s="179" t="s">
        <v>370</v>
      </c>
      <c r="C36" s="170" t="s">
        <v>150</v>
      </c>
      <c r="D36" s="2331"/>
      <c r="E36" s="267">
        <v>80.17</v>
      </c>
      <c r="F36" s="267">
        <v>88.41</v>
      </c>
      <c r="G36" s="267">
        <v>89.36</v>
      </c>
      <c r="H36" s="267"/>
      <c r="I36" s="47"/>
      <c r="J36" s="277"/>
      <c r="K36" s="277"/>
      <c r="L36" s="277"/>
      <c r="M36" s="277"/>
      <c r="N36" s="277"/>
      <c r="O36" s="47"/>
      <c r="P36" s="48"/>
      <c r="Q36" s="48"/>
      <c r="R36" s="48"/>
      <c r="S36" s="48"/>
      <c r="T36" s="48"/>
      <c r="U36" s="48"/>
      <c r="V36" s="48"/>
      <c r="W36" s="48"/>
      <c r="BD36" s="2393"/>
    </row>
    <row r="37" spans="1:56" s="171" customFormat="1">
      <c r="A37" s="262"/>
      <c r="C37" s="171" t="s">
        <v>151</v>
      </c>
      <c r="D37" s="349"/>
      <c r="E37" s="264">
        <v>15.29</v>
      </c>
      <c r="F37" s="264">
        <v>11.21</v>
      </c>
      <c r="G37" s="264">
        <v>10.27</v>
      </c>
      <c r="H37" s="264"/>
      <c r="I37" s="49"/>
      <c r="J37" s="273"/>
      <c r="K37" s="273"/>
      <c r="L37" s="273"/>
      <c r="M37" s="273"/>
      <c r="N37" s="273"/>
      <c r="O37" s="49"/>
      <c r="R37" s="50"/>
      <c r="S37" s="50"/>
      <c r="T37" s="50"/>
      <c r="U37" s="50"/>
      <c r="V37" s="50"/>
      <c r="W37" s="50"/>
      <c r="BD37" s="2389"/>
    </row>
    <row r="38" spans="1:56" s="171" customFormat="1">
      <c r="C38" s="171" t="s">
        <v>153</v>
      </c>
      <c r="D38" s="349"/>
      <c r="E38" s="264">
        <v>4.55</v>
      </c>
      <c r="F38" s="264">
        <v>0.4</v>
      </c>
      <c r="G38" s="264">
        <v>0.37</v>
      </c>
      <c r="H38" s="264"/>
      <c r="I38" s="49"/>
      <c r="J38" s="273"/>
      <c r="K38" s="273"/>
      <c r="L38" s="273"/>
      <c r="M38" s="273"/>
      <c r="N38" s="273"/>
      <c r="O38" s="49"/>
      <c r="P38" s="50" t="s">
        <v>152</v>
      </c>
      <c r="Q38" s="49"/>
      <c r="R38" s="49"/>
      <c r="S38" s="49"/>
      <c r="T38" s="49"/>
      <c r="U38" s="49"/>
      <c r="V38" s="49"/>
      <c r="W38" s="49"/>
      <c r="X38" s="49"/>
      <c r="Y38" s="49"/>
      <c r="BD38" s="2389"/>
    </row>
    <row r="39" spans="1:56" s="171" customFormat="1">
      <c r="B39" s="51" t="s">
        <v>370</v>
      </c>
      <c r="C39" s="171" t="s">
        <v>154</v>
      </c>
      <c r="D39" s="349"/>
      <c r="E39" s="264" t="s">
        <v>138</v>
      </c>
      <c r="F39" s="264"/>
      <c r="G39" s="264"/>
      <c r="H39" s="264"/>
      <c r="I39" s="49"/>
      <c r="J39" s="273"/>
      <c r="K39" s="273"/>
      <c r="L39" s="273"/>
      <c r="M39" s="273"/>
      <c r="N39" s="273"/>
      <c r="O39" s="49"/>
      <c r="P39" s="50" t="s">
        <v>534</v>
      </c>
      <c r="Q39" s="49"/>
      <c r="R39" s="49"/>
      <c r="S39" s="49"/>
      <c r="T39" s="49"/>
      <c r="U39" s="49"/>
      <c r="V39" s="49"/>
      <c r="W39" s="49"/>
      <c r="X39" s="49"/>
      <c r="Y39" s="49"/>
      <c r="BD39" s="2389"/>
    </row>
    <row r="40" spans="1:56" s="171" customFormat="1">
      <c r="C40" s="56" t="s">
        <v>155</v>
      </c>
      <c r="D40" s="2333"/>
      <c r="E40" s="264" t="s">
        <v>138</v>
      </c>
      <c r="F40" s="264" t="s">
        <v>138</v>
      </c>
      <c r="G40" s="264">
        <v>6.11</v>
      </c>
      <c r="H40" s="264">
        <v>11.59</v>
      </c>
      <c r="I40" s="49"/>
      <c r="J40" s="273"/>
      <c r="K40" s="273"/>
      <c r="L40" s="273"/>
      <c r="M40" s="273"/>
      <c r="N40" s="273"/>
      <c r="O40" s="49"/>
      <c r="P40" s="50" t="s">
        <v>535</v>
      </c>
      <c r="Q40" s="49"/>
      <c r="R40" s="49"/>
      <c r="S40" s="49"/>
      <c r="T40" s="49"/>
      <c r="U40" s="49"/>
      <c r="V40" s="49"/>
      <c r="W40" s="49"/>
      <c r="X40" s="49"/>
      <c r="Y40" s="49"/>
      <c r="BD40" s="2389"/>
    </row>
    <row r="41" spans="1:56" s="171" customFormat="1">
      <c r="C41" s="51" t="s">
        <v>156</v>
      </c>
      <c r="D41" s="2327"/>
      <c r="E41" s="264" t="s">
        <v>138</v>
      </c>
      <c r="F41" s="264" t="s">
        <v>138</v>
      </c>
      <c r="G41" s="264">
        <v>57.03</v>
      </c>
      <c r="H41" s="264">
        <v>53.87</v>
      </c>
      <c r="I41" s="850" t="s">
        <v>373</v>
      </c>
      <c r="J41" s="912" t="s">
        <v>513</v>
      </c>
      <c r="K41" s="912" t="s">
        <v>513</v>
      </c>
      <c r="L41" s="912" t="s">
        <v>513</v>
      </c>
      <c r="M41" s="871">
        <f>G41/(G$41+G$42)</f>
        <v>0.60734824281150157</v>
      </c>
      <c r="N41" s="871">
        <f>H41/(H$41+H$42)</f>
        <v>0.60938914027149316</v>
      </c>
      <c r="O41" s="249"/>
      <c r="Q41" s="50"/>
      <c r="R41" s="50"/>
      <c r="S41" s="50"/>
      <c r="T41" s="50"/>
      <c r="U41" s="50"/>
      <c r="V41" s="50"/>
      <c r="W41" s="50"/>
      <c r="BD41" s="2389"/>
    </row>
    <row r="42" spans="1:56" s="171" customFormat="1">
      <c r="C42" s="51" t="s">
        <v>157</v>
      </c>
      <c r="D42" s="2327"/>
      <c r="E42" s="264" t="s">
        <v>138</v>
      </c>
      <c r="F42" s="264" t="s">
        <v>138</v>
      </c>
      <c r="G42" s="264">
        <v>36.869999999999997</v>
      </c>
      <c r="H42" s="264">
        <v>34.53</v>
      </c>
      <c r="I42" s="49"/>
      <c r="J42" s="273"/>
      <c r="K42" s="278"/>
      <c r="L42" s="278"/>
      <c r="M42" s="278"/>
      <c r="N42" s="278"/>
      <c r="O42" s="53"/>
      <c r="P42" s="837" t="s">
        <v>976</v>
      </c>
      <c r="Q42" s="50"/>
      <c r="R42" s="50"/>
      <c r="S42" s="50"/>
      <c r="T42" s="50"/>
      <c r="U42" s="50"/>
      <c r="V42" s="50"/>
      <c r="W42" s="50"/>
      <c r="BD42" s="2389"/>
    </row>
    <row r="43" spans="1:56" s="171" customFormat="1">
      <c r="B43" s="171" t="s">
        <v>141</v>
      </c>
      <c r="C43" s="171" t="s">
        <v>150</v>
      </c>
      <c r="D43" s="349"/>
      <c r="E43" s="264">
        <v>110.11</v>
      </c>
      <c r="F43" s="264">
        <v>89.71</v>
      </c>
      <c r="G43" s="264">
        <v>143.81</v>
      </c>
      <c r="H43" s="264"/>
      <c r="I43" s="49"/>
      <c r="J43" s="273"/>
      <c r="K43" s="273"/>
      <c r="L43" s="273"/>
      <c r="M43" s="273"/>
      <c r="N43" s="273"/>
      <c r="O43" s="49"/>
      <c r="P43" s="837" t="s">
        <v>977</v>
      </c>
      <c r="Q43" s="50"/>
      <c r="R43" s="50"/>
      <c r="S43" s="50"/>
      <c r="T43" s="50"/>
      <c r="U43" s="50"/>
      <c r="V43" s="50"/>
      <c r="W43" s="50"/>
      <c r="BD43" s="2389"/>
    </row>
    <row r="44" spans="1:56" s="171" customFormat="1">
      <c r="C44" s="171" t="s">
        <v>151</v>
      </c>
      <c r="D44" s="349"/>
      <c r="E44" s="264">
        <v>0.8</v>
      </c>
      <c r="F44" s="264">
        <v>-0.4</v>
      </c>
      <c r="G44" s="264">
        <v>0.79</v>
      </c>
      <c r="H44" s="264"/>
      <c r="I44" s="49"/>
      <c r="J44" s="273"/>
      <c r="K44" s="273"/>
      <c r="L44" s="273"/>
      <c r="M44" s="273"/>
      <c r="N44" s="273"/>
      <c r="O44" s="49"/>
      <c r="P44" s="837" t="s">
        <v>978</v>
      </c>
      <c r="Q44" s="50"/>
      <c r="R44" s="50"/>
      <c r="S44" s="50"/>
      <c r="T44" s="50"/>
      <c r="U44" s="50"/>
      <c r="V44" s="50"/>
      <c r="W44" s="50"/>
      <c r="BD44" s="2389"/>
    </row>
    <row r="45" spans="1:56" s="171" customFormat="1">
      <c r="C45" s="171" t="s">
        <v>158</v>
      </c>
      <c r="D45" s="349"/>
      <c r="E45" s="264"/>
      <c r="F45" s="264"/>
      <c r="G45" s="264"/>
      <c r="H45" s="264"/>
      <c r="I45" s="49"/>
      <c r="J45" s="273"/>
      <c r="K45" s="273"/>
      <c r="L45" s="273"/>
      <c r="M45" s="273"/>
      <c r="N45" s="273"/>
      <c r="O45" s="49"/>
      <c r="P45" s="837" t="s">
        <v>979</v>
      </c>
      <c r="Q45" s="50"/>
      <c r="R45" s="50"/>
      <c r="S45" s="50"/>
      <c r="T45" s="50"/>
      <c r="U45" s="50"/>
      <c r="V45" s="50"/>
      <c r="W45" s="50"/>
      <c r="BD45" s="2389"/>
    </row>
    <row r="46" spans="1:56" s="171" customFormat="1">
      <c r="C46" s="171" t="s">
        <v>153</v>
      </c>
      <c r="D46" s="349"/>
      <c r="E46" s="264">
        <v>-10.9</v>
      </c>
      <c r="F46" s="264">
        <v>10.68</v>
      </c>
      <c r="G46" s="264">
        <v>-44.6</v>
      </c>
      <c r="H46" s="264"/>
      <c r="I46" s="49"/>
      <c r="J46" s="273"/>
      <c r="K46" s="273"/>
      <c r="L46" s="273"/>
      <c r="M46" s="273"/>
      <c r="N46" s="273"/>
      <c r="O46" s="49"/>
      <c r="P46" s="837" t="s">
        <v>925</v>
      </c>
      <c r="Q46" s="50"/>
      <c r="R46" s="50"/>
      <c r="S46" s="50"/>
      <c r="T46" s="50"/>
      <c r="U46" s="50"/>
      <c r="V46" s="50"/>
      <c r="W46" s="50"/>
      <c r="BD46" s="2389"/>
    </row>
    <row r="47" spans="1:56" s="171" customFormat="1">
      <c r="C47" s="171" t="s">
        <v>159</v>
      </c>
      <c r="D47" s="349"/>
      <c r="E47" s="264"/>
      <c r="F47" s="264"/>
      <c r="G47" s="264"/>
      <c r="H47" s="264"/>
      <c r="I47" s="49"/>
      <c r="J47" s="273"/>
      <c r="K47" s="273"/>
      <c r="L47" s="273"/>
      <c r="M47" s="273"/>
      <c r="N47" s="273"/>
      <c r="O47" s="49"/>
      <c r="P47" s="50"/>
      <c r="Q47" s="50"/>
      <c r="R47" s="50"/>
      <c r="S47" s="50"/>
      <c r="T47" s="50"/>
      <c r="U47" s="50"/>
      <c r="V47" s="50"/>
      <c r="W47" s="50"/>
      <c r="BD47" s="2389"/>
    </row>
    <row r="48" spans="1:56" s="171" customFormat="1">
      <c r="D48" s="349"/>
      <c r="E48" s="264"/>
      <c r="F48" s="264"/>
      <c r="G48" s="264"/>
      <c r="H48" s="264"/>
      <c r="I48" s="49"/>
      <c r="J48" s="273"/>
      <c r="K48" s="273"/>
      <c r="L48" s="273"/>
      <c r="M48" s="273"/>
      <c r="N48" s="273"/>
      <c r="O48" s="49"/>
      <c r="P48" s="50"/>
      <c r="Q48" s="50"/>
      <c r="R48" s="50"/>
      <c r="S48" s="50"/>
      <c r="T48" s="50"/>
      <c r="U48" s="50"/>
      <c r="V48" s="50"/>
      <c r="W48" s="50"/>
      <c r="BD48" s="2389"/>
    </row>
    <row r="49" spans="1:56" s="170" customFormat="1">
      <c r="A49" s="46" t="s">
        <v>126</v>
      </c>
      <c r="B49" s="179" t="s">
        <v>370</v>
      </c>
      <c r="C49" s="170" t="s">
        <v>160</v>
      </c>
      <c r="D49" s="2331"/>
      <c r="E49" s="267">
        <v>61.95</v>
      </c>
      <c r="F49" s="267">
        <v>60.79</v>
      </c>
      <c r="G49" s="267">
        <v>60.48</v>
      </c>
      <c r="H49" s="267"/>
      <c r="I49" s="47"/>
      <c r="J49" s="277"/>
      <c r="K49" s="277"/>
      <c r="L49" s="277"/>
      <c r="M49" s="277"/>
      <c r="N49" s="277"/>
      <c r="O49" s="47"/>
      <c r="P49" s="48"/>
      <c r="Q49" s="48"/>
      <c r="R49" s="48"/>
      <c r="S49" s="48"/>
      <c r="T49" s="48"/>
      <c r="U49" s="48"/>
      <c r="V49" s="48"/>
      <c r="W49" s="48"/>
      <c r="BD49" s="2393"/>
    </row>
    <row r="50" spans="1:56" s="171" customFormat="1">
      <c r="C50" s="171" t="s">
        <v>161</v>
      </c>
      <c r="D50" s="349"/>
      <c r="E50" s="264">
        <v>38.049999999999997</v>
      </c>
      <c r="F50" s="264">
        <v>39.21</v>
      </c>
      <c r="G50" s="264">
        <v>39.520000000000003</v>
      </c>
      <c r="H50" s="264"/>
      <c r="I50" s="49"/>
      <c r="J50" s="273"/>
      <c r="K50" s="273"/>
      <c r="L50" s="273"/>
      <c r="M50" s="273"/>
      <c r="N50" s="273"/>
      <c r="O50" s="49"/>
      <c r="P50" s="50"/>
      <c r="Q50" s="50"/>
      <c r="R50" s="50"/>
      <c r="S50" s="50"/>
      <c r="T50" s="50"/>
      <c r="U50" s="50"/>
      <c r="V50" s="50"/>
      <c r="W50" s="50"/>
      <c r="BD50" s="2389"/>
    </row>
    <row r="51" spans="1:56" s="171" customFormat="1">
      <c r="C51" s="171" t="s">
        <v>162</v>
      </c>
      <c r="D51" s="349"/>
      <c r="E51" s="264"/>
      <c r="F51" s="264"/>
      <c r="G51" s="264"/>
      <c r="H51" s="264"/>
      <c r="I51" s="49"/>
      <c r="J51" s="273"/>
      <c r="K51" s="273"/>
      <c r="L51" s="273"/>
      <c r="M51" s="273"/>
      <c r="N51" s="273"/>
      <c r="O51" s="49"/>
      <c r="P51" s="50"/>
      <c r="Q51" s="50"/>
      <c r="R51" s="50"/>
      <c r="S51" s="50"/>
      <c r="T51" s="50"/>
      <c r="U51" s="50"/>
      <c r="V51" s="50"/>
      <c r="W51" s="50"/>
      <c r="BD51" s="2389"/>
    </row>
    <row r="52" spans="1:56" s="171" customFormat="1">
      <c r="C52" s="171" t="s">
        <v>163</v>
      </c>
      <c r="D52" s="349"/>
      <c r="E52" s="264"/>
      <c r="F52" s="264"/>
      <c r="G52" s="264"/>
      <c r="H52" s="264"/>
      <c r="I52" s="49"/>
      <c r="J52" s="273"/>
      <c r="K52" s="273"/>
      <c r="L52" s="273"/>
      <c r="M52" s="273"/>
      <c r="N52" s="273"/>
      <c r="O52" s="49"/>
      <c r="P52" s="50"/>
      <c r="Q52" s="50"/>
      <c r="R52" s="50"/>
      <c r="S52" s="50"/>
      <c r="T52" s="50"/>
      <c r="U52" s="50"/>
      <c r="V52" s="50"/>
      <c r="W52" s="50"/>
      <c r="BD52" s="2389"/>
    </row>
    <row r="53" spans="1:56" s="171" customFormat="1">
      <c r="B53" s="51" t="s">
        <v>370</v>
      </c>
      <c r="C53" s="51" t="s">
        <v>164</v>
      </c>
      <c r="D53" s="2327"/>
      <c r="E53" s="264">
        <v>64.44</v>
      </c>
      <c r="F53" s="264">
        <v>60.79</v>
      </c>
      <c r="G53" s="264">
        <v>62.16</v>
      </c>
      <c r="H53" s="264">
        <v>59.93</v>
      </c>
      <c r="I53" s="851" t="s">
        <v>373</v>
      </c>
      <c r="J53" s="852" t="s">
        <v>513</v>
      </c>
      <c r="K53" s="853">
        <f>E53/$AB$1</f>
        <v>0.64439999999999997</v>
      </c>
      <c r="L53" s="853">
        <f>F53/$AB$1</f>
        <v>0.6079</v>
      </c>
      <c r="M53" s="853">
        <f>G53/$AB$1</f>
        <v>0.62159999999999993</v>
      </c>
      <c r="N53" s="853">
        <f>H53/$AB$1</f>
        <v>0.59929999999999994</v>
      </c>
      <c r="O53" s="250"/>
      <c r="P53" s="50"/>
      <c r="R53" s="50"/>
      <c r="S53" s="50"/>
      <c r="T53" s="50"/>
      <c r="U53" s="50"/>
      <c r="V53" s="50"/>
      <c r="W53" s="50"/>
      <c r="BD53" s="2389"/>
    </row>
    <row r="54" spans="1:56" s="171" customFormat="1">
      <c r="C54" s="51" t="s">
        <v>165</v>
      </c>
      <c r="D54" s="2327"/>
      <c r="E54" s="264">
        <v>35.56</v>
      </c>
      <c r="F54" s="264">
        <v>39.21</v>
      </c>
      <c r="G54" s="264">
        <v>37.840000000000003</v>
      </c>
      <c r="H54" s="264">
        <v>40.07</v>
      </c>
      <c r="I54" s="49"/>
      <c r="J54" s="273"/>
      <c r="K54" s="273"/>
      <c r="L54" s="273"/>
      <c r="M54" s="273"/>
      <c r="N54" s="273"/>
      <c r="O54" s="49"/>
      <c r="P54" s="50"/>
      <c r="Q54" s="50"/>
      <c r="R54" s="50"/>
      <c r="S54" s="50"/>
      <c r="T54" s="50"/>
      <c r="U54" s="50"/>
      <c r="V54" s="50"/>
      <c r="W54" s="50"/>
      <c r="BD54" s="2389"/>
    </row>
    <row r="55" spans="1:56" s="171" customFormat="1">
      <c r="B55" s="171" t="s">
        <v>141</v>
      </c>
      <c r="C55" s="171" t="s">
        <v>160</v>
      </c>
      <c r="D55" s="349"/>
      <c r="E55" s="264">
        <v>61.27</v>
      </c>
      <c r="F55" s="264">
        <v>59.56</v>
      </c>
      <c r="G55" s="264">
        <v>59.75</v>
      </c>
      <c r="H55" s="264"/>
      <c r="I55" s="49"/>
      <c r="J55" s="273"/>
      <c r="K55" s="273"/>
      <c r="L55" s="273"/>
      <c r="M55" s="273"/>
      <c r="N55" s="273"/>
      <c r="O55" s="49"/>
      <c r="P55" s="50"/>
      <c r="Q55" s="50"/>
      <c r="R55" s="50"/>
      <c r="S55" s="50"/>
      <c r="T55" s="50"/>
      <c r="U55" s="50"/>
      <c r="V55" s="50"/>
      <c r="W55" s="50"/>
      <c r="BD55" s="2389"/>
    </row>
    <row r="56" spans="1:56" s="171" customFormat="1">
      <c r="C56" s="171" t="s">
        <v>161</v>
      </c>
      <c r="D56" s="349"/>
      <c r="E56" s="264">
        <v>38.729999999999997</v>
      </c>
      <c r="F56" s="264">
        <v>40.44</v>
      </c>
      <c r="G56" s="264">
        <v>40.25</v>
      </c>
      <c r="H56" s="264"/>
      <c r="I56" s="49"/>
      <c r="J56" s="273"/>
      <c r="K56" s="273"/>
      <c r="L56" s="273"/>
      <c r="M56" s="273"/>
      <c r="N56" s="273"/>
      <c r="O56" s="49"/>
      <c r="P56" s="50"/>
      <c r="Q56" s="50"/>
      <c r="R56" s="50"/>
      <c r="S56" s="50"/>
      <c r="T56" s="50"/>
      <c r="U56" s="50"/>
      <c r="V56" s="50"/>
      <c r="W56" s="50"/>
      <c r="BD56" s="2389"/>
    </row>
    <row r="57" spans="1:56" s="171" customFormat="1">
      <c r="C57" s="171" t="s">
        <v>166</v>
      </c>
      <c r="D57" s="349"/>
      <c r="E57" s="264"/>
      <c r="F57" s="264"/>
      <c r="G57" s="264"/>
      <c r="H57" s="264"/>
      <c r="I57" s="49"/>
      <c r="J57" s="273"/>
      <c r="K57" s="273"/>
      <c r="L57" s="273"/>
      <c r="M57" s="273"/>
      <c r="N57" s="273"/>
      <c r="O57" s="49"/>
      <c r="P57" s="50"/>
      <c r="Q57" s="50"/>
      <c r="R57" s="50"/>
      <c r="S57" s="50"/>
      <c r="T57" s="50"/>
      <c r="U57" s="50"/>
      <c r="V57" s="50"/>
      <c r="W57" s="50"/>
      <c r="BD57" s="2389"/>
    </row>
    <row r="58" spans="1:56" s="171" customFormat="1">
      <c r="C58" s="171" t="s">
        <v>163</v>
      </c>
      <c r="D58" s="349"/>
      <c r="E58" s="264"/>
      <c r="F58" s="264"/>
      <c r="G58" s="264"/>
      <c r="H58" s="264"/>
      <c r="I58" s="49"/>
      <c r="J58" s="273"/>
      <c r="K58" s="273"/>
      <c r="L58" s="273"/>
      <c r="M58" s="273"/>
      <c r="N58" s="273"/>
      <c r="O58" s="49"/>
      <c r="P58" s="50"/>
      <c r="Q58" s="50"/>
      <c r="R58" s="50"/>
      <c r="S58" s="50"/>
      <c r="T58" s="50"/>
      <c r="U58" s="50"/>
      <c r="V58" s="50"/>
      <c r="W58" s="50"/>
      <c r="BD58" s="2389"/>
    </row>
    <row r="59" spans="1:56" s="171" customFormat="1">
      <c r="D59" s="349"/>
      <c r="E59" s="264"/>
      <c r="F59" s="264"/>
      <c r="G59" s="264"/>
      <c r="H59" s="264"/>
      <c r="I59" s="49"/>
      <c r="J59" s="273"/>
      <c r="K59" s="273"/>
      <c r="L59" s="273"/>
      <c r="M59" s="273"/>
      <c r="N59" s="273"/>
      <c r="O59" s="49"/>
      <c r="P59" s="50"/>
      <c r="Q59" s="50"/>
      <c r="R59" s="50"/>
      <c r="S59" s="50"/>
      <c r="T59" s="50"/>
      <c r="U59" s="50"/>
      <c r="V59" s="50"/>
      <c r="W59" s="50"/>
      <c r="BD59" s="2389"/>
    </row>
    <row r="60" spans="1:56" s="170" customFormat="1">
      <c r="A60" s="55" t="s">
        <v>41</v>
      </c>
      <c r="B60" s="46" t="s">
        <v>370</v>
      </c>
      <c r="C60" s="170" t="s">
        <v>167</v>
      </c>
      <c r="D60" s="2331"/>
      <c r="E60" s="268">
        <v>73.618114356388546</v>
      </c>
      <c r="F60" s="268">
        <v>99.495299356754089</v>
      </c>
      <c r="G60" s="268">
        <v>99.342573285907022</v>
      </c>
      <c r="H60" s="268"/>
      <c r="I60" s="47"/>
      <c r="J60" s="267"/>
      <c r="K60" s="267"/>
      <c r="L60" s="277"/>
      <c r="M60" s="277"/>
      <c r="N60" s="277"/>
      <c r="O60" s="47"/>
      <c r="P60" s="48"/>
      <c r="R60" s="47"/>
      <c r="S60" s="47" t="s">
        <v>375</v>
      </c>
      <c r="T60" s="48"/>
      <c r="U60" s="48"/>
      <c r="V60" s="48"/>
      <c r="W60" s="48"/>
      <c r="BD60" s="2393"/>
    </row>
    <row r="61" spans="1:56" s="171" customFormat="1">
      <c r="C61" s="51" t="s">
        <v>168</v>
      </c>
      <c r="D61" s="2327"/>
      <c r="E61" s="269">
        <v>26.76243934925316</v>
      </c>
      <c r="F61" s="269" t="s">
        <v>138</v>
      </c>
      <c r="G61" s="269" t="s">
        <v>138</v>
      </c>
      <c r="H61" s="269"/>
      <c r="I61" s="851" t="s">
        <v>373</v>
      </c>
      <c r="J61" s="776">
        <f>R61</f>
        <v>0.32841368754782985</v>
      </c>
      <c r="K61" s="854">
        <f>E61/$AB$1</f>
        <v>0.26762439349253159</v>
      </c>
      <c r="L61" s="833">
        <v>0</v>
      </c>
      <c r="M61" s="833">
        <v>0</v>
      </c>
      <c r="N61" s="833">
        <v>0</v>
      </c>
      <c r="O61" s="38"/>
      <c r="P61" s="50"/>
      <c r="R61" s="53">
        <f>600.8/1829.4</f>
        <v>0.32841368754782985</v>
      </c>
      <c r="S61" s="53">
        <f>319.5/1443.3</f>
        <v>0.22136769902307213</v>
      </c>
      <c r="T61" s="50"/>
      <c r="U61" s="50"/>
      <c r="V61" s="50"/>
      <c r="W61" s="50"/>
      <c r="BD61" s="2389"/>
    </row>
    <row r="62" spans="1:56" s="171" customFormat="1">
      <c r="C62" s="171" t="s">
        <v>169</v>
      </c>
      <c r="D62" s="349"/>
      <c r="E62" s="269">
        <v>-0.38055370564170865</v>
      </c>
      <c r="F62" s="269" t="s">
        <v>138</v>
      </c>
      <c r="G62" s="269" t="s">
        <v>138</v>
      </c>
      <c r="H62" s="269"/>
      <c r="I62" s="49"/>
      <c r="J62" s="273"/>
      <c r="K62" s="273"/>
      <c r="L62" s="273"/>
      <c r="M62" s="273"/>
      <c r="N62" s="273"/>
      <c r="O62" s="49"/>
      <c r="P62" s="50"/>
      <c r="Q62" s="50"/>
      <c r="R62" s="50"/>
      <c r="S62" s="50"/>
      <c r="T62" s="50"/>
      <c r="U62" s="50"/>
      <c r="V62" s="50"/>
      <c r="W62" s="50"/>
      <c r="BD62" s="2389"/>
    </row>
    <row r="63" spans="1:56" s="171" customFormat="1">
      <c r="C63" s="171" t="s">
        <v>170</v>
      </c>
      <c r="D63" s="349"/>
      <c r="E63" s="269" t="s">
        <v>138</v>
      </c>
      <c r="F63" s="269">
        <v>0.50470064324591779</v>
      </c>
      <c r="G63" s="269">
        <v>0.65742671409297193</v>
      </c>
      <c r="H63" s="269"/>
      <c r="I63" s="49"/>
      <c r="J63" s="273"/>
      <c r="K63" s="273"/>
      <c r="L63" s="273"/>
      <c r="M63" s="273"/>
      <c r="N63" s="273"/>
      <c r="O63" s="49"/>
      <c r="P63" s="50"/>
      <c r="Q63" s="50"/>
      <c r="R63" s="50"/>
      <c r="S63" s="50"/>
      <c r="T63" s="50"/>
      <c r="U63" s="50"/>
      <c r="V63" s="50"/>
      <c r="W63" s="50"/>
      <c r="BD63" s="2389"/>
    </row>
    <row r="64" spans="1:56" s="171" customFormat="1">
      <c r="B64" s="51" t="s">
        <v>141</v>
      </c>
      <c r="C64" s="171" t="s">
        <v>167</v>
      </c>
      <c r="D64" s="349"/>
      <c r="E64" s="269">
        <v>105.00325591491209</v>
      </c>
      <c r="F64" s="269">
        <v>100.88672906167506</v>
      </c>
      <c r="G64" s="269">
        <v>100.08394727609881</v>
      </c>
      <c r="H64" s="269"/>
      <c r="I64" s="49"/>
      <c r="J64" s="273"/>
      <c r="K64" s="279"/>
      <c r="L64" s="273"/>
      <c r="M64" s="273"/>
      <c r="N64" s="273"/>
      <c r="O64" s="49"/>
      <c r="P64" s="50"/>
      <c r="Q64" s="50"/>
      <c r="R64" s="50"/>
      <c r="S64" s="50"/>
      <c r="T64" s="50"/>
      <c r="U64" s="50"/>
      <c r="V64" s="50"/>
      <c r="W64" s="50"/>
      <c r="BD64" s="2389"/>
    </row>
    <row r="65" spans="1:56" s="171" customFormat="1">
      <c r="C65" s="51" t="s">
        <v>168</v>
      </c>
      <c r="D65" s="2327"/>
      <c r="E65" s="269">
        <v>-5.0032559149120903</v>
      </c>
      <c r="F65" s="269" t="s">
        <v>138</v>
      </c>
      <c r="G65" s="269" t="s">
        <v>138</v>
      </c>
      <c r="H65" s="269"/>
      <c r="I65" s="49"/>
      <c r="J65" s="273"/>
      <c r="K65" s="273"/>
      <c r="L65" s="273"/>
      <c r="M65" s="273"/>
      <c r="N65" s="273"/>
      <c r="O65" s="49"/>
      <c r="P65" s="50"/>
      <c r="Q65" s="50"/>
      <c r="R65" s="50"/>
      <c r="S65" s="50"/>
      <c r="T65" s="50"/>
      <c r="U65" s="50"/>
      <c r="V65" s="50"/>
      <c r="W65" s="50"/>
      <c r="BD65" s="2389"/>
    </row>
    <row r="66" spans="1:56" s="171" customFormat="1">
      <c r="C66" s="171" t="s">
        <v>169</v>
      </c>
      <c r="D66" s="349"/>
      <c r="E66" s="269">
        <v>0</v>
      </c>
      <c r="F66" s="269">
        <v>0</v>
      </c>
      <c r="G66" s="269">
        <v>0</v>
      </c>
      <c r="H66" s="269"/>
      <c r="I66" s="49"/>
      <c r="J66" s="273"/>
      <c r="K66" s="273"/>
      <c r="L66" s="273"/>
      <c r="M66" s="273"/>
      <c r="N66" s="273"/>
      <c r="O66" s="49"/>
      <c r="P66" s="50"/>
      <c r="Q66" s="50"/>
      <c r="R66" s="50"/>
      <c r="S66" s="50"/>
      <c r="T66" s="50"/>
      <c r="U66" s="50"/>
      <c r="V66" s="50"/>
      <c r="W66" s="50"/>
      <c r="BD66" s="2389"/>
    </row>
    <row r="67" spans="1:56" s="171" customFormat="1">
      <c r="C67" s="171" t="s">
        <v>170</v>
      </c>
      <c r="D67" s="349"/>
      <c r="E67" s="269" t="s">
        <v>138</v>
      </c>
      <c r="F67" s="269">
        <v>-0.88672906167506593</v>
      </c>
      <c r="G67" s="269">
        <v>-8.3947276098832249E-2</v>
      </c>
      <c r="H67" s="269"/>
      <c r="I67" s="49"/>
      <c r="J67" s="273"/>
      <c r="K67" s="273"/>
      <c r="L67" s="273"/>
      <c r="M67" s="273"/>
      <c r="N67" s="273"/>
      <c r="O67" s="49"/>
      <c r="P67" s="50"/>
      <c r="Q67" s="50"/>
      <c r="R67" s="50"/>
      <c r="S67" s="50"/>
      <c r="T67" s="50"/>
      <c r="U67" s="50"/>
      <c r="V67" s="50"/>
      <c r="W67" s="50"/>
      <c r="BD67" s="2389"/>
    </row>
    <row r="68" spans="1:56" s="171" customFormat="1">
      <c r="D68" s="349"/>
      <c r="E68" s="269"/>
      <c r="F68" s="269"/>
      <c r="G68" s="269"/>
      <c r="H68" s="269"/>
      <c r="I68" s="49"/>
      <c r="J68" s="273"/>
      <c r="K68" s="273"/>
      <c r="L68" s="273"/>
      <c r="M68" s="273"/>
      <c r="N68" s="273"/>
      <c r="O68" s="49"/>
      <c r="P68" s="50"/>
      <c r="Q68" s="50"/>
      <c r="R68" s="50"/>
      <c r="S68" s="50"/>
      <c r="T68" s="50"/>
      <c r="U68" s="50"/>
      <c r="V68" s="50"/>
      <c r="W68" s="50"/>
      <c r="BD68" s="2389"/>
    </row>
    <row r="69" spans="1:56" s="170" customFormat="1">
      <c r="A69" s="46" t="s">
        <v>44</v>
      </c>
      <c r="B69" s="65" t="s">
        <v>320</v>
      </c>
      <c r="C69" s="260" t="s">
        <v>173</v>
      </c>
      <c r="D69" s="2334"/>
      <c r="E69" s="267">
        <v>6835</v>
      </c>
      <c r="F69" s="267">
        <v>6988</v>
      </c>
      <c r="G69" s="267">
        <v>7230</v>
      </c>
      <c r="H69" s="267">
        <v>7185</v>
      </c>
      <c r="I69" s="261" t="s">
        <v>55</v>
      </c>
      <c r="J69" s="281">
        <f>R70+R73+R76*R75</f>
        <v>3251.6946564885498</v>
      </c>
      <c r="K69" s="281">
        <f>S70+S73+S76*S75</f>
        <v>6972.6181653863532</v>
      </c>
      <c r="L69" s="281">
        <f>T70+T73+T76*T75</f>
        <v>6898.5936675461744</v>
      </c>
      <c r="M69" s="825">
        <f>U70+U72*U73+U75*U76</f>
        <v>7103.4393106133712</v>
      </c>
      <c r="N69" s="281"/>
      <c r="O69" s="924" t="s">
        <v>980</v>
      </c>
      <c r="Q69" s="47" t="s">
        <v>883</v>
      </c>
      <c r="R69" s="48"/>
      <c r="X69" s="47" t="s">
        <v>894</v>
      </c>
      <c r="AB69" s="305"/>
      <c r="AC69" s="48"/>
      <c r="AD69" s="48"/>
      <c r="AE69" s="48"/>
      <c r="AF69" s="48"/>
      <c r="AL69" s="48"/>
      <c r="AU69" s="48"/>
      <c r="BD69" s="2393"/>
    </row>
    <row r="70" spans="1:56" s="171" customFormat="1">
      <c r="C70" s="262" t="s">
        <v>174</v>
      </c>
      <c r="D70" s="2335"/>
      <c r="E70" s="264">
        <v>3106</v>
      </c>
      <c r="F70" s="264">
        <v>3316</v>
      </c>
      <c r="G70" s="264">
        <v>3405</v>
      </c>
      <c r="H70" s="264">
        <v>3578</v>
      </c>
      <c r="I70" s="357" t="s">
        <v>660</v>
      </c>
      <c r="J70" s="822">
        <f>R74+(1-R76)*R75</f>
        <v>1659.3053435114505</v>
      </c>
      <c r="K70" s="822">
        <f>S74+(1-S76)*S75</f>
        <v>3322.3818346136468</v>
      </c>
      <c r="L70" s="822">
        <f>T74+(1-T76)*T75</f>
        <v>3127.4063324538256</v>
      </c>
      <c r="M70" s="822">
        <f>U72*U74+U75*(1-U76)</f>
        <v>2997.5606893866288</v>
      </c>
      <c r="N70" s="280"/>
      <c r="O70" s="412"/>
      <c r="P70" s="378"/>
      <c r="Q70" s="379" t="s">
        <v>315</v>
      </c>
      <c r="R70" s="380">
        <v>1939</v>
      </c>
      <c r="S70" s="380">
        <v>4155</v>
      </c>
      <c r="T70" s="380">
        <v>4161</v>
      </c>
      <c r="U70" s="380">
        <v>4137</v>
      </c>
      <c r="V70" s="50"/>
      <c r="X70" s="49" t="s">
        <v>895</v>
      </c>
      <c r="AB70" s="139"/>
      <c r="AC70" s="50"/>
      <c r="AD70" s="50"/>
      <c r="AE70" s="50"/>
      <c r="AF70" s="50"/>
      <c r="AL70" s="50"/>
      <c r="AM70" s="50"/>
      <c r="AN70" s="306"/>
      <c r="AO70" s="49"/>
      <c r="AP70" s="49"/>
      <c r="BD70" s="2389"/>
    </row>
    <row r="71" spans="1:56" s="171" customFormat="1">
      <c r="A71" s="49"/>
      <c r="C71" s="171" t="s">
        <v>175</v>
      </c>
      <c r="D71" s="349"/>
      <c r="E71" s="264">
        <f>12409-9941</f>
        <v>2468</v>
      </c>
      <c r="F71" s="264">
        <v>2718</v>
      </c>
      <c r="G71" s="264">
        <v>2689</v>
      </c>
      <c r="H71" s="264">
        <v>2688</v>
      </c>
      <c r="I71" s="182" t="s">
        <v>601</v>
      </c>
      <c r="J71" s="280">
        <f>J70+J$69</f>
        <v>4911</v>
      </c>
      <c r="K71" s="280">
        <f>K70+K$69</f>
        <v>10295</v>
      </c>
      <c r="L71" s="280">
        <f>L70+L$69</f>
        <v>10026</v>
      </c>
      <c r="M71" s="280">
        <f>M70+M$69</f>
        <v>10101</v>
      </c>
      <c r="N71" s="280"/>
      <c r="O71" s="49"/>
      <c r="P71" s="365"/>
      <c r="Q71" s="365" t="s">
        <v>318</v>
      </c>
      <c r="R71" s="346">
        <f>R73+R74+R75+R77</f>
        <v>3221</v>
      </c>
      <c r="S71" s="346">
        <f>S73+S74+S75+S77</f>
        <v>6722</v>
      </c>
      <c r="T71" s="346">
        <f>T73+T74+T75+T77</f>
        <v>6442</v>
      </c>
      <c r="U71" s="346">
        <f>U72+U75+U77</f>
        <v>6591</v>
      </c>
      <c r="V71" s="49"/>
      <c r="X71" s="49" t="s">
        <v>896</v>
      </c>
      <c r="AA71" s="139"/>
      <c r="AB71" s="139"/>
      <c r="AC71" s="49"/>
      <c r="AD71" s="49"/>
      <c r="AE71" s="49"/>
      <c r="AF71" s="49"/>
      <c r="AN71" s="306"/>
      <c r="AO71" s="141"/>
      <c r="AP71" s="141"/>
      <c r="BD71" s="2389"/>
    </row>
    <row r="72" spans="1:56" s="171" customFormat="1">
      <c r="A72" s="49"/>
      <c r="B72" s="180" t="s">
        <v>370</v>
      </c>
      <c r="C72" s="171" t="s">
        <v>171</v>
      </c>
      <c r="D72" s="349"/>
      <c r="E72" s="264">
        <v>66.319999999999993</v>
      </c>
      <c r="F72" s="264">
        <v>67.89</v>
      </c>
      <c r="G72" s="264">
        <v>68.760000000000005</v>
      </c>
      <c r="H72" s="264">
        <v>69.67</v>
      </c>
      <c r="I72" s="341" t="s">
        <v>661</v>
      </c>
      <c r="J72" s="389">
        <f>J$69/J71</f>
        <v>0.66212475188119524</v>
      </c>
      <c r="K72" s="389">
        <f>K$69/K71</f>
        <v>0.67728199760916497</v>
      </c>
      <c r="L72" s="389">
        <f>L$69/L71</f>
        <v>0.68807038375684959</v>
      </c>
      <c r="M72" s="389">
        <f>M$69/M71</f>
        <v>0.70324119499191873</v>
      </c>
      <c r="N72" s="270"/>
      <c r="O72" s="49"/>
      <c r="P72" s="366"/>
      <c r="Q72" s="365" t="s">
        <v>885</v>
      </c>
      <c r="R72" s="367"/>
      <c r="S72" s="367"/>
      <c r="T72" s="367"/>
      <c r="U72" s="367">
        <v>3775</v>
      </c>
      <c r="V72" s="50"/>
      <c r="W72" s="50"/>
      <c r="X72" s="49" t="s">
        <v>981</v>
      </c>
      <c r="Y72" s="50"/>
      <c r="Z72" s="50"/>
      <c r="AA72" s="50"/>
      <c r="AB72" s="139"/>
      <c r="AC72" s="50"/>
      <c r="AD72" s="50"/>
      <c r="AE72" s="50"/>
      <c r="AF72" s="50"/>
      <c r="AG72" s="50"/>
      <c r="AN72" s="140"/>
      <c r="AO72" s="140"/>
      <c r="BD72" s="2389"/>
    </row>
    <row r="73" spans="1:56" s="171" customFormat="1">
      <c r="C73" s="171" t="s">
        <v>172</v>
      </c>
      <c r="D73" s="349"/>
      <c r="E73" s="264">
        <v>33.68</v>
      </c>
      <c r="F73" s="264">
        <v>32.11</v>
      </c>
      <c r="G73" s="264">
        <v>31.239999999999995</v>
      </c>
      <c r="H73" s="264">
        <v>30.33</v>
      </c>
      <c r="I73" s="182" t="s">
        <v>892</v>
      </c>
      <c r="J73" s="280">
        <f>J70+R77</f>
        <v>1908.3053435114505</v>
      </c>
      <c r="K73" s="280">
        <f>K70+S77</f>
        <v>3904.3818346136468</v>
      </c>
      <c r="L73" s="280">
        <f>L70+T77</f>
        <v>3704.4063324538256</v>
      </c>
      <c r="M73" s="280">
        <f>M70+U77</f>
        <v>3624.5606893866288</v>
      </c>
      <c r="N73" s="280"/>
      <c r="O73" s="49"/>
      <c r="Q73" s="139" t="s">
        <v>316</v>
      </c>
      <c r="R73" s="63">
        <v>744</v>
      </c>
      <c r="S73" s="63">
        <v>1611</v>
      </c>
      <c r="T73" s="63">
        <v>1770</v>
      </c>
      <c r="U73" s="821">
        <f>(1833+U80)/(3939-254)</f>
        <v>0.55956580732700134</v>
      </c>
      <c r="V73" s="821"/>
      <c r="X73" s="49" t="s">
        <v>904</v>
      </c>
      <c r="AB73" s="139"/>
      <c r="AC73" s="63"/>
      <c r="AD73" s="821"/>
      <c r="AE73" s="820"/>
      <c r="AG73" s="59"/>
      <c r="AN73" s="306"/>
      <c r="AO73" s="141"/>
      <c r="BD73" s="2389"/>
    </row>
    <row r="74" spans="1:56" s="171" customFormat="1">
      <c r="B74" s="51" t="s">
        <v>370</v>
      </c>
      <c r="C74" s="51" t="s">
        <v>173</v>
      </c>
      <c r="D74" s="2327"/>
      <c r="E74" s="264">
        <v>68.760000000000005</v>
      </c>
      <c r="F74" s="264">
        <v>67.819999999999993</v>
      </c>
      <c r="G74" s="264">
        <v>67.98</v>
      </c>
      <c r="H74" s="264">
        <v>66.760000000000005</v>
      </c>
      <c r="I74" s="182" t="s">
        <v>604</v>
      </c>
      <c r="J74" s="364">
        <f>J73+J$69</f>
        <v>5160</v>
      </c>
      <c r="K74" s="364">
        <f>K73+K$69</f>
        <v>10877</v>
      </c>
      <c r="L74" s="364">
        <f>L73+L$69</f>
        <v>10603</v>
      </c>
      <c r="M74" s="364">
        <f>M73+M$69</f>
        <v>10728</v>
      </c>
      <c r="N74" s="364"/>
      <c r="O74" s="49"/>
      <c r="Q74" s="139" t="s">
        <v>317</v>
      </c>
      <c r="R74" s="63">
        <v>921</v>
      </c>
      <c r="S74" s="63">
        <v>1730</v>
      </c>
      <c r="T74" s="63">
        <v>1774</v>
      </c>
      <c r="U74" s="821">
        <f>(597+1026)/(3939-254)</f>
        <v>0.44043419267299866</v>
      </c>
      <c r="V74" s="821"/>
      <c r="X74" s="49" t="s">
        <v>902</v>
      </c>
      <c r="AB74" s="139"/>
      <c r="AC74" s="63"/>
      <c r="AD74" s="821"/>
      <c r="AE74" s="820"/>
      <c r="AG74" s="59"/>
      <c r="AK74" s="50"/>
      <c r="AL74" s="50"/>
      <c r="AO74" s="140"/>
      <c r="AP74" s="140"/>
      <c r="BD74" s="2389"/>
    </row>
    <row r="75" spans="1:56" s="171" customFormat="1">
      <c r="C75" s="51" t="s">
        <v>174</v>
      </c>
      <c r="D75" s="2327"/>
      <c r="E75" s="264">
        <f>100-E74</f>
        <v>31.239999999999995</v>
      </c>
      <c r="F75" s="264">
        <f>100-F74</f>
        <v>32.180000000000007</v>
      </c>
      <c r="G75" s="264">
        <v>32.020000000000003</v>
      </c>
      <c r="H75" s="264">
        <v>33.24</v>
      </c>
      <c r="I75" s="341" t="s">
        <v>599</v>
      </c>
      <c r="J75" s="389">
        <f>J$69/J74</f>
        <v>0.63017338304041659</v>
      </c>
      <c r="K75" s="389">
        <f>K$69/K74</f>
        <v>0.64104239821516529</v>
      </c>
      <c r="L75" s="389">
        <f>L$69/L74</f>
        <v>0.65062658375423699</v>
      </c>
      <c r="M75" s="389">
        <f>M$69/M74</f>
        <v>0.66214012962466173</v>
      </c>
      <c r="N75" s="270"/>
      <c r="O75" s="49"/>
      <c r="Q75" s="139" t="s">
        <v>256</v>
      </c>
      <c r="R75" s="50">
        <v>1307</v>
      </c>
      <c r="S75" s="826">
        <v>2799</v>
      </c>
      <c r="T75" s="826">
        <v>2321</v>
      </c>
      <c r="U75" s="50">
        <v>2189</v>
      </c>
      <c r="V75" s="63"/>
      <c r="AB75" s="139"/>
      <c r="AC75" s="50"/>
      <c r="AD75" s="50"/>
      <c r="AE75" s="50"/>
      <c r="AF75" s="50"/>
      <c r="AG75" s="63"/>
      <c r="AN75" s="306"/>
      <c r="AO75" s="141"/>
      <c r="AP75" s="141"/>
      <c r="BD75" s="2389"/>
    </row>
    <row r="76" spans="1:56" s="171" customFormat="1">
      <c r="C76" s="171" t="s">
        <v>175</v>
      </c>
      <c r="D76" s="349"/>
      <c r="E76" s="297"/>
      <c r="F76" s="264"/>
      <c r="G76" s="264"/>
      <c r="H76" s="264"/>
      <c r="I76" s="182" t="s">
        <v>888</v>
      </c>
      <c r="J76" s="280">
        <f>J70+R78</f>
        <v>1884.3053435114505</v>
      </c>
      <c r="K76" s="280">
        <f>K70+S78</f>
        <v>3960.3818346136468</v>
      </c>
      <c r="L76" s="280">
        <f>L70+T78</f>
        <v>4733.4063324538256</v>
      </c>
      <c r="M76" s="280">
        <f>M70+U78</f>
        <v>4793.5606893866288</v>
      </c>
      <c r="N76" s="280"/>
      <c r="O76" s="412"/>
      <c r="Q76" s="182" t="s">
        <v>887</v>
      </c>
      <c r="R76" s="821">
        <f>456/(456+406+186)</f>
        <v>0.4351145038167939</v>
      </c>
      <c r="S76" s="821">
        <f>954/(954+379+880)</f>
        <v>0.43108901943063715</v>
      </c>
      <c r="T76" s="821">
        <f>948/(948+384+942)</f>
        <v>0.41688654353562005</v>
      </c>
      <c r="U76" s="821">
        <f>881/(881+405+972)</f>
        <v>0.39016829052258634</v>
      </c>
      <c r="V76" s="821"/>
      <c r="X76" s="49" t="s">
        <v>900</v>
      </c>
      <c r="AB76" s="182"/>
      <c r="AC76" s="821"/>
      <c r="AD76" s="821"/>
      <c r="AE76" s="820"/>
      <c r="AF76" s="820"/>
      <c r="AG76" s="819"/>
      <c r="BD76" s="2389"/>
    </row>
    <row r="77" spans="1:56" s="171" customFormat="1">
      <c r="B77" s="171" t="s">
        <v>141</v>
      </c>
      <c r="C77" s="171" t="s">
        <v>171</v>
      </c>
      <c r="D77" s="349"/>
      <c r="E77" s="264">
        <v>67.33</v>
      </c>
      <c r="F77" s="264">
        <v>68.5</v>
      </c>
      <c r="G77" s="264">
        <v>70.510000000000005</v>
      </c>
      <c r="H77" s="297" t="s">
        <v>138</v>
      </c>
      <c r="I77" s="363" t="s">
        <v>607</v>
      </c>
      <c r="J77" s="364">
        <f>J76+J$69</f>
        <v>5136</v>
      </c>
      <c r="K77" s="364">
        <f>K76+K$69</f>
        <v>10933</v>
      </c>
      <c r="L77" s="364">
        <f>L76+L$69</f>
        <v>11632</v>
      </c>
      <c r="M77" s="364">
        <f>M76+M$69</f>
        <v>11897</v>
      </c>
      <c r="N77" s="364"/>
      <c r="O77" s="412"/>
      <c r="Q77" s="139" t="s">
        <v>897</v>
      </c>
      <c r="R77" s="50">
        <v>249</v>
      </c>
      <c r="S77" s="50">
        <v>582</v>
      </c>
      <c r="T77" s="50">
        <v>577</v>
      </c>
      <c r="U77" s="50">
        <v>627</v>
      </c>
      <c r="V77" s="50"/>
      <c r="X77" s="59" t="s">
        <v>924</v>
      </c>
      <c r="AA77" s="50"/>
      <c r="AB77" s="139"/>
      <c r="AC77" s="50"/>
      <c r="AE77" s="50"/>
      <c r="AF77" s="50"/>
      <c r="AG77" s="63"/>
      <c r="BD77" s="2389"/>
    </row>
    <row r="78" spans="1:56" s="171" customFormat="1">
      <c r="C78" s="171" t="s">
        <v>172</v>
      </c>
      <c r="D78" s="349"/>
      <c r="E78" s="264">
        <v>32.67</v>
      </c>
      <c r="F78" s="264">
        <v>31.5</v>
      </c>
      <c r="G78" s="264">
        <v>29.489999999999995</v>
      </c>
      <c r="H78" s="297" t="s">
        <v>138</v>
      </c>
      <c r="I78" s="341" t="s">
        <v>662</v>
      </c>
      <c r="J78" s="389">
        <f>J$69/J77</f>
        <v>0.63311811847518495</v>
      </c>
      <c r="K78" s="389">
        <f>K$69/K77</f>
        <v>0.63775891021552666</v>
      </c>
      <c r="L78" s="389">
        <f>L$69/L77</f>
        <v>0.59307029466524885</v>
      </c>
      <c r="M78" s="389">
        <f>M$69/M77</f>
        <v>0.59707819707601673</v>
      </c>
      <c r="N78" s="270"/>
      <c r="O78" s="49"/>
      <c r="P78" s="365"/>
      <c r="Q78" s="365" t="s">
        <v>319</v>
      </c>
      <c r="R78" s="367">
        <v>225</v>
      </c>
      <c r="S78" s="827">
        <v>638</v>
      </c>
      <c r="T78" s="827">
        <v>1606</v>
      </c>
      <c r="U78" s="367">
        <v>1796</v>
      </c>
      <c r="V78" s="50"/>
      <c r="X78" s="59" t="s">
        <v>901</v>
      </c>
      <c r="AA78" s="139"/>
      <c r="AB78" s="139"/>
      <c r="AC78" s="50"/>
      <c r="AE78" s="50"/>
      <c r="AF78" s="50"/>
      <c r="AG78" s="50"/>
      <c r="AH78" s="50"/>
      <c r="AI78" s="140"/>
      <c r="AJ78" s="140"/>
      <c r="AK78" s="140"/>
      <c r="AM78" s="50"/>
      <c r="BD78" s="2389"/>
    </row>
    <row r="79" spans="1:56" s="171" customFormat="1">
      <c r="D79" s="349"/>
      <c r="E79" s="264"/>
      <c r="F79" s="264"/>
      <c r="G79" s="264"/>
      <c r="H79" s="297"/>
      <c r="I79" s="357" t="s">
        <v>889</v>
      </c>
      <c r="J79" s="822">
        <f>J73+R78</f>
        <v>2133.3053435114507</v>
      </c>
      <c r="K79" s="822">
        <f>K73+S78</f>
        <v>4542.3818346136468</v>
      </c>
      <c r="L79" s="822">
        <f>L73+T78</f>
        <v>5310.4063324538256</v>
      </c>
      <c r="M79" s="822">
        <f>M73+U78</f>
        <v>5420.5606893866288</v>
      </c>
      <c r="N79" s="280"/>
      <c r="O79" s="49"/>
      <c r="P79" s="379"/>
      <c r="Q79" s="379" t="s">
        <v>893</v>
      </c>
      <c r="R79" s="380">
        <v>390</v>
      </c>
      <c r="S79" s="380">
        <v>820</v>
      </c>
      <c r="T79" s="380">
        <v>750</v>
      </c>
      <c r="U79" s="380">
        <v>719</v>
      </c>
      <c r="V79" s="50"/>
      <c r="AA79" s="139"/>
      <c r="AB79" s="139"/>
      <c r="AC79" s="50"/>
      <c r="AE79" s="50"/>
      <c r="AF79" s="50"/>
      <c r="AG79" s="50"/>
      <c r="AH79" s="50"/>
      <c r="AI79" s="140"/>
      <c r="AJ79" s="140"/>
      <c r="AK79" s="140"/>
      <c r="AM79" s="50"/>
      <c r="BD79" s="2389"/>
    </row>
    <row r="80" spans="1:56" s="171" customFormat="1">
      <c r="D80" s="349"/>
      <c r="E80" s="824">
        <f>E69/(E69+E70)</f>
        <v>0.68755658384468366</v>
      </c>
      <c r="F80" s="824">
        <f>F69/(F69+F70)</f>
        <v>0.67818322981366463</v>
      </c>
      <c r="G80" s="824">
        <f>G69/(G69+G70)</f>
        <v>0.67983074753173489</v>
      </c>
      <c r="H80" s="824">
        <f>H69/(H69+H70)</f>
        <v>0.66756480535166773</v>
      </c>
      <c r="I80" s="363" t="s">
        <v>890</v>
      </c>
      <c r="J80" s="364">
        <f>J79+J$69</f>
        <v>5385</v>
      </c>
      <c r="K80" s="364">
        <f>K79+K$69</f>
        <v>11515</v>
      </c>
      <c r="L80" s="364">
        <f>L79+L$69</f>
        <v>12209</v>
      </c>
      <c r="M80" s="364">
        <f>M79+M$69</f>
        <v>12524</v>
      </c>
      <c r="N80" s="364"/>
      <c r="O80" s="49"/>
      <c r="Q80" s="139" t="s">
        <v>898</v>
      </c>
      <c r="R80" s="50">
        <v>85</v>
      </c>
      <c r="S80" s="50">
        <v>170</v>
      </c>
      <c r="T80" s="50">
        <v>207</v>
      </c>
      <c r="U80" s="50">
        <v>229</v>
      </c>
      <c r="V80" s="50"/>
      <c r="X80" s="49" t="s">
        <v>982</v>
      </c>
      <c r="AB80" s="182"/>
      <c r="AC80" s="64"/>
      <c r="AF80" s="50"/>
      <c r="AG80" s="50"/>
      <c r="AH80" s="50"/>
      <c r="AI80" s="140"/>
      <c r="AJ80" s="140"/>
      <c r="AK80" s="140"/>
      <c r="AL80" s="50"/>
      <c r="AM80" s="50"/>
      <c r="AN80" s="50"/>
      <c r="AO80" s="50"/>
      <c r="BD80" s="2389"/>
    </row>
    <row r="81" spans="4:56" s="171" customFormat="1">
      <c r="D81" s="349"/>
      <c r="E81" s="264"/>
      <c r="F81" s="264"/>
      <c r="G81" s="264"/>
      <c r="H81" s="264"/>
      <c r="I81" s="341" t="s">
        <v>891</v>
      </c>
      <c r="J81" s="389">
        <f>J$69/J80</f>
        <v>0.60384301884652736</v>
      </c>
      <c r="K81" s="389">
        <f>K$69/K80</f>
        <v>0.60552480810997422</v>
      </c>
      <c r="L81" s="389">
        <f>L$69/L80</f>
        <v>0.56504166332592143</v>
      </c>
      <c r="M81" s="389">
        <f>M$69/M80</f>
        <v>0.5671861474459734</v>
      </c>
      <c r="N81" s="270"/>
      <c r="O81" s="49"/>
      <c r="Q81" s="182" t="s">
        <v>899</v>
      </c>
      <c r="R81" s="38">
        <f>R80/(R80+R77)</f>
        <v>0.25449101796407186</v>
      </c>
      <c r="S81" s="38">
        <f>S80/(S80+S77)</f>
        <v>0.22606382978723405</v>
      </c>
      <c r="T81" s="38">
        <f>T80/(T80+T77)</f>
        <v>0.26403061224489793</v>
      </c>
      <c r="U81" s="38">
        <f>U80/(U80+U77)</f>
        <v>0.2675233644859813</v>
      </c>
      <c r="V81" s="38"/>
      <c r="X81" s="49" t="s">
        <v>983</v>
      </c>
      <c r="AB81" s="182"/>
      <c r="AC81" s="64"/>
      <c r="AG81" s="50"/>
      <c r="AH81" s="50"/>
      <c r="AI81" s="140"/>
      <c r="AJ81" s="140"/>
      <c r="AK81" s="140"/>
      <c r="AL81" s="50"/>
      <c r="AM81" s="50"/>
      <c r="AN81" s="50"/>
      <c r="AO81" s="50"/>
      <c r="BD81" s="2389"/>
    </row>
    <row r="82" spans="4:56" s="171" customFormat="1">
      <c r="D82" s="349"/>
      <c r="E82" s="264"/>
      <c r="F82" s="264"/>
      <c r="G82" s="264"/>
      <c r="H82" s="264"/>
      <c r="J82" s="387"/>
      <c r="K82" s="387"/>
      <c r="L82" s="387"/>
      <c r="M82" s="387"/>
      <c r="N82" s="264"/>
      <c r="O82" s="49"/>
      <c r="X82" s="49" t="s">
        <v>984</v>
      </c>
      <c r="AB82" s="182"/>
      <c r="AC82" s="49"/>
      <c r="AF82" s="50"/>
      <c r="AG82" s="50"/>
      <c r="AH82" s="50"/>
      <c r="AI82" s="140"/>
      <c r="AJ82" s="140"/>
      <c r="AK82" s="140"/>
      <c r="AL82" s="50"/>
      <c r="AM82" s="50"/>
      <c r="AN82" s="50"/>
      <c r="AO82" s="50"/>
      <c r="BD82" s="2389"/>
    </row>
    <row r="83" spans="4:56" s="171" customFormat="1">
      <c r="D83" s="349"/>
      <c r="E83" s="264"/>
      <c r="F83" s="264"/>
      <c r="G83" s="264"/>
      <c r="H83" s="264"/>
      <c r="I83" s="341" t="s">
        <v>55</v>
      </c>
      <c r="J83" s="823">
        <f>R84+R87+R90*R89</f>
        <v>3251.6946564885498</v>
      </c>
      <c r="K83" s="823">
        <f>S84+S87+S90*S89</f>
        <v>6731.8646924829154</v>
      </c>
      <c r="L83" s="823">
        <f>T84+T86*T87+T89*T90</f>
        <v>7041.8399078069151</v>
      </c>
      <c r="M83" s="823">
        <f>U84+U86*U87+U89*U90</f>
        <v>7055.5730025867688</v>
      </c>
      <c r="N83" s="823">
        <f>V84+V86*V87+V89*V90</f>
        <v>7006.0252983296714</v>
      </c>
      <c r="O83" s="925" t="s">
        <v>980</v>
      </c>
      <c r="Q83" s="49" t="s">
        <v>883</v>
      </c>
      <c r="S83" s="50"/>
      <c r="T83" s="50"/>
      <c r="X83" s="49" t="s">
        <v>985</v>
      </c>
      <c r="AC83" s="49"/>
      <c r="AF83" s="50"/>
      <c r="AG83" s="50"/>
      <c r="AM83" s="50"/>
      <c r="AN83" s="50"/>
      <c r="AO83" s="50"/>
      <c r="BD83" s="2389"/>
    </row>
    <row r="84" spans="4:56" s="171" customFormat="1">
      <c r="D84" s="349"/>
      <c r="E84" s="264"/>
      <c r="F84" s="264"/>
      <c r="G84" s="264"/>
      <c r="H84" s="264"/>
      <c r="I84" s="357" t="s">
        <v>660</v>
      </c>
      <c r="J84" s="822">
        <f>R88+(1-R90)*R89</f>
        <v>1659.3053435114505</v>
      </c>
      <c r="K84" s="822">
        <f>S88+(1-S90)*S89</f>
        <v>3017.1353075170841</v>
      </c>
      <c r="L84" s="822">
        <f>T86*T88+T89*(1-T90)</f>
        <v>2883.1600921930849</v>
      </c>
      <c r="M84" s="822">
        <f>U86*U88+U89*(1-U90)</f>
        <v>3045.4269974132312</v>
      </c>
      <c r="N84" s="822">
        <f>V86*V88+V89*(1-V90)</f>
        <v>3133.6851464523679</v>
      </c>
      <c r="O84" s="49"/>
      <c r="P84" s="378"/>
      <c r="Q84" s="379" t="s">
        <v>315</v>
      </c>
      <c r="R84" s="380">
        <v>1939</v>
      </c>
      <c r="S84" s="380">
        <v>4155</v>
      </c>
      <c r="T84" s="380">
        <v>4161</v>
      </c>
      <c r="U84" s="380">
        <v>4137</v>
      </c>
      <c r="V84" s="380">
        <v>4037</v>
      </c>
      <c r="X84" s="49" t="s">
        <v>986</v>
      </c>
      <c r="AC84" s="49"/>
      <c r="AF84" s="50"/>
      <c r="AG84" s="50"/>
      <c r="AM84" s="50"/>
      <c r="AN84" s="50"/>
      <c r="AO84" s="50"/>
      <c r="BD84" s="2389"/>
    </row>
    <row r="85" spans="4:56" s="171" customFormat="1">
      <c r="D85" s="349"/>
      <c r="E85" s="264"/>
      <c r="F85" s="264"/>
      <c r="G85" s="264"/>
      <c r="H85" s="264"/>
      <c r="I85" s="182" t="s">
        <v>601</v>
      </c>
      <c r="J85" s="280">
        <f>J$83+J84</f>
        <v>4911</v>
      </c>
      <c r="K85" s="280">
        <f>K$83+K84</f>
        <v>9749</v>
      </c>
      <c r="L85" s="280">
        <f>L$83+L84</f>
        <v>9925</v>
      </c>
      <c r="M85" s="280">
        <f>M$83+M84</f>
        <v>10101</v>
      </c>
      <c r="N85" s="280">
        <f>N$83+N84</f>
        <v>10139.710444782038</v>
      </c>
      <c r="O85" s="49"/>
      <c r="P85" s="365"/>
      <c r="Q85" s="365" t="s">
        <v>318</v>
      </c>
      <c r="R85" s="346">
        <f>R87+R88+R89+R91</f>
        <v>3221</v>
      </c>
      <c r="S85" s="49">
        <f>S87+S88+S89+S91</f>
        <v>6176</v>
      </c>
      <c r="T85" s="346">
        <f>T86+T89+T91</f>
        <v>6343</v>
      </c>
      <c r="U85" s="346">
        <f>U86+U89+U91</f>
        <v>6591</v>
      </c>
      <c r="V85" s="346">
        <f>V87+V88+V89+V91</f>
        <v>2875.9983831477589</v>
      </c>
      <c r="AC85" s="49"/>
      <c r="AF85" s="50"/>
      <c r="AG85" s="50"/>
      <c r="AM85" s="50"/>
      <c r="AN85" s="50"/>
      <c r="AO85" s="50"/>
      <c r="BD85" s="2389"/>
    </row>
    <row r="86" spans="4:56" s="171" customFormat="1">
      <c r="D86" s="349"/>
      <c r="E86" s="264"/>
      <c r="F86" s="264"/>
      <c r="G86" s="264"/>
      <c r="H86" s="264"/>
      <c r="I86" s="341" t="s">
        <v>661</v>
      </c>
      <c r="J86" s="389">
        <f>J$83/J85</f>
        <v>0.66212475188119524</v>
      </c>
      <c r="K86" s="389">
        <f>K$83/K85</f>
        <v>0.69051848317600939</v>
      </c>
      <c r="L86" s="389">
        <f>L$83/L85</f>
        <v>0.7095052803835683</v>
      </c>
      <c r="M86" s="389">
        <f>M$83/M85</f>
        <v>0.69850242575851584</v>
      </c>
      <c r="N86" s="389">
        <f>N$83/N85</f>
        <v>0.69094924716859329</v>
      </c>
      <c r="O86" s="49"/>
      <c r="P86" s="366"/>
      <c r="Q86" s="365" t="s">
        <v>885</v>
      </c>
      <c r="R86" s="367"/>
      <c r="S86" s="367"/>
      <c r="T86" s="367">
        <v>3601</v>
      </c>
      <c r="U86" s="367">
        <v>3775</v>
      </c>
      <c r="V86" s="367">
        <v>3890</v>
      </c>
      <c r="X86" s="818"/>
      <c r="AC86" s="49"/>
      <c r="AF86" s="50"/>
      <c r="AG86" s="50"/>
      <c r="AM86" s="50"/>
      <c r="AN86" s="50"/>
      <c r="AO86" s="50"/>
      <c r="BD86" s="2389"/>
    </row>
    <row r="87" spans="4:56" s="171" customFormat="1">
      <c r="D87" s="349"/>
      <c r="E87" s="264"/>
      <c r="F87" s="264"/>
      <c r="G87" s="264"/>
      <c r="H87" s="264"/>
      <c r="I87" s="182" t="s">
        <v>892</v>
      </c>
      <c r="J87" s="280">
        <f>J84+R91</f>
        <v>1908.3053435114505</v>
      </c>
      <c r="K87" s="280">
        <f>K84+S91</f>
        <v>3599.1353075170841</v>
      </c>
      <c r="L87" s="280">
        <f>L84+T91</f>
        <v>3462.1600921930849</v>
      </c>
      <c r="M87" s="280">
        <f>M84+U91</f>
        <v>3672.4269974132312</v>
      </c>
      <c r="N87" s="280">
        <f>N84+V91</f>
        <v>3789.6851464523679</v>
      </c>
      <c r="O87" s="49"/>
      <c r="Q87" s="139" t="s">
        <v>316</v>
      </c>
      <c r="R87" s="63">
        <v>744</v>
      </c>
      <c r="S87" s="63">
        <v>1611</v>
      </c>
      <c r="T87" s="821">
        <f>(1690+T94)/(3735-331)</f>
        <v>0.55963572267920092</v>
      </c>
      <c r="U87" s="821">
        <f>(1833+U94)/(3939-254)</f>
        <v>0.55956580732700134</v>
      </c>
      <c r="V87" s="821">
        <f>(1934+V94)/(4094-215)</f>
        <v>0.55039958752255735</v>
      </c>
      <c r="AC87" s="49"/>
      <c r="AF87" s="50"/>
      <c r="AG87" s="50"/>
      <c r="AM87" s="50"/>
      <c r="AN87" s="50"/>
      <c r="AO87" s="50"/>
      <c r="BD87" s="2389"/>
    </row>
    <row r="88" spans="4:56" s="171" customFormat="1">
      <c r="D88" s="349"/>
      <c r="E88" s="264"/>
      <c r="F88" s="264"/>
      <c r="G88" s="264"/>
      <c r="H88" s="264"/>
      <c r="I88" s="182" t="s">
        <v>604</v>
      </c>
      <c r="J88" s="280">
        <f>J$83+J87</f>
        <v>5160</v>
      </c>
      <c r="K88" s="280">
        <f>K$83+K87</f>
        <v>10331</v>
      </c>
      <c r="L88" s="280">
        <f>L$83+L87</f>
        <v>10504</v>
      </c>
      <c r="M88" s="280">
        <f>M$83+M87</f>
        <v>10728</v>
      </c>
      <c r="N88" s="280">
        <f>N$83+N87</f>
        <v>10795.710444782038</v>
      </c>
      <c r="O88" s="49"/>
      <c r="Q88" s="139" t="s">
        <v>317</v>
      </c>
      <c r="R88" s="63">
        <v>921</v>
      </c>
      <c r="S88" s="63">
        <v>1730</v>
      </c>
      <c r="T88" s="821">
        <f>(500+999)/(3735-331)</f>
        <v>0.44036427732079908</v>
      </c>
      <c r="U88" s="821">
        <f>(597+1026)/(3939-254)</f>
        <v>0.44043419267299866</v>
      </c>
      <c r="V88" s="821">
        <f>(702+1042)/(4094-201)</f>
        <v>0.44798356023632158</v>
      </c>
      <c r="AC88" s="49"/>
      <c r="AF88" s="50"/>
      <c r="AG88" s="50"/>
      <c r="AI88" s="50"/>
      <c r="AJ88" s="50">
        <v>2012</v>
      </c>
      <c r="AM88" s="50"/>
      <c r="AN88" s="50"/>
      <c r="AO88" s="50"/>
      <c r="BD88" s="2389"/>
    </row>
    <row r="89" spans="4:56" s="171" customFormat="1">
      <c r="D89" s="349"/>
      <c r="E89" s="264"/>
      <c r="F89" s="264"/>
      <c r="G89" s="264"/>
      <c r="H89" s="264"/>
      <c r="I89" s="341" t="s">
        <v>599</v>
      </c>
      <c r="J89" s="389">
        <f>J$83/J88</f>
        <v>0.63017338304041659</v>
      </c>
      <c r="K89" s="389">
        <f>K$83/K88</f>
        <v>0.65161791622136433</v>
      </c>
      <c r="L89" s="389">
        <f>L$83/L88</f>
        <v>0.67039603082701016</v>
      </c>
      <c r="M89" s="389">
        <f>M$83/M88</f>
        <v>0.65767831866021331</v>
      </c>
      <c r="N89" s="389">
        <f>N$83/N88</f>
        <v>0.6489638022586961</v>
      </c>
      <c r="O89" s="49"/>
      <c r="Q89" s="139" t="s">
        <v>256</v>
      </c>
      <c r="R89" s="50">
        <v>1307</v>
      </c>
      <c r="S89" s="826">
        <v>2253</v>
      </c>
      <c r="T89" s="826">
        <v>2163</v>
      </c>
      <c r="U89" s="50">
        <v>2189</v>
      </c>
      <c r="V89" s="50">
        <v>2219</v>
      </c>
      <c r="AC89" s="49"/>
      <c r="AF89" s="50"/>
      <c r="AG89" s="50"/>
      <c r="AI89" s="139" t="s">
        <v>315</v>
      </c>
      <c r="AJ89" s="50">
        <f>SUM(AJ90:AJ93)</f>
        <v>4371</v>
      </c>
      <c r="AK89" s="49" t="s">
        <v>324</v>
      </c>
      <c r="AL89" s="49" t="s">
        <v>325</v>
      </c>
      <c r="AM89" s="50"/>
      <c r="AN89" s="50"/>
      <c r="AO89" s="50"/>
      <c r="BD89" s="2389"/>
    </row>
    <row r="90" spans="4:56" s="171" customFormat="1">
      <c r="D90" s="349"/>
      <c r="E90" s="264"/>
      <c r="F90" s="264"/>
      <c r="G90" s="264"/>
      <c r="H90" s="264"/>
      <c r="I90" s="182" t="s">
        <v>888</v>
      </c>
      <c r="J90" s="280">
        <f>J84+R92</f>
        <v>1884.3053435114505</v>
      </c>
      <c r="K90" s="280">
        <f>K84+S92</f>
        <v>4202.1353075170846</v>
      </c>
      <c r="L90" s="280">
        <f>L84+T92</f>
        <v>4588.1600921930849</v>
      </c>
      <c r="M90" s="280">
        <f>M84+U92</f>
        <v>4841.4269974132312</v>
      </c>
      <c r="N90" s="280">
        <f>N84+V92</f>
        <v>5081.6851464523679</v>
      </c>
      <c r="O90" s="49"/>
      <c r="Q90" s="182" t="s">
        <v>887</v>
      </c>
      <c r="R90" s="821">
        <f>456/(456+406+186)</f>
        <v>0.4351145038167939</v>
      </c>
      <c r="S90" s="821">
        <f>941/(941+379+875)</f>
        <v>0.42870159453302964</v>
      </c>
      <c r="T90" s="821">
        <f>884/(884+383+942)</f>
        <v>0.40018107741059306</v>
      </c>
      <c r="U90" s="821">
        <f>811/(811+411+980)</f>
        <v>0.36830154405086285</v>
      </c>
      <c r="V90" s="821">
        <f>872/(872+439+1026)</f>
        <v>0.37312794180573383</v>
      </c>
      <c r="AC90" s="49"/>
      <c r="AF90" s="50"/>
      <c r="AG90" s="50"/>
      <c r="AI90" s="50" t="s">
        <v>322</v>
      </c>
      <c r="AJ90" s="50">
        <v>3404</v>
      </c>
      <c r="AK90" s="38">
        <f>AJ90/$AJ$89</f>
        <v>0.77876916037520016</v>
      </c>
      <c r="AL90" s="38">
        <f>AJ90/($S$70+$S$71+$S$78+$S$80)</f>
        <v>0.29131364997860504</v>
      </c>
      <c r="AM90" s="50"/>
      <c r="AN90" s="50"/>
      <c r="AO90" s="50"/>
      <c r="BD90" s="2389"/>
    </row>
    <row r="91" spans="4:56" s="171" customFormat="1">
      <c r="D91" s="349"/>
      <c r="E91" s="264"/>
      <c r="F91" s="264"/>
      <c r="G91" s="264"/>
      <c r="H91" s="264"/>
      <c r="I91" s="363" t="s">
        <v>607</v>
      </c>
      <c r="J91" s="280">
        <f>J$83+J90</f>
        <v>5136</v>
      </c>
      <c r="K91" s="280">
        <f>K$83+K90</f>
        <v>10934</v>
      </c>
      <c r="L91" s="280">
        <f>L$83+L90</f>
        <v>11630</v>
      </c>
      <c r="M91" s="280">
        <f>M$83+M90</f>
        <v>11897</v>
      </c>
      <c r="N91" s="280">
        <f>N$83+N90</f>
        <v>12087.710444782038</v>
      </c>
      <c r="O91" s="49"/>
      <c r="Q91" s="139" t="s">
        <v>897</v>
      </c>
      <c r="R91" s="50">
        <v>249</v>
      </c>
      <c r="S91" s="50">
        <v>582</v>
      </c>
      <c r="T91" s="50">
        <v>579</v>
      </c>
      <c r="U91" s="50">
        <v>627</v>
      </c>
      <c r="V91" s="50">
        <v>656</v>
      </c>
      <c r="X91" s="49" t="s">
        <v>987</v>
      </c>
      <c r="AC91" s="49"/>
      <c r="AF91" s="50"/>
      <c r="AG91" s="50"/>
      <c r="AH91" s="50"/>
      <c r="AI91" s="50" t="s">
        <v>323</v>
      </c>
      <c r="AJ91" s="50">
        <v>804</v>
      </c>
      <c r="AK91" s="38">
        <f>AJ91/AJ90</f>
        <v>0.23619271445358403</v>
      </c>
      <c r="AL91" s="38">
        <f>AJ91/($S$70+$S$71+$S$78+$S$80)</f>
        <v>6.8806161745827987E-2</v>
      </c>
      <c r="AM91" s="50"/>
      <c r="AN91" s="50"/>
      <c r="AO91" s="50"/>
      <c r="BD91" s="2389"/>
    </row>
    <row r="92" spans="4:56" s="171" customFormat="1">
      <c r="D92" s="349"/>
      <c r="E92" s="264"/>
      <c r="F92" s="264"/>
      <c r="G92" s="264"/>
      <c r="H92" s="264"/>
      <c r="I92" s="341" t="s">
        <v>662</v>
      </c>
      <c r="J92" s="389">
        <f>J$83/J91</f>
        <v>0.63311811847518495</v>
      </c>
      <c r="K92" s="389">
        <f>K$83/K91</f>
        <v>0.61568179005697055</v>
      </c>
      <c r="L92" s="389">
        <f>L$83/L91</f>
        <v>0.60548924400747339</v>
      </c>
      <c r="M92" s="389">
        <f>M$83/M91</f>
        <v>0.59305480394946364</v>
      </c>
      <c r="N92" s="389">
        <f>N$83/N91</f>
        <v>0.5795990341044277</v>
      </c>
      <c r="O92" s="49"/>
      <c r="P92" s="365"/>
      <c r="Q92" s="365" t="s">
        <v>319</v>
      </c>
      <c r="R92" s="367">
        <v>225</v>
      </c>
      <c r="S92" s="827">
        <v>1185</v>
      </c>
      <c r="T92" s="827">
        <v>1705</v>
      </c>
      <c r="U92" s="367">
        <v>1796</v>
      </c>
      <c r="V92" s="367">
        <v>1948</v>
      </c>
      <c r="AB92" s="182"/>
      <c r="AC92" s="49"/>
      <c r="AF92" s="50"/>
      <c r="AG92" s="50"/>
      <c r="AH92" s="50"/>
      <c r="AI92" s="50" t="s">
        <v>321</v>
      </c>
      <c r="AJ92" s="50">
        <v>247</v>
      </c>
      <c r="AK92" s="38">
        <f>AJ92/AJ91</f>
        <v>0.30721393034825872</v>
      </c>
      <c r="AL92" s="38">
        <f>AJ92/($S$70+$S$71+$S$78+$S$80)</f>
        <v>2.113821138211382E-2</v>
      </c>
      <c r="AM92" s="50"/>
      <c r="AN92" s="50"/>
      <c r="AO92" s="50"/>
      <c r="BD92" s="2389"/>
    </row>
    <row r="93" spans="4:56" s="171" customFormat="1">
      <c r="D93" s="349"/>
      <c r="E93" s="264"/>
      <c r="F93" s="264"/>
      <c r="G93" s="264"/>
      <c r="H93" s="264"/>
      <c r="I93" s="357" t="s">
        <v>889</v>
      </c>
      <c r="J93" s="822">
        <f>J87+R92</f>
        <v>2133.3053435114507</v>
      </c>
      <c r="K93" s="822">
        <f>K87+S92</f>
        <v>4784.1353075170846</v>
      </c>
      <c r="L93" s="822">
        <f>L87+T92</f>
        <v>5167.1600921930849</v>
      </c>
      <c r="M93" s="822">
        <f>M87+U92</f>
        <v>5468.4269974132312</v>
      </c>
      <c r="N93" s="822">
        <f>N87+V92</f>
        <v>5737.6851464523679</v>
      </c>
      <c r="O93" s="49"/>
      <c r="P93" s="379"/>
      <c r="Q93" s="379" t="s">
        <v>893</v>
      </c>
      <c r="R93" s="380">
        <v>390</v>
      </c>
      <c r="S93" s="380">
        <v>820</v>
      </c>
      <c r="T93" s="380">
        <v>750</v>
      </c>
      <c r="U93" s="380">
        <v>727</v>
      </c>
      <c r="V93" s="380">
        <v>558</v>
      </c>
      <c r="X93" s="49" t="s">
        <v>988</v>
      </c>
      <c r="Y93" s="50"/>
      <c r="AB93" s="182"/>
      <c r="AC93" s="49"/>
      <c r="AF93" s="50"/>
      <c r="AG93" s="50"/>
      <c r="AH93" s="50"/>
      <c r="AI93" s="50" t="s">
        <v>155</v>
      </c>
      <c r="AJ93" s="50">
        <v>-84</v>
      </c>
      <c r="AK93" s="49"/>
      <c r="AL93" s="49"/>
      <c r="AM93" s="50"/>
      <c r="AN93" s="50"/>
      <c r="AO93" s="50"/>
      <c r="BD93" s="2389"/>
    </row>
    <row r="94" spans="4:56" s="171" customFormat="1">
      <c r="D94" s="349"/>
      <c r="E94" s="264"/>
      <c r="F94" s="264"/>
      <c r="G94" s="264"/>
      <c r="H94" s="264"/>
      <c r="I94" s="363" t="s">
        <v>890</v>
      </c>
      <c r="J94" s="280">
        <f>J$83+J93</f>
        <v>5385</v>
      </c>
      <c r="K94" s="280">
        <f>K$83+K93</f>
        <v>11516</v>
      </c>
      <c r="L94" s="280">
        <f>L$83+L93</f>
        <v>12209</v>
      </c>
      <c r="M94" s="280">
        <f>M$83+M93</f>
        <v>12524</v>
      </c>
      <c r="N94" s="280">
        <f>N$83+N93</f>
        <v>12743.710444782038</v>
      </c>
      <c r="O94" s="49"/>
      <c r="Q94" s="139" t="s">
        <v>898</v>
      </c>
      <c r="R94" s="50">
        <v>85</v>
      </c>
      <c r="S94" s="50">
        <v>170</v>
      </c>
      <c r="T94" s="50">
        <v>215</v>
      </c>
      <c r="U94" s="50">
        <v>229</v>
      </c>
      <c r="V94" s="50">
        <v>201</v>
      </c>
      <c r="AB94" s="182"/>
      <c r="AC94" s="49"/>
      <c r="AF94" s="50"/>
      <c r="AG94" s="50"/>
      <c r="AH94" s="50"/>
      <c r="AM94" s="50"/>
      <c r="AN94" s="50"/>
      <c r="AO94" s="50"/>
      <c r="BD94" s="2389"/>
    </row>
    <row r="95" spans="4:56" s="171" customFormat="1">
      <c r="D95" s="349"/>
      <c r="E95" s="264"/>
      <c r="F95" s="264"/>
      <c r="G95" s="264"/>
      <c r="H95" s="264"/>
      <c r="I95" s="851" t="s">
        <v>384</v>
      </c>
      <c r="J95" s="833">
        <f>J$83/J94</f>
        <v>0.60384301884652736</v>
      </c>
      <c r="K95" s="833">
        <f>K$83/K94</f>
        <v>0.58456622894085752</v>
      </c>
      <c r="L95" s="833">
        <f>L$83/L94</f>
        <v>0.57677450305568967</v>
      </c>
      <c r="M95" s="833">
        <f>M$83/M94</f>
        <v>0.56336418097946095</v>
      </c>
      <c r="N95" s="833">
        <f>N$83/N94</f>
        <v>0.5497633776823857</v>
      </c>
      <c r="O95" s="49"/>
      <c r="Q95" s="182" t="s">
        <v>899</v>
      </c>
      <c r="R95" s="38">
        <f>R94/(R94+R91)</f>
        <v>0.25449101796407186</v>
      </c>
      <c r="S95" s="38">
        <f>S94/(S94+S91)</f>
        <v>0.22606382978723405</v>
      </c>
      <c r="T95" s="38">
        <f>T94/(T94+T91)</f>
        <v>0.27078085642317379</v>
      </c>
      <c r="U95" s="38">
        <f>U94/(U94+U91)</f>
        <v>0.2675233644859813</v>
      </c>
      <c r="V95" s="38">
        <f>V94/(V94+V91)</f>
        <v>0.23453908984830804</v>
      </c>
      <c r="AB95" s="182"/>
      <c r="AC95" s="49"/>
      <c r="AF95" s="50"/>
      <c r="AG95" s="50"/>
      <c r="AH95" s="50"/>
      <c r="AJ95" s="140"/>
      <c r="AK95" s="182" t="s">
        <v>942</v>
      </c>
      <c r="AL95" s="141">
        <f>1035/12708</f>
        <v>8.1444759206798861E-2</v>
      </c>
      <c r="AM95" s="50"/>
      <c r="AN95" s="50"/>
      <c r="AO95" s="50"/>
      <c r="BD95" s="2389"/>
    </row>
    <row r="96" spans="4:56" s="171" customFormat="1">
      <c r="D96" s="349"/>
      <c r="E96" s="264"/>
      <c r="F96" s="264"/>
      <c r="G96" s="264"/>
      <c r="H96" s="264"/>
      <c r="J96" s="264"/>
      <c r="K96" s="264"/>
      <c r="L96" s="264"/>
      <c r="M96" s="264"/>
      <c r="N96" s="264"/>
      <c r="O96" s="49"/>
      <c r="Q96" s="49"/>
      <c r="S96" s="50"/>
      <c r="T96" s="50"/>
      <c r="Y96" s="50"/>
      <c r="AB96" s="182"/>
      <c r="AC96" s="49"/>
      <c r="AF96" s="50"/>
      <c r="AG96" s="50"/>
      <c r="AH96" s="50"/>
      <c r="AI96" s="140"/>
      <c r="AJ96" s="140"/>
      <c r="AK96" s="140"/>
      <c r="AL96" s="50"/>
      <c r="AM96" s="50"/>
      <c r="AN96" s="50"/>
      <c r="AO96" s="50"/>
      <c r="BD96" s="2389"/>
    </row>
    <row r="97" spans="1:56" s="171" customFormat="1">
      <c r="D97" s="349"/>
      <c r="E97" s="264"/>
      <c r="F97" s="264"/>
      <c r="G97" s="264"/>
      <c r="H97" s="264"/>
      <c r="I97" s="182" t="s">
        <v>546</v>
      </c>
      <c r="J97" s="846"/>
      <c r="K97" s="326">
        <f>E74/$AB$1</f>
        <v>0.6876000000000001</v>
      </c>
      <c r="L97" s="326">
        <f>F74/$AB$1</f>
        <v>0.67819999999999991</v>
      </c>
      <c r="M97" s="326">
        <f>G74/$AB$1</f>
        <v>0.67980000000000007</v>
      </c>
      <c r="N97" s="326">
        <f>H74/$AB$1</f>
        <v>0.66760000000000008</v>
      </c>
      <c r="O97" s="49"/>
      <c r="P97" s="49"/>
      <c r="Q97" s="262"/>
      <c r="R97" s="262"/>
      <c r="S97" s="262"/>
      <c r="U97" s="50"/>
      <c r="V97" s="50"/>
      <c r="W97" s="50"/>
      <c r="BD97" s="2389"/>
    </row>
    <row r="98" spans="1:56" s="171" customFormat="1">
      <c r="D98" s="349"/>
      <c r="E98" s="264"/>
      <c r="F98" s="264"/>
      <c r="G98" s="264"/>
      <c r="H98" s="264"/>
      <c r="I98" s="847" t="s">
        <v>882</v>
      </c>
      <c r="J98" s="848"/>
      <c r="K98" s="848">
        <f>E69/SUM(E69:E71)</f>
        <v>0.55080989604319441</v>
      </c>
      <c r="L98" s="848">
        <f>F69/SUM(F69:F71)</f>
        <v>0.53663031792351401</v>
      </c>
      <c r="M98" s="848">
        <f>G69/SUM(G69:G71)</f>
        <v>0.54262984088862198</v>
      </c>
      <c r="N98" s="848">
        <f>H69/SUM(H69:H71)</f>
        <v>0.5341610289197829</v>
      </c>
      <c r="O98" s="49"/>
      <c r="P98" s="49"/>
      <c r="Q98" s="262"/>
      <c r="R98" s="262"/>
      <c r="S98" s="262"/>
      <c r="U98" s="50"/>
      <c r="V98" s="50"/>
      <c r="W98" s="50"/>
      <c r="BD98" s="2389"/>
    </row>
    <row r="99" spans="1:56" s="171" customFormat="1">
      <c r="D99" s="349"/>
      <c r="E99" s="264"/>
      <c r="F99" s="264"/>
      <c r="G99" s="264"/>
      <c r="H99" s="264"/>
      <c r="I99" s="184"/>
      <c r="J99" s="282"/>
      <c r="K99" s="282"/>
      <c r="L99" s="273"/>
      <c r="M99" s="273"/>
      <c r="N99" s="273"/>
      <c r="O99" s="49"/>
      <c r="P99" s="50"/>
      <c r="U99" s="50"/>
      <c r="V99" s="50"/>
      <c r="W99" s="50"/>
      <c r="BD99" s="2389"/>
    </row>
    <row r="100" spans="1:56" s="2369" customFormat="1">
      <c r="A100" s="748" t="s">
        <v>36</v>
      </c>
      <c r="B100" s="748" t="s">
        <v>370</v>
      </c>
      <c r="C100" s="750" t="s">
        <v>176</v>
      </c>
      <c r="D100" s="2329"/>
      <c r="E100" s="751">
        <v>85.97</v>
      </c>
      <c r="F100" s="751">
        <v>86.04</v>
      </c>
      <c r="G100" s="751">
        <v>87.99</v>
      </c>
      <c r="H100" s="775">
        <v>1442.48</v>
      </c>
      <c r="I100" s="856" t="s">
        <v>373</v>
      </c>
      <c r="J100" s="855">
        <f>1-J101</f>
        <v>0.94</v>
      </c>
      <c r="K100" s="857">
        <f>(E100+E102)/$AB$1</f>
        <v>0.90459999999999996</v>
      </c>
      <c r="L100" s="857">
        <f>(F100+F102)/$AB$1</f>
        <v>0.89960000000000007</v>
      </c>
      <c r="M100" s="857">
        <f>(G100+G102)/$AB$1</f>
        <v>0.91289999999999993</v>
      </c>
      <c r="N100" s="857">
        <f>(H100+H102)/SUM(H100:H102)</f>
        <v>0.94497650196875393</v>
      </c>
      <c r="O100" s="778"/>
      <c r="P100" s="750"/>
      <c r="Q100" s="755" t="s">
        <v>177</v>
      </c>
      <c r="R100" s="752"/>
      <c r="S100" s="752"/>
      <c r="T100" s="752"/>
      <c r="U100" s="750"/>
      <c r="V100" s="750"/>
      <c r="W100" s="755" t="s">
        <v>178</v>
      </c>
      <c r="X100" s="750"/>
      <c r="Y100" s="755"/>
      <c r="Z100" s="755"/>
      <c r="AA100" s="755"/>
      <c r="AB100" s="750"/>
      <c r="AC100" s="752" t="s">
        <v>519</v>
      </c>
      <c r="AD100" s="755"/>
      <c r="AE100" s="750"/>
      <c r="AF100" s="750"/>
      <c r="AG100" s="750"/>
      <c r="AH100" s="750"/>
      <c r="AI100" s="750"/>
      <c r="AJ100" s="750"/>
      <c r="BD100" s="2392"/>
    </row>
    <row r="101" spans="1:56" s="2324" customFormat="1">
      <c r="A101" s="756"/>
      <c r="B101" s="756"/>
      <c r="C101" s="779" t="s">
        <v>179</v>
      </c>
      <c r="D101" s="2330"/>
      <c r="E101" s="757">
        <v>9.5399999999999991</v>
      </c>
      <c r="F101" s="757">
        <v>10.039999999999999</v>
      </c>
      <c r="G101" s="757">
        <v>8.7100000000000009</v>
      </c>
      <c r="H101" s="780">
        <v>86.64</v>
      </c>
      <c r="I101" s="781" t="s">
        <v>520</v>
      </c>
      <c r="J101" s="782">
        <v>0.06</v>
      </c>
      <c r="K101" s="767" t="s">
        <v>623</v>
      </c>
      <c r="L101" s="757"/>
      <c r="M101" s="757"/>
      <c r="N101" s="757"/>
      <c r="O101" s="756"/>
      <c r="P101" s="756"/>
      <c r="Q101" s="766"/>
      <c r="R101" s="766"/>
      <c r="S101" s="766"/>
      <c r="T101" s="766"/>
      <c r="U101" s="766"/>
      <c r="V101" s="766"/>
      <c r="W101" s="765"/>
      <c r="X101" s="765"/>
      <c r="Y101" s="765"/>
      <c r="Z101" s="765"/>
      <c r="AA101" s="765"/>
      <c r="AB101" s="765"/>
      <c r="AC101" s="765"/>
      <c r="AD101" s="765"/>
      <c r="AE101" s="756"/>
      <c r="AF101" s="756"/>
      <c r="AG101" s="756"/>
      <c r="AH101" s="756"/>
      <c r="AI101" s="756"/>
      <c r="AJ101" s="756"/>
      <c r="BD101" s="2388"/>
    </row>
    <row r="102" spans="1:56" s="2324" customFormat="1">
      <c r="A102" s="756"/>
      <c r="B102" s="756"/>
      <c r="C102" s="756" t="s">
        <v>180</v>
      </c>
      <c r="D102" s="849"/>
      <c r="E102" s="757">
        <v>4.49</v>
      </c>
      <c r="F102" s="757">
        <v>3.92</v>
      </c>
      <c r="G102" s="757">
        <v>3.3</v>
      </c>
      <c r="H102" s="780">
        <v>45.48</v>
      </c>
      <c r="I102" s="756"/>
      <c r="J102" s="757"/>
      <c r="K102" s="757"/>
      <c r="L102" s="757"/>
      <c r="M102" s="757"/>
      <c r="N102" s="783"/>
      <c r="O102" s="773"/>
      <c r="P102" s="756"/>
      <c r="Q102" s="766"/>
      <c r="R102" s="766"/>
      <c r="S102" s="766"/>
      <c r="T102" s="766"/>
      <c r="U102" s="756"/>
      <c r="V102" s="756"/>
      <c r="W102" s="765"/>
      <c r="X102" s="765"/>
      <c r="Y102" s="765"/>
      <c r="Z102" s="765"/>
      <c r="AA102" s="765"/>
      <c r="AB102" s="765"/>
      <c r="AC102" s="766"/>
      <c r="AD102" s="765"/>
      <c r="AE102" s="756"/>
      <c r="AF102" s="756"/>
      <c r="AG102" s="756"/>
      <c r="AH102" s="756"/>
      <c r="AI102" s="756"/>
      <c r="AJ102" s="756"/>
      <c r="BD102" s="2388"/>
    </row>
    <row r="103" spans="1:56" s="2324" customFormat="1">
      <c r="A103" s="756"/>
      <c r="B103" s="779" t="s">
        <v>141</v>
      </c>
      <c r="C103" s="756" t="s">
        <v>176</v>
      </c>
      <c r="D103" s="849"/>
      <c r="E103" s="757">
        <v>99.65</v>
      </c>
      <c r="F103" s="757">
        <v>103</v>
      </c>
      <c r="G103" s="757" t="s">
        <v>138</v>
      </c>
      <c r="H103" s="757" t="s">
        <v>138</v>
      </c>
      <c r="I103" s="756"/>
      <c r="J103" s="757"/>
      <c r="K103" s="757"/>
      <c r="L103" s="757"/>
      <c r="M103" s="757"/>
      <c r="N103" s="757"/>
      <c r="O103" s="756"/>
      <c r="P103" s="756"/>
      <c r="Q103" s="766"/>
      <c r="R103" s="766"/>
      <c r="S103" s="766"/>
      <c r="T103" s="766"/>
      <c r="U103" s="766"/>
      <c r="V103" s="766"/>
      <c r="W103" s="765"/>
      <c r="X103" s="765"/>
      <c r="Y103" s="765"/>
      <c r="Z103" s="765"/>
      <c r="AA103" s="765"/>
      <c r="AB103" s="765"/>
      <c r="AC103" s="765"/>
      <c r="AD103" s="765"/>
      <c r="AE103" s="756"/>
      <c r="AF103" s="756"/>
      <c r="AG103" s="756"/>
      <c r="AH103" s="756"/>
      <c r="AI103" s="756"/>
      <c r="AJ103" s="756"/>
      <c r="BD103" s="2388"/>
    </row>
    <row r="104" spans="1:56" s="2324" customFormat="1">
      <c r="A104" s="756"/>
      <c r="B104" s="756"/>
      <c r="C104" s="756" t="s">
        <v>180</v>
      </c>
      <c r="D104" s="849"/>
      <c r="E104" s="757">
        <v>2.3199999999999998</v>
      </c>
      <c r="F104" s="757">
        <v>1.59</v>
      </c>
      <c r="G104" s="757" t="s">
        <v>138</v>
      </c>
      <c r="H104" s="757" t="s">
        <v>138</v>
      </c>
      <c r="I104" s="756"/>
      <c r="J104" s="757"/>
      <c r="K104" s="757"/>
      <c r="L104" s="757"/>
      <c r="M104" s="757"/>
      <c r="N104" s="757"/>
      <c r="O104" s="756"/>
      <c r="P104" s="756"/>
      <c r="Q104" s="766"/>
      <c r="R104" s="766"/>
      <c r="S104" s="766"/>
      <c r="T104" s="766"/>
      <c r="U104" s="766"/>
      <c r="V104" s="766"/>
      <c r="W104" s="765"/>
      <c r="X104" s="765"/>
      <c r="Y104" s="765"/>
      <c r="Z104" s="765"/>
      <c r="AA104" s="765"/>
      <c r="AB104" s="765"/>
      <c r="AC104" s="765"/>
      <c r="AD104" s="765"/>
      <c r="AE104" s="756"/>
      <c r="AF104" s="756"/>
      <c r="AG104" s="756"/>
      <c r="AH104" s="756"/>
      <c r="AI104" s="756"/>
      <c r="AJ104" s="756"/>
      <c r="BD104" s="2388"/>
    </row>
    <row r="105" spans="1:56" s="2324" customFormat="1">
      <c r="A105" s="756"/>
      <c r="B105" s="756"/>
      <c r="C105" s="756" t="s">
        <v>181</v>
      </c>
      <c r="D105" s="849"/>
      <c r="E105" s="757"/>
      <c r="F105" s="757"/>
      <c r="G105" s="757"/>
      <c r="H105" s="757"/>
      <c r="I105" s="756"/>
      <c r="J105" s="757"/>
      <c r="K105" s="757"/>
      <c r="L105" s="757"/>
      <c r="M105" s="757"/>
      <c r="N105" s="757"/>
      <c r="O105" s="756"/>
      <c r="P105" s="756"/>
      <c r="Q105" s="766"/>
      <c r="R105" s="766"/>
      <c r="S105" s="766"/>
      <c r="T105" s="766"/>
      <c r="U105" s="766"/>
      <c r="V105" s="766"/>
      <c r="W105" s="756"/>
      <c r="X105" s="765"/>
      <c r="Y105" s="765"/>
      <c r="Z105" s="765"/>
      <c r="AA105" s="765"/>
      <c r="AB105" s="765"/>
      <c r="AC105" s="765"/>
      <c r="AD105" s="765"/>
      <c r="AE105" s="756"/>
      <c r="AF105" s="756"/>
      <c r="AG105" s="756"/>
      <c r="AH105" s="756"/>
      <c r="AI105" s="756"/>
      <c r="AJ105" s="756"/>
      <c r="BD105" s="2388"/>
    </row>
    <row r="106" spans="1:56" s="2324" customFormat="1">
      <c r="A106" s="756"/>
      <c r="B106" s="756"/>
      <c r="C106" s="779" t="s">
        <v>179</v>
      </c>
      <c r="D106" s="2330"/>
      <c r="E106" s="757">
        <v>-1.97</v>
      </c>
      <c r="F106" s="757">
        <v>-4.59</v>
      </c>
      <c r="G106" s="757" t="s">
        <v>138</v>
      </c>
      <c r="H106" s="757" t="s">
        <v>138</v>
      </c>
      <c r="I106" s="756"/>
      <c r="J106" s="757"/>
      <c r="K106" s="757"/>
      <c r="L106" s="757"/>
      <c r="M106" s="757"/>
      <c r="N106" s="757"/>
      <c r="O106" s="756"/>
      <c r="P106" s="756"/>
      <c r="Q106" s="766"/>
      <c r="R106" s="766"/>
      <c r="S106" s="766"/>
      <c r="T106" s="766"/>
      <c r="U106" s="766"/>
      <c r="V106" s="766"/>
      <c r="W106" s="756"/>
      <c r="X106" s="765"/>
      <c r="Y106" s="765"/>
      <c r="Z106" s="765"/>
      <c r="AA106" s="765"/>
      <c r="AB106" s="765"/>
      <c r="AC106" s="765"/>
      <c r="AD106" s="765"/>
      <c r="AE106" s="756"/>
      <c r="AF106" s="756"/>
      <c r="AG106" s="756"/>
      <c r="AH106" s="756"/>
      <c r="AI106" s="756"/>
      <c r="AJ106" s="756"/>
      <c r="BD106" s="2388"/>
    </row>
    <row r="107" spans="1:56" s="2324" customFormat="1">
      <c r="A107" s="756"/>
      <c r="B107" s="756"/>
      <c r="C107" s="779"/>
      <c r="D107" s="2330"/>
      <c r="E107" s="757"/>
      <c r="F107" s="757"/>
      <c r="G107" s="757"/>
      <c r="H107" s="757"/>
      <c r="I107" s="756"/>
      <c r="J107" s="757"/>
      <c r="K107" s="757"/>
      <c r="L107" s="757"/>
      <c r="M107" s="757"/>
      <c r="N107" s="757"/>
      <c r="O107" s="756"/>
      <c r="P107" s="756"/>
      <c r="Q107" s="766"/>
      <c r="R107" s="766"/>
      <c r="S107" s="766"/>
      <c r="T107" s="766"/>
      <c r="U107" s="766"/>
      <c r="V107" s="766"/>
      <c r="W107" s="756"/>
      <c r="X107" s="765"/>
      <c r="Y107" s="765"/>
      <c r="Z107" s="765"/>
      <c r="AA107" s="765"/>
      <c r="AB107" s="765"/>
      <c r="AC107" s="765"/>
      <c r="AD107" s="765"/>
      <c r="AE107" s="756"/>
      <c r="AF107" s="756"/>
      <c r="AG107" s="756"/>
      <c r="AH107" s="756"/>
      <c r="AI107" s="756"/>
      <c r="AJ107" s="756"/>
      <c r="BD107" s="2388"/>
    </row>
    <row r="108" spans="1:56" s="2324" customFormat="1">
      <c r="A108" s="756"/>
      <c r="B108" s="756"/>
      <c r="C108" s="779"/>
      <c r="D108" s="2330"/>
      <c r="E108" s="757"/>
      <c r="F108" s="757"/>
      <c r="G108" s="757"/>
      <c r="H108" s="757"/>
      <c r="I108" s="766"/>
      <c r="J108" s="767"/>
      <c r="K108" s="767"/>
      <c r="L108" s="767"/>
      <c r="M108" s="767"/>
      <c r="N108" s="767"/>
      <c r="O108" s="766"/>
      <c r="P108" s="756"/>
      <c r="Q108" s="765"/>
      <c r="R108" s="765"/>
      <c r="S108" s="765"/>
      <c r="T108" s="765"/>
      <c r="U108" s="765"/>
      <c r="V108" s="765"/>
      <c r="W108" s="765"/>
      <c r="X108" s="756"/>
      <c r="Y108" s="756"/>
      <c r="Z108" s="756"/>
      <c r="AA108" s="756"/>
      <c r="AB108" s="756"/>
      <c r="AC108" s="756"/>
      <c r="AD108" s="756"/>
      <c r="AE108" s="756"/>
      <c r="AF108" s="756"/>
      <c r="AG108" s="756"/>
      <c r="AH108" s="756"/>
      <c r="AI108" s="756"/>
      <c r="AJ108" s="756"/>
      <c r="BD108" s="2388"/>
    </row>
    <row r="109" spans="1:56" s="170" customFormat="1">
      <c r="A109" s="46" t="s">
        <v>117</v>
      </c>
      <c r="B109" s="179" t="s">
        <v>370</v>
      </c>
      <c r="C109" s="170" t="s">
        <v>182</v>
      </c>
      <c r="D109" s="2331"/>
      <c r="E109" s="267">
        <v>48.47</v>
      </c>
      <c r="F109" s="267">
        <v>47.07</v>
      </c>
      <c r="G109" s="267">
        <v>46.95</v>
      </c>
      <c r="H109" s="267"/>
      <c r="I109" s="47"/>
      <c r="J109" s="277"/>
      <c r="K109" s="277"/>
      <c r="L109" s="277"/>
      <c r="M109" s="277"/>
      <c r="N109" s="277"/>
      <c r="O109" s="47"/>
      <c r="P109" s="48"/>
      <c r="R109" s="254"/>
      <c r="S109" s="254"/>
      <c r="T109" s="254"/>
      <c r="U109" s="48"/>
      <c r="V109" s="48"/>
      <c r="W109" s="48"/>
      <c r="BD109" s="2393"/>
    </row>
    <row r="110" spans="1:56" s="171" customFormat="1">
      <c r="C110" s="171" t="s">
        <v>183</v>
      </c>
      <c r="D110" s="349"/>
      <c r="E110" s="264">
        <v>33.520000000000003</v>
      </c>
      <c r="F110" s="264">
        <v>34.65</v>
      </c>
      <c r="G110" s="264">
        <v>35.22</v>
      </c>
      <c r="H110" s="264"/>
      <c r="I110" s="49"/>
      <c r="J110" s="273"/>
      <c r="K110" s="273"/>
      <c r="L110" s="273"/>
      <c r="M110" s="273"/>
      <c r="N110" s="273"/>
      <c r="O110" s="49"/>
      <c r="P110" s="49"/>
      <c r="Q110" s="139" t="s">
        <v>530</v>
      </c>
      <c r="R110" s="840">
        <v>0.45808518789030922</v>
      </c>
      <c r="S110" s="840">
        <v>0.46680680988598239</v>
      </c>
      <c r="T110" s="840">
        <v>0.47493954913071912</v>
      </c>
      <c r="U110" s="49" t="s">
        <v>531</v>
      </c>
      <c r="V110" s="49"/>
      <c r="W110" s="50"/>
      <c r="X110" s="49" t="s">
        <v>935</v>
      </c>
      <c r="Y110" s="50"/>
      <c r="Z110" s="50"/>
      <c r="AA110" s="50"/>
      <c r="AB110" s="50"/>
      <c r="AC110" s="50"/>
      <c r="BD110" s="2389"/>
    </row>
    <row r="111" spans="1:56" s="171" customFormat="1">
      <c r="C111" s="171" t="s">
        <v>184</v>
      </c>
      <c r="D111" s="349"/>
      <c r="E111" s="264">
        <v>14.61</v>
      </c>
      <c r="F111" s="264">
        <v>14.9</v>
      </c>
      <c r="G111" s="264">
        <v>14.59</v>
      </c>
      <c r="H111" s="264"/>
      <c r="I111" s="49"/>
      <c r="J111" s="273"/>
      <c r="K111" s="273"/>
      <c r="L111" s="273"/>
      <c r="M111" s="273"/>
      <c r="N111" s="273"/>
      <c r="O111" s="49"/>
      <c r="P111" s="49"/>
      <c r="Q111" s="139" t="s">
        <v>532</v>
      </c>
      <c r="R111" s="840">
        <v>0.48424609119222767</v>
      </c>
      <c r="S111" s="840">
        <v>0.49237130080675101</v>
      </c>
      <c r="T111" s="840">
        <v>0.49731069585921944</v>
      </c>
      <c r="U111" s="49" t="s">
        <v>531</v>
      </c>
      <c r="V111" s="49"/>
      <c r="W111" s="50"/>
      <c r="X111" s="50"/>
      <c r="Y111" s="50"/>
      <c r="Z111" s="50"/>
      <c r="AA111" s="50"/>
      <c r="AB111" s="50"/>
      <c r="AC111" s="50"/>
      <c r="BD111" s="2389"/>
    </row>
    <row r="112" spans="1:56" s="171" customFormat="1">
      <c r="C112" s="171" t="s">
        <v>185</v>
      </c>
      <c r="D112" s="349"/>
      <c r="E112" s="264">
        <v>3.39</v>
      </c>
      <c r="F112" s="264">
        <v>3.38</v>
      </c>
      <c r="G112" s="264">
        <v>3.24</v>
      </c>
      <c r="H112" s="264"/>
      <c r="I112" s="49"/>
      <c r="J112" s="273"/>
      <c r="K112" s="273"/>
      <c r="L112" s="273"/>
      <c r="M112" s="273"/>
      <c r="N112" s="273"/>
      <c r="O112" s="49"/>
      <c r="P112" s="49"/>
      <c r="Q112" s="139" t="s">
        <v>530</v>
      </c>
      <c r="R112" s="840">
        <v>0.591495805161251</v>
      </c>
      <c r="S112" s="840">
        <v>0.60174415106456036</v>
      </c>
      <c r="T112" s="840">
        <v>0.60660897733652341</v>
      </c>
      <c r="U112" s="49" t="s">
        <v>533</v>
      </c>
      <c r="V112" s="49"/>
      <c r="W112" s="50"/>
      <c r="X112" s="49" t="s">
        <v>928</v>
      </c>
      <c r="Y112" s="50"/>
      <c r="Z112" s="50"/>
      <c r="AA112" s="50"/>
      <c r="AB112" s="50"/>
      <c r="AC112" s="50"/>
      <c r="BD112" s="2389"/>
    </row>
    <row r="113" spans="1:56" s="171" customFormat="1">
      <c r="B113" s="51" t="s">
        <v>370</v>
      </c>
      <c r="C113" s="51" t="s">
        <v>186</v>
      </c>
      <c r="D113" s="2327"/>
      <c r="E113" s="264">
        <v>61.35</v>
      </c>
      <c r="F113" s="264">
        <v>61.58</v>
      </c>
      <c r="G113" s="264">
        <v>59.44</v>
      </c>
      <c r="H113" s="264">
        <v>56.77</v>
      </c>
      <c r="I113" s="851" t="s">
        <v>373</v>
      </c>
      <c r="J113" s="776">
        <f>R113</f>
        <v>0.60484412483227945</v>
      </c>
      <c r="K113" s="854">
        <f>E113/$AB$1</f>
        <v>0.61350000000000005</v>
      </c>
      <c r="L113" s="854">
        <f>F113/$AB$1</f>
        <v>0.61580000000000001</v>
      </c>
      <c r="M113" s="854">
        <f>G113/$AB$1</f>
        <v>0.59439999999999993</v>
      </c>
      <c r="N113" s="854">
        <f>H113/$AB$1</f>
        <v>0.56769999999999998</v>
      </c>
      <c r="O113" s="49"/>
      <c r="P113" s="49"/>
      <c r="Q113" s="139" t="s">
        <v>532</v>
      </c>
      <c r="R113" s="840">
        <v>0.60484412483227945</v>
      </c>
      <c r="S113" s="840">
        <v>0.61444968458176163</v>
      </c>
      <c r="T113" s="840">
        <v>0.61753716107394063</v>
      </c>
      <c r="U113" s="49" t="s">
        <v>533</v>
      </c>
      <c r="V113" s="49"/>
      <c r="W113" s="50"/>
      <c r="X113" s="49" t="s">
        <v>930</v>
      </c>
      <c r="Y113" s="50"/>
      <c r="Z113" s="50"/>
      <c r="AA113" s="50"/>
      <c r="AB113" s="50"/>
      <c r="AC113" s="50"/>
      <c r="BD113" s="2389"/>
    </row>
    <row r="114" spans="1:56" s="171" customFormat="1">
      <c r="B114" s="51"/>
      <c r="C114" s="51" t="s">
        <v>187</v>
      </c>
      <c r="D114" s="2327"/>
      <c r="E114" s="264">
        <v>38.65</v>
      </c>
      <c r="F114" s="264">
        <v>38.42</v>
      </c>
      <c r="G114" s="264">
        <v>40.56</v>
      </c>
      <c r="H114" s="264">
        <v>43.23</v>
      </c>
      <c r="I114" s="49"/>
      <c r="J114" s="273"/>
      <c r="K114" s="273" t="s">
        <v>561</v>
      </c>
      <c r="L114" s="273" t="s">
        <v>561</v>
      </c>
      <c r="M114" s="273"/>
      <c r="N114" s="273"/>
      <c r="O114" s="49"/>
      <c r="P114" s="50"/>
      <c r="Q114" s="50"/>
      <c r="R114" s="50"/>
      <c r="S114" s="50"/>
      <c r="T114" s="50"/>
      <c r="U114" s="50"/>
      <c r="V114" s="50"/>
      <c r="W114" s="50"/>
      <c r="X114" s="49" t="s">
        <v>929</v>
      </c>
      <c r="Y114" s="50"/>
      <c r="Z114" s="50"/>
      <c r="AA114" s="50"/>
      <c r="AB114" s="50"/>
      <c r="AC114" s="50"/>
      <c r="BD114" s="2389"/>
    </row>
    <row r="115" spans="1:56" s="171" customFormat="1">
      <c r="C115" s="171" t="s">
        <v>175</v>
      </c>
      <c r="D115" s="349"/>
      <c r="E115" s="264"/>
      <c r="F115" s="264"/>
      <c r="G115" s="264"/>
      <c r="H115" s="264"/>
      <c r="I115" s="49"/>
      <c r="J115" s="273"/>
      <c r="K115" s="273"/>
      <c r="L115" s="273"/>
      <c r="M115" s="273"/>
      <c r="N115" s="273"/>
      <c r="O115" s="49"/>
      <c r="P115" s="50"/>
      <c r="Q115" s="50"/>
      <c r="R115" s="50"/>
      <c r="S115" s="50"/>
      <c r="T115" s="50"/>
      <c r="U115" s="50"/>
      <c r="V115" s="50"/>
      <c r="W115" s="50"/>
      <c r="BD115" s="2389"/>
    </row>
    <row r="116" spans="1:56" s="171" customFormat="1">
      <c r="D116" s="349"/>
      <c r="E116" s="264"/>
      <c r="F116" s="264"/>
      <c r="G116" s="264"/>
      <c r="H116" s="264"/>
      <c r="I116" s="49"/>
      <c r="J116" s="273"/>
      <c r="K116" s="273"/>
      <c r="L116" s="273"/>
      <c r="M116" s="273"/>
      <c r="N116" s="273"/>
      <c r="O116" s="49"/>
      <c r="P116" s="50"/>
      <c r="Q116" s="50"/>
      <c r="R116" s="50"/>
      <c r="S116" s="50"/>
      <c r="T116" s="50"/>
      <c r="U116" s="50"/>
      <c r="V116" s="50"/>
      <c r="W116" s="50"/>
      <c r="BD116" s="2389"/>
    </row>
    <row r="117" spans="1:56" s="170" customFormat="1">
      <c r="A117" s="55" t="s">
        <v>42</v>
      </c>
      <c r="B117" s="46"/>
      <c r="C117" s="46"/>
      <c r="D117" s="2336"/>
      <c r="E117" s="268"/>
      <c r="F117" s="268"/>
      <c r="G117" s="267"/>
      <c r="H117" s="267"/>
      <c r="I117" s="301" t="s">
        <v>376</v>
      </c>
      <c r="J117" s="283">
        <v>91</v>
      </c>
      <c r="K117" s="283">
        <v>91</v>
      </c>
      <c r="L117" s="283">
        <v>92</v>
      </c>
      <c r="M117" s="283">
        <v>92.7</v>
      </c>
      <c r="N117" s="283"/>
      <c r="O117" s="47" t="s">
        <v>377</v>
      </c>
      <c r="Q117" s="48"/>
      <c r="R117" s="48"/>
      <c r="S117" s="48"/>
      <c r="T117" s="48"/>
      <c r="U117" s="48"/>
      <c r="V117" s="48"/>
      <c r="W117" s="48"/>
      <c r="BD117" s="2393"/>
    </row>
    <row r="118" spans="1:56" s="171" customFormat="1">
      <c r="B118" s="51" t="s">
        <v>370</v>
      </c>
      <c r="C118" s="51" t="s">
        <v>173</v>
      </c>
      <c r="D118" s="2327"/>
      <c r="E118" s="269" t="s">
        <v>138</v>
      </c>
      <c r="F118" s="300" t="s">
        <v>138</v>
      </c>
      <c r="G118" s="264">
        <v>49.16</v>
      </c>
      <c r="H118" s="264">
        <v>48.85</v>
      </c>
      <c r="I118" s="858" t="s">
        <v>55</v>
      </c>
      <c r="J118" s="776">
        <f>SUM(J119:J122)</f>
        <v>0.46153846153846151</v>
      </c>
      <c r="K118" s="776">
        <f>SUM(K119:K122)</f>
        <v>0.52747252747252749</v>
      </c>
      <c r="L118" s="776">
        <f>SUM(L119:L122)</f>
        <v>0.5</v>
      </c>
      <c r="M118" s="776">
        <f>SUM(M119:M122)</f>
        <v>0.49406688241639696</v>
      </c>
      <c r="N118" s="777">
        <f>H118/AB1</f>
        <v>0.48849999999999999</v>
      </c>
      <c r="O118" s="411">
        <f>(J118+2*K118+2*L118+AVERAGE(M118,N118))/6</f>
        <v>0.50129449294861916</v>
      </c>
      <c r="Q118" s="50"/>
      <c r="R118" s="50"/>
      <c r="S118" s="50"/>
      <c r="T118" s="50"/>
      <c r="U118" s="50"/>
      <c r="V118" s="50"/>
      <c r="W118" s="50"/>
      <c r="BD118" s="2389"/>
    </row>
    <row r="119" spans="1:56" s="171" customFormat="1">
      <c r="D119" s="349"/>
      <c r="E119" s="264"/>
      <c r="F119" s="264"/>
      <c r="G119" s="264"/>
      <c r="H119" s="264"/>
      <c r="I119" s="302" t="s">
        <v>378</v>
      </c>
      <c r="J119" s="284">
        <f>30/J117</f>
        <v>0.32967032967032966</v>
      </c>
      <c r="K119" s="284">
        <f>29/K117</f>
        <v>0.31868131868131866</v>
      </c>
      <c r="L119" s="284">
        <f>29/L117</f>
        <v>0.31521739130434784</v>
      </c>
      <c r="M119" s="284">
        <f>29.3/M117</f>
        <v>0.31607335490830635</v>
      </c>
      <c r="N119" s="284"/>
      <c r="O119" s="860">
        <f>(J119+2*K119+2*L119+M119)/6</f>
        <v>0.31892351742499481</v>
      </c>
      <c r="Q119" s="50"/>
      <c r="R119" s="50"/>
      <c r="S119" s="50"/>
      <c r="T119" s="50"/>
      <c r="U119" s="50"/>
      <c r="V119" s="50"/>
      <c r="W119" s="50"/>
      <c r="BD119" s="2389"/>
    </row>
    <row r="120" spans="1:56" s="171" customFormat="1">
      <c r="D120" s="349"/>
      <c r="E120" s="264"/>
      <c r="F120" s="264"/>
      <c r="G120" s="264"/>
      <c r="H120" s="264"/>
      <c r="I120" s="303" t="s">
        <v>379</v>
      </c>
      <c r="J120" s="285">
        <f>10/J117</f>
        <v>0.10989010989010989</v>
      </c>
      <c r="K120" s="285">
        <f>10/K117</f>
        <v>0.10989010989010989</v>
      </c>
      <c r="L120" s="285">
        <f>8/L117</f>
        <v>8.6956521739130432E-2</v>
      </c>
      <c r="M120" s="285">
        <f>7.6/M117</f>
        <v>8.1984897518878094E-2</v>
      </c>
      <c r="N120" s="285"/>
      <c r="O120" s="860">
        <f t="shared" ref="O120:O125" si="5">(J120+2*K120+2*L120+M120)/6</f>
        <v>9.7594711777911444E-2</v>
      </c>
      <c r="Q120" s="50"/>
      <c r="R120" s="50"/>
      <c r="S120" s="50"/>
      <c r="T120" s="50"/>
      <c r="U120" s="50"/>
      <c r="V120" s="50"/>
      <c r="W120" s="50"/>
      <c r="BD120" s="2389"/>
    </row>
    <row r="121" spans="1:56" s="171" customFormat="1">
      <c r="D121" s="349"/>
      <c r="E121" s="264"/>
      <c r="F121" s="264"/>
      <c r="G121" s="264"/>
      <c r="H121" s="264"/>
      <c r="I121" s="303" t="s">
        <v>381</v>
      </c>
      <c r="J121" s="285"/>
      <c r="K121" s="285">
        <f>7/K117</f>
        <v>7.6923076923076927E-2</v>
      </c>
      <c r="L121" s="285">
        <f>7/L117</f>
        <v>7.6086956521739135E-2</v>
      </c>
      <c r="M121" s="285">
        <f>6.9/M117</f>
        <v>7.4433656957928807E-2</v>
      </c>
      <c r="N121" s="285"/>
      <c r="O121" s="860">
        <f t="shared" si="5"/>
        <v>6.3408953974593493E-2</v>
      </c>
      <c r="Q121" s="50"/>
      <c r="R121" s="50"/>
      <c r="S121" s="50"/>
      <c r="T121" s="50"/>
      <c r="U121" s="50"/>
      <c r="V121" s="50"/>
      <c r="W121" s="50"/>
      <c r="BD121" s="2389"/>
    </row>
    <row r="122" spans="1:56" s="171" customFormat="1">
      <c r="D122" s="349"/>
      <c r="E122" s="264"/>
      <c r="F122" s="264"/>
      <c r="G122" s="264"/>
      <c r="H122" s="264"/>
      <c r="I122" s="303" t="s">
        <v>380</v>
      </c>
      <c r="J122" s="285">
        <f>2/J117</f>
        <v>2.197802197802198E-2</v>
      </c>
      <c r="K122" s="285">
        <f>2/K117</f>
        <v>2.197802197802198E-2</v>
      </c>
      <c r="L122" s="285">
        <f>2/L117</f>
        <v>2.1739130434782608E-2</v>
      </c>
      <c r="M122" s="285">
        <f>2/M117</f>
        <v>2.1574973031283709E-2</v>
      </c>
      <c r="N122" s="285"/>
      <c r="O122" s="860">
        <f t="shared" si="5"/>
        <v>2.1831216639152478E-2</v>
      </c>
      <c r="Q122" s="50"/>
      <c r="R122" s="50"/>
      <c r="S122" s="50"/>
      <c r="T122" s="50"/>
      <c r="U122" s="50"/>
      <c r="V122" s="50"/>
      <c r="W122" s="50"/>
      <c r="BD122" s="2389"/>
    </row>
    <row r="123" spans="1:56" s="171" customFormat="1">
      <c r="D123" s="349"/>
      <c r="E123" s="264"/>
      <c r="F123" s="264"/>
      <c r="G123" s="264"/>
      <c r="H123" s="264"/>
      <c r="I123" s="341" t="s">
        <v>372</v>
      </c>
      <c r="J123" s="342">
        <f>J124+J125</f>
        <v>0.52747252747252749</v>
      </c>
      <c r="K123" s="342">
        <f>K124+K125</f>
        <v>0.49450549450549453</v>
      </c>
      <c r="L123" s="342">
        <f>L124+L125</f>
        <v>0.5</v>
      </c>
      <c r="M123" s="342">
        <f>M124+M125</f>
        <v>0.50809061488673135</v>
      </c>
      <c r="N123" s="342"/>
      <c r="O123" s="861">
        <f t="shared" si="5"/>
        <v>0.50409568856170794</v>
      </c>
      <c r="Q123" s="50"/>
      <c r="R123" s="50"/>
      <c r="S123" s="50"/>
      <c r="T123" s="50"/>
      <c r="U123" s="50"/>
      <c r="V123" s="50"/>
      <c r="W123" s="50"/>
      <c r="BD123" s="2389"/>
    </row>
    <row r="124" spans="1:56" s="171" customFormat="1">
      <c r="D124" s="349"/>
      <c r="E124" s="264"/>
      <c r="F124" s="264"/>
      <c r="G124" s="264"/>
      <c r="H124" s="264"/>
      <c r="I124" s="303" t="s">
        <v>378</v>
      </c>
      <c r="J124" s="285">
        <f>35/J117</f>
        <v>0.38461538461538464</v>
      </c>
      <c r="K124" s="285">
        <f>33/K117</f>
        <v>0.36263736263736263</v>
      </c>
      <c r="L124" s="285">
        <f>34/L117</f>
        <v>0.36956521739130432</v>
      </c>
      <c r="M124" s="285">
        <f>35.4/M117</f>
        <v>0.38187702265372164</v>
      </c>
      <c r="N124" s="285"/>
      <c r="O124" s="860">
        <f t="shared" si="5"/>
        <v>0.37181626122107336</v>
      </c>
      <c r="Q124" s="50"/>
      <c r="R124" s="50"/>
      <c r="S124" s="50"/>
      <c r="T124" s="50"/>
      <c r="U124" s="50"/>
      <c r="V124" s="50"/>
      <c r="W124" s="50"/>
      <c r="BD124" s="2389"/>
    </row>
    <row r="125" spans="1:56" s="171" customFormat="1">
      <c r="D125" s="349"/>
      <c r="E125" s="264"/>
      <c r="F125" s="264"/>
      <c r="G125" s="264"/>
      <c r="H125" s="264"/>
      <c r="I125" s="303" t="s">
        <v>379</v>
      </c>
      <c r="J125" s="285">
        <f>13/J117</f>
        <v>0.14285714285714285</v>
      </c>
      <c r="K125" s="285">
        <f>12/K117</f>
        <v>0.13186813186813187</v>
      </c>
      <c r="L125" s="285">
        <f>12/L117</f>
        <v>0.13043478260869565</v>
      </c>
      <c r="M125" s="285">
        <f>11.7/M117</f>
        <v>0.12621359223300971</v>
      </c>
      <c r="N125" s="285"/>
      <c r="O125" s="860">
        <f t="shared" si="5"/>
        <v>0.13227942734063458</v>
      </c>
      <c r="Q125" s="50"/>
      <c r="R125" s="50"/>
      <c r="S125" s="50"/>
      <c r="T125" s="50"/>
      <c r="U125" s="50"/>
      <c r="V125" s="50"/>
      <c r="W125" s="50"/>
      <c r="BD125" s="2389"/>
    </row>
    <row r="126" spans="1:56" s="171" customFormat="1">
      <c r="D126" s="349"/>
      <c r="E126" s="264"/>
      <c r="F126" s="264"/>
      <c r="G126" s="264"/>
      <c r="H126" s="264"/>
      <c r="I126" s="356"/>
      <c r="J126" s="264"/>
      <c r="K126" s="273"/>
      <c r="L126" s="273"/>
      <c r="N126" s="360" t="s">
        <v>385</v>
      </c>
      <c r="O126" s="861">
        <f>O124+O119</f>
        <v>0.69073977864606817</v>
      </c>
      <c r="Q126" s="50"/>
      <c r="R126" s="50"/>
      <c r="S126" s="50"/>
      <c r="T126" s="50"/>
      <c r="U126" s="50"/>
      <c r="V126" s="50"/>
      <c r="W126" s="50"/>
      <c r="BD126" s="2389"/>
    </row>
    <row r="127" spans="1:56" s="171" customFormat="1">
      <c r="D127" s="349"/>
      <c r="E127" s="264"/>
      <c r="F127" s="264"/>
      <c r="G127" s="264"/>
      <c r="H127" s="264"/>
      <c r="I127" s="304" t="s">
        <v>390</v>
      </c>
      <c r="J127" s="286">
        <v>93</v>
      </c>
      <c r="K127" s="286">
        <v>94</v>
      </c>
      <c r="L127" s="286">
        <v>94</v>
      </c>
      <c r="M127" s="286">
        <v>93.9</v>
      </c>
      <c r="N127" s="286"/>
      <c r="O127" s="412"/>
      <c r="Q127" s="50"/>
      <c r="R127" s="50"/>
      <c r="S127" s="50"/>
      <c r="T127" s="50"/>
      <c r="U127" s="50"/>
      <c r="V127" s="50"/>
      <c r="W127" s="50"/>
      <c r="BD127" s="2389"/>
    </row>
    <row r="128" spans="1:56" s="171" customFormat="1">
      <c r="D128" s="349"/>
      <c r="E128" s="264"/>
      <c r="F128" s="264"/>
      <c r="G128" s="264"/>
      <c r="H128" s="264"/>
      <c r="I128" s="850" t="s">
        <v>55</v>
      </c>
      <c r="J128" s="833">
        <f>SUM(J129:J132)</f>
        <v>0.5161290322580645</v>
      </c>
      <c r="K128" s="833">
        <f>SUM(K129:K132)</f>
        <v>0.57446808510638303</v>
      </c>
      <c r="L128" s="833">
        <f>SUM(L129:L132)</f>
        <v>0.56382978723404253</v>
      </c>
      <c r="M128" s="833">
        <f>SUM(M129:M132)</f>
        <v>0.58998935037273692</v>
      </c>
      <c r="N128" s="862">
        <f>M138*N118</f>
        <v>0.58334166469020743</v>
      </c>
      <c r="O128" s="411">
        <f>(J128+2*K128+2*L128+AVERAGE(M128,N128))/6</f>
        <v>0.56323171407839789</v>
      </c>
      <c r="Q128" s="50"/>
      <c r="R128" s="50"/>
      <c r="S128" s="50"/>
      <c r="T128" s="50"/>
      <c r="U128" s="50"/>
      <c r="V128" s="50"/>
      <c r="W128" s="50"/>
      <c r="BD128" s="2389"/>
    </row>
    <row r="129" spans="4:56" s="171" customFormat="1">
      <c r="D129" s="349"/>
      <c r="E129" s="264"/>
      <c r="F129" s="264"/>
      <c r="G129" s="264"/>
      <c r="H129" s="264"/>
      <c r="I129" s="303" t="s">
        <v>378</v>
      </c>
      <c r="J129" s="285">
        <f>38/J127</f>
        <v>0.40860215053763443</v>
      </c>
      <c r="K129" s="285">
        <f>37/K127</f>
        <v>0.39361702127659576</v>
      </c>
      <c r="L129" s="285">
        <f>36/L127</f>
        <v>0.38297872340425532</v>
      </c>
      <c r="M129" s="285">
        <f>38.1/M127</f>
        <v>0.40575079872204473</v>
      </c>
      <c r="N129" s="285"/>
      <c r="O129" s="410">
        <f t="shared" ref="O129:O135" si="6">(J129+2*K129+2*L129+M129)/6</f>
        <v>0.39459073977023018</v>
      </c>
      <c r="Q129" s="50"/>
      <c r="R129" s="50"/>
      <c r="S129" s="50"/>
      <c r="T129" s="50"/>
      <c r="U129" s="50"/>
      <c r="V129" s="50"/>
      <c r="W129" s="50"/>
      <c r="BD129" s="2389"/>
    </row>
    <row r="130" spans="4:56" s="171" customFormat="1">
      <c r="D130" s="349"/>
      <c r="E130" s="264"/>
      <c r="F130" s="264"/>
      <c r="G130" s="264"/>
      <c r="H130" s="264"/>
      <c r="I130" s="303" t="s">
        <v>379</v>
      </c>
      <c r="J130" s="285">
        <f>8/J127</f>
        <v>8.6021505376344093E-2</v>
      </c>
      <c r="K130" s="285">
        <f>7/K127</f>
        <v>7.4468085106382975E-2</v>
      </c>
      <c r="L130" s="285">
        <f>6/L127</f>
        <v>6.3829787234042548E-2</v>
      </c>
      <c r="M130" s="285">
        <f>4.2/M127</f>
        <v>4.472843450479233E-2</v>
      </c>
      <c r="N130" s="285"/>
      <c r="O130" s="410">
        <f t="shared" si="6"/>
        <v>6.7890947426997916E-2</v>
      </c>
      <c r="Q130" s="50"/>
      <c r="R130" s="50"/>
      <c r="S130" s="50"/>
      <c r="T130" s="50"/>
      <c r="U130" s="50"/>
      <c r="V130" s="50"/>
      <c r="W130" s="50"/>
      <c r="BD130" s="2389"/>
    </row>
    <row r="131" spans="4:56" s="171" customFormat="1">
      <c r="D131" s="349"/>
      <c r="E131" s="264"/>
      <c r="F131" s="264"/>
      <c r="G131" s="264"/>
      <c r="H131" s="264"/>
      <c r="I131" s="303" t="s">
        <v>381</v>
      </c>
      <c r="J131" s="285"/>
      <c r="K131" s="285">
        <f>8/K127</f>
        <v>8.5106382978723402E-2</v>
      </c>
      <c r="L131" s="285">
        <f>9/L127</f>
        <v>9.5744680851063829E-2</v>
      </c>
      <c r="M131" s="285">
        <f>9.8/M127</f>
        <v>0.10436634717784878</v>
      </c>
      <c r="N131" s="285"/>
      <c r="O131" s="410">
        <f t="shared" si="6"/>
        <v>7.7678079139570533E-2</v>
      </c>
      <c r="Q131" s="50"/>
      <c r="R131" s="50"/>
      <c r="S131" s="50"/>
      <c r="T131" s="50"/>
      <c r="U131" s="50"/>
      <c r="V131" s="50"/>
      <c r="W131" s="50"/>
      <c r="BD131" s="2389"/>
    </row>
    <row r="132" spans="4:56" s="171" customFormat="1">
      <c r="D132" s="349"/>
      <c r="E132" s="264"/>
      <c r="F132" s="264"/>
      <c r="G132" s="264"/>
      <c r="H132" s="264"/>
      <c r="I132" s="303" t="s">
        <v>380</v>
      </c>
      <c r="J132" s="285">
        <f>2/J127</f>
        <v>2.1505376344086023E-2</v>
      </c>
      <c r="K132" s="285">
        <f>2/K127</f>
        <v>2.1276595744680851E-2</v>
      </c>
      <c r="L132" s="285">
        <f>2/L127</f>
        <v>2.1276595744680851E-2</v>
      </c>
      <c r="M132" s="285">
        <f>3.3/M127</f>
        <v>3.5143769968051117E-2</v>
      </c>
      <c r="N132" s="285"/>
      <c r="O132" s="410">
        <f t="shared" si="6"/>
        <v>2.3625921548476758E-2</v>
      </c>
      <c r="Q132" s="50"/>
      <c r="R132" s="50"/>
      <c r="S132" s="50"/>
      <c r="T132" s="50"/>
      <c r="U132" s="50"/>
      <c r="V132" s="50"/>
      <c r="W132" s="50"/>
      <c r="BD132" s="2389"/>
    </row>
    <row r="133" spans="4:56" s="171" customFormat="1">
      <c r="D133" s="349"/>
      <c r="E133" s="264"/>
      <c r="F133" s="264"/>
      <c r="G133" s="264"/>
      <c r="H133" s="264"/>
      <c r="I133" s="343" t="s">
        <v>372</v>
      </c>
      <c r="J133" s="342">
        <f>J134+J135</f>
        <v>0.4946236559139785</v>
      </c>
      <c r="K133" s="342">
        <f>K134+K135</f>
        <v>0.42553191489361702</v>
      </c>
      <c r="L133" s="342">
        <f>L134+L135</f>
        <v>0.43617021276595747</v>
      </c>
      <c r="M133" s="342">
        <f>M134+M135</f>
        <v>0.40788072417465382</v>
      </c>
      <c r="N133" s="342"/>
      <c r="O133" s="411">
        <f t="shared" si="6"/>
        <v>0.43765143923463024</v>
      </c>
      <c r="Q133" s="50"/>
      <c r="R133" s="50"/>
      <c r="S133" s="50"/>
      <c r="T133" s="50"/>
      <c r="U133" s="50"/>
      <c r="V133" s="50"/>
      <c r="W133" s="50"/>
      <c r="BD133" s="2389"/>
    </row>
    <row r="134" spans="4:56" s="171" customFormat="1">
      <c r="D134" s="349"/>
      <c r="E134" s="264"/>
      <c r="F134" s="264"/>
      <c r="G134" s="264"/>
      <c r="H134" s="264"/>
      <c r="I134" s="303" t="s">
        <v>378</v>
      </c>
      <c r="J134" s="285">
        <f>35/J127</f>
        <v>0.37634408602150538</v>
      </c>
      <c r="K134" s="285">
        <f>30/K127</f>
        <v>0.31914893617021278</v>
      </c>
      <c r="L134" s="285">
        <f>32/L127</f>
        <v>0.34042553191489361</v>
      </c>
      <c r="M134" s="285">
        <f>29.5/M127</f>
        <v>0.31416400425985086</v>
      </c>
      <c r="N134" s="285"/>
      <c r="O134" s="410">
        <f t="shared" si="6"/>
        <v>0.33494283774192818</v>
      </c>
      <c r="Q134" s="50"/>
      <c r="R134" s="50"/>
      <c r="S134" s="50"/>
      <c r="T134" s="50"/>
      <c r="U134" s="50"/>
      <c r="V134" s="50"/>
      <c r="W134" s="50"/>
      <c r="BD134" s="2389"/>
    </row>
    <row r="135" spans="4:56" s="171" customFormat="1">
      <c r="D135" s="349"/>
      <c r="E135" s="264"/>
      <c r="F135" s="264"/>
      <c r="G135" s="264"/>
      <c r="H135" s="264"/>
      <c r="I135" s="303" t="s">
        <v>379</v>
      </c>
      <c r="J135" s="285">
        <f>11/J127</f>
        <v>0.11827956989247312</v>
      </c>
      <c r="K135" s="285">
        <f>10/K127</f>
        <v>0.10638297872340426</v>
      </c>
      <c r="L135" s="285">
        <f>9/L127</f>
        <v>9.5744680851063829E-2</v>
      </c>
      <c r="M135" s="285">
        <f>8.8/M127</f>
        <v>9.3716719914802987E-2</v>
      </c>
      <c r="N135" s="285"/>
      <c r="O135" s="410">
        <f t="shared" si="6"/>
        <v>0.10270860149270204</v>
      </c>
      <c r="Q135" s="50"/>
      <c r="R135" s="50"/>
      <c r="S135" s="50"/>
      <c r="T135" s="50"/>
      <c r="U135" s="50"/>
      <c r="V135" s="50"/>
      <c r="W135" s="50"/>
      <c r="BD135" s="2389"/>
    </row>
    <row r="136" spans="4:56" s="171" customFormat="1">
      <c r="D136" s="349"/>
      <c r="E136" s="264"/>
      <c r="F136" s="264"/>
      <c r="G136" s="264"/>
      <c r="H136" s="264"/>
      <c r="I136" s="356"/>
      <c r="J136" s="273"/>
      <c r="K136" s="273"/>
      <c r="L136" s="273"/>
      <c r="N136" s="360" t="s">
        <v>385</v>
      </c>
      <c r="O136" s="411">
        <f>O134+O129</f>
        <v>0.7295335775121583</v>
      </c>
      <c r="Q136" s="50"/>
      <c r="R136" s="50"/>
      <c r="S136" s="50"/>
      <c r="T136" s="50"/>
      <c r="U136" s="50"/>
      <c r="V136" s="50"/>
      <c r="W136" s="50"/>
      <c r="BD136" s="2389"/>
    </row>
    <row r="137" spans="4:56" s="171" customFormat="1">
      <c r="D137" s="349"/>
      <c r="E137" s="264"/>
      <c r="F137" s="264"/>
      <c r="G137" s="264"/>
      <c r="H137" s="264"/>
      <c r="I137" s="304" t="s">
        <v>391</v>
      </c>
      <c r="J137" s="273"/>
      <c r="K137" s="273"/>
      <c r="L137" s="273"/>
      <c r="M137" s="273"/>
      <c r="N137" s="273"/>
      <c r="O137" s="49"/>
      <c r="Q137" s="50"/>
      <c r="R137" s="50"/>
      <c r="S137" s="50"/>
      <c r="T137" s="50"/>
      <c r="U137" s="50"/>
      <c r="V137" s="50"/>
      <c r="W137" s="50"/>
      <c r="BD137" s="2389"/>
    </row>
    <row r="138" spans="4:56" s="171" customFormat="1">
      <c r="D138" s="349"/>
      <c r="E138" s="264"/>
      <c r="F138" s="264"/>
      <c r="G138" s="264"/>
      <c r="H138" s="264"/>
      <c r="I138" s="414" t="s">
        <v>55</v>
      </c>
      <c r="J138" s="287">
        <f>J128/J118</f>
        <v>1.1182795698924732</v>
      </c>
      <c r="K138" s="287">
        <f>K128/K118</f>
        <v>1.0890957446808511</v>
      </c>
      <c r="L138" s="287">
        <f>L128/L118</f>
        <v>1.1276595744680851</v>
      </c>
      <c r="M138" s="287">
        <f>M128/M118</f>
        <v>1.1941487506452557</v>
      </c>
      <c r="N138" s="859"/>
      <c r="O138" s="384">
        <f t="shared" ref="O138:O145" si="7">(J138+2*K138+2*L138+M138)/6</f>
        <v>1.1243231598059336</v>
      </c>
      <c r="Q138" s="50"/>
      <c r="R138" s="50"/>
      <c r="S138" s="50"/>
      <c r="T138" s="50"/>
      <c r="U138" s="50"/>
      <c r="V138" s="50"/>
      <c r="W138" s="50"/>
      <c r="BD138" s="2389"/>
    </row>
    <row r="139" spans="4:56" s="171" customFormat="1">
      <c r="D139" s="349"/>
      <c r="E139" s="264"/>
      <c r="F139" s="264"/>
      <c r="G139" s="264"/>
      <c r="H139" s="264"/>
      <c r="I139" s="408" t="s">
        <v>378</v>
      </c>
      <c r="J139" s="409">
        <f t="shared" ref="J139:M145" si="8">J129/J119</f>
        <v>1.239426523297491</v>
      </c>
      <c r="K139" s="409">
        <f t="shared" si="8"/>
        <v>1.2351430667644903</v>
      </c>
      <c r="L139" s="409">
        <f t="shared" si="8"/>
        <v>1.2149669845928099</v>
      </c>
      <c r="M139" s="409">
        <f t="shared" si="8"/>
        <v>1.2837235167758889</v>
      </c>
      <c r="N139" s="409"/>
      <c r="O139" s="413">
        <f t="shared" si="7"/>
        <v>1.2372283571313301</v>
      </c>
      <c r="Q139" s="50"/>
      <c r="R139" s="50"/>
      <c r="S139" s="50"/>
      <c r="T139" s="50"/>
      <c r="U139" s="50"/>
      <c r="V139" s="50"/>
      <c r="W139" s="50"/>
      <c r="BD139" s="2389"/>
    </row>
    <row r="140" spans="4:56" s="171" customFormat="1">
      <c r="D140" s="349"/>
      <c r="E140" s="264"/>
      <c r="F140" s="264"/>
      <c r="G140" s="264"/>
      <c r="H140" s="264"/>
      <c r="I140" s="303" t="s">
        <v>379</v>
      </c>
      <c r="J140" s="288">
        <f t="shared" si="8"/>
        <v>0.78279569892473122</v>
      </c>
      <c r="K140" s="288">
        <f t="shared" si="8"/>
        <v>0.67765957446808511</v>
      </c>
      <c r="L140" s="288">
        <f t="shared" si="8"/>
        <v>0.73404255319148937</v>
      </c>
      <c r="M140" s="288">
        <f t="shared" si="8"/>
        <v>0.54556919455187491</v>
      </c>
      <c r="N140" s="288"/>
      <c r="O140" s="413">
        <f t="shared" si="7"/>
        <v>0.69196152479929252</v>
      </c>
      <c r="Q140" s="50"/>
      <c r="R140" s="50"/>
      <c r="S140" s="50"/>
      <c r="T140" s="50"/>
      <c r="U140" s="50"/>
      <c r="V140" s="50"/>
      <c r="W140" s="50"/>
      <c r="BD140" s="2389"/>
    </row>
    <row r="141" spans="4:56" s="171" customFormat="1">
      <c r="D141" s="349"/>
      <c r="E141" s="264"/>
      <c r="F141" s="264"/>
      <c r="G141" s="264"/>
      <c r="H141" s="264"/>
      <c r="I141" s="303" t="s">
        <v>381</v>
      </c>
      <c r="J141" s="288"/>
      <c r="K141" s="288">
        <f t="shared" si="8"/>
        <v>1.1063829787234041</v>
      </c>
      <c r="L141" s="288">
        <f t="shared" si="8"/>
        <v>1.2583586626139818</v>
      </c>
      <c r="M141" s="288">
        <f t="shared" si="8"/>
        <v>1.4021391859980552</v>
      </c>
      <c r="N141" s="288"/>
      <c r="O141" s="413">
        <f t="shared" si="7"/>
        <v>1.0219370781121377</v>
      </c>
      <c r="Q141" s="50" t="s">
        <v>934</v>
      </c>
      <c r="R141" s="50"/>
      <c r="U141" s="50"/>
      <c r="V141" s="50"/>
      <c r="W141" s="50"/>
      <c r="BD141" s="2389"/>
    </row>
    <row r="142" spans="4:56" s="171" customFormat="1">
      <c r="D142" s="349"/>
      <c r="E142" s="264"/>
      <c r="F142" s="264"/>
      <c r="G142" s="264"/>
      <c r="H142" s="264"/>
      <c r="I142" s="303" t="s">
        <v>380</v>
      </c>
      <c r="J142" s="288">
        <f t="shared" si="8"/>
        <v>0.978494623655914</v>
      </c>
      <c r="K142" s="288">
        <f t="shared" si="8"/>
        <v>0.96808510638297862</v>
      </c>
      <c r="L142" s="288">
        <f t="shared" si="8"/>
        <v>0.97872340425531912</v>
      </c>
      <c r="M142" s="288">
        <f t="shared" si="8"/>
        <v>1.6289137380191694</v>
      </c>
      <c r="N142" s="288"/>
      <c r="O142" s="413">
        <f t="shared" si="7"/>
        <v>1.0835042304919464</v>
      </c>
      <c r="Q142" s="50" t="s">
        <v>188</v>
      </c>
      <c r="R142" s="50"/>
      <c r="T142" s="50"/>
      <c r="U142" s="50"/>
      <c r="V142" s="50"/>
      <c r="W142" s="50"/>
      <c r="BD142" s="2389"/>
    </row>
    <row r="143" spans="4:56" s="171" customFormat="1">
      <c r="D143" s="349"/>
      <c r="E143" s="264"/>
      <c r="F143" s="264"/>
      <c r="G143" s="264"/>
      <c r="H143" s="264"/>
      <c r="I143" s="341" t="s">
        <v>372</v>
      </c>
      <c r="J143" s="347">
        <f t="shared" si="8"/>
        <v>0.93772401433691754</v>
      </c>
      <c r="K143" s="347">
        <f t="shared" si="8"/>
        <v>0.86052009456264777</v>
      </c>
      <c r="L143" s="347">
        <f t="shared" si="8"/>
        <v>0.87234042553191493</v>
      </c>
      <c r="M143" s="347">
        <f t="shared" si="8"/>
        <v>0.80277161636922323</v>
      </c>
      <c r="N143" s="347"/>
      <c r="O143" s="384">
        <f t="shared" si="7"/>
        <v>0.86770277848254429</v>
      </c>
      <c r="R143" s="49"/>
      <c r="BD143" s="2389"/>
    </row>
    <row r="144" spans="4:56" s="171" customFormat="1">
      <c r="D144" s="349"/>
      <c r="E144" s="264"/>
      <c r="F144" s="264"/>
      <c r="G144" s="264"/>
      <c r="H144" s="264"/>
      <c r="I144" s="303" t="s">
        <v>378</v>
      </c>
      <c r="J144" s="288">
        <f t="shared" si="8"/>
        <v>0.97849462365591389</v>
      </c>
      <c r="K144" s="288">
        <f t="shared" si="8"/>
        <v>0.88007736943907167</v>
      </c>
      <c r="L144" s="288">
        <f t="shared" si="8"/>
        <v>0.92115143929912391</v>
      </c>
      <c r="M144" s="288">
        <f t="shared" si="8"/>
        <v>0.82268370607028751</v>
      </c>
      <c r="N144" s="288"/>
      <c r="O144" s="413">
        <f t="shared" si="7"/>
        <v>0.90060599120043205</v>
      </c>
      <c r="Q144" s="49" t="s">
        <v>538</v>
      </c>
      <c r="BD144" s="2389"/>
    </row>
    <row r="145" spans="1:56" s="171" customFormat="1">
      <c r="D145" s="349"/>
      <c r="E145" s="264"/>
      <c r="F145" s="264"/>
      <c r="G145" s="264"/>
      <c r="H145" s="264"/>
      <c r="I145" s="303" t="s">
        <v>379</v>
      </c>
      <c r="J145" s="288">
        <f t="shared" si="8"/>
        <v>0.82795698924731187</v>
      </c>
      <c r="K145" s="288">
        <f t="shared" si="8"/>
        <v>0.80673758865248224</v>
      </c>
      <c r="L145" s="288">
        <f t="shared" si="8"/>
        <v>0.73404255319148937</v>
      </c>
      <c r="M145" s="288">
        <f t="shared" si="8"/>
        <v>0.74252478086343909</v>
      </c>
      <c r="N145" s="288"/>
      <c r="O145" s="413">
        <f t="shared" si="7"/>
        <v>0.77534034229978233</v>
      </c>
      <c r="Q145" s="182" t="s">
        <v>382</v>
      </c>
      <c r="R145" s="53">
        <f>O119/(O119+O124)</f>
        <v>0.46171297395109151</v>
      </c>
      <c r="S145" s="49" t="s">
        <v>383</v>
      </c>
      <c r="BD145" s="2389"/>
    </row>
    <row r="146" spans="1:56" s="171" customFormat="1">
      <c r="D146" s="349"/>
      <c r="E146" s="264"/>
      <c r="F146" s="264"/>
      <c r="G146" s="264"/>
      <c r="H146" s="264"/>
      <c r="I146" s="303"/>
      <c r="J146" s="273"/>
      <c r="K146" s="273"/>
      <c r="L146" s="273"/>
      <c r="N146" s="360" t="s">
        <v>385</v>
      </c>
      <c r="O146" s="384">
        <f>O136/O126</f>
        <v>1.0561626824824402</v>
      </c>
      <c r="Q146" s="182" t="s">
        <v>189</v>
      </c>
      <c r="R146" s="53">
        <f>O129/(O129+O134)</f>
        <v>0.54088084761753685</v>
      </c>
      <c r="S146" s="50"/>
      <c r="U146" s="50"/>
      <c r="V146" s="50"/>
      <c r="W146" s="50"/>
      <c r="AS146" s="262"/>
      <c r="BD146" s="2389"/>
    </row>
    <row r="147" spans="1:56" s="171" customFormat="1">
      <c r="D147" s="349"/>
      <c r="E147" s="264"/>
      <c r="F147" s="264"/>
      <c r="G147" s="264"/>
      <c r="H147" s="264"/>
      <c r="I147" s="303"/>
      <c r="J147" s="273"/>
      <c r="K147" s="273"/>
      <c r="L147" s="273"/>
      <c r="M147" s="264"/>
      <c r="N147" s="273"/>
      <c r="O147" s="384"/>
      <c r="Q147" s="50"/>
      <c r="R147" s="50"/>
      <c r="S147" s="50"/>
      <c r="T147" s="50"/>
      <c r="U147" s="50"/>
      <c r="V147" s="50"/>
      <c r="W147" s="50"/>
      <c r="AS147" s="262"/>
      <c r="BD147" s="2389"/>
    </row>
    <row r="148" spans="1:56" s="171" customFormat="1">
      <c r="D148" s="349"/>
      <c r="E148" s="264"/>
      <c r="F148" s="264"/>
      <c r="G148" s="264"/>
      <c r="H148" s="264"/>
      <c r="I148" s="361" t="s">
        <v>537</v>
      </c>
      <c r="J148" s="359">
        <v>100</v>
      </c>
      <c r="K148" s="359">
        <v>100</v>
      </c>
      <c r="L148" s="359">
        <v>100</v>
      </c>
      <c r="M148" s="359">
        <v>100</v>
      </c>
      <c r="N148" s="359"/>
      <c r="O148" s="412"/>
      <c r="Q148" s="49" t="s">
        <v>539</v>
      </c>
      <c r="R148" s="50"/>
      <c r="S148" s="50"/>
      <c r="T148" s="50"/>
      <c r="U148" s="50"/>
      <c r="V148" s="50"/>
      <c r="W148" s="50"/>
      <c r="AT148" s="299"/>
      <c r="AU148" s="299"/>
      <c r="BD148" s="2389"/>
    </row>
    <row r="149" spans="1:56" s="171" customFormat="1">
      <c r="D149" s="349"/>
      <c r="E149" s="264"/>
      <c r="F149" s="264"/>
      <c r="G149" s="264"/>
      <c r="H149" s="264"/>
      <c r="I149" s="341" t="s">
        <v>55</v>
      </c>
      <c r="J149" s="336">
        <f>SUM(J150:J153)</f>
        <v>0.42000000000000004</v>
      </c>
      <c r="K149" s="336">
        <f>SUM(K150:K153)</f>
        <v>0.48000000000000004</v>
      </c>
      <c r="L149" s="336">
        <f>SUM(L150:L153)</f>
        <v>0.46</v>
      </c>
      <c r="M149" s="336">
        <f>SUM(M150:M153)</f>
        <v>0.45800000000000002</v>
      </c>
      <c r="N149" s="336"/>
      <c r="O149" s="411">
        <f t="shared" ref="O149:O156" si="9">(J149+2*K149+2*L149+M149)/6</f>
        <v>0.45966666666666672</v>
      </c>
      <c r="BD149" s="2389"/>
    </row>
    <row r="150" spans="1:56" s="171" customFormat="1">
      <c r="D150" s="349"/>
      <c r="E150" s="264"/>
      <c r="F150" s="264"/>
      <c r="G150" s="264"/>
      <c r="H150" s="264"/>
      <c r="I150" s="303" t="s">
        <v>378</v>
      </c>
      <c r="J150" s="285">
        <f>30/J148</f>
        <v>0.3</v>
      </c>
      <c r="K150" s="285">
        <f>29/K148</f>
        <v>0.28999999999999998</v>
      </c>
      <c r="L150" s="285">
        <f>29/L148</f>
        <v>0.28999999999999998</v>
      </c>
      <c r="M150" s="285">
        <f>29.3/M148</f>
        <v>0.29299999999999998</v>
      </c>
      <c r="N150" s="285"/>
      <c r="O150" s="410">
        <f t="shared" si="9"/>
        <v>0.29216666666666663</v>
      </c>
      <c r="R150" s="50"/>
      <c r="S150" s="50"/>
      <c r="T150" s="50"/>
      <c r="U150" s="50"/>
      <c r="V150" s="50"/>
      <c r="W150" s="50"/>
      <c r="BD150" s="2389"/>
    </row>
    <row r="151" spans="1:56" s="171" customFormat="1">
      <c r="D151" s="349"/>
      <c r="E151" s="264"/>
      <c r="F151" s="264"/>
      <c r="G151" s="264"/>
      <c r="H151" s="264"/>
      <c r="I151" s="303" t="s">
        <v>379</v>
      </c>
      <c r="J151" s="285">
        <f>10/J148</f>
        <v>0.1</v>
      </c>
      <c r="K151" s="285">
        <f>10/K148</f>
        <v>0.1</v>
      </c>
      <c r="L151" s="285">
        <f>8/L148</f>
        <v>0.08</v>
      </c>
      <c r="M151" s="285">
        <f>7.6/M148</f>
        <v>7.5999999999999998E-2</v>
      </c>
      <c r="N151" s="285"/>
      <c r="O151" s="410">
        <f t="shared" si="9"/>
        <v>8.9333333333333334E-2</v>
      </c>
      <c r="Q151" s="50"/>
      <c r="R151" s="50"/>
      <c r="S151" s="50"/>
      <c r="T151" s="50"/>
      <c r="U151" s="50"/>
      <c r="V151" s="50"/>
      <c r="W151" s="50"/>
      <c r="BD151" s="2389"/>
    </row>
    <row r="152" spans="1:56" s="171" customFormat="1">
      <c r="D152" s="349"/>
      <c r="E152" s="264"/>
      <c r="F152" s="264"/>
      <c r="G152" s="264"/>
      <c r="H152" s="264"/>
      <c r="I152" s="303" t="s">
        <v>381</v>
      </c>
      <c r="J152" s="285"/>
      <c r="K152" s="285">
        <f>7/K148</f>
        <v>7.0000000000000007E-2</v>
      </c>
      <c r="L152" s="285">
        <f>7/L148</f>
        <v>7.0000000000000007E-2</v>
      </c>
      <c r="M152" s="285">
        <f>6.9/M148</f>
        <v>6.9000000000000006E-2</v>
      </c>
      <c r="N152" s="285"/>
      <c r="O152" s="410">
        <f t="shared" si="9"/>
        <v>5.8166666666666672E-2</v>
      </c>
      <c r="Q152" s="50"/>
      <c r="R152" s="50"/>
      <c r="S152" s="50"/>
      <c r="T152" s="50"/>
      <c r="U152" s="50"/>
      <c r="V152" s="50"/>
      <c r="W152" s="50"/>
      <c r="BD152" s="2389"/>
    </row>
    <row r="153" spans="1:56" s="171" customFormat="1">
      <c r="D153" s="349"/>
      <c r="E153" s="264"/>
      <c r="F153" s="264"/>
      <c r="G153" s="264"/>
      <c r="H153" s="264"/>
      <c r="I153" s="303" t="s">
        <v>380</v>
      </c>
      <c r="J153" s="285">
        <f>2/J148</f>
        <v>0.02</v>
      </c>
      <c r="K153" s="285">
        <f>2/K148</f>
        <v>0.02</v>
      </c>
      <c r="L153" s="285">
        <f>2/L148</f>
        <v>0.02</v>
      </c>
      <c r="M153" s="285">
        <f>2/M148</f>
        <v>0.02</v>
      </c>
      <c r="N153" s="285"/>
      <c r="O153" s="410">
        <f t="shared" si="9"/>
        <v>0.02</v>
      </c>
      <c r="Q153" s="50"/>
      <c r="R153" s="50"/>
      <c r="S153" s="50"/>
      <c r="T153" s="50"/>
      <c r="U153" s="50"/>
      <c r="V153" s="50"/>
      <c r="W153" s="50"/>
      <c r="BD153" s="2389"/>
    </row>
    <row r="154" spans="1:56" s="171" customFormat="1">
      <c r="D154" s="349"/>
      <c r="E154" s="264"/>
      <c r="F154" s="264"/>
      <c r="G154" s="264"/>
      <c r="H154" s="264"/>
      <c r="I154" s="344" t="s">
        <v>372</v>
      </c>
      <c r="J154" s="342">
        <f>J155+J156</f>
        <v>0.48</v>
      </c>
      <c r="K154" s="342">
        <f>K155+K156</f>
        <v>0.45</v>
      </c>
      <c r="L154" s="342">
        <f>L155+L156</f>
        <v>0.46</v>
      </c>
      <c r="M154" s="342">
        <f>M155+M156</f>
        <v>0.47099999999999997</v>
      </c>
      <c r="N154" s="342"/>
      <c r="O154" s="411">
        <f t="shared" si="9"/>
        <v>0.46183333333333332</v>
      </c>
      <c r="Q154" s="50"/>
      <c r="R154" s="50"/>
      <c r="S154" s="50"/>
      <c r="T154" s="50"/>
      <c r="U154" s="50"/>
      <c r="V154" s="50"/>
      <c r="W154" s="50"/>
      <c r="BD154" s="2389"/>
    </row>
    <row r="155" spans="1:56" s="171" customFormat="1">
      <c r="D155" s="349"/>
      <c r="E155" s="264"/>
      <c r="F155" s="264"/>
      <c r="G155" s="264"/>
      <c r="H155" s="264"/>
      <c r="I155" s="345" t="s">
        <v>378</v>
      </c>
      <c r="J155" s="285">
        <f>35/J148</f>
        <v>0.35</v>
      </c>
      <c r="K155" s="285">
        <f>33/K148</f>
        <v>0.33</v>
      </c>
      <c r="L155" s="285">
        <f>34/L148</f>
        <v>0.34</v>
      </c>
      <c r="M155" s="285">
        <f>35.4/M148</f>
        <v>0.35399999999999998</v>
      </c>
      <c r="N155" s="285"/>
      <c r="O155" s="410">
        <f t="shared" si="9"/>
        <v>0.34066666666666667</v>
      </c>
      <c r="Q155" s="50"/>
      <c r="R155" s="50"/>
      <c r="S155" s="50"/>
      <c r="T155" s="50"/>
      <c r="U155" s="50"/>
      <c r="V155" s="50"/>
      <c r="W155" s="50"/>
      <c r="BD155" s="2389"/>
    </row>
    <row r="156" spans="1:56" s="171" customFormat="1">
      <c r="D156" s="349"/>
      <c r="E156" s="264"/>
      <c r="F156" s="264"/>
      <c r="G156" s="264"/>
      <c r="H156" s="264"/>
      <c r="I156" s="303" t="s">
        <v>379</v>
      </c>
      <c r="J156" s="285">
        <f>13/J148</f>
        <v>0.13</v>
      </c>
      <c r="K156" s="285">
        <f>12/K148</f>
        <v>0.12</v>
      </c>
      <c r="L156" s="285">
        <f>12/L148</f>
        <v>0.12</v>
      </c>
      <c r="M156" s="285">
        <f>11.7/M148</f>
        <v>0.11699999999999999</v>
      </c>
      <c r="N156" s="285"/>
      <c r="O156" s="410">
        <f t="shared" si="9"/>
        <v>0.12116666666666666</v>
      </c>
      <c r="Q156" s="50"/>
      <c r="R156" s="50"/>
      <c r="S156" s="50"/>
      <c r="T156" s="50"/>
      <c r="U156" s="50"/>
      <c r="V156" s="50"/>
      <c r="W156" s="50"/>
      <c r="BD156" s="2389"/>
    </row>
    <row r="157" spans="1:56" s="171" customFormat="1" ht="13.8" customHeight="1">
      <c r="D157" s="349"/>
      <c r="E157" s="264"/>
      <c r="F157" s="264"/>
      <c r="G157" s="264"/>
      <c r="H157" s="264"/>
      <c r="J157" s="264"/>
      <c r="K157" s="273"/>
      <c r="L157" s="273"/>
      <c r="N157" s="360" t="s">
        <v>385</v>
      </c>
      <c r="O157" s="411">
        <f>O155+O150</f>
        <v>0.63283333333333336</v>
      </c>
      <c r="Q157" s="50"/>
      <c r="R157" s="50"/>
      <c r="S157" s="50"/>
      <c r="T157" s="50"/>
      <c r="U157" s="50"/>
      <c r="V157" s="50"/>
      <c r="W157" s="50"/>
      <c r="BD157" s="2389"/>
    </row>
    <row r="158" spans="1:56" s="171" customFormat="1">
      <c r="D158" s="349"/>
      <c r="E158" s="264"/>
      <c r="F158" s="264"/>
      <c r="G158" s="264"/>
      <c r="H158" s="264"/>
      <c r="I158" s="59"/>
      <c r="J158" s="273"/>
      <c r="K158" s="273"/>
      <c r="L158" s="273"/>
      <c r="M158" s="273"/>
      <c r="N158" s="273"/>
      <c r="O158" s="49"/>
      <c r="P158" s="60"/>
      <c r="Q158" s="50"/>
      <c r="R158" s="50"/>
      <c r="S158" s="50"/>
      <c r="T158" s="50"/>
      <c r="U158" s="50"/>
      <c r="V158" s="50"/>
      <c r="W158" s="50"/>
      <c r="BD158" s="2389"/>
    </row>
    <row r="159" spans="1:56" s="170" customFormat="1">
      <c r="A159" s="55" t="s">
        <v>45</v>
      </c>
      <c r="B159" s="179" t="s">
        <v>370</v>
      </c>
      <c r="C159" s="170" t="s">
        <v>190</v>
      </c>
      <c r="D159" s="2331"/>
      <c r="E159" s="329">
        <v>46.099290780141843</v>
      </c>
      <c r="F159" s="329">
        <v>40.193301116480583</v>
      </c>
      <c r="G159" s="329">
        <v>16.721263384344596</v>
      </c>
      <c r="H159" s="329">
        <v>12.95</v>
      </c>
      <c r="I159" s="863" t="s">
        <v>373</v>
      </c>
      <c r="J159" s="267"/>
      <c r="K159" s="281"/>
      <c r="L159" s="281"/>
      <c r="M159" s="289"/>
      <c r="N159" s="289"/>
      <c r="O159" s="61"/>
      <c r="P159" s="62"/>
      <c r="Q159" s="47" t="s">
        <v>933</v>
      </c>
      <c r="W159" s="185" t="s">
        <v>595</v>
      </c>
      <c r="AL159" s="48"/>
      <c r="AM159" s="48"/>
      <c r="AN159" s="48"/>
      <c r="AO159" s="48"/>
      <c r="AP159" s="48"/>
      <c r="AQ159" s="48"/>
      <c r="BD159" s="2393"/>
    </row>
    <row r="160" spans="1:56" s="171" customFormat="1">
      <c r="C160" s="171" t="s">
        <v>191</v>
      </c>
      <c r="D160" s="349"/>
      <c r="E160" s="330">
        <v>13.578226344183792</v>
      </c>
      <c r="F160" s="330">
        <v>16.363939343442759</v>
      </c>
      <c r="G160" s="331" t="s">
        <v>138</v>
      </c>
      <c r="H160" s="331" t="s">
        <v>138</v>
      </c>
      <c r="I160" s="357" t="s">
        <v>192</v>
      </c>
      <c r="J160" s="387"/>
      <c r="K160" s="388">
        <f>E159/100*$AL$169</f>
        <v>0.18938491777091332</v>
      </c>
      <c r="L160" s="388">
        <f>F159/100*$AL$169</f>
        <v>0.16512195519860909</v>
      </c>
      <c r="M160" s="388">
        <f>G159/100*$AL$169</f>
        <v>6.8694225821669813E-2</v>
      </c>
      <c r="N160" s="388">
        <v>0</v>
      </c>
      <c r="O160" s="328"/>
      <c r="P160" s="50"/>
      <c r="Q160" s="1415" t="s">
        <v>370</v>
      </c>
      <c r="R160" s="1416"/>
      <c r="S160" s="1416"/>
      <c r="T160" s="1416">
        <v>2011</v>
      </c>
      <c r="U160" s="1416">
        <v>2010</v>
      </c>
      <c r="W160" s="183" t="s">
        <v>193</v>
      </c>
      <c r="AL160" s="50"/>
      <c r="AM160" s="50"/>
      <c r="AN160" s="50"/>
      <c r="AO160" s="50"/>
      <c r="AP160" s="50"/>
      <c r="AQ160" s="50"/>
      <c r="BD160" s="2389"/>
    </row>
    <row r="161" spans="1:56" s="171" customFormat="1">
      <c r="C161" s="171" t="s">
        <v>194</v>
      </c>
      <c r="D161" s="349"/>
      <c r="E161" s="330">
        <v>12.972055525247015</v>
      </c>
      <c r="F161" s="330">
        <v>11.598066988835194</v>
      </c>
      <c r="G161" s="331" t="s">
        <v>138</v>
      </c>
      <c r="H161" s="331" t="s">
        <v>138</v>
      </c>
      <c r="I161" s="182" t="s">
        <v>27</v>
      </c>
      <c r="J161" s="264"/>
      <c r="K161" s="278">
        <f>(E160+E162+E163+E164)/100*$U$167</f>
        <v>0.17123573496223154</v>
      </c>
      <c r="L161" s="278">
        <f>T162*$U$167</f>
        <v>0.19681988438274309</v>
      </c>
      <c r="M161" s="278">
        <f>(G162+G166+G165)/100*U167</f>
        <v>0.34839259190857658</v>
      </c>
      <c r="N161" s="278">
        <f>H166/100</f>
        <v>0.38060000000000005</v>
      </c>
      <c r="O161" s="328"/>
      <c r="P161" s="50"/>
      <c r="Q161" s="367" t="s">
        <v>192</v>
      </c>
      <c r="R161" s="367"/>
      <c r="S161" s="367"/>
      <c r="T161" s="368">
        <v>0.39241556582286713</v>
      </c>
      <c r="U161" s="368">
        <v>0</v>
      </c>
      <c r="W161" s="183" t="s">
        <v>195</v>
      </c>
      <c r="AL161" s="50"/>
      <c r="AM161" s="50"/>
      <c r="AN161" s="50"/>
      <c r="AO161" s="50"/>
      <c r="AP161" s="50"/>
      <c r="AQ161" s="50"/>
      <c r="BD161" s="2389"/>
    </row>
    <row r="162" spans="1:56" s="171" customFormat="1">
      <c r="C162" s="51" t="s">
        <v>174</v>
      </c>
      <c r="D162" s="2327"/>
      <c r="E162" s="330">
        <v>10.789840577074619</v>
      </c>
      <c r="F162" s="331" t="s">
        <v>138</v>
      </c>
      <c r="G162" s="330">
        <v>52.39655144314608</v>
      </c>
      <c r="H162" s="330">
        <v>48.99</v>
      </c>
      <c r="I162" s="182" t="s">
        <v>155</v>
      </c>
      <c r="J162" s="264"/>
      <c r="K162" s="278">
        <f>E161/(100-E164)*$AE$169</f>
        <v>0.11056217507830411</v>
      </c>
      <c r="L162" s="278">
        <f>T163*$AE$169</f>
        <v>0.10967657968373788</v>
      </c>
      <c r="M162" s="278">
        <f>G159/100*$AE$169</f>
        <v>0.13377010707475676</v>
      </c>
      <c r="N162" s="278">
        <f>H159/100</f>
        <v>0.1295</v>
      </c>
      <c r="O162" s="328"/>
      <c r="P162" s="50"/>
      <c r="Q162" s="50" t="s">
        <v>27</v>
      </c>
      <c r="R162" s="50"/>
      <c r="S162" s="50"/>
      <c r="T162" s="57">
        <v>0.47047244094488189</v>
      </c>
      <c r="U162" s="57">
        <v>0.83490994602105717</v>
      </c>
      <c r="W162" s="183" t="s">
        <v>196</v>
      </c>
      <c r="AK162" s="50" t="s">
        <v>387</v>
      </c>
      <c r="AL162" s="50" t="s">
        <v>367</v>
      </c>
      <c r="AM162" s="184" t="s">
        <v>197</v>
      </c>
      <c r="AO162" s="50"/>
      <c r="AP162" s="50"/>
      <c r="AQ162" s="50"/>
      <c r="AR162" s="49"/>
      <c r="BD162" s="2389"/>
    </row>
    <row r="163" spans="1:56" s="171" customFormat="1">
      <c r="C163" s="171" t="s">
        <v>198</v>
      </c>
      <c r="D163" s="349"/>
      <c r="E163" s="330">
        <v>10.426138085712553</v>
      </c>
      <c r="F163" s="330">
        <v>12.814530911514749</v>
      </c>
      <c r="G163" s="331" t="s">
        <v>138</v>
      </c>
      <c r="H163" s="331" t="s">
        <v>138</v>
      </c>
      <c r="I163" s="851" t="s">
        <v>373</v>
      </c>
      <c r="J163" s="865"/>
      <c r="K163" s="776">
        <f>SUM(K160:K162)</f>
        <v>0.47118282781144899</v>
      </c>
      <c r="L163" s="776">
        <f>SUM(L160:L162)</f>
        <v>0.47161841926509007</v>
      </c>
      <c r="M163" s="776">
        <f>SUM(M160:M162)</f>
        <v>0.55085692480500315</v>
      </c>
      <c r="N163" s="776">
        <f>SUM(N160:N162)</f>
        <v>0.5101</v>
      </c>
      <c r="O163" s="328"/>
      <c r="P163" s="50"/>
      <c r="Q163" s="50" t="s">
        <v>155</v>
      </c>
      <c r="R163" s="50"/>
      <c r="S163" s="50"/>
      <c r="T163" s="57">
        <v>0.13709572460467234</v>
      </c>
      <c r="U163" s="57">
        <v>0.16506333172999843</v>
      </c>
      <c r="W163" s="63" t="s">
        <v>936</v>
      </c>
      <c r="AK163" s="367" t="s">
        <v>199</v>
      </c>
      <c r="AL163" s="367">
        <v>5133</v>
      </c>
      <c r="AM163" s="184" t="s">
        <v>388</v>
      </c>
      <c r="AO163" s="50"/>
      <c r="AP163" s="50"/>
      <c r="AQ163" s="50"/>
      <c r="BD163" s="2389"/>
    </row>
    <row r="164" spans="1:56" s="171" customFormat="1">
      <c r="C164" s="171" t="s">
        <v>200</v>
      </c>
      <c r="D164" s="349"/>
      <c r="E164" s="330">
        <v>6.1374795417348613</v>
      </c>
      <c r="F164" s="330">
        <v>7.6487252124645897</v>
      </c>
      <c r="G164" s="331" t="s">
        <v>138</v>
      </c>
      <c r="H164" s="331" t="s">
        <v>138</v>
      </c>
      <c r="I164" s="49"/>
      <c r="J164" s="273"/>
      <c r="K164" s="273"/>
      <c r="L164" s="273"/>
      <c r="M164" s="290"/>
      <c r="N164" s="290"/>
      <c r="O164" s="328"/>
      <c r="P164" s="50"/>
      <c r="Q164" s="346" t="s">
        <v>1242</v>
      </c>
      <c r="R164" s="346"/>
      <c r="S164" s="346"/>
      <c r="T164" s="808">
        <f>1-T162</f>
        <v>0.52952755905511806</v>
      </c>
      <c r="U164" s="808">
        <f>1-U162</f>
        <v>0.16509005397894283</v>
      </c>
      <c r="W164" s="63" t="s">
        <v>201</v>
      </c>
      <c r="AK164" s="50" t="s">
        <v>202</v>
      </c>
      <c r="AL164" s="50">
        <v>4571</v>
      </c>
      <c r="AM164" s="184" t="s">
        <v>203</v>
      </c>
      <c r="AO164" s="50"/>
      <c r="AP164" s="50"/>
      <c r="AQ164" s="50"/>
      <c r="BD164" s="2389"/>
    </row>
    <row r="165" spans="1:56" s="171" customFormat="1">
      <c r="C165" s="171" t="s">
        <v>204</v>
      </c>
      <c r="D165" s="349"/>
      <c r="E165" s="330">
        <v>-3.0308540946838822E-3</v>
      </c>
      <c r="F165" s="330">
        <v>0</v>
      </c>
      <c r="G165" s="330">
        <v>-6.8031312983153791</v>
      </c>
      <c r="H165" s="330"/>
      <c r="I165" s="182"/>
      <c r="J165" s="264"/>
      <c r="K165" s="279"/>
      <c r="L165" s="264"/>
      <c r="M165" s="264"/>
      <c r="N165" s="278"/>
      <c r="O165" s="328"/>
      <c r="P165" s="50"/>
      <c r="W165" s="63" t="s">
        <v>205</v>
      </c>
      <c r="AK165" s="50" t="s">
        <v>206</v>
      </c>
      <c r="AL165" s="50">
        <v>4232</v>
      </c>
      <c r="AM165" s="184" t="s">
        <v>207</v>
      </c>
      <c r="AO165" s="50"/>
      <c r="AP165" s="50"/>
      <c r="AQ165" s="50"/>
      <c r="BD165" s="2389"/>
    </row>
    <row r="166" spans="1:56" s="171" customFormat="1">
      <c r="C166" s="171" t="s">
        <v>208</v>
      </c>
      <c r="D166" s="349"/>
      <c r="E166" s="331" t="s">
        <v>138</v>
      </c>
      <c r="F166" s="331" t="s">
        <v>138</v>
      </c>
      <c r="G166" s="330">
        <v>37.685316470824716</v>
      </c>
      <c r="H166" s="330">
        <v>38.06</v>
      </c>
      <c r="I166" s="49"/>
      <c r="J166" s="264"/>
      <c r="K166" s="273"/>
      <c r="L166" s="264"/>
      <c r="M166" s="264"/>
      <c r="N166" s="264"/>
      <c r="O166" s="328"/>
      <c r="P166" s="50"/>
      <c r="Q166" s="49" t="s">
        <v>55</v>
      </c>
      <c r="R166" s="49"/>
      <c r="S166" s="49"/>
      <c r="T166" s="49"/>
      <c r="U166" s="49">
        <v>2010</v>
      </c>
      <c r="W166" s="63" t="s">
        <v>209</v>
      </c>
      <c r="AK166" s="367" t="s">
        <v>139</v>
      </c>
      <c r="AL166" s="367">
        <f>SUM(AL163:AL165)</f>
        <v>13936</v>
      </c>
      <c r="AM166" s="184" t="s">
        <v>932</v>
      </c>
      <c r="AN166" s="49"/>
      <c r="AO166" s="50"/>
      <c r="AP166" s="50"/>
      <c r="AQ166" s="50"/>
      <c r="BD166" s="2389"/>
    </row>
    <row r="167" spans="1:56" s="171" customFormat="1">
      <c r="C167" s="171" t="s">
        <v>210</v>
      </c>
      <c r="D167" s="349"/>
      <c r="E167" s="331" t="s">
        <v>138</v>
      </c>
      <c r="F167" s="330">
        <v>11.381436427262123</v>
      </c>
      <c r="G167" s="331" t="s">
        <v>138</v>
      </c>
      <c r="H167" s="331" t="s">
        <v>138</v>
      </c>
      <c r="I167" s="58"/>
      <c r="J167" s="264"/>
      <c r="K167" s="279"/>
      <c r="L167" s="264"/>
      <c r="M167" s="264"/>
      <c r="N167" s="264"/>
      <c r="O167" s="328"/>
      <c r="P167" s="50"/>
      <c r="Q167" s="346" t="s">
        <v>393</v>
      </c>
      <c r="R167" s="346"/>
      <c r="S167" s="346"/>
      <c r="T167" s="346"/>
      <c r="U167" s="369">
        <f>G166/(G166+G162)</f>
        <v>0.41834519358340372</v>
      </c>
      <c r="W167" s="183" t="s">
        <v>931</v>
      </c>
      <c r="AM167" s="184" t="s">
        <v>211</v>
      </c>
      <c r="AO167" s="50"/>
      <c r="AP167" s="50"/>
      <c r="AQ167" s="53">
        <f>8/11</f>
        <v>0.72727272727272729</v>
      </c>
      <c r="BD167" s="2389"/>
    </row>
    <row r="168" spans="1:56" s="171" customFormat="1">
      <c r="D168" s="349"/>
      <c r="E168" s="264"/>
      <c r="F168" s="269"/>
      <c r="G168" s="264"/>
      <c r="H168" s="269"/>
      <c r="I168" s="49"/>
      <c r="J168" s="264"/>
      <c r="K168" s="273"/>
      <c r="L168" s="264"/>
      <c r="M168" s="264"/>
      <c r="N168" s="264"/>
      <c r="O168" s="328"/>
      <c r="P168" s="50"/>
      <c r="Q168" s="49" t="s">
        <v>394</v>
      </c>
      <c r="R168" s="49"/>
      <c r="S168" s="49"/>
      <c r="T168" s="49"/>
      <c r="U168" s="53">
        <f>G173/(G173+G172)</f>
        <v>0.46128822381262202</v>
      </c>
      <c r="W168" s="184" t="s">
        <v>386</v>
      </c>
      <c r="Y168" s="50"/>
      <c r="AK168" s="49" t="s">
        <v>55</v>
      </c>
      <c r="AL168" s="64">
        <f>AL164+(1-AQ167)*AL165</f>
        <v>5725.181818181818</v>
      </c>
      <c r="AM168" s="184"/>
      <c r="AN168" s="49"/>
      <c r="AO168" s="49"/>
      <c r="AP168" s="49"/>
      <c r="AQ168" s="49"/>
      <c r="AR168" s="49"/>
      <c r="BD168" s="2389"/>
    </row>
    <row r="169" spans="1:56" s="171" customFormat="1">
      <c r="B169" s="262" t="s">
        <v>370</v>
      </c>
      <c r="C169" s="51" t="s">
        <v>173</v>
      </c>
      <c r="D169" s="2327"/>
      <c r="E169" s="264" t="s">
        <v>138</v>
      </c>
      <c r="F169" s="264" t="s">
        <v>138</v>
      </c>
      <c r="G169" s="264">
        <v>41.84</v>
      </c>
      <c r="H169" s="269">
        <v>43.8</v>
      </c>
      <c r="I169" s="49"/>
      <c r="J169" s="273"/>
      <c r="K169" s="273"/>
      <c r="L169" s="264"/>
      <c r="M169" s="273"/>
      <c r="N169" s="273"/>
      <c r="O169" s="328"/>
      <c r="P169" s="50"/>
      <c r="R169" s="49"/>
      <c r="S169" s="49"/>
      <c r="T169" s="49"/>
      <c r="W169" s="184" t="s">
        <v>214</v>
      </c>
      <c r="X169" s="50"/>
      <c r="Y169" s="50"/>
      <c r="AE169" s="52">
        <v>0.8</v>
      </c>
      <c r="AK169" s="49" t="s">
        <v>392</v>
      </c>
      <c r="AL169" s="53">
        <f>AL168/AL166</f>
        <v>0.41081959085690428</v>
      </c>
      <c r="AM169" s="184" t="s">
        <v>212</v>
      </c>
      <c r="AN169" s="49"/>
      <c r="AO169" s="49"/>
      <c r="AP169" s="49"/>
      <c r="AQ169" s="49"/>
      <c r="AR169" s="49"/>
      <c r="BD169" s="2389"/>
    </row>
    <row r="170" spans="1:56" s="171" customFormat="1">
      <c r="C170" s="51" t="s">
        <v>174</v>
      </c>
      <c r="D170" s="2327"/>
      <c r="E170" s="264" t="s">
        <v>138</v>
      </c>
      <c r="F170" s="264" t="s">
        <v>138</v>
      </c>
      <c r="G170" s="264">
        <v>58.16</v>
      </c>
      <c r="H170" s="269">
        <v>56.2</v>
      </c>
      <c r="I170" s="49"/>
      <c r="J170" s="273"/>
      <c r="K170" s="273"/>
      <c r="L170" s="273"/>
      <c r="M170" s="273"/>
      <c r="N170" s="273"/>
      <c r="O170" s="328"/>
      <c r="P170" s="50"/>
      <c r="R170" s="50"/>
      <c r="S170" s="50"/>
      <c r="T170" s="50"/>
      <c r="AL170" s="50"/>
      <c r="AM170" s="50"/>
      <c r="AN170" s="50"/>
      <c r="AO170" s="50"/>
      <c r="AP170" s="50"/>
      <c r="AQ170" s="50"/>
      <c r="BD170" s="2389"/>
    </row>
    <row r="171" spans="1:56" s="171" customFormat="1">
      <c r="D171" s="349"/>
      <c r="E171" s="264"/>
      <c r="F171" s="269"/>
      <c r="G171" s="264"/>
      <c r="H171" s="269"/>
      <c r="I171" s="49"/>
      <c r="J171" s="273"/>
      <c r="K171" s="273"/>
      <c r="L171" s="273"/>
      <c r="M171" s="273"/>
      <c r="N171" s="273"/>
      <c r="O171" s="49"/>
      <c r="P171" s="50"/>
      <c r="R171" s="50"/>
      <c r="S171" s="50"/>
      <c r="T171" s="50"/>
      <c r="U171" s="184"/>
      <c r="V171" s="50"/>
      <c r="W171" s="50"/>
      <c r="AC171" s="52"/>
      <c r="AL171" s="50"/>
      <c r="AM171" s="50"/>
      <c r="AN171" s="50"/>
      <c r="AO171" s="50"/>
      <c r="AP171" s="50"/>
      <c r="AQ171" s="50"/>
      <c r="BD171" s="2389"/>
    </row>
    <row r="172" spans="1:56" s="171" customFormat="1">
      <c r="B172" s="51" t="s">
        <v>141</v>
      </c>
      <c r="C172" s="51" t="s">
        <v>174</v>
      </c>
      <c r="D172" s="2327"/>
      <c r="E172" s="264"/>
      <c r="F172" s="264"/>
      <c r="G172" s="269">
        <v>49.9564255547362</v>
      </c>
      <c r="H172" s="269">
        <v>47.15</v>
      </c>
      <c r="I172" s="49"/>
      <c r="J172" s="273"/>
      <c r="K172" s="273"/>
      <c r="L172" s="273"/>
      <c r="M172" s="273"/>
      <c r="N172" s="273"/>
      <c r="O172" s="49"/>
      <c r="P172" s="50"/>
      <c r="R172" s="50"/>
      <c r="S172" s="50"/>
      <c r="T172" s="50"/>
      <c r="U172" s="184"/>
      <c r="V172" s="50"/>
      <c r="W172" s="50"/>
      <c r="AC172" s="52"/>
      <c r="AL172" s="50"/>
      <c r="AM172" s="50"/>
      <c r="AN172" s="50"/>
      <c r="AO172" s="50"/>
      <c r="AP172" s="50"/>
      <c r="AQ172" s="50"/>
      <c r="BD172" s="2389"/>
    </row>
    <row r="173" spans="1:56" s="171" customFormat="1">
      <c r="C173" s="171" t="s">
        <v>208</v>
      </c>
      <c r="D173" s="349"/>
      <c r="E173" s="264"/>
      <c r="F173" s="264"/>
      <c r="G173" s="269">
        <v>42.776697727425081</v>
      </c>
      <c r="H173" s="269">
        <v>39.75</v>
      </c>
      <c r="I173" s="49"/>
      <c r="J173" s="273"/>
      <c r="K173" s="273"/>
      <c r="L173" s="273"/>
      <c r="M173" s="273"/>
      <c r="N173" s="273"/>
      <c r="O173" s="49"/>
      <c r="P173" s="50"/>
      <c r="R173" s="50"/>
      <c r="S173" s="50"/>
      <c r="T173" s="50"/>
      <c r="U173" s="184"/>
      <c r="V173" s="50"/>
      <c r="W173" s="50"/>
      <c r="AC173" s="52"/>
      <c r="AL173" s="50"/>
      <c r="AM173" s="50"/>
      <c r="AN173" s="50"/>
      <c r="AO173" s="50"/>
      <c r="AP173" s="50"/>
      <c r="AQ173" s="50"/>
      <c r="BD173" s="2389"/>
    </row>
    <row r="174" spans="1:56" s="171" customFormat="1">
      <c r="C174" s="171" t="s">
        <v>213</v>
      </c>
      <c r="D174" s="349"/>
      <c r="E174" s="264"/>
      <c r="F174" s="264"/>
      <c r="G174" s="269">
        <v>7.2668767178387066</v>
      </c>
      <c r="H174" s="269">
        <v>13.09</v>
      </c>
      <c r="I174" s="49"/>
      <c r="J174" s="273"/>
      <c r="K174" s="273"/>
      <c r="L174" s="273"/>
      <c r="M174" s="273"/>
      <c r="N174" s="273"/>
      <c r="O174" s="49"/>
      <c r="P174" s="50"/>
      <c r="R174" s="50"/>
      <c r="S174" s="50"/>
      <c r="T174" s="50"/>
      <c r="U174" s="184"/>
      <c r="V174" s="50"/>
      <c r="W174" s="50"/>
      <c r="AC174" s="52"/>
      <c r="AL174" s="50"/>
      <c r="AM174" s="50"/>
      <c r="AN174" s="50"/>
      <c r="AO174" s="50"/>
      <c r="AP174" s="50"/>
      <c r="AQ174" s="50"/>
      <c r="BD174" s="2389"/>
    </row>
    <row r="175" spans="1:56" s="171" customFormat="1" ht="12.6" customHeight="1">
      <c r="D175" s="349"/>
      <c r="E175" s="264"/>
      <c r="F175" s="264"/>
      <c r="G175" s="269"/>
      <c r="H175" s="269"/>
      <c r="I175" s="49"/>
      <c r="J175" s="273"/>
      <c r="K175" s="273"/>
      <c r="L175" s="273"/>
      <c r="M175" s="273"/>
      <c r="N175" s="273"/>
      <c r="O175" s="49"/>
      <c r="P175" s="50"/>
      <c r="R175" s="50"/>
      <c r="S175" s="50"/>
      <c r="T175" s="50"/>
      <c r="U175" s="49"/>
      <c r="V175" s="50"/>
      <c r="W175" s="50"/>
      <c r="AC175" s="52"/>
      <c r="AL175" s="50"/>
      <c r="AM175" s="50"/>
      <c r="AN175" s="50"/>
      <c r="AO175" s="50"/>
      <c r="AP175" s="50"/>
      <c r="AQ175" s="50"/>
      <c r="BD175" s="2389"/>
    </row>
    <row r="176" spans="1:56" s="170" customFormat="1">
      <c r="A176" s="46" t="s">
        <v>48</v>
      </c>
      <c r="B176" s="179" t="s">
        <v>370</v>
      </c>
      <c r="C176" s="170" t="s">
        <v>215</v>
      </c>
      <c r="D176" s="2331"/>
      <c r="E176" s="267">
        <v>77.260000000000005</v>
      </c>
      <c r="F176" s="267">
        <v>73.23</v>
      </c>
      <c r="G176" s="267">
        <v>70.91</v>
      </c>
      <c r="H176" s="267"/>
      <c r="I176" s="47"/>
      <c r="J176" s="277"/>
      <c r="K176" s="277"/>
      <c r="L176" s="277"/>
      <c r="M176" s="277"/>
      <c r="N176" s="277"/>
      <c r="O176" s="47"/>
      <c r="P176" s="48"/>
      <c r="Q176" s="47" t="s">
        <v>600</v>
      </c>
      <c r="R176" s="48"/>
      <c r="S176" s="48"/>
      <c r="T176" s="48"/>
      <c r="U176" s="48"/>
      <c r="V176" s="48"/>
      <c r="W176" s="48"/>
      <c r="BD176" s="2393"/>
    </row>
    <row r="177" spans="2:56" s="171" customFormat="1">
      <c r="C177" s="171" t="s">
        <v>216</v>
      </c>
      <c r="D177" s="349"/>
      <c r="E177" s="264">
        <v>15.59</v>
      </c>
      <c r="F177" s="264">
        <v>18.670000000000002</v>
      </c>
      <c r="G177" s="264">
        <v>21.37</v>
      </c>
      <c r="H177" s="264"/>
      <c r="I177" s="49"/>
      <c r="J177" s="273"/>
      <c r="K177" s="273"/>
      <c r="L177" s="273"/>
      <c r="M177" s="273"/>
      <c r="N177" s="273"/>
      <c r="O177" s="49"/>
      <c r="P177" s="50"/>
      <c r="Q177" s="50"/>
      <c r="R177" s="50"/>
      <c r="S177" s="50"/>
      <c r="T177" s="50"/>
      <c r="U177" s="50"/>
      <c r="V177" s="50"/>
      <c r="W177" s="50"/>
      <c r="BD177" s="2389"/>
    </row>
    <row r="178" spans="2:56" s="171" customFormat="1">
      <c r="C178" s="171" t="s">
        <v>217</v>
      </c>
      <c r="D178" s="349"/>
      <c r="E178" s="264">
        <v>7.15</v>
      </c>
      <c r="F178" s="264">
        <v>8.1</v>
      </c>
      <c r="G178" s="264">
        <v>7.72</v>
      </c>
      <c r="H178" s="264"/>
      <c r="I178" s="49"/>
      <c r="J178" s="273"/>
      <c r="K178" s="273"/>
      <c r="L178" s="273"/>
      <c r="M178" s="273"/>
      <c r="N178" s="273"/>
      <c r="O178" s="49"/>
      <c r="P178" s="50"/>
      <c r="Q178" s="337" t="s">
        <v>55</v>
      </c>
      <c r="R178" s="338">
        <v>1470</v>
      </c>
      <c r="S178" s="338">
        <v>3060.5</v>
      </c>
      <c r="T178" s="338">
        <f>3409+50%*161</f>
        <v>3489.5</v>
      </c>
      <c r="U178" s="338">
        <f>3476+50%*113</f>
        <v>3532.5</v>
      </c>
      <c r="V178" s="50">
        <f>3397+50%*28</f>
        <v>3411</v>
      </c>
      <c r="W178" s="49" t="s">
        <v>626</v>
      </c>
      <c r="BD178" s="2389"/>
    </row>
    <row r="179" spans="2:56" s="171" customFormat="1">
      <c r="B179" s="51" t="s">
        <v>370</v>
      </c>
      <c r="C179" s="51" t="s">
        <v>553</v>
      </c>
      <c r="D179" s="2327"/>
      <c r="E179" s="264">
        <v>54.28</v>
      </c>
      <c r="F179" s="264">
        <v>36.6</v>
      </c>
      <c r="G179" s="264">
        <v>35.08</v>
      </c>
      <c r="H179" s="264">
        <v>33.340000000000003</v>
      </c>
      <c r="I179" s="182" t="s">
        <v>602</v>
      </c>
      <c r="J179" s="348"/>
      <c r="K179" s="326">
        <f>E179/$AB$1</f>
        <v>0.54280000000000006</v>
      </c>
      <c r="L179" s="326">
        <f>F179/$AB$1</f>
        <v>0.36599999999999999</v>
      </c>
      <c r="M179" s="326">
        <f>G179/$AB$1</f>
        <v>0.3508</v>
      </c>
      <c r="N179" s="326">
        <f>H179/$AB$1</f>
        <v>0.33340000000000003</v>
      </c>
      <c r="O179" s="49"/>
      <c r="P179" s="50"/>
      <c r="Q179" s="337" t="s">
        <v>372</v>
      </c>
      <c r="R179" s="338">
        <v>1754</v>
      </c>
      <c r="S179" s="338">
        <v>3513.5</v>
      </c>
      <c r="T179" s="338">
        <f>3753+50%*161</f>
        <v>3833.5</v>
      </c>
      <c r="U179" s="338">
        <f>3856+50%*113</f>
        <v>3912.5</v>
      </c>
      <c r="V179" s="50">
        <f>4000+50%*28</f>
        <v>4014</v>
      </c>
      <c r="W179" s="50" t="s">
        <v>939</v>
      </c>
      <c r="BD179" s="2389"/>
    </row>
    <row r="180" spans="2:56" s="171" customFormat="1">
      <c r="C180" s="51" t="s">
        <v>554</v>
      </c>
      <c r="D180" s="2327"/>
      <c r="E180" s="264">
        <v>45.72</v>
      </c>
      <c r="F180" s="264">
        <v>63.4</v>
      </c>
      <c r="G180" s="264">
        <v>64.92</v>
      </c>
      <c r="H180" s="264">
        <v>66.66</v>
      </c>
      <c r="I180" s="49"/>
      <c r="J180" s="273"/>
      <c r="K180" s="273" t="s">
        <v>611</v>
      </c>
      <c r="L180" s="273"/>
      <c r="M180" s="273"/>
      <c r="N180" s="273"/>
      <c r="O180" s="49"/>
      <c r="P180" s="50"/>
      <c r="Q180" s="365" t="s">
        <v>601</v>
      </c>
      <c r="R180" s="370">
        <f>R178+R179</f>
        <v>3224</v>
      </c>
      <c r="S180" s="370">
        <f>S178+S179</f>
        <v>6574</v>
      </c>
      <c r="T180" s="370">
        <f>T178+T179</f>
        <v>7323</v>
      </c>
      <c r="U180" s="370">
        <f>U178+U179</f>
        <v>7445</v>
      </c>
      <c r="V180" s="370">
        <f>V178+V179</f>
        <v>7425</v>
      </c>
      <c r="W180" s="50"/>
      <c r="BD180" s="2389"/>
    </row>
    <row r="181" spans="2:56" s="171" customFormat="1">
      <c r="B181" s="171" t="s">
        <v>141</v>
      </c>
      <c r="C181" s="171" t="s">
        <v>215</v>
      </c>
      <c r="D181" s="349"/>
      <c r="E181" s="264">
        <v>82.3</v>
      </c>
      <c r="F181" s="264">
        <v>79.7</v>
      </c>
      <c r="G181" s="264">
        <v>80.37</v>
      </c>
      <c r="H181" s="264"/>
      <c r="I181" s="49"/>
      <c r="J181" s="273"/>
      <c r="L181" s="273"/>
      <c r="M181" s="273"/>
      <c r="N181" s="273"/>
      <c r="O181" s="49"/>
      <c r="P181" s="50"/>
      <c r="Q181" s="334" t="s">
        <v>326</v>
      </c>
      <c r="R181" s="333">
        <v>0.45595533498759305</v>
      </c>
      <c r="S181" s="333">
        <v>0.46554609066017644</v>
      </c>
      <c r="T181" s="333">
        <v>0.45595533498759305</v>
      </c>
      <c r="U181" s="333">
        <v>0.46554609066017644</v>
      </c>
      <c r="V181" s="333">
        <v>1.46554609066018</v>
      </c>
      <c r="W181" s="50"/>
      <c r="BD181" s="2389"/>
    </row>
    <row r="182" spans="2:56" s="171" customFormat="1">
      <c r="C182" s="171" t="s">
        <v>216</v>
      </c>
      <c r="D182" s="349"/>
      <c r="E182" s="264">
        <v>11.39</v>
      </c>
      <c r="F182" s="264">
        <v>13.16</v>
      </c>
      <c r="G182" s="264">
        <v>12.44</v>
      </c>
      <c r="H182" s="264"/>
      <c r="I182" s="49"/>
      <c r="J182" s="273"/>
      <c r="L182" s="273"/>
      <c r="M182" s="273"/>
      <c r="N182" s="273"/>
      <c r="O182" s="49"/>
      <c r="P182" s="50"/>
      <c r="Q182" s="371" t="s">
        <v>596</v>
      </c>
      <c r="R182" s="372">
        <v>271</v>
      </c>
      <c r="S182" s="372">
        <v>567</v>
      </c>
      <c r="T182" s="372">
        <v>577</v>
      </c>
      <c r="U182" s="372">
        <v>575</v>
      </c>
      <c r="V182" s="372">
        <v>483</v>
      </c>
      <c r="W182" s="49" t="s">
        <v>627</v>
      </c>
      <c r="BD182" s="2389"/>
    </row>
    <row r="183" spans="2:56" s="171" customFormat="1">
      <c r="C183" s="171" t="s">
        <v>217</v>
      </c>
      <c r="D183" s="349"/>
      <c r="E183" s="264">
        <v>6.31</v>
      </c>
      <c r="F183" s="264">
        <v>7.14</v>
      </c>
      <c r="G183" s="264">
        <v>7.18</v>
      </c>
      <c r="H183" s="264"/>
      <c r="I183" s="49"/>
      <c r="J183" s="273"/>
      <c r="L183" s="273"/>
      <c r="M183" s="273"/>
      <c r="N183" s="273"/>
      <c r="O183" s="49"/>
      <c r="P183" s="50"/>
      <c r="Q183" s="337" t="s">
        <v>603</v>
      </c>
      <c r="R183" s="338">
        <v>171</v>
      </c>
      <c r="S183" s="338">
        <v>360</v>
      </c>
      <c r="T183" s="338">
        <v>185</v>
      </c>
      <c r="U183" s="338">
        <v>149</v>
      </c>
      <c r="V183" s="338">
        <v>131</v>
      </c>
      <c r="W183" s="49" t="s">
        <v>625</v>
      </c>
      <c r="BD183" s="2389"/>
    </row>
    <row r="184" spans="2:56" s="171" customFormat="1">
      <c r="D184" s="349"/>
      <c r="E184" s="264"/>
      <c r="F184" s="264"/>
      <c r="G184" s="264"/>
      <c r="H184" s="264"/>
      <c r="I184" s="49"/>
      <c r="J184" s="273"/>
      <c r="L184" s="273"/>
      <c r="M184" s="273"/>
      <c r="N184" s="273"/>
      <c r="O184" s="49"/>
      <c r="P184" s="50"/>
      <c r="Q184" s="334" t="s">
        <v>597</v>
      </c>
      <c r="R184" s="332">
        <f>R178+R182*R181</f>
        <v>1593.5638957816377</v>
      </c>
      <c r="S184" s="332">
        <f>S178+S182*S181</f>
        <v>3324.46463340432</v>
      </c>
      <c r="T184" s="332">
        <f>T178+T182*T181</f>
        <v>3752.5862282878411</v>
      </c>
      <c r="U184" s="332">
        <f>U178+U182*U181</f>
        <v>3800.1890021296012</v>
      </c>
      <c r="V184" s="332">
        <f>V178+V182*V181</f>
        <v>4118.858761788867</v>
      </c>
      <c r="W184" s="49"/>
      <c r="BD184" s="2389"/>
    </row>
    <row r="185" spans="2:56" s="171" customFormat="1">
      <c r="B185" s="262" t="s">
        <v>320</v>
      </c>
      <c r="C185" s="262" t="s">
        <v>553</v>
      </c>
      <c r="D185" s="2335"/>
      <c r="E185" s="264">
        <v>2932</v>
      </c>
      <c r="F185" s="264">
        <v>3409</v>
      </c>
      <c r="G185" s="264">
        <v>3476</v>
      </c>
      <c r="H185" s="264">
        <v>3398</v>
      </c>
      <c r="I185" s="49"/>
      <c r="J185" s="273"/>
      <c r="L185" s="273"/>
      <c r="M185" s="273"/>
      <c r="N185" s="273"/>
      <c r="O185" s="49"/>
      <c r="P185" s="50"/>
      <c r="Q185" s="334" t="s">
        <v>598</v>
      </c>
      <c r="R185" s="332">
        <f>R179+(1-R181)*R182+R183</f>
        <v>2072.4361042183623</v>
      </c>
      <c r="S185" s="332">
        <f>S179+(1-S181)*S182+S183</f>
        <v>4176.53536659568</v>
      </c>
      <c r="T185" s="332">
        <f>T179+(1-T181)*T182+T183</f>
        <v>4332.4137717121585</v>
      </c>
      <c r="U185" s="332">
        <f>U179+(1-U181)*U182+U183</f>
        <v>4368.8109978703988</v>
      </c>
      <c r="V185" s="332">
        <f>V179+(1-V181)*V182+V183</f>
        <v>3920.141238211133</v>
      </c>
      <c r="W185" s="50"/>
      <c r="BD185" s="2389"/>
    </row>
    <row r="186" spans="2:56" s="171" customFormat="1">
      <c r="B186" s="262"/>
      <c r="C186" s="262" t="s">
        <v>554</v>
      </c>
      <c r="D186" s="2335"/>
      <c r="E186" s="264">
        <v>2470</v>
      </c>
      <c r="F186" s="264">
        <v>5904</v>
      </c>
      <c r="G186" s="264">
        <v>6432</v>
      </c>
      <c r="H186" s="264">
        <v>6793</v>
      </c>
      <c r="I186" s="49"/>
      <c r="J186" s="273"/>
      <c r="K186" s="273"/>
      <c r="L186" s="273"/>
      <c r="M186" s="273"/>
      <c r="N186" s="273"/>
      <c r="O186" s="49"/>
      <c r="P186" s="50"/>
      <c r="Q186" s="365" t="s">
        <v>604</v>
      </c>
      <c r="R186" s="370">
        <f>R184+R185</f>
        <v>3666</v>
      </c>
      <c r="S186" s="370">
        <f>S184+S185</f>
        <v>7501</v>
      </c>
      <c r="T186" s="370">
        <f>T184+T185</f>
        <v>8085</v>
      </c>
      <c r="U186" s="370">
        <f>U184+U185</f>
        <v>8169</v>
      </c>
      <c r="V186" s="370">
        <f>V184+V185</f>
        <v>8039</v>
      </c>
      <c r="W186" s="50"/>
      <c r="BD186" s="2389"/>
    </row>
    <row r="187" spans="2:56" s="171" customFormat="1">
      <c r="D187" s="349"/>
      <c r="E187" s="273" t="s">
        <v>610</v>
      </c>
      <c r="F187" s="264"/>
      <c r="G187" s="264"/>
      <c r="H187" s="264"/>
      <c r="I187" s="49"/>
      <c r="J187" s="273"/>
      <c r="K187" s="273"/>
      <c r="L187" s="273"/>
      <c r="M187" s="273"/>
      <c r="N187" s="273"/>
      <c r="O187" s="49"/>
      <c r="P187" s="50"/>
      <c r="Q187" s="334" t="s">
        <v>599</v>
      </c>
      <c r="R187" s="333">
        <v>0.45595533498759305</v>
      </c>
      <c r="S187" s="333">
        <v>0.46554609066017644</v>
      </c>
      <c r="T187" s="333">
        <v>0.47513684633275999</v>
      </c>
      <c r="U187" s="333">
        <v>0.48472760200534298</v>
      </c>
      <c r="V187" s="333">
        <v>1.4847276020053399</v>
      </c>
      <c r="W187" s="50"/>
      <c r="BD187" s="2389"/>
    </row>
    <row r="188" spans="2:56" s="171" customFormat="1">
      <c r="D188" s="349"/>
      <c r="E188" s="273" t="s">
        <v>612</v>
      </c>
      <c r="F188" s="264"/>
      <c r="G188" s="264"/>
      <c r="H188" s="264"/>
      <c r="I188" s="49"/>
      <c r="J188" s="273"/>
      <c r="K188" s="273"/>
      <c r="L188" s="273"/>
      <c r="M188" s="273"/>
      <c r="N188" s="273"/>
      <c r="O188" s="49"/>
      <c r="P188" s="50"/>
      <c r="Q188" s="374" t="s">
        <v>605</v>
      </c>
      <c r="R188" s="375">
        <v>1477</v>
      </c>
      <c r="S188" s="375">
        <v>2976</v>
      </c>
      <c r="T188" s="375">
        <v>3070</v>
      </c>
      <c r="U188" s="375">
        <v>3487</v>
      </c>
      <c r="V188" s="375">
        <v>3622</v>
      </c>
      <c r="W188" s="50" t="s">
        <v>608</v>
      </c>
      <c r="BD188" s="2389"/>
    </row>
    <row r="189" spans="2:56" s="171" customFormat="1">
      <c r="D189" s="349"/>
      <c r="E189" s="273" t="s">
        <v>937</v>
      </c>
      <c r="F189" s="264"/>
      <c r="G189" s="264"/>
      <c r="H189" s="264"/>
      <c r="I189" s="49"/>
      <c r="J189" s="273"/>
      <c r="K189" s="273"/>
      <c r="L189" s="273"/>
      <c r="M189" s="273"/>
      <c r="N189" s="273"/>
      <c r="O189" s="49"/>
      <c r="P189" s="50"/>
      <c r="Q189" s="376" t="s">
        <v>606</v>
      </c>
      <c r="R189" s="377">
        <f>R185+R188</f>
        <v>3549.4361042183623</v>
      </c>
      <c r="S189" s="377">
        <f>S185+S188</f>
        <v>7152.53536659568</v>
      </c>
      <c r="T189" s="377">
        <f>T185+T188</f>
        <v>7402.4137717121585</v>
      </c>
      <c r="U189" s="377">
        <f>U185+U188</f>
        <v>7855.8109978703988</v>
      </c>
      <c r="V189" s="377">
        <f>V185+V188</f>
        <v>7542.141238211133</v>
      </c>
      <c r="W189" s="50"/>
      <c r="BD189" s="2389"/>
    </row>
    <row r="190" spans="2:56" s="171" customFormat="1">
      <c r="D190" s="349"/>
      <c r="E190" s="273"/>
      <c r="F190" s="264"/>
      <c r="G190" s="264"/>
      <c r="H190" s="264"/>
      <c r="I190" s="49"/>
      <c r="J190" s="273"/>
      <c r="K190" s="273"/>
      <c r="L190" s="273"/>
      <c r="M190" s="273"/>
      <c r="N190" s="273"/>
      <c r="O190" s="49"/>
      <c r="P190" s="50"/>
      <c r="Q190" s="139" t="s">
        <v>607</v>
      </c>
      <c r="R190" s="373">
        <f>R184+R189</f>
        <v>5143</v>
      </c>
      <c r="S190" s="373">
        <f>S184+S189</f>
        <v>10477</v>
      </c>
      <c r="T190" s="373">
        <f>T184+T189</f>
        <v>11155</v>
      </c>
      <c r="U190" s="373">
        <f>U184+U189</f>
        <v>11656</v>
      </c>
      <c r="V190" s="373">
        <f>V184+V189</f>
        <v>11661</v>
      </c>
      <c r="W190" s="50"/>
      <c r="BD190" s="2389"/>
    </row>
    <row r="191" spans="2:56" s="171" customFormat="1">
      <c r="D191" s="349"/>
      <c r="E191" s="273"/>
      <c r="F191" s="264"/>
      <c r="G191" s="264"/>
      <c r="H191" s="264"/>
      <c r="I191" s="851" t="s">
        <v>373</v>
      </c>
      <c r="J191" s="776">
        <f>R191</f>
        <v>0.30985103942866765</v>
      </c>
      <c r="K191" s="776">
        <f>S191</f>
        <v>0.31731074099497186</v>
      </c>
      <c r="L191" s="776">
        <f>T191</f>
        <v>0.33640396488461149</v>
      </c>
      <c r="M191" s="776">
        <f>U191</f>
        <v>0.32602856916005502</v>
      </c>
      <c r="N191" s="776">
        <f>V191</f>
        <v>0.35321659907288117</v>
      </c>
      <c r="O191" s="49"/>
      <c r="P191" s="50"/>
      <c r="Q191" s="334" t="s">
        <v>609</v>
      </c>
      <c r="R191" s="333">
        <f>R184/R190</f>
        <v>0.30985103942866765</v>
      </c>
      <c r="S191" s="333">
        <f>S184/S190</f>
        <v>0.31731074099497186</v>
      </c>
      <c r="T191" s="333">
        <f>T184/T190</f>
        <v>0.33640396488461149</v>
      </c>
      <c r="U191" s="333">
        <f>U184/U190</f>
        <v>0.32602856916005502</v>
      </c>
      <c r="V191" s="333">
        <f>V184/V190</f>
        <v>0.35321659907288117</v>
      </c>
      <c r="W191" s="49" t="s">
        <v>940</v>
      </c>
      <c r="BD191" s="2389"/>
    </row>
    <row r="192" spans="2:56" s="171" customFormat="1">
      <c r="D192" s="349"/>
      <c r="E192" s="273"/>
      <c r="F192" s="264"/>
      <c r="G192" s="264"/>
      <c r="H192" s="264"/>
      <c r="I192" s="49"/>
      <c r="J192" s="273"/>
      <c r="K192" s="273"/>
      <c r="L192" s="273"/>
      <c r="M192" s="273"/>
      <c r="N192" s="273"/>
      <c r="O192" s="49"/>
      <c r="P192" s="50"/>
      <c r="Q192" s="339"/>
      <c r="R192" s="340"/>
      <c r="S192" s="340"/>
      <c r="T192" s="50"/>
      <c r="U192" s="50"/>
      <c r="V192" s="50"/>
      <c r="W192" s="49" t="s">
        <v>943</v>
      </c>
      <c r="BD192" s="2389"/>
    </row>
    <row r="193" spans="1:56" s="171" customFormat="1">
      <c r="D193" s="349"/>
      <c r="E193" s="264"/>
      <c r="F193" s="264"/>
      <c r="G193" s="264"/>
      <c r="H193" s="264"/>
      <c r="I193" s="49"/>
      <c r="J193" s="273"/>
      <c r="K193" s="273"/>
      <c r="L193" s="273"/>
      <c r="M193" s="273"/>
      <c r="N193" s="273"/>
      <c r="O193" s="49"/>
      <c r="P193" s="50"/>
      <c r="Q193" s="50"/>
      <c r="R193" s="50"/>
      <c r="S193" s="50"/>
      <c r="T193" s="50"/>
      <c r="U193" s="50"/>
      <c r="V193" s="50"/>
      <c r="W193" s="50"/>
      <c r="BD193" s="2389"/>
    </row>
    <row r="194" spans="1:56" s="170" customFormat="1">
      <c r="A194" s="46" t="s">
        <v>40</v>
      </c>
      <c r="B194" s="179" t="s">
        <v>370</v>
      </c>
      <c r="C194" s="170" t="s">
        <v>218</v>
      </c>
      <c r="D194" s="2331"/>
      <c r="E194" s="268">
        <v>48.184401641932425</v>
      </c>
      <c r="F194" s="268">
        <v>45.731402114746913</v>
      </c>
      <c r="G194" s="268">
        <v>41.396687120465458</v>
      </c>
      <c r="H194" s="268">
        <v>40.159999999999997</v>
      </c>
      <c r="J194" s="267"/>
      <c r="K194" s="267"/>
      <c r="L194" s="267"/>
      <c r="M194" s="267"/>
      <c r="N194" s="267"/>
      <c r="P194" s="48"/>
      <c r="R194" s="48"/>
      <c r="S194" s="48"/>
      <c r="T194" s="48"/>
      <c r="U194" s="48"/>
      <c r="V194" s="48"/>
      <c r="W194" s="48"/>
      <c r="BD194" s="2393"/>
    </row>
    <row r="195" spans="1:56" s="171" customFormat="1">
      <c r="C195" s="171" t="s">
        <v>219</v>
      </c>
      <c r="D195" s="349"/>
      <c r="E195" s="269">
        <v>25.251026207767602</v>
      </c>
      <c r="F195" s="269">
        <v>28.747731965213042</v>
      </c>
      <c r="G195" s="269">
        <v>31.709216926843226</v>
      </c>
      <c r="H195" s="269">
        <v>34.119999999999997</v>
      </c>
      <c r="I195" s="252" t="s">
        <v>946</v>
      </c>
      <c r="J195" s="273" t="s">
        <v>947</v>
      </c>
      <c r="K195" s="264"/>
      <c r="L195" s="264"/>
      <c r="M195" s="264"/>
      <c r="N195" s="264"/>
      <c r="O195" s="49" t="s">
        <v>377</v>
      </c>
      <c r="S195" s="50"/>
      <c r="T195" s="50"/>
      <c r="U195" s="50"/>
      <c r="V195" s="50"/>
      <c r="W195" s="50"/>
      <c r="BD195" s="2389"/>
    </row>
    <row r="196" spans="1:56" s="171" customFormat="1">
      <c r="C196" s="171" t="s">
        <v>65</v>
      </c>
      <c r="D196" s="349"/>
      <c r="E196" s="269">
        <v>23.658035996210923</v>
      </c>
      <c r="F196" s="269">
        <v>24.282049677782645</v>
      </c>
      <c r="G196" s="269">
        <v>24.250468953676915</v>
      </c>
      <c r="H196" s="269">
        <v>23.74</v>
      </c>
      <c r="I196" s="866" t="s">
        <v>373</v>
      </c>
      <c r="J196" s="758">
        <v>0.63960508302071395</v>
      </c>
      <c r="K196" s="758">
        <v>0.63691258302278264</v>
      </c>
      <c r="L196" s="758">
        <v>0.60295119120080787</v>
      </c>
      <c r="M196" s="758">
        <v>0.57174659410117801</v>
      </c>
      <c r="N196" s="758">
        <v>0.58023511894181368</v>
      </c>
      <c r="O196" s="53">
        <f>(J196+2*K196+2*L196+AVERAGE(M196,N196))/6</f>
        <v>0.6158872479982318</v>
      </c>
      <c r="Q196" s="49" t="s">
        <v>944</v>
      </c>
      <c r="S196" s="50"/>
      <c r="T196" s="50"/>
      <c r="U196" s="50"/>
      <c r="V196" s="50"/>
      <c r="W196" s="50"/>
      <c r="BD196" s="2389"/>
    </row>
    <row r="197" spans="1:56" s="171" customFormat="1">
      <c r="C197" s="171" t="s">
        <v>220</v>
      </c>
      <c r="D197" s="349"/>
      <c r="E197" s="269">
        <v>2.9065361540890433</v>
      </c>
      <c r="F197" s="269">
        <v>1.2388162422573985</v>
      </c>
      <c r="G197" s="269">
        <v>2.6436269990144026</v>
      </c>
      <c r="H197" s="269">
        <v>1.98</v>
      </c>
      <c r="I197" s="182" t="s">
        <v>221</v>
      </c>
      <c r="J197" s="278">
        <v>0.71418817424552783</v>
      </c>
      <c r="K197" s="278">
        <v>0.70058225599526303</v>
      </c>
      <c r="L197" s="278">
        <v>0.66021500852759196</v>
      </c>
      <c r="M197" s="278">
        <v>0.59799128971835469</v>
      </c>
      <c r="N197" s="278">
        <v>0.59799128971835469</v>
      </c>
      <c r="O197" s="53">
        <f>(J197+2*K197+2*L197+AVERAGE(M197,N197))/6</f>
        <v>0.6722956655015988</v>
      </c>
      <c r="Q197" s="49"/>
      <c r="S197" s="50"/>
      <c r="T197" s="50"/>
      <c r="U197" s="50"/>
      <c r="V197" s="50"/>
      <c r="W197" s="50"/>
      <c r="BD197" s="2389"/>
    </row>
    <row r="198" spans="1:56" s="171" customFormat="1">
      <c r="B198" s="171" t="s">
        <v>141</v>
      </c>
      <c r="C198" s="171" t="s">
        <v>218</v>
      </c>
      <c r="D198" s="349"/>
      <c r="E198" s="269">
        <v>52.293707611152975</v>
      </c>
      <c r="F198" s="269">
        <v>54.136566056407716</v>
      </c>
      <c r="G198" s="269">
        <v>79.863243901025669</v>
      </c>
      <c r="H198" s="269" t="s">
        <v>138</v>
      </c>
      <c r="I198" s="49"/>
      <c r="J198" s="278"/>
      <c r="K198" s="278"/>
      <c r="L198" s="278"/>
      <c r="M198" s="278"/>
      <c r="N198" s="278"/>
      <c r="O198" s="53"/>
      <c r="R198" s="50"/>
      <c r="S198" s="50"/>
      <c r="T198" s="50"/>
      <c r="U198" s="50"/>
      <c r="V198" s="50"/>
      <c r="W198" s="50"/>
      <c r="BD198" s="2389"/>
    </row>
    <row r="199" spans="1:56" s="171" customFormat="1">
      <c r="C199" s="171" t="s">
        <v>219</v>
      </c>
      <c r="D199" s="349"/>
      <c r="E199" s="269">
        <v>32.168425018839486</v>
      </c>
      <c r="F199" s="269">
        <v>25.096486887679365</v>
      </c>
      <c r="G199" s="269" t="s">
        <v>138</v>
      </c>
      <c r="H199" s="269" t="s">
        <v>138</v>
      </c>
      <c r="I199" s="182" t="s">
        <v>653</v>
      </c>
      <c r="J199" s="278">
        <v>0.52299198575244876</v>
      </c>
      <c r="K199" s="278">
        <v>0.50424610911013446</v>
      </c>
      <c r="L199" s="278">
        <v>0.46320163991512087</v>
      </c>
      <c r="M199" s="278">
        <v>0.41584391996234643</v>
      </c>
      <c r="N199" s="278">
        <v>0.39895500624913205</v>
      </c>
      <c r="O199" s="53">
        <f>(J199+2*K199+2*L199+AVERAGE(M199,N199))/6</f>
        <v>0.47754782448478311</v>
      </c>
      <c r="Q199" s="50"/>
      <c r="R199" s="50"/>
      <c r="S199" s="50"/>
      <c r="T199" s="50"/>
      <c r="U199" s="50"/>
      <c r="V199" s="50"/>
      <c r="W199" s="50"/>
      <c r="BD199" s="2389"/>
    </row>
    <row r="200" spans="1:56" s="171" customFormat="1">
      <c r="C200" s="171" t="s">
        <v>65</v>
      </c>
      <c r="D200" s="349"/>
      <c r="E200" s="269">
        <v>16.079502637528257</v>
      </c>
      <c r="F200" s="269">
        <v>20.945076694705591</v>
      </c>
      <c r="G200" s="269">
        <v>23.260126325549052</v>
      </c>
      <c r="H200" s="269" t="s">
        <v>138</v>
      </c>
      <c r="I200" s="182" t="s">
        <v>555</v>
      </c>
      <c r="J200" s="273"/>
      <c r="K200" s="310">
        <f>K199-(E194/100)</f>
        <v>2.2402092690810227E-2</v>
      </c>
      <c r="L200" s="310">
        <f>L199-(F194/100)</f>
        <v>5.8876187676517588E-3</v>
      </c>
      <c r="M200" s="310">
        <f>M199-(G194/100)</f>
        <v>1.877048757691846E-3</v>
      </c>
      <c r="N200" s="310">
        <f>N199-(H194/100)</f>
        <v>-2.6449937508679078E-3</v>
      </c>
      <c r="O200" s="312">
        <f>AVERAGE(K200:N200)</f>
        <v>6.880441616321481E-3</v>
      </c>
      <c r="P200" s="50"/>
      <c r="Q200" s="50"/>
      <c r="R200" s="50"/>
      <c r="S200" s="50"/>
      <c r="T200" s="50"/>
      <c r="U200" s="50"/>
      <c r="V200" s="50"/>
      <c r="W200" s="50"/>
      <c r="BD200" s="2389"/>
    </row>
    <row r="201" spans="1:56" s="171" customFormat="1">
      <c r="C201" s="171" t="s">
        <v>220</v>
      </c>
      <c r="D201" s="349"/>
      <c r="E201" s="269">
        <v>-0.54163526752072344</v>
      </c>
      <c r="F201" s="269">
        <v>-0.1781296387926769</v>
      </c>
      <c r="G201" s="269">
        <v>-3.1233702265747234</v>
      </c>
      <c r="H201" s="269" t="s">
        <v>138</v>
      </c>
      <c r="I201" s="49"/>
      <c r="J201" s="273"/>
      <c r="K201" s="273"/>
      <c r="L201" s="273"/>
      <c r="M201" s="273"/>
      <c r="N201" s="273"/>
      <c r="O201" s="49"/>
      <c r="P201" s="50"/>
      <c r="Q201" s="50"/>
      <c r="R201" s="50"/>
      <c r="S201" s="50"/>
      <c r="T201" s="50"/>
      <c r="U201" s="50"/>
      <c r="V201" s="50"/>
      <c r="W201" s="50"/>
      <c r="BD201" s="2389"/>
    </row>
    <row r="202" spans="1:56" s="171" customFormat="1">
      <c r="D202" s="349"/>
      <c r="E202" s="269"/>
      <c r="F202" s="269"/>
      <c r="G202" s="269"/>
      <c r="H202" s="269"/>
      <c r="I202" s="49"/>
      <c r="J202" s="273"/>
      <c r="K202" s="273"/>
      <c r="L202" s="273"/>
      <c r="M202" s="273"/>
      <c r="N202" s="273"/>
      <c r="O202" s="49"/>
      <c r="P202" s="50"/>
      <c r="Q202" s="50"/>
      <c r="R202" s="50"/>
      <c r="S202" s="50"/>
      <c r="T202" s="50"/>
      <c r="U202" s="50"/>
      <c r="V202" s="50"/>
      <c r="W202" s="50"/>
      <c r="BD202" s="2389"/>
    </row>
    <row r="203" spans="1:56" s="171" customFormat="1">
      <c r="B203" s="51" t="s">
        <v>370</v>
      </c>
      <c r="C203" s="51" t="s">
        <v>553</v>
      </c>
      <c r="D203" s="2327"/>
      <c r="E203" s="269">
        <v>65.569999999999993</v>
      </c>
      <c r="F203" s="269">
        <v>63.32</v>
      </c>
      <c r="G203" s="269">
        <v>63.67</v>
      </c>
      <c r="H203" s="269">
        <v>60.12</v>
      </c>
      <c r="I203" s="182" t="s">
        <v>546</v>
      </c>
      <c r="J203" s="342">
        <f>J196/K196*K203</f>
        <v>0.65847192238888519</v>
      </c>
      <c r="K203" s="342">
        <f>E203/$AB$1</f>
        <v>0.65569999999999995</v>
      </c>
      <c r="L203" s="342">
        <f>F203/$AB$1</f>
        <v>0.63319999999999999</v>
      </c>
      <c r="M203" s="342">
        <f>G203/$AB$1</f>
        <v>0.63670000000000004</v>
      </c>
      <c r="N203" s="342">
        <f>H203/$AB$1</f>
        <v>0.60119999999999996</v>
      </c>
      <c r="O203" s="49"/>
      <c r="P203" s="50"/>
      <c r="Q203" s="49" t="s">
        <v>562</v>
      </c>
      <c r="R203" s="50"/>
      <c r="S203" s="50"/>
      <c r="T203" s="50"/>
      <c r="U203" s="50"/>
      <c r="V203" s="50"/>
      <c r="W203" s="50"/>
      <c r="BD203" s="2389"/>
    </row>
    <row r="204" spans="1:56" s="171" customFormat="1">
      <c r="C204" s="51" t="s">
        <v>554</v>
      </c>
      <c r="D204" s="2327"/>
      <c r="E204" s="269">
        <v>34.43</v>
      </c>
      <c r="F204" s="269">
        <v>36.68</v>
      </c>
      <c r="G204" s="269">
        <v>36.33</v>
      </c>
      <c r="H204" s="269">
        <v>39.880000000000003</v>
      </c>
      <c r="I204" s="182" t="s">
        <v>555</v>
      </c>
      <c r="J204" s="273"/>
      <c r="K204" s="313">
        <f>K196-K203</f>
        <v>-1.8787416977217308E-2</v>
      </c>
      <c r="L204" s="313">
        <f>L196-L203</f>
        <v>-3.0248808799192117E-2</v>
      </c>
      <c r="M204" s="313">
        <f>M196-M203</f>
        <v>-6.4953405898822036E-2</v>
      </c>
      <c r="N204" s="313">
        <f>N196-N203</f>
        <v>-2.096488105818628E-2</v>
      </c>
      <c r="O204" s="312">
        <f>AVERAGE(K204:N204)</f>
        <v>-3.3738628183354435E-2</v>
      </c>
      <c r="P204" s="50"/>
      <c r="Q204" s="49" t="s">
        <v>948</v>
      </c>
      <c r="R204" s="50"/>
      <c r="S204" s="50"/>
      <c r="T204" s="50"/>
      <c r="U204" s="50"/>
      <c r="V204" s="50"/>
      <c r="W204" s="50"/>
      <c r="BD204" s="2389"/>
    </row>
    <row r="205" spans="1:56" s="171" customFormat="1">
      <c r="C205" s="262"/>
      <c r="D205" s="2335"/>
      <c r="E205" s="269"/>
      <c r="F205" s="269"/>
      <c r="G205" s="269"/>
      <c r="H205" s="269"/>
      <c r="I205" s="49"/>
      <c r="J205" s="273"/>
      <c r="K205" s="273"/>
      <c r="L205" s="273"/>
      <c r="M205" s="273"/>
      <c r="N205" s="273"/>
      <c r="O205" s="49"/>
      <c r="P205" s="50"/>
      <c r="Q205" s="49" t="s">
        <v>989</v>
      </c>
      <c r="R205" s="50"/>
      <c r="S205" s="50"/>
      <c r="T205" s="50"/>
      <c r="U205" s="50"/>
      <c r="V205" s="50"/>
      <c r="W205" s="50"/>
      <c r="BD205" s="2389"/>
    </row>
    <row r="206" spans="1:56" s="171" customFormat="1">
      <c r="B206" s="262" t="s">
        <v>320</v>
      </c>
      <c r="C206" s="262" t="s">
        <v>553</v>
      </c>
      <c r="D206" s="2335"/>
      <c r="E206" s="314">
        <v>40425</v>
      </c>
      <c r="F206" s="314">
        <v>39507</v>
      </c>
      <c r="G206" s="314">
        <v>39023</v>
      </c>
      <c r="H206" s="314">
        <v>34873</v>
      </c>
      <c r="I206" s="317" t="s">
        <v>556</v>
      </c>
      <c r="J206" s="318"/>
      <c r="K206" s="319">
        <f>E206/(E206+E207)</f>
        <v>0.65572839786533443</v>
      </c>
      <c r="L206" s="319">
        <f>F206/(F206+F207)</f>
        <v>0.6337343599615014</v>
      </c>
      <c r="M206" s="319">
        <f>G206/(G206+G207)</f>
        <v>0.6367463490250469</v>
      </c>
      <c r="N206" s="319">
        <f>H206/(H206+H207)</f>
        <v>0.60115497328046885</v>
      </c>
      <c r="O206" s="49"/>
      <c r="P206" s="50"/>
      <c r="Q206" s="50"/>
      <c r="R206" s="50"/>
      <c r="S206" s="50"/>
      <c r="T206" s="50"/>
      <c r="U206" s="50"/>
      <c r="V206" s="50"/>
      <c r="W206" s="50"/>
      <c r="BD206" s="2389"/>
    </row>
    <row r="207" spans="1:56" s="171" customFormat="1">
      <c r="C207" s="262" t="s">
        <v>554</v>
      </c>
      <c r="D207" s="2335"/>
      <c r="E207" s="314">
        <v>21224</v>
      </c>
      <c r="F207" s="314">
        <v>22833</v>
      </c>
      <c r="G207" s="314">
        <v>22262</v>
      </c>
      <c r="H207" s="314">
        <v>23137</v>
      </c>
      <c r="I207" s="317" t="s">
        <v>558</v>
      </c>
      <c r="J207" s="318"/>
      <c r="K207" s="319">
        <f>E206/E209</f>
        <v>0.64829366861248316</v>
      </c>
      <c r="L207" s="319">
        <f>F206/F209</f>
        <v>0.63322647860234016</v>
      </c>
      <c r="M207" s="319">
        <f>G206/G209</f>
        <v>0.7654870728549571</v>
      </c>
      <c r="N207" s="319">
        <f>H206/H209</f>
        <v>0.6147080079674252</v>
      </c>
      <c r="O207" s="49"/>
      <c r="P207" s="50"/>
      <c r="Q207" s="50"/>
      <c r="R207" s="50"/>
      <c r="S207" s="50"/>
      <c r="T207" s="50"/>
      <c r="U207" s="50"/>
      <c r="V207" s="50"/>
      <c r="W207" s="50"/>
      <c r="BD207" s="2389"/>
    </row>
    <row r="208" spans="1:56" s="171" customFormat="1">
      <c r="C208" s="171" t="s">
        <v>162</v>
      </c>
      <c r="D208" s="349"/>
      <c r="E208" s="314">
        <v>707</v>
      </c>
      <c r="F208" s="315">
        <f>F209-F206-F207</f>
        <v>50</v>
      </c>
      <c r="G208" s="314">
        <v>-10307</v>
      </c>
      <c r="H208" s="314">
        <v>-1279</v>
      </c>
      <c r="I208" s="49"/>
      <c r="J208" s="273"/>
      <c r="K208" s="273"/>
      <c r="M208" s="273"/>
      <c r="N208" s="273"/>
      <c r="O208" s="49"/>
      <c r="P208" s="50"/>
      <c r="Q208" s="378"/>
      <c r="R208" s="379" t="s">
        <v>560</v>
      </c>
      <c r="S208" s="380">
        <v>1830</v>
      </c>
      <c r="T208" s="380">
        <v>792</v>
      </c>
      <c r="U208" s="380">
        <v>545</v>
      </c>
      <c r="V208" s="380">
        <v>512</v>
      </c>
      <c r="W208" s="50"/>
      <c r="BD208" s="2389"/>
    </row>
    <row r="209" spans="1:56" s="171" customFormat="1">
      <c r="C209" s="262" t="s">
        <v>139</v>
      </c>
      <c r="D209" s="2335"/>
      <c r="E209" s="314">
        <f>SUM(E206:E208)</f>
        <v>62356</v>
      </c>
      <c r="F209" s="314">
        <v>62390</v>
      </c>
      <c r="G209" s="314">
        <f>SUM(G206:G208)</f>
        <v>50978</v>
      </c>
      <c r="H209" s="314">
        <f>SUM(H206:H208)</f>
        <v>56731</v>
      </c>
      <c r="I209" s="252"/>
      <c r="J209" s="273"/>
      <c r="K209" s="273"/>
      <c r="L209" s="273"/>
      <c r="M209" s="273"/>
      <c r="N209" s="273"/>
      <c r="O209" s="49"/>
      <c r="P209" s="50"/>
      <c r="Q209" s="381"/>
      <c r="R209" s="379" t="s">
        <v>139</v>
      </c>
      <c r="S209" s="380">
        <v>62356</v>
      </c>
      <c r="T209" s="380">
        <v>62837</v>
      </c>
      <c r="U209" s="380">
        <v>60737</v>
      </c>
      <c r="V209" s="380">
        <v>56731</v>
      </c>
      <c r="W209" s="50"/>
      <c r="BD209" s="2389"/>
    </row>
    <row r="210" spans="1:56" s="171" customFormat="1">
      <c r="C210" s="317" t="s">
        <v>557</v>
      </c>
      <c r="D210" s="2337"/>
      <c r="E210" s="320">
        <f>E206+E207</f>
        <v>61649</v>
      </c>
      <c r="F210" s="320">
        <f>F206+F207</f>
        <v>62340</v>
      </c>
      <c r="G210" s="320">
        <f>G206+G207</f>
        <v>61285</v>
      </c>
      <c r="H210" s="320">
        <f>H206+H207</f>
        <v>58010</v>
      </c>
      <c r="I210" s="49"/>
      <c r="J210" s="273"/>
      <c r="K210" s="273"/>
      <c r="L210" s="273"/>
      <c r="M210" s="273"/>
      <c r="N210" s="273"/>
      <c r="O210" s="49"/>
      <c r="P210" s="50"/>
      <c r="Q210" s="378"/>
      <c r="R210" s="382" t="s">
        <v>559</v>
      </c>
      <c r="S210" s="383">
        <f>S209-E210</f>
        <v>707</v>
      </c>
      <c r="T210" s="383">
        <f>T209-F210</f>
        <v>497</v>
      </c>
      <c r="U210" s="383">
        <f>U209-G210</f>
        <v>-548</v>
      </c>
      <c r="V210" s="383">
        <f>V209-H210</f>
        <v>-1279</v>
      </c>
      <c r="W210" s="50"/>
      <c r="BD210" s="2389"/>
    </row>
    <row r="211" spans="1:56" s="171" customFormat="1">
      <c r="C211" s="317"/>
      <c r="D211" s="2337"/>
      <c r="E211" s="320"/>
      <c r="F211" s="320"/>
      <c r="G211" s="320"/>
      <c r="H211" s="320"/>
      <c r="I211" s="49"/>
      <c r="J211" s="273"/>
      <c r="K211" s="273"/>
      <c r="L211" s="273"/>
      <c r="M211" s="273"/>
      <c r="N211" s="273"/>
      <c r="O211" s="49"/>
      <c r="P211" s="50"/>
      <c r="Q211" s="49" t="s">
        <v>949</v>
      </c>
      <c r="S211" s="49"/>
      <c r="T211" s="49"/>
      <c r="U211" s="49"/>
      <c r="V211" s="49"/>
      <c r="W211" s="50"/>
      <c r="BD211" s="2389"/>
    </row>
    <row r="212" spans="1:56" s="171" customFormat="1">
      <c r="D212" s="349"/>
      <c r="E212" s="269"/>
      <c r="F212" s="269"/>
      <c r="G212" s="269"/>
      <c r="H212" s="269"/>
      <c r="I212" s="49"/>
      <c r="J212" s="273"/>
      <c r="K212" s="273"/>
      <c r="L212" s="273"/>
      <c r="M212" s="273"/>
      <c r="N212" s="273"/>
      <c r="O212" s="49"/>
      <c r="P212" s="50"/>
      <c r="Q212" s="50"/>
      <c r="R212" s="50"/>
      <c r="S212" s="50"/>
      <c r="T212" s="50"/>
      <c r="U212" s="50"/>
      <c r="V212" s="50"/>
      <c r="W212" s="50"/>
      <c r="BD212" s="2389"/>
    </row>
    <row r="213" spans="1:56" s="170" customFormat="1">
      <c r="A213" s="46" t="s">
        <v>43</v>
      </c>
      <c r="B213" s="179" t="s">
        <v>370</v>
      </c>
      <c r="C213" s="170" t="s">
        <v>222</v>
      </c>
      <c r="D213" s="2331"/>
      <c r="E213" s="267">
        <v>24.23</v>
      </c>
      <c r="F213" s="267">
        <v>15.19</v>
      </c>
      <c r="G213" s="267">
        <v>26.54</v>
      </c>
      <c r="H213" s="267">
        <v>27.58</v>
      </c>
      <c r="I213" s="261"/>
      <c r="J213" s="267"/>
      <c r="K213" s="267"/>
      <c r="L213" s="267"/>
      <c r="M213" s="267"/>
      <c r="N213" s="267"/>
      <c r="P213" s="48"/>
      <c r="Q213" s="48"/>
      <c r="R213" s="48"/>
      <c r="S213" s="48"/>
      <c r="T213" s="48"/>
      <c r="U213" s="48"/>
      <c r="V213" s="48"/>
      <c r="W213" s="48"/>
      <c r="AE213" s="48">
        <v>2010</v>
      </c>
      <c r="AF213" s="48"/>
      <c r="AG213" s="48"/>
      <c r="BD213" s="2393"/>
    </row>
    <row r="214" spans="1:56" s="171" customFormat="1">
      <c r="C214" s="171" t="s">
        <v>223</v>
      </c>
      <c r="D214" s="349"/>
      <c r="E214" s="264">
        <v>15.94</v>
      </c>
      <c r="F214" s="264">
        <v>17.23</v>
      </c>
      <c r="G214" s="264">
        <v>13.97</v>
      </c>
      <c r="H214" s="264"/>
      <c r="I214" s="49" t="s">
        <v>551</v>
      </c>
      <c r="J214" s="273"/>
      <c r="K214" s="264"/>
      <c r="L214" s="273"/>
      <c r="M214" s="273"/>
      <c r="N214" s="273"/>
      <c r="O214" s="49"/>
      <c r="P214" s="50"/>
      <c r="Q214" s="139" t="s">
        <v>993</v>
      </c>
      <c r="R214" s="50"/>
      <c r="S214" s="50">
        <v>70152</v>
      </c>
      <c r="T214" s="50">
        <v>68436</v>
      </c>
      <c r="U214" s="50">
        <v>65754</v>
      </c>
      <c r="V214" s="50">
        <v>62523</v>
      </c>
      <c r="W214" s="50"/>
      <c r="AE214" s="50">
        <f>U214</f>
        <v>65754</v>
      </c>
      <c r="AF214" s="50"/>
      <c r="AG214" s="50"/>
      <c r="BD214" s="2389"/>
    </row>
    <row r="215" spans="1:56" s="171" customFormat="1">
      <c r="C215" s="171" t="s">
        <v>224</v>
      </c>
      <c r="D215" s="349"/>
      <c r="E215" s="264">
        <v>11.39</v>
      </c>
      <c r="F215" s="264">
        <v>8.9</v>
      </c>
      <c r="G215" s="264">
        <v>10.26</v>
      </c>
      <c r="H215" s="264"/>
      <c r="I215" s="182"/>
      <c r="J215" s="264"/>
      <c r="K215" s="264"/>
      <c r="L215" s="264"/>
      <c r="M215" s="264"/>
      <c r="N215" s="264"/>
      <c r="O215" s="49"/>
      <c r="P215" s="50"/>
      <c r="Q215" s="139" t="s">
        <v>996</v>
      </c>
      <c r="R215" s="50"/>
      <c r="S215" s="50">
        <v>13822</v>
      </c>
      <c r="T215" s="50">
        <v>14078</v>
      </c>
      <c r="U215" s="50">
        <v>12946</v>
      </c>
      <c r="V215" s="50">
        <v>13179</v>
      </c>
      <c r="W215" s="50"/>
      <c r="AE215" s="50">
        <v>15025</v>
      </c>
      <c r="AF215" s="50"/>
      <c r="AG215" s="50"/>
      <c r="BD215" s="2389"/>
    </row>
    <row r="216" spans="1:56" s="171" customFormat="1">
      <c r="C216" s="171" t="s">
        <v>225</v>
      </c>
      <c r="D216" s="349"/>
      <c r="E216" s="264">
        <v>10.08</v>
      </c>
      <c r="F216" s="264">
        <v>11.88</v>
      </c>
      <c r="G216" s="264">
        <v>9.58</v>
      </c>
      <c r="H216" s="264">
        <v>9.49</v>
      </c>
      <c r="I216" s="182"/>
      <c r="J216" s="273"/>
      <c r="K216" s="273"/>
      <c r="L216" s="273"/>
      <c r="M216" s="273"/>
      <c r="N216" s="273"/>
      <c r="O216" s="49"/>
      <c r="P216" s="50"/>
      <c r="Q216" s="139" t="s">
        <v>997</v>
      </c>
      <c r="R216" s="50"/>
      <c r="S216" s="50">
        <v>6345</v>
      </c>
      <c r="T216" s="50">
        <v>6757</v>
      </c>
      <c r="U216" s="50">
        <v>8680</v>
      </c>
      <c r="V216" s="50">
        <v>8392</v>
      </c>
      <c r="W216" s="49" t="s">
        <v>992</v>
      </c>
      <c r="AE216" s="50">
        <v>6601</v>
      </c>
      <c r="AF216" s="50"/>
      <c r="AG216" s="50"/>
      <c r="BD216" s="2389"/>
    </row>
    <row r="217" spans="1:56" s="171" customFormat="1">
      <c r="C217" s="171" t="s">
        <v>226</v>
      </c>
      <c r="D217" s="349"/>
      <c r="E217" s="264">
        <v>6.34</v>
      </c>
      <c r="F217" s="264">
        <v>8.43</v>
      </c>
      <c r="G217" s="264">
        <v>8.92</v>
      </c>
      <c r="H217" s="264"/>
      <c r="I217" s="49" t="s">
        <v>372</v>
      </c>
      <c r="J217" s="273"/>
      <c r="K217" s="273"/>
      <c r="L217" s="273"/>
      <c r="M217" s="273"/>
      <c r="N217" s="273"/>
      <c r="O217" s="49"/>
      <c r="P217" s="50"/>
      <c r="Q217" s="139" t="s">
        <v>155</v>
      </c>
      <c r="R217" s="50"/>
      <c r="S217" s="50">
        <v>4106</v>
      </c>
      <c r="T217" s="50">
        <v>3784</v>
      </c>
      <c r="U217" s="49">
        <f>730+1261+1607</f>
        <v>3598</v>
      </c>
      <c r="V217" s="49">
        <f>824+1819+1470</f>
        <v>4113</v>
      </c>
      <c r="W217" s="49" t="s">
        <v>677</v>
      </c>
      <c r="AE217" s="49">
        <v>3599</v>
      </c>
      <c r="AF217" s="50"/>
      <c r="AG217" s="50"/>
      <c r="BD217" s="2389"/>
    </row>
    <row r="218" spans="1:56" s="171" customFormat="1">
      <c r="C218" s="171" t="s">
        <v>227</v>
      </c>
      <c r="D218" s="349"/>
      <c r="E218" s="264">
        <v>6.21</v>
      </c>
      <c r="F218" s="264">
        <v>7.95</v>
      </c>
      <c r="G218" s="264">
        <v>6.55</v>
      </c>
      <c r="H218" s="264"/>
      <c r="I218" s="49" t="s">
        <v>550</v>
      </c>
      <c r="J218" s="273"/>
      <c r="K218" s="273"/>
      <c r="L218" s="273"/>
      <c r="M218" s="273"/>
      <c r="N218" s="273"/>
      <c r="O218" s="49"/>
      <c r="P218" s="380"/>
      <c r="Q218" s="379" t="s">
        <v>990</v>
      </c>
      <c r="R218" s="380"/>
      <c r="S218" s="380">
        <f>SUM(S214:S217)</f>
        <v>94425</v>
      </c>
      <c r="T218" s="380">
        <f>SUM(T214:T217)</f>
        <v>93055</v>
      </c>
      <c r="U218" s="380">
        <f t="shared" ref="U218:V220" si="10">SUM(U214:U217)</f>
        <v>90978</v>
      </c>
      <c r="V218" s="380">
        <f t="shared" si="10"/>
        <v>88207</v>
      </c>
      <c r="W218" s="50"/>
      <c r="AE218" s="380">
        <f>SUM(AE214:AE217)</f>
        <v>90979</v>
      </c>
      <c r="AF218" s="50"/>
      <c r="AG218" s="50"/>
      <c r="BD218" s="2389"/>
    </row>
    <row r="219" spans="1:56" s="171" customFormat="1">
      <c r="C219" s="262" t="s">
        <v>544</v>
      </c>
      <c r="D219" s="2335"/>
      <c r="E219" s="264">
        <v>5.44</v>
      </c>
      <c r="F219" s="264">
        <v>8.26</v>
      </c>
      <c r="G219" s="264">
        <v>7.34</v>
      </c>
      <c r="H219" s="264">
        <v>8.2799999999999994</v>
      </c>
      <c r="I219" s="182"/>
      <c r="J219" s="273"/>
      <c r="K219" s="273"/>
      <c r="L219" s="273"/>
      <c r="M219" s="273"/>
      <c r="N219" s="273"/>
      <c r="O219" s="49"/>
      <c r="P219" s="380"/>
      <c r="Q219" s="379" t="s">
        <v>991</v>
      </c>
      <c r="R219" s="380"/>
      <c r="S219" s="380">
        <v>7294</v>
      </c>
      <c r="T219" s="380">
        <v>5461</v>
      </c>
      <c r="U219" s="380">
        <v>3866</v>
      </c>
      <c r="V219" s="380">
        <v>2541</v>
      </c>
      <c r="W219" s="50" t="s">
        <v>995</v>
      </c>
      <c r="AE219" s="380">
        <v>3866</v>
      </c>
      <c r="AF219" s="50"/>
      <c r="AG219" s="50"/>
      <c r="BD219" s="2389"/>
    </row>
    <row r="220" spans="1:56" s="171" customFormat="1">
      <c r="C220" s="171" t="s">
        <v>228</v>
      </c>
      <c r="D220" s="349"/>
      <c r="E220" s="264">
        <v>5.37</v>
      </c>
      <c r="F220" s="264">
        <v>5.93</v>
      </c>
      <c r="G220" s="264">
        <v>4.6900000000000004</v>
      </c>
      <c r="H220" s="264"/>
      <c r="I220" s="182"/>
      <c r="J220" s="273"/>
      <c r="K220" s="273"/>
      <c r="L220" s="273"/>
      <c r="M220" s="273"/>
      <c r="N220" s="273"/>
      <c r="O220" s="49"/>
      <c r="P220" s="380"/>
      <c r="Q220" s="379" t="s">
        <v>672</v>
      </c>
      <c r="R220" s="380"/>
      <c r="S220" s="380">
        <f>S218+S219</f>
        <v>101719</v>
      </c>
      <c r="T220" s="380">
        <f>T218+T219</f>
        <v>98516</v>
      </c>
      <c r="U220" s="380">
        <f>U218+U219</f>
        <v>94844</v>
      </c>
      <c r="V220" s="380">
        <f t="shared" si="10"/>
        <v>103253</v>
      </c>
      <c r="W220" s="50"/>
      <c r="AE220" s="380">
        <f>SUM(AE216:AE219)</f>
        <v>105045</v>
      </c>
      <c r="AF220" s="50"/>
      <c r="AG220" s="50"/>
      <c r="BD220" s="2389"/>
    </row>
    <row r="221" spans="1:56" s="171" customFormat="1">
      <c r="C221" s="171" t="s">
        <v>229</v>
      </c>
      <c r="D221" s="349"/>
      <c r="E221" s="264">
        <v>4.43</v>
      </c>
      <c r="F221" s="264">
        <v>3.2</v>
      </c>
      <c r="G221" s="264">
        <v>3.21</v>
      </c>
      <c r="H221" s="264"/>
      <c r="I221" s="49" t="s">
        <v>155</v>
      </c>
      <c r="J221" s="273"/>
      <c r="K221" s="273"/>
      <c r="L221" s="273"/>
      <c r="M221" s="273"/>
      <c r="N221" s="273"/>
      <c r="O221" s="49"/>
      <c r="P221" s="50"/>
      <c r="Q221" s="139"/>
      <c r="R221" s="50"/>
      <c r="S221" s="50"/>
      <c r="T221" s="50"/>
      <c r="U221" s="50"/>
      <c r="V221" s="50"/>
      <c r="W221" s="50"/>
      <c r="AE221" s="50"/>
      <c r="AF221" s="50"/>
      <c r="AG221" s="50"/>
      <c r="BD221" s="2389"/>
    </row>
    <row r="222" spans="1:56" s="171" customFormat="1">
      <c r="C222" s="171" t="s">
        <v>230</v>
      </c>
      <c r="D222" s="349"/>
      <c r="E222" s="264">
        <v>3.89</v>
      </c>
      <c r="F222" s="264">
        <v>5.3</v>
      </c>
      <c r="G222" s="264">
        <v>4.8499999999999996</v>
      </c>
      <c r="H222" s="264"/>
      <c r="I222" s="49" t="s">
        <v>552</v>
      </c>
      <c r="J222" s="273"/>
      <c r="K222" s="273"/>
      <c r="L222" s="273"/>
      <c r="M222" s="273"/>
      <c r="N222" s="273"/>
      <c r="O222" s="49"/>
      <c r="P222" s="50"/>
      <c r="Q222" s="182" t="s">
        <v>994</v>
      </c>
      <c r="R222" s="38"/>
      <c r="S222" s="38">
        <f>S214/(S214+S215)</f>
        <v>0.8354014337771215</v>
      </c>
      <c r="T222" s="38">
        <f>T214/(T214+T215)</f>
        <v>0.82938652834670479</v>
      </c>
      <c r="U222" s="38">
        <f>U214/(U214+U215)</f>
        <v>0.83550190597204577</v>
      </c>
      <c r="V222" s="38">
        <f>V214/(V214+V215)</f>
        <v>0.82590948719980983</v>
      </c>
      <c r="W222" s="49" t="s">
        <v>999</v>
      </c>
      <c r="AE222" s="38">
        <f>AE214/(AE214+AE215)</f>
        <v>0.81399868777776407</v>
      </c>
      <c r="AF222" s="38"/>
      <c r="AG222" s="38"/>
      <c r="BD222" s="2389"/>
    </row>
    <row r="223" spans="1:56" s="171" customFormat="1">
      <c r="C223" s="171" t="s">
        <v>231</v>
      </c>
      <c r="D223" s="349"/>
      <c r="E223" s="264">
        <v>3.53</v>
      </c>
      <c r="F223" s="264">
        <v>3.57</v>
      </c>
      <c r="G223" s="264">
        <v>0.78</v>
      </c>
      <c r="H223" s="264"/>
      <c r="I223" s="182"/>
      <c r="J223" s="273"/>
      <c r="K223" s="273"/>
      <c r="L223" s="273"/>
      <c r="M223" s="273"/>
      <c r="N223" s="273"/>
      <c r="O223" s="49"/>
      <c r="Q223" s="182" t="s">
        <v>998</v>
      </c>
      <c r="R223" s="927"/>
      <c r="S223" s="927">
        <f>S214+S222*S219</f>
        <v>76245.418057970324</v>
      </c>
      <c r="T223" s="927">
        <f>T214+T222*T219</f>
        <v>72965.279831301348</v>
      </c>
      <c r="U223" s="927">
        <f>U214+U222*U219</f>
        <v>68984.050368487922</v>
      </c>
      <c r="V223" s="927">
        <f>V214+V222*V219</f>
        <v>64621.636006974717</v>
      </c>
      <c r="W223" s="50"/>
      <c r="AE223" s="927">
        <f>AE214+AE222*AE219</f>
        <v>68900.918926948842</v>
      </c>
      <c r="AF223" s="38"/>
      <c r="AG223" s="38"/>
      <c r="BD223" s="2389"/>
    </row>
    <row r="224" spans="1:56" s="171" customFormat="1">
      <c r="C224" s="171" t="s">
        <v>232</v>
      </c>
      <c r="D224" s="349"/>
      <c r="E224" s="264">
        <v>2.6</v>
      </c>
      <c r="F224" s="264">
        <v>3.44</v>
      </c>
      <c r="G224" s="264">
        <v>2.66</v>
      </c>
      <c r="H224" s="264"/>
      <c r="I224" s="182"/>
      <c r="J224" s="273"/>
      <c r="K224" s="316">
        <f>(100-E217-E221)/(100-E221)</f>
        <v>0.93366119075023535</v>
      </c>
      <c r="L224" s="316">
        <f>(100-F217-F221)/(100-F221)</f>
        <v>0.91291322314049583</v>
      </c>
      <c r="M224" s="316">
        <f>(100-G217-G221)/(100-G221)</f>
        <v>0.90784171918586631</v>
      </c>
      <c r="N224" s="273"/>
      <c r="O224" s="49"/>
      <c r="Q224" s="182" t="s">
        <v>373</v>
      </c>
      <c r="S224" s="38">
        <f>S223/S220</f>
        <v>0.74956908795771016</v>
      </c>
      <c r="T224" s="38">
        <f>T223/T220</f>
        <v>0.74064395459926657</v>
      </c>
      <c r="U224" s="38">
        <f>U223/U220</f>
        <v>0.72734227118729622</v>
      </c>
      <c r="V224" s="38">
        <f>V223/V220</f>
        <v>0.62585722455497383</v>
      </c>
      <c r="AE224" s="38">
        <f>AE223/AE220</f>
        <v>0.65591812010994188</v>
      </c>
      <c r="BD224" s="2389"/>
    </row>
    <row r="225" spans="2:56" s="171" customFormat="1">
      <c r="C225" s="171" t="s">
        <v>233</v>
      </c>
      <c r="D225" s="349"/>
      <c r="E225" s="264">
        <v>0.55000000000000004</v>
      </c>
      <c r="F225" s="264">
        <v>0.74</v>
      </c>
      <c r="G225" s="264">
        <v>0.55000000000000004</v>
      </c>
      <c r="H225" s="264"/>
      <c r="I225" s="49" t="s">
        <v>549</v>
      </c>
      <c r="J225" s="273"/>
      <c r="K225" s="316">
        <f>(100-E217-E221)/100</f>
        <v>0.89229999999999987</v>
      </c>
      <c r="L225" s="316">
        <f>(100-F217-F221)/100</f>
        <v>0.88369999999999993</v>
      </c>
      <c r="M225" s="316">
        <f>(100-G217-G221)/100</f>
        <v>0.87870000000000004</v>
      </c>
      <c r="N225" s="273"/>
      <c r="O225" s="49"/>
      <c r="P225" s="50"/>
      <c r="AF225" s="927"/>
      <c r="AG225" s="927"/>
      <c r="BD225" s="2389"/>
    </row>
    <row r="226" spans="2:56" s="171" customFormat="1">
      <c r="B226" s="51" t="s">
        <v>370</v>
      </c>
      <c r="C226" s="51" t="s">
        <v>173</v>
      </c>
      <c r="D226" s="2327"/>
      <c r="E226" s="264">
        <v>84.41</v>
      </c>
      <c r="F226" s="264">
        <v>81.2</v>
      </c>
      <c r="G226" s="264">
        <v>80.989999999999995</v>
      </c>
      <c r="H226" s="264">
        <v>78.92</v>
      </c>
      <c r="I226" s="928" t="s">
        <v>546</v>
      </c>
      <c r="J226" s="929"/>
      <c r="K226" s="929">
        <f>E226/$AB$1</f>
        <v>0.84409999999999996</v>
      </c>
      <c r="L226" s="929">
        <f>F226/$AB$1</f>
        <v>0.81200000000000006</v>
      </c>
      <c r="M226" s="929">
        <f>G226/$AB$1</f>
        <v>0.80989999999999995</v>
      </c>
      <c r="N226" s="929">
        <f>H226/$AB$1</f>
        <v>0.78920000000000001</v>
      </c>
      <c r="O226" s="49"/>
      <c r="P226" s="49" t="s">
        <v>1000</v>
      </c>
      <c r="Q226" s="49"/>
      <c r="R226" s="49"/>
      <c r="S226" s="49"/>
      <c r="T226" s="49"/>
      <c r="AF226" s="38"/>
      <c r="AG226" s="38"/>
      <c r="BD226" s="2389"/>
    </row>
    <row r="227" spans="2:56" s="171" customFormat="1">
      <c r="C227" s="355" t="s">
        <v>174</v>
      </c>
      <c r="D227" s="2338"/>
      <c r="E227" s="264">
        <v>15.590000000000003</v>
      </c>
      <c r="F227" s="264">
        <v>18.799999999999997</v>
      </c>
      <c r="G227" s="264">
        <v>19.010000000000005</v>
      </c>
      <c r="H227" s="264">
        <v>21.08</v>
      </c>
      <c r="J227" s="273"/>
      <c r="K227" s="264"/>
      <c r="L227" s="264"/>
      <c r="M227" s="264"/>
      <c r="N227" s="270"/>
      <c r="O227" s="49"/>
      <c r="P227" s="49"/>
      <c r="Q227" s="182" t="s">
        <v>373</v>
      </c>
      <c r="R227" s="38">
        <v>0.77408384190148005</v>
      </c>
      <c r="S227" s="38">
        <v>0.77369943004220887</v>
      </c>
      <c r="T227" s="38">
        <v>0.759262683781461</v>
      </c>
      <c r="V227" s="299"/>
      <c r="BD227" s="2389"/>
    </row>
    <row r="228" spans="2:56" s="171" customFormat="1">
      <c r="B228" s="171" t="s">
        <v>141</v>
      </c>
      <c r="C228" s="171" t="s">
        <v>234</v>
      </c>
      <c r="D228" s="349"/>
      <c r="E228" s="264">
        <v>32.340000000000003</v>
      </c>
      <c r="F228" s="264">
        <v>31.68</v>
      </c>
      <c r="G228" s="264">
        <v>35.74</v>
      </c>
      <c r="H228" s="264">
        <v>33.979999999999997</v>
      </c>
      <c r="I228" s="866" t="s">
        <v>373</v>
      </c>
      <c r="J228" s="758">
        <f>S224</f>
        <v>0.74956908795771016</v>
      </c>
      <c r="K228" s="758">
        <f>S224</f>
        <v>0.74956908795771016</v>
      </c>
      <c r="L228" s="758">
        <f>T224</f>
        <v>0.74064395459926657</v>
      </c>
      <c r="M228" s="758">
        <f>U224</f>
        <v>0.72734227118729622</v>
      </c>
      <c r="N228" s="758">
        <f>V224</f>
        <v>0.62585722455497383</v>
      </c>
      <c r="O228" s="49"/>
      <c r="P228" s="49" t="s">
        <v>1001</v>
      </c>
      <c r="Q228" s="182"/>
      <c r="R228" s="49"/>
      <c r="W228" s="49"/>
      <c r="Y228" s="50"/>
      <c r="Z228" s="50"/>
      <c r="AA228" s="50"/>
      <c r="AB228" s="50"/>
      <c r="AC228" s="50"/>
      <c r="BD228" s="2389"/>
    </row>
    <row r="229" spans="2:56" s="171" customFormat="1">
      <c r="C229" s="171" t="s">
        <v>224</v>
      </c>
      <c r="D229" s="349"/>
      <c r="E229" s="264">
        <v>16.829999999999998</v>
      </c>
      <c r="F229" s="264">
        <v>16.47</v>
      </c>
      <c r="G229" s="264">
        <v>15.55</v>
      </c>
      <c r="H229" s="264"/>
      <c r="J229" s="264"/>
      <c r="K229" s="264"/>
      <c r="L229" s="264"/>
      <c r="M229" s="264"/>
      <c r="N229" s="264"/>
      <c r="P229" s="50"/>
      <c r="Q229" s="926"/>
      <c r="AA229" s="50"/>
      <c r="AB229" s="50"/>
      <c r="AC229" s="50"/>
      <c r="BD229" s="2389"/>
    </row>
    <row r="230" spans="2:56" s="171" customFormat="1">
      <c r="C230" s="171" t="s">
        <v>223</v>
      </c>
      <c r="D230" s="349"/>
      <c r="E230" s="264">
        <v>15.27</v>
      </c>
      <c r="F230" s="264">
        <v>16.3</v>
      </c>
      <c r="G230" s="264">
        <v>16.84</v>
      </c>
      <c r="H230" s="264"/>
      <c r="J230" s="264"/>
      <c r="K230" s="264"/>
      <c r="L230" s="264"/>
      <c r="M230" s="264"/>
      <c r="N230" s="264"/>
      <c r="P230" s="50"/>
      <c r="Q230" s="139"/>
      <c r="R230" s="50"/>
      <c r="S230" s="50"/>
      <c r="T230" s="50"/>
      <c r="U230" s="50"/>
      <c r="V230" s="50"/>
      <c r="W230" s="139"/>
      <c r="X230" s="257"/>
      <c r="Y230" s="257"/>
      <c r="Z230" s="257"/>
      <c r="AA230" s="50"/>
      <c r="BD230" s="2389"/>
    </row>
    <row r="231" spans="2:56" s="171" customFormat="1">
      <c r="C231" s="171" t="s">
        <v>227</v>
      </c>
      <c r="D231" s="349"/>
      <c r="E231" s="264">
        <v>10.61</v>
      </c>
      <c r="F231" s="264">
        <v>11.74</v>
      </c>
      <c r="G231" s="264">
        <v>11.1</v>
      </c>
      <c r="H231" s="264"/>
      <c r="I231" s="182" t="s">
        <v>1002</v>
      </c>
      <c r="J231" s="264"/>
      <c r="K231" s="264"/>
      <c r="L231" s="264"/>
      <c r="M231" s="264"/>
      <c r="N231" s="273"/>
      <c r="O231" s="49" t="s">
        <v>377</v>
      </c>
      <c r="BD231" s="2389"/>
    </row>
    <row r="232" spans="2:56" s="171" customFormat="1">
      <c r="C232" s="171" t="s">
        <v>225</v>
      </c>
      <c r="D232" s="349"/>
      <c r="E232" s="264">
        <v>7.82</v>
      </c>
      <c r="F232" s="264">
        <v>8</v>
      </c>
      <c r="G232" s="264">
        <v>7.68</v>
      </c>
      <c r="H232" s="264">
        <v>5.98</v>
      </c>
      <c r="I232" s="386" t="s">
        <v>373</v>
      </c>
      <c r="J232" s="348"/>
      <c r="K232" s="389">
        <f>(E213+E216+E219)/100</f>
        <v>0.39750000000000002</v>
      </c>
      <c r="L232" s="389">
        <f>(F213+F216+F219)/100</f>
        <v>0.3533</v>
      </c>
      <c r="M232" s="389">
        <f>(G213+G216+G219)/100</f>
        <v>0.43459999999999993</v>
      </c>
      <c r="N232" s="389">
        <f>(H213+H216+H219)/100</f>
        <v>0.45350000000000001</v>
      </c>
      <c r="O232" s="390">
        <f>(3*K232+2*L232+AVERAGE(M232,N232))/6</f>
        <v>0.39052500000000001</v>
      </c>
      <c r="P232" s="49" t="s">
        <v>1013</v>
      </c>
      <c r="BD232" s="2389"/>
    </row>
    <row r="233" spans="2:56" s="171" customFormat="1">
      <c r="C233" s="171" t="s">
        <v>228</v>
      </c>
      <c r="D233" s="349"/>
      <c r="E233" s="264">
        <v>6.59</v>
      </c>
      <c r="F233" s="264">
        <v>5.86</v>
      </c>
      <c r="G233" s="264">
        <v>4.4800000000000004</v>
      </c>
      <c r="H233" s="264"/>
      <c r="I233" s="360" t="s">
        <v>395</v>
      </c>
      <c r="J233" s="396"/>
      <c r="K233" s="351">
        <f>(E228+E232+E236)/100</f>
        <v>0.43550000000000005</v>
      </c>
      <c r="L233" s="351">
        <f>(F228+F232+F236)/100</f>
        <v>0.45280000000000004</v>
      </c>
      <c r="M233" s="351">
        <f>(G228+G232+G236)/100</f>
        <v>0.49109999999999998</v>
      </c>
      <c r="N233" s="351">
        <f>(H228+H232+H236)/100</f>
        <v>0.45439999999999997</v>
      </c>
      <c r="O233" s="390">
        <f>(3*K233+2*L233+AVERAGE(M233,N233))/6</f>
        <v>0.44747500000000007</v>
      </c>
      <c r="P233" s="49" t="s">
        <v>1014</v>
      </c>
      <c r="Q233" s="139"/>
      <c r="R233" s="50"/>
      <c r="S233" s="50"/>
      <c r="T233" s="50"/>
      <c r="U233" s="50"/>
      <c r="V233" s="50"/>
      <c r="X233" s="49"/>
      <c r="Y233" s="50"/>
      <c r="Z233" s="50"/>
      <c r="AA233" s="50"/>
      <c r="AB233" s="50"/>
      <c r="AC233" s="50"/>
      <c r="BD233" s="2389"/>
    </row>
    <row r="234" spans="2:56" s="171" customFormat="1">
      <c r="C234" s="171" t="s">
        <v>235</v>
      </c>
      <c r="D234" s="349"/>
      <c r="E234" s="264">
        <v>6.06</v>
      </c>
      <c r="F234" s="264">
        <v>5.85</v>
      </c>
      <c r="G234" s="264">
        <v>7.39</v>
      </c>
      <c r="H234" s="264"/>
      <c r="I234" s="182" t="s">
        <v>975</v>
      </c>
      <c r="J234" s="938"/>
      <c r="K234" s="938">
        <f>K233/K232</f>
        <v>1.0955974842767295</v>
      </c>
      <c r="L234" s="938">
        <f>L233/L232</f>
        <v>1.2816303424851403</v>
      </c>
      <c r="M234" s="938">
        <f>M233/M232</f>
        <v>1.1300046019328118</v>
      </c>
      <c r="N234" s="938">
        <f>N233/N232</f>
        <v>1.0019845644983461</v>
      </c>
      <c r="O234" s="385">
        <f>(3*K234+2*L234+AVERAGE(M234,N234))/6</f>
        <v>1.1526746201693412</v>
      </c>
      <c r="P234" s="49" t="s">
        <v>1015</v>
      </c>
      <c r="R234" s="50"/>
      <c r="S234" s="50"/>
      <c r="T234" s="50"/>
      <c r="U234" s="50"/>
      <c r="V234" s="50"/>
      <c r="W234" s="50"/>
      <c r="BD234" s="2389"/>
    </row>
    <row r="235" spans="2:56" s="171" customFormat="1">
      <c r="C235" s="171" t="s">
        <v>230</v>
      </c>
      <c r="D235" s="349"/>
      <c r="E235" s="264">
        <v>3.98</v>
      </c>
      <c r="F235" s="264">
        <v>4.79</v>
      </c>
      <c r="G235" s="264">
        <v>5.65</v>
      </c>
      <c r="H235" s="264"/>
      <c r="I235" s="49"/>
      <c r="J235" s="273"/>
      <c r="K235" s="273"/>
      <c r="L235" s="273"/>
      <c r="M235" s="273"/>
      <c r="N235" s="273"/>
      <c r="O235" s="49"/>
      <c r="P235" s="50"/>
      <c r="R235" s="50"/>
      <c r="S235" s="50"/>
      <c r="T235" s="50"/>
      <c r="U235" s="50"/>
      <c r="V235" s="50"/>
      <c r="W235" s="50"/>
      <c r="BD235" s="2389"/>
    </row>
    <row r="236" spans="2:56" s="171" customFormat="1">
      <c r="C236" s="923" t="s">
        <v>1012</v>
      </c>
      <c r="D236" s="2339"/>
      <c r="E236" s="264">
        <v>3.39</v>
      </c>
      <c r="F236" s="264">
        <v>5.6</v>
      </c>
      <c r="G236" s="264">
        <v>5.69</v>
      </c>
      <c r="H236" s="264">
        <v>5.48</v>
      </c>
      <c r="I236" s="438" t="s">
        <v>395</v>
      </c>
      <c r="J236" s="437" t="s">
        <v>685</v>
      </c>
      <c r="K236" s="437"/>
      <c r="L236" s="437"/>
      <c r="M236" s="437"/>
      <c r="N236" s="437"/>
      <c r="O236" s="49"/>
      <c r="P236" s="49" t="s">
        <v>1016</v>
      </c>
      <c r="Q236" s="50"/>
      <c r="R236" s="50"/>
      <c r="S236" s="50"/>
      <c r="T236" s="50"/>
      <c r="U236" s="50"/>
      <c r="V236" s="50"/>
      <c r="W236" s="50"/>
      <c r="BD236" s="2389"/>
    </row>
    <row r="237" spans="2:56" s="171" customFormat="1">
      <c r="C237" s="171" t="s">
        <v>232</v>
      </c>
      <c r="D237" s="349"/>
      <c r="E237" s="264">
        <v>3.17</v>
      </c>
      <c r="F237" s="264">
        <v>3.96</v>
      </c>
      <c r="G237" s="264">
        <v>3.6</v>
      </c>
      <c r="H237" s="264"/>
      <c r="I237" s="439"/>
      <c r="J237" s="437" t="s">
        <v>684</v>
      </c>
      <c r="K237" s="437"/>
      <c r="L237" s="437"/>
      <c r="M237" s="437"/>
      <c r="N237" s="437"/>
      <c r="O237" s="49"/>
      <c r="P237" s="49" t="s">
        <v>1019</v>
      </c>
      <c r="Q237" s="50"/>
      <c r="R237" s="50"/>
      <c r="S237" s="50"/>
      <c r="T237" s="50"/>
      <c r="U237" s="50"/>
      <c r="V237" s="50"/>
      <c r="W237" s="50"/>
      <c r="BD237" s="2389"/>
    </row>
    <row r="238" spans="2:56" s="171" customFormat="1">
      <c r="C238" s="171" t="s">
        <v>236</v>
      </c>
      <c r="D238" s="349"/>
      <c r="E238" s="264">
        <v>0.73</v>
      </c>
      <c r="F238" s="264">
        <v>0.92</v>
      </c>
      <c r="G238" s="264">
        <v>0.98</v>
      </c>
      <c r="H238" s="264"/>
      <c r="I238" s="49"/>
      <c r="J238" s="273"/>
      <c r="K238" s="273"/>
      <c r="L238" s="273"/>
      <c r="M238" s="273"/>
      <c r="N238" s="273"/>
      <c r="O238" s="49"/>
      <c r="P238" s="50"/>
      <c r="Q238" s="50"/>
      <c r="R238" s="50"/>
      <c r="S238" s="50"/>
      <c r="T238" s="50"/>
      <c r="U238" s="50"/>
      <c r="V238" s="50"/>
      <c r="W238" s="50"/>
      <c r="BD238" s="2389"/>
    </row>
    <row r="239" spans="2:56" s="171" customFormat="1">
      <c r="C239" s="171" t="s">
        <v>231</v>
      </c>
      <c r="D239" s="349"/>
      <c r="E239" s="264">
        <v>-6.78</v>
      </c>
      <c r="F239" s="264">
        <v>-11.16</v>
      </c>
      <c r="G239" s="264">
        <v>-14.71</v>
      </c>
      <c r="H239" s="264"/>
      <c r="I239" s="360"/>
      <c r="J239" s="273"/>
      <c r="K239" s="273"/>
      <c r="L239" s="273"/>
      <c r="M239" s="273"/>
      <c r="N239" s="273"/>
      <c r="O239" s="939"/>
      <c r="P239" s="183"/>
      <c r="Q239" s="184"/>
      <c r="R239" s="66"/>
      <c r="S239" s="183"/>
      <c r="T239" s="183"/>
      <c r="U239" s="183"/>
      <c r="V239" s="183"/>
      <c r="W239" s="183"/>
      <c r="X239" s="66"/>
      <c r="Y239" s="66"/>
      <c r="BD239" s="2389"/>
    </row>
    <row r="240" spans="2:56" s="171" customFormat="1">
      <c r="C240" s="262" t="s">
        <v>372</v>
      </c>
      <c r="D240" s="2335"/>
      <c r="E240" s="297" t="s">
        <v>138</v>
      </c>
      <c r="F240" s="297" t="s">
        <v>138</v>
      </c>
      <c r="G240" s="297" t="s">
        <v>138</v>
      </c>
      <c r="H240" s="297" t="s">
        <v>138</v>
      </c>
      <c r="I240" s="49"/>
      <c r="J240" s="273"/>
      <c r="K240" s="273"/>
      <c r="L240" s="273"/>
      <c r="M240" s="273"/>
      <c r="N240" s="273"/>
      <c r="O240" s="49"/>
      <c r="P240" s="50"/>
      <c r="Q240" s="50"/>
      <c r="R240" s="50"/>
      <c r="S240" s="50"/>
      <c r="T240" s="50"/>
      <c r="U240" s="50"/>
      <c r="V240" s="50"/>
      <c r="W240" s="50"/>
      <c r="BD240" s="2389"/>
    </row>
    <row r="241" spans="1:56" s="171" customFormat="1">
      <c r="C241" s="262"/>
      <c r="D241" s="2335"/>
      <c r="E241" s="297"/>
      <c r="F241" s="297"/>
      <c r="G241" s="297"/>
      <c r="H241" s="297"/>
      <c r="I241" s="49"/>
      <c r="J241" s="273"/>
      <c r="K241" s="273"/>
      <c r="L241" s="273"/>
      <c r="M241" s="273"/>
      <c r="N241" s="273"/>
      <c r="O241" s="49"/>
      <c r="P241" s="50"/>
      <c r="Q241" s="50"/>
      <c r="R241" s="50"/>
      <c r="S241" s="50"/>
      <c r="T241" s="50"/>
      <c r="U241" s="50"/>
      <c r="V241" s="50"/>
      <c r="W241" s="50"/>
      <c r="BD241" s="2389"/>
    </row>
    <row r="242" spans="1:56" s="170" customFormat="1">
      <c r="A242" s="46" t="s">
        <v>47</v>
      </c>
      <c r="B242" s="46" t="s">
        <v>370</v>
      </c>
      <c r="C242" s="46" t="s">
        <v>237</v>
      </c>
      <c r="D242" s="2336"/>
      <c r="E242" s="268">
        <v>77.48</v>
      </c>
      <c r="F242" s="268">
        <v>71.989999999999995</v>
      </c>
      <c r="G242" s="268">
        <v>67.86</v>
      </c>
      <c r="H242" s="432">
        <v>15.82</v>
      </c>
      <c r="I242" s="47"/>
      <c r="J242" s="277"/>
      <c r="K242" s="267"/>
      <c r="L242" s="267"/>
      <c r="M242" s="267"/>
      <c r="N242" s="267"/>
      <c r="P242" s="48"/>
      <c r="Q242" s="305" t="s">
        <v>635</v>
      </c>
      <c r="R242" s="47" t="s">
        <v>651</v>
      </c>
      <c r="S242" s="48"/>
      <c r="T242" s="48"/>
      <c r="U242" s="48"/>
      <c r="V242" s="48"/>
      <c r="W242" s="48"/>
      <c r="X242" s="48" t="s">
        <v>636</v>
      </c>
      <c r="BD242" s="2393"/>
    </row>
    <row r="243" spans="1:56" s="171" customFormat="1">
      <c r="C243" s="171" t="s">
        <v>238</v>
      </c>
      <c r="D243" s="349"/>
      <c r="E243" s="269">
        <v>12.71</v>
      </c>
      <c r="F243" s="269">
        <v>14.6</v>
      </c>
      <c r="G243" s="269">
        <v>15.23</v>
      </c>
      <c r="H243" s="433">
        <v>2.5499999999999998</v>
      </c>
      <c r="I243" s="182"/>
      <c r="J243" s="273"/>
      <c r="K243" s="278"/>
      <c r="L243" s="278"/>
      <c r="M243" s="278"/>
      <c r="N243" s="278"/>
      <c r="O243" s="53"/>
      <c r="P243" s="367"/>
      <c r="Q243" s="365" t="s">
        <v>55</v>
      </c>
      <c r="R243" s="367">
        <v>10468</v>
      </c>
      <c r="S243" s="367">
        <v>20920</v>
      </c>
      <c r="T243" s="367">
        <v>29388</v>
      </c>
      <c r="U243" s="367">
        <v>26985</v>
      </c>
      <c r="V243" s="367">
        <v>24619</v>
      </c>
      <c r="W243" s="50"/>
      <c r="BD243" s="2389"/>
    </row>
    <row r="244" spans="1:56" s="171" customFormat="1">
      <c r="C244" s="262" t="s">
        <v>631</v>
      </c>
      <c r="D244" s="2335"/>
      <c r="E244" s="269">
        <v>6.63</v>
      </c>
      <c r="F244" s="269">
        <v>8.9600000000000009</v>
      </c>
      <c r="G244" s="269">
        <v>11.8</v>
      </c>
      <c r="H244" s="433">
        <v>4.08</v>
      </c>
      <c r="I244" s="49" t="s">
        <v>637</v>
      </c>
      <c r="J244" s="273"/>
      <c r="K244" s="273"/>
      <c r="L244" s="273"/>
      <c r="M244" s="273"/>
      <c r="N244" s="273"/>
      <c r="O244" s="49"/>
      <c r="P244" s="50"/>
      <c r="Q244" s="139"/>
      <c r="R244" s="38">
        <f>R243/R250</f>
        <v>0.73754667793982953</v>
      </c>
      <c r="S244" s="38">
        <f>S243/S250</f>
        <v>0.71275254676160948</v>
      </c>
      <c r="T244" s="38">
        <f>T243/T250</f>
        <v>0.75228465378215792</v>
      </c>
      <c r="U244" s="38">
        <f>U243/U250</f>
        <v>0.7130211911430534</v>
      </c>
      <c r="V244" s="38">
        <f>V243/V250</f>
        <v>0.6591432396251673</v>
      </c>
      <c r="W244" s="50"/>
      <c r="BD244" s="2389"/>
    </row>
    <row r="245" spans="1:56" s="171" customFormat="1">
      <c r="C245" s="262" t="s">
        <v>632</v>
      </c>
      <c r="D245" s="2335"/>
      <c r="E245" s="269">
        <v>3.18</v>
      </c>
      <c r="F245" s="269">
        <v>4.45</v>
      </c>
      <c r="G245" s="269">
        <v>5.1100000000000003</v>
      </c>
      <c r="H245" s="433">
        <v>77.55</v>
      </c>
      <c r="I245" s="49" t="s">
        <v>638</v>
      </c>
      <c r="J245" s="273"/>
      <c r="K245" s="273"/>
      <c r="L245" s="273"/>
      <c r="M245" s="273"/>
      <c r="N245" s="273"/>
      <c r="O245" s="49"/>
      <c r="P245" s="50"/>
      <c r="Q245" s="139" t="s">
        <v>629</v>
      </c>
      <c r="R245" s="50">
        <v>2559</v>
      </c>
      <c r="S245" s="50">
        <v>5566</v>
      </c>
      <c r="T245" s="50">
        <v>6022</v>
      </c>
      <c r="U245" s="50">
        <v>6120</v>
      </c>
      <c r="V245" s="50">
        <v>6745</v>
      </c>
      <c r="W245" s="50"/>
      <c r="BD245" s="2389"/>
    </row>
    <row r="246" spans="1:56" s="171" customFormat="1">
      <c r="D246" s="349"/>
      <c r="E246" s="269"/>
      <c r="F246" s="269"/>
      <c r="G246" s="269"/>
      <c r="H246" s="269"/>
      <c r="J246" s="273"/>
      <c r="K246" s="273"/>
      <c r="L246" s="273"/>
      <c r="M246" s="273"/>
      <c r="N246" s="273"/>
      <c r="O246" s="49"/>
      <c r="Q246" s="139"/>
      <c r="R246" s="38">
        <f>R245/R250</f>
        <v>0.18030014796026211</v>
      </c>
      <c r="S246" s="38">
        <f>S245/S250</f>
        <v>0.18963578753705154</v>
      </c>
      <c r="T246" s="38">
        <f>T245/T250</f>
        <v>0.15415333418661206</v>
      </c>
      <c r="U246" s="38">
        <f>U245/U250</f>
        <v>0.16170797442266024</v>
      </c>
      <c r="V246" s="38">
        <f>V245/V250</f>
        <v>0.18058902275769745</v>
      </c>
      <c r="W246" s="50"/>
      <c r="BD246" s="2389"/>
    </row>
    <row r="247" spans="1:56" s="171" customFormat="1">
      <c r="B247" s="51" t="s">
        <v>370</v>
      </c>
      <c r="C247" s="51" t="s">
        <v>168</v>
      </c>
      <c r="D247" s="2327"/>
      <c r="E247" s="300" t="s">
        <v>138</v>
      </c>
      <c r="F247" s="300" t="s">
        <v>138</v>
      </c>
      <c r="G247" s="269">
        <v>67.86</v>
      </c>
      <c r="H247" s="269">
        <v>56.01</v>
      </c>
      <c r="I247" s="182" t="s">
        <v>640</v>
      </c>
      <c r="J247" s="348"/>
      <c r="K247" s="326">
        <f>E242/100</f>
        <v>0.77480000000000004</v>
      </c>
      <c r="L247" s="326">
        <f>F242/100</f>
        <v>0.71989999999999998</v>
      </c>
      <c r="M247" s="326">
        <f>G247/100</f>
        <v>0.67859999999999998</v>
      </c>
      <c r="N247" s="326">
        <f>H247/100</f>
        <v>0.56009999999999993</v>
      </c>
      <c r="O247" s="49" t="s">
        <v>584</v>
      </c>
      <c r="P247" s="50"/>
      <c r="Q247" s="139" t="s">
        <v>630</v>
      </c>
      <c r="R247" s="50">
        <v>1166</v>
      </c>
      <c r="S247" s="50">
        <v>2865</v>
      </c>
      <c r="T247" s="50">
        <v>3655</v>
      </c>
      <c r="U247" s="50">
        <v>4741</v>
      </c>
      <c r="V247" s="50">
        <v>5986</v>
      </c>
      <c r="W247" s="50"/>
      <c r="BD247" s="2389"/>
    </row>
    <row r="248" spans="1:56" s="171" customFormat="1">
      <c r="C248" s="262" t="s">
        <v>628</v>
      </c>
      <c r="D248" s="2335"/>
      <c r="E248" s="300" t="s">
        <v>138</v>
      </c>
      <c r="F248" s="300" t="s">
        <v>138</v>
      </c>
      <c r="G248" s="269">
        <v>32.14</v>
      </c>
      <c r="H248" s="269">
        <v>36.520000000000003</v>
      </c>
      <c r="I248" s="49"/>
      <c r="J248" s="273"/>
      <c r="K248" s="273"/>
      <c r="L248" s="273"/>
      <c r="M248" s="273"/>
      <c r="N248" s="273"/>
      <c r="O248" s="49" t="s">
        <v>377</v>
      </c>
      <c r="P248" s="50"/>
      <c r="Q248" s="139"/>
      <c r="R248" s="38">
        <f>R247/R250</f>
        <v>8.215317409990841E-2</v>
      </c>
      <c r="S248" s="38">
        <f>S247/S250</f>
        <v>9.7611665701338973E-2</v>
      </c>
      <c r="T248" s="38">
        <f>T247/T250</f>
        <v>9.3562012031230005E-2</v>
      </c>
      <c r="U248" s="38">
        <f>U247/U250</f>
        <v>0.12527083443428633</v>
      </c>
      <c r="V248" s="38">
        <f>V247/V250</f>
        <v>0.1602677376171352</v>
      </c>
      <c r="W248" s="50"/>
      <c r="BD248" s="2389"/>
    </row>
    <row r="249" spans="1:56" s="171" customFormat="1">
      <c r="C249" s="262" t="s">
        <v>155</v>
      </c>
      <c r="D249" s="2335"/>
      <c r="E249" s="300" t="s">
        <v>138</v>
      </c>
      <c r="F249" s="300" t="s">
        <v>138</v>
      </c>
      <c r="G249" s="269"/>
      <c r="H249" s="269">
        <v>7.47</v>
      </c>
      <c r="I249" s="866" t="s">
        <v>373</v>
      </c>
      <c r="J249" s="758">
        <f>R243/R249</f>
        <v>0.70854203330174637</v>
      </c>
      <c r="K249" s="758">
        <f>S243/S249</f>
        <v>0.68050224448637042</v>
      </c>
      <c r="L249" s="758">
        <f>T243/T249</f>
        <v>0.72117791411042942</v>
      </c>
      <c r="M249" s="758">
        <f>U243/U249</f>
        <v>0.67187033164027488</v>
      </c>
      <c r="N249" s="758">
        <f>V243/V249</f>
        <v>0.62427731007201537</v>
      </c>
      <c r="O249" s="435">
        <f>(J249+2*K249+2*L249+AVERAGE(M249,N249))/6</f>
        <v>0.69332936189191507</v>
      </c>
      <c r="P249" s="50"/>
      <c r="Q249" s="139" t="s">
        <v>617</v>
      </c>
      <c r="R249" s="50">
        <v>14774</v>
      </c>
      <c r="S249" s="50">
        <v>30742</v>
      </c>
      <c r="T249" s="50">
        <v>40750</v>
      </c>
      <c r="U249" s="50">
        <v>40164</v>
      </c>
      <c r="V249" s="50">
        <v>39436</v>
      </c>
      <c r="W249" s="50"/>
      <c r="BD249" s="2389"/>
    </row>
    <row r="250" spans="1:56" s="171" customFormat="1">
      <c r="C250" s="262"/>
      <c r="D250" s="2335"/>
      <c r="E250" s="300"/>
      <c r="F250" s="300"/>
      <c r="G250" s="269"/>
      <c r="H250" s="269"/>
      <c r="I250" s="49"/>
      <c r="J250" s="273"/>
      <c r="K250" s="273"/>
      <c r="L250" s="273"/>
      <c r="M250" s="273"/>
      <c r="N250" s="273"/>
      <c r="O250" s="49"/>
      <c r="P250" s="50"/>
      <c r="R250" s="49">
        <f>R243+R245+R247</f>
        <v>14193</v>
      </c>
      <c r="S250" s="49">
        <f>S243+S245+S247</f>
        <v>29351</v>
      </c>
      <c r="T250" s="49">
        <f>T243+T245+T247</f>
        <v>39065</v>
      </c>
      <c r="U250" s="49">
        <f>U243+U245+U247</f>
        <v>37846</v>
      </c>
      <c r="V250" s="49">
        <f>V243+V245+V247</f>
        <v>37350</v>
      </c>
      <c r="W250" s="50"/>
      <c r="BD250" s="2389"/>
    </row>
    <row r="251" spans="1:56" s="171" customFormat="1">
      <c r="C251" s="262"/>
      <c r="D251" s="2335"/>
      <c r="E251" s="300"/>
      <c r="F251" s="300"/>
      <c r="G251" s="269"/>
      <c r="H251" s="269"/>
      <c r="I251" s="49" t="s">
        <v>639</v>
      </c>
      <c r="J251" s="273"/>
      <c r="K251" s="273"/>
      <c r="L251" s="273"/>
      <c r="M251" s="273"/>
      <c r="N251" s="273"/>
      <c r="O251" s="49"/>
      <c r="P251" s="50"/>
      <c r="Q251" s="139" t="s">
        <v>66</v>
      </c>
      <c r="R251" s="50"/>
      <c r="S251" s="50"/>
      <c r="T251" s="50"/>
      <c r="U251" s="50"/>
      <c r="V251" s="50"/>
      <c r="W251" s="50"/>
      <c r="BD251" s="2389"/>
    </row>
    <row r="252" spans="1:56" s="171" customFormat="1">
      <c r="C252" s="262"/>
      <c r="D252" s="2335"/>
      <c r="E252" s="300"/>
      <c r="F252" s="300"/>
      <c r="G252" s="269"/>
      <c r="H252" s="269"/>
      <c r="I252" s="49" t="s">
        <v>666</v>
      </c>
      <c r="J252" s="273"/>
      <c r="K252" s="273"/>
      <c r="L252" s="273"/>
      <c r="M252" s="273"/>
      <c r="N252" s="273"/>
      <c r="O252" s="49"/>
      <c r="P252" s="367"/>
      <c r="Q252" s="365" t="s">
        <v>55</v>
      </c>
      <c r="R252" s="367">
        <v>1913</v>
      </c>
      <c r="S252" s="367">
        <v>3687</v>
      </c>
      <c r="T252" s="367">
        <v>8080</v>
      </c>
      <c r="U252" s="367">
        <v>7532</v>
      </c>
      <c r="V252" s="367">
        <v>6605</v>
      </c>
      <c r="W252" s="50"/>
      <c r="BD252" s="2389"/>
    </row>
    <row r="253" spans="1:56" s="171" customFormat="1">
      <c r="C253" s="262"/>
      <c r="D253" s="2335"/>
      <c r="E253" s="300"/>
      <c r="F253" s="300"/>
      <c r="G253" s="269"/>
      <c r="H253" s="269"/>
      <c r="I253" s="49" t="s">
        <v>945</v>
      </c>
      <c r="J253" s="273"/>
      <c r="K253" s="273"/>
      <c r="L253" s="273"/>
      <c r="M253" s="273"/>
      <c r="N253" s="273"/>
      <c r="P253" s="50"/>
      <c r="Q253" s="139"/>
      <c r="R253" s="38">
        <f>R252/R259</f>
        <v>0.66841369671558348</v>
      </c>
      <c r="S253" s="38">
        <f>S252/S259</f>
        <v>0.61347753743760403</v>
      </c>
      <c r="T253" s="38">
        <f>T252/T259</f>
        <v>0.75904180366369189</v>
      </c>
      <c r="U253" s="38">
        <f>U252/U259</f>
        <v>0.74848454735168435</v>
      </c>
      <c r="V253" s="38">
        <f>V252/V259</f>
        <v>0.71474948598636512</v>
      </c>
      <c r="W253" s="50"/>
      <c r="BD253" s="2389"/>
    </row>
    <row r="254" spans="1:56" s="171" customFormat="1">
      <c r="C254" s="262"/>
      <c r="D254" s="2335"/>
      <c r="E254" s="300"/>
      <c r="F254" s="300"/>
      <c r="G254" s="269"/>
      <c r="H254" s="269"/>
      <c r="I254" s="49"/>
      <c r="J254" s="273"/>
      <c r="K254" s="273"/>
      <c r="L254" s="273"/>
      <c r="M254" s="273"/>
      <c r="N254" s="273"/>
      <c r="P254" s="50"/>
      <c r="Q254" s="139" t="s">
        <v>629</v>
      </c>
      <c r="R254" s="50">
        <v>590</v>
      </c>
      <c r="S254" s="50">
        <v>1357</v>
      </c>
      <c r="T254" s="50">
        <v>1475</v>
      </c>
      <c r="U254" s="50">
        <v>1131</v>
      </c>
      <c r="V254" s="50">
        <v>1046</v>
      </c>
      <c r="W254" s="50"/>
      <c r="BD254" s="2389"/>
    </row>
    <row r="255" spans="1:56" s="171" customFormat="1">
      <c r="C255" s="262"/>
      <c r="D255" s="2335"/>
      <c r="E255" s="300"/>
      <c r="F255" s="300"/>
      <c r="G255" s="269"/>
      <c r="H255" s="269"/>
      <c r="I255" s="49" t="s">
        <v>642</v>
      </c>
      <c r="J255" s="273"/>
      <c r="K255" s="273"/>
      <c r="L255" s="273"/>
      <c r="M255" s="273"/>
      <c r="N255" s="273"/>
      <c r="P255" s="50"/>
      <c r="Q255" s="139"/>
      <c r="R255" s="38">
        <f>R254/R259</f>
        <v>0.20614954577218728</v>
      </c>
      <c r="S255" s="38">
        <f>S254/S259</f>
        <v>0.22579034941763726</v>
      </c>
      <c r="T255" s="38">
        <f>T254/T259</f>
        <v>0.13856270549553781</v>
      </c>
      <c r="U255" s="38">
        <f>U254/U259</f>
        <v>0.11239193083573487</v>
      </c>
      <c r="V255" s="38">
        <f>V254/V259</f>
        <v>0.11319121307217833</v>
      </c>
      <c r="W255" s="50"/>
      <c r="BD255" s="2389"/>
    </row>
    <row r="256" spans="1:56" s="171" customFormat="1">
      <c r="C256" s="262"/>
      <c r="D256" s="2335"/>
      <c r="E256" s="300"/>
      <c r="F256" s="300"/>
      <c r="G256" s="269"/>
      <c r="H256" s="269"/>
      <c r="J256" s="273"/>
      <c r="K256" s="273"/>
      <c r="L256" s="273"/>
      <c r="M256" s="273"/>
      <c r="N256" s="273"/>
      <c r="O256" s="49"/>
      <c r="P256" s="50"/>
      <c r="Q256" s="139" t="s">
        <v>630</v>
      </c>
      <c r="R256" s="50">
        <v>359</v>
      </c>
      <c r="S256" s="50">
        <v>966</v>
      </c>
      <c r="T256" s="50">
        <v>1090</v>
      </c>
      <c r="U256" s="50">
        <v>1400</v>
      </c>
      <c r="V256" s="50">
        <v>1590</v>
      </c>
      <c r="W256" s="50"/>
      <c r="BD256" s="2389"/>
    </row>
    <row r="257" spans="3:56" s="171" customFormat="1">
      <c r="C257" s="262"/>
      <c r="D257" s="2335"/>
      <c r="E257" s="300"/>
      <c r="F257" s="300"/>
      <c r="G257" s="269"/>
      <c r="H257" s="269"/>
      <c r="I257" s="866" t="s">
        <v>644</v>
      </c>
      <c r="J257" s="758">
        <f>R252/R258</f>
        <v>0.63639387890884902</v>
      </c>
      <c r="K257" s="758">
        <f>S252/S258</f>
        <v>0.59086538461538463</v>
      </c>
      <c r="L257" s="758">
        <f>T252/T258</f>
        <v>0.74456321415407301</v>
      </c>
      <c r="M257" s="758">
        <f>U252/U258</f>
        <v>0.73239984441851425</v>
      </c>
      <c r="N257" s="758">
        <f>V252/V258</f>
        <v>0.70310836704279323</v>
      </c>
      <c r="O257" s="435">
        <f>(J257+2*K257+2*L257+AVERAGE(M257,N257))/6</f>
        <v>0.67083419702973635</v>
      </c>
      <c r="P257" s="50"/>
      <c r="Q257" s="139"/>
      <c r="R257" s="38">
        <f>R256/R259</f>
        <v>0.12543675751222921</v>
      </c>
      <c r="S257" s="38">
        <f>S256/S259</f>
        <v>0.16073211314475874</v>
      </c>
      <c r="T257" s="38">
        <f>T256/T259</f>
        <v>0.10239549084077032</v>
      </c>
      <c r="U257" s="38">
        <f>U256/U259</f>
        <v>0.13912352181258075</v>
      </c>
      <c r="V257" s="38">
        <f>V256/V259</f>
        <v>0.17205930094145655</v>
      </c>
      <c r="W257" s="50"/>
      <c r="BD257" s="2389"/>
    </row>
    <row r="258" spans="3:56" s="171" customFormat="1">
      <c r="C258" s="262"/>
      <c r="D258" s="2335"/>
      <c r="E258" s="300"/>
      <c r="F258" s="300"/>
      <c r="G258" s="269"/>
      <c r="H258" s="269"/>
      <c r="I258" s="851" t="s">
        <v>972</v>
      </c>
      <c r="J258" s="921">
        <f>J257/J$249</f>
        <v>0.89817378362622613</v>
      </c>
      <c r="K258" s="921">
        <f>K257/K$249</f>
        <v>0.86827837733490221</v>
      </c>
      <c r="L258" s="921">
        <f>L257/L$249</f>
        <v>1.0324265338498189</v>
      </c>
      <c r="M258" s="921">
        <f>M257/M$249</f>
        <v>1.0900910635992294</v>
      </c>
      <c r="N258" s="921">
        <f>N257/N$249</f>
        <v>1.1262757042406106</v>
      </c>
      <c r="O258" s="335">
        <f>(J258+2*K258+2*L258+AVERAGE(M258,N258))/6</f>
        <v>0.96796116498593143</v>
      </c>
      <c r="P258" s="50"/>
      <c r="Q258" s="139" t="s">
        <v>617</v>
      </c>
      <c r="R258" s="50">
        <v>3006</v>
      </c>
      <c r="S258" s="50">
        <v>6240</v>
      </c>
      <c r="T258" s="50">
        <v>10852</v>
      </c>
      <c r="U258" s="50">
        <v>10284</v>
      </c>
      <c r="V258" s="50">
        <v>9394</v>
      </c>
      <c r="W258" s="50"/>
      <c r="BD258" s="2389"/>
    </row>
    <row r="259" spans="3:56" s="171" customFormat="1">
      <c r="C259" s="262"/>
      <c r="D259" s="2335"/>
      <c r="E259" s="300"/>
      <c r="F259" s="300"/>
      <c r="G259" s="269"/>
      <c r="H259" s="269"/>
      <c r="I259" s="49"/>
      <c r="J259" s="273"/>
      <c r="K259" s="273"/>
      <c r="L259" s="273"/>
      <c r="M259" s="273"/>
      <c r="N259" s="273"/>
      <c r="P259" s="50"/>
      <c r="Q259" s="50"/>
      <c r="R259" s="49">
        <f>R252+R254+R256</f>
        <v>2862</v>
      </c>
      <c r="S259" s="49">
        <f>S252+S254+S256</f>
        <v>6010</v>
      </c>
      <c r="T259" s="49">
        <f>T252+T254+T256</f>
        <v>10645</v>
      </c>
      <c r="U259" s="49">
        <f>U252+U254+U256</f>
        <v>10063</v>
      </c>
      <c r="V259" s="49">
        <f>V252+V254+V256</f>
        <v>9241</v>
      </c>
      <c r="BD259" s="2389"/>
    </row>
    <row r="260" spans="3:56" s="171" customFormat="1">
      <c r="C260" s="262"/>
      <c r="D260" s="2335"/>
      <c r="E260" s="300"/>
      <c r="F260" s="300"/>
      <c r="G260" s="269"/>
      <c r="H260" s="269"/>
      <c r="I260" s="182" t="s">
        <v>645</v>
      </c>
      <c r="J260" s="417">
        <f>R261/R267</f>
        <v>0.60970311368573493</v>
      </c>
      <c r="K260" s="417">
        <f>S261/S267</f>
        <v>0.59392405063291143</v>
      </c>
      <c r="L260" s="417">
        <f>T261/T267</f>
        <v>0.79503729202524387</v>
      </c>
      <c r="M260" s="417">
        <f>U261/U267</f>
        <v>0.81309665871121717</v>
      </c>
      <c r="N260" s="417">
        <f>V261/V267</f>
        <v>0.85198744769874479</v>
      </c>
      <c r="O260" s="49"/>
      <c r="P260" s="50"/>
      <c r="Q260" s="139" t="s">
        <v>633</v>
      </c>
      <c r="R260" s="50"/>
      <c r="S260" s="50"/>
      <c r="T260" s="50"/>
      <c r="U260" s="50"/>
      <c r="V260" s="50"/>
      <c r="W260" s="50"/>
      <c r="BD260" s="2389"/>
    </row>
    <row r="261" spans="3:56" s="171" customFormat="1">
      <c r="C261" s="262"/>
      <c r="D261" s="2335"/>
      <c r="E261" s="300"/>
      <c r="F261" s="300"/>
      <c r="G261" s="269"/>
      <c r="H261" s="269"/>
      <c r="I261" s="182" t="s">
        <v>643</v>
      </c>
      <c r="J261" s="391">
        <f>J260/J$249</f>
        <v>0.86050380221561396</v>
      </c>
      <c r="K261" s="391">
        <f>K260/K$249</f>
        <v>0.87277309582012252</v>
      </c>
      <c r="L261" s="391">
        <f>L260/L$249</f>
        <v>1.1024149193558148</v>
      </c>
      <c r="M261" s="391">
        <f>M260/M$249</f>
        <v>1.2101987845276014</v>
      </c>
      <c r="N261" s="391">
        <f>N260/N$249</f>
        <v>1.3647579912850929</v>
      </c>
      <c r="O261" s="335">
        <f>(J261+2*K261+2*L261+AVERAGE(M261,N261))/6</f>
        <v>1.0163930367456393</v>
      </c>
      <c r="P261" s="367"/>
      <c r="Q261" s="365" t="s">
        <v>55</v>
      </c>
      <c r="R261" s="367">
        <v>842</v>
      </c>
      <c r="S261" s="367">
        <v>1173</v>
      </c>
      <c r="T261" s="367">
        <v>5543</v>
      </c>
      <c r="U261" s="367">
        <v>5451</v>
      </c>
      <c r="V261" s="367">
        <v>4887</v>
      </c>
      <c r="W261" s="50"/>
      <c r="BD261" s="2389"/>
    </row>
    <row r="262" spans="3:56" s="171" customFormat="1">
      <c r="C262" s="262"/>
      <c r="D262" s="2335"/>
      <c r="E262" s="300"/>
      <c r="F262" s="300"/>
      <c r="G262" s="269"/>
      <c r="H262" s="269"/>
      <c r="I262" s="49"/>
      <c r="J262" s="273"/>
      <c r="K262" s="273"/>
      <c r="L262" s="273"/>
      <c r="M262" s="273"/>
      <c r="N262" s="273"/>
      <c r="O262" s="49"/>
      <c r="P262" s="50"/>
      <c r="Q262" s="139"/>
      <c r="R262" s="38">
        <f>R261/R268</f>
        <v>0.64274809160305346</v>
      </c>
      <c r="S262" s="38">
        <f>S261/S268</f>
        <v>0.47298387096774192</v>
      </c>
      <c r="T262" s="38">
        <f>T261/T268</f>
        <v>0.7931034482758621</v>
      </c>
      <c r="U262" s="38">
        <f>U261/U268</f>
        <v>0.80803439075007411</v>
      </c>
      <c r="V262" s="38">
        <f>V261/V268</f>
        <v>0.83695838328480909</v>
      </c>
      <c r="W262" s="50"/>
      <c r="BD262" s="2389"/>
    </row>
    <row r="263" spans="3:56" s="171" customFormat="1">
      <c r="C263" s="262"/>
      <c r="D263" s="2335"/>
      <c r="E263" s="300"/>
      <c r="F263" s="300"/>
      <c r="G263" s="269"/>
      <c r="H263" s="269"/>
      <c r="I263" s="182" t="s">
        <v>646</v>
      </c>
      <c r="J263" s="417">
        <f>R270/R276</f>
        <v>0.81548599670510713</v>
      </c>
      <c r="K263" s="417">
        <f>S270/S276</f>
        <v>0.68606513614522158</v>
      </c>
      <c r="L263" s="417">
        <f>T270/T276</f>
        <v>0.7294325544865502</v>
      </c>
      <c r="M263" s="417">
        <f>U270/U276</f>
        <v>0.60887428101889896</v>
      </c>
      <c r="N263" s="417">
        <f>V270/V276</f>
        <v>0.7026357287677405</v>
      </c>
      <c r="O263" s="49"/>
      <c r="P263" s="50"/>
      <c r="Q263" s="139" t="s">
        <v>629</v>
      </c>
      <c r="R263" s="50">
        <v>155</v>
      </c>
      <c r="S263" s="50">
        <v>450</v>
      </c>
      <c r="T263" s="50">
        <v>535</v>
      </c>
      <c r="U263" s="50">
        <v>99</v>
      </c>
      <c r="V263" s="50">
        <v>-380</v>
      </c>
      <c r="W263" s="50"/>
      <c r="BD263" s="2389"/>
    </row>
    <row r="264" spans="3:56" s="171" customFormat="1">
      <c r="C264" s="262"/>
      <c r="D264" s="2335"/>
      <c r="E264" s="300"/>
      <c r="F264" s="300"/>
      <c r="G264" s="269"/>
      <c r="H264" s="269"/>
      <c r="I264" s="182" t="s">
        <v>647</v>
      </c>
      <c r="J264" s="391">
        <f>J263/J$249</f>
        <v>1.1509352421972918</v>
      </c>
      <c r="K264" s="391">
        <f>K263/K$249</f>
        <v>1.008174685247438</v>
      </c>
      <c r="L264" s="391">
        <f>L263/L$249</f>
        <v>1.011446052651658</v>
      </c>
      <c r="M264" s="391">
        <f>M263/M$249</f>
        <v>0.90623778480055794</v>
      </c>
      <c r="N264" s="391">
        <f>N263/N$249</f>
        <v>1.1255186075667012</v>
      </c>
      <c r="O264" s="335">
        <f>(J264+2*K264+2*L264+AVERAGE(M264,N264))/6</f>
        <v>1.0343424856965189</v>
      </c>
      <c r="P264" s="50"/>
      <c r="Q264" s="139"/>
      <c r="R264" s="38">
        <f>R263/R268</f>
        <v>0.1183206106870229</v>
      </c>
      <c r="S264" s="38">
        <f>S263/S268</f>
        <v>0.18145161290322581</v>
      </c>
      <c r="T264" s="38">
        <f>T263/T268</f>
        <v>7.6548862498211481E-2</v>
      </c>
      <c r="U264" s="38">
        <f>U263/U268</f>
        <v>1.4675363178179662E-2</v>
      </c>
      <c r="V264" s="38">
        <f>V263/V268</f>
        <v>-6.5079636924130838E-2</v>
      </c>
      <c r="W264" s="50"/>
      <c r="BD264" s="2389"/>
    </row>
    <row r="265" spans="3:56" s="171" customFormat="1">
      <c r="C265" s="262"/>
      <c r="D265" s="2335"/>
      <c r="E265" s="300"/>
      <c r="F265" s="300"/>
      <c r="G265" s="269"/>
      <c r="H265" s="269"/>
      <c r="I265" s="49"/>
      <c r="J265" s="273"/>
      <c r="K265" s="273"/>
      <c r="L265" s="273"/>
      <c r="M265" s="273"/>
      <c r="N265" s="273"/>
      <c r="O265" s="49"/>
      <c r="P265" s="50"/>
      <c r="Q265" s="139" t="s">
        <v>630</v>
      </c>
      <c r="R265" s="50">
        <v>313</v>
      </c>
      <c r="S265" s="50">
        <v>857</v>
      </c>
      <c r="T265" s="50">
        <v>911</v>
      </c>
      <c r="U265" s="50">
        <v>1196</v>
      </c>
      <c r="V265" s="50">
        <v>1332</v>
      </c>
      <c r="W265" s="50"/>
      <c r="BD265" s="2389"/>
    </row>
    <row r="266" spans="3:56" s="171" customFormat="1">
      <c r="C266" s="262"/>
      <c r="D266" s="2335"/>
      <c r="E266" s="300"/>
      <c r="F266" s="300"/>
      <c r="G266" s="269"/>
      <c r="H266" s="269"/>
      <c r="I266" s="49" t="s">
        <v>648</v>
      </c>
      <c r="J266" s="273"/>
      <c r="K266" s="273"/>
      <c r="L266" s="273"/>
      <c r="M266" s="273"/>
      <c r="N266" s="273"/>
      <c r="O266" s="49"/>
      <c r="P266" s="50"/>
      <c r="Q266" s="139"/>
      <c r="R266" s="38">
        <f>R265/R268</f>
        <v>0.23893129770992366</v>
      </c>
      <c r="S266" s="38">
        <f>S265/S268</f>
        <v>0.34556451612903227</v>
      </c>
      <c r="T266" s="38">
        <f>T265/T268</f>
        <v>0.13034768922592646</v>
      </c>
      <c r="U266" s="38">
        <f>U265/U268</f>
        <v>0.17729024607174623</v>
      </c>
      <c r="V266" s="38">
        <f>V265/V268</f>
        <v>0.22812125363932181</v>
      </c>
      <c r="W266" s="50"/>
      <c r="BD266" s="2389"/>
    </row>
    <row r="267" spans="3:56" s="171" customFormat="1">
      <c r="C267" s="262"/>
      <c r="D267" s="2335"/>
      <c r="E267" s="300"/>
      <c r="F267" s="300"/>
      <c r="G267" s="269"/>
      <c r="H267" s="269"/>
      <c r="I267" s="49" t="s">
        <v>649</v>
      </c>
      <c r="J267" s="273"/>
      <c r="K267" s="273"/>
      <c r="L267" s="273"/>
      <c r="M267" s="273"/>
      <c r="N267" s="273"/>
      <c r="O267" s="49"/>
      <c r="P267" s="50"/>
      <c r="Q267" s="139" t="s">
        <v>617</v>
      </c>
      <c r="R267" s="50">
        <v>1381</v>
      </c>
      <c r="S267" s="50">
        <v>1975</v>
      </c>
      <c r="T267" s="50">
        <v>6972</v>
      </c>
      <c r="U267" s="50">
        <v>6704</v>
      </c>
      <c r="V267" s="50">
        <v>5736</v>
      </c>
      <c r="BD267" s="2389"/>
    </row>
    <row r="268" spans="3:56" s="171" customFormat="1">
      <c r="C268" s="262"/>
      <c r="D268" s="2335"/>
      <c r="E268" s="300"/>
      <c r="F268" s="300"/>
      <c r="G268" s="269"/>
      <c r="H268" s="269"/>
      <c r="I268" s="49" t="s">
        <v>656</v>
      </c>
      <c r="J268" s="273"/>
      <c r="K268" s="273"/>
      <c r="L268" s="273"/>
      <c r="M268" s="273"/>
      <c r="N268" s="273"/>
      <c r="O268" s="49"/>
      <c r="P268" s="50"/>
      <c r="Q268" s="50"/>
      <c r="R268" s="49">
        <f>R261+R263+R265</f>
        <v>1310</v>
      </c>
      <c r="S268" s="49">
        <f>S261+S263+S265</f>
        <v>2480</v>
      </c>
      <c r="T268" s="49">
        <f>T261+T263+T265</f>
        <v>6989</v>
      </c>
      <c r="U268" s="49">
        <f>U261+U263+U265</f>
        <v>6746</v>
      </c>
      <c r="V268" s="49">
        <f>V261+V263+V265</f>
        <v>5839</v>
      </c>
      <c r="W268" s="50"/>
      <c r="BD268" s="2389"/>
    </row>
    <row r="269" spans="3:56" s="171" customFormat="1">
      <c r="C269" s="262"/>
      <c r="D269" s="2335"/>
      <c r="E269" s="300"/>
      <c r="F269" s="300"/>
      <c r="G269" s="269"/>
      <c r="H269" s="269"/>
      <c r="I269" s="49" t="s">
        <v>657</v>
      </c>
      <c r="J269" s="273"/>
      <c r="K269" s="273"/>
      <c r="L269" s="273"/>
      <c r="M269" s="273"/>
      <c r="N269" s="273"/>
      <c r="O269" s="49"/>
      <c r="P269" s="50"/>
      <c r="Q269" s="139" t="s">
        <v>634</v>
      </c>
      <c r="R269" s="50"/>
      <c r="S269" s="50"/>
      <c r="T269" s="50"/>
      <c r="U269" s="50"/>
      <c r="V269" s="50"/>
      <c r="W269" s="50"/>
      <c r="X269" s="49" t="s">
        <v>658</v>
      </c>
      <c r="BD269" s="2389"/>
    </row>
    <row r="270" spans="3:56" s="171" customFormat="1">
      <c r="C270" s="262"/>
      <c r="D270" s="2335"/>
      <c r="E270" s="300"/>
      <c r="F270" s="300"/>
      <c r="G270" s="269"/>
      <c r="H270" s="269"/>
      <c r="I270" s="49"/>
      <c r="J270" s="273"/>
      <c r="K270" s="273"/>
      <c r="L270" s="273"/>
      <c r="M270" s="273"/>
      <c r="N270" s="273"/>
      <c r="O270" s="49"/>
      <c r="P270" s="367"/>
      <c r="Q270" s="365" t="s">
        <v>55</v>
      </c>
      <c r="R270" s="367">
        <v>2475</v>
      </c>
      <c r="S270" s="367">
        <v>2570</v>
      </c>
      <c r="T270" s="367">
        <v>3715</v>
      </c>
      <c r="U270" s="367">
        <v>2223</v>
      </c>
      <c r="V270" s="367">
        <v>3119</v>
      </c>
      <c r="W270" s="50"/>
      <c r="BD270" s="2389"/>
    </row>
    <row r="271" spans="3:56" s="171" customFormat="1">
      <c r="C271" s="262"/>
      <c r="D271" s="2335"/>
      <c r="E271" s="300"/>
      <c r="F271" s="300"/>
      <c r="G271" s="269"/>
      <c r="H271" s="269"/>
      <c r="I271" s="49" t="s">
        <v>650</v>
      </c>
      <c r="J271" s="273"/>
      <c r="K271" s="273"/>
      <c r="L271" s="273"/>
      <c r="M271" s="273"/>
      <c r="N271" s="273"/>
      <c r="O271" s="49"/>
      <c r="P271" s="50"/>
      <c r="Q271" s="139"/>
      <c r="R271" s="38">
        <f>R270/R277</f>
        <v>0.89836660617059894</v>
      </c>
      <c r="S271" s="38">
        <f>S270/S277</f>
        <v>0.80337605501719289</v>
      </c>
      <c r="T271" s="38">
        <f>T270/T277</f>
        <v>0.83897922312556461</v>
      </c>
      <c r="U271" s="38">
        <f>U270/U277</f>
        <v>0.73149062191510361</v>
      </c>
      <c r="V271" s="38">
        <f>V270/V277</f>
        <v>0.80635987590486036</v>
      </c>
      <c r="W271" s="50"/>
      <c r="BD271" s="2389"/>
    </row>
    <row r="272" spans="3:56" s="171" customFormat="1">
      <c r="C272" s="262"/>
      <c r="D272" s="2335"/>
      <c r="E272" s="300"/>
      <c r="F272" s="300"/>
      <c r="G272" s="269"/>
      <c r="H272" s="269"/>
      <c r="I272" s="49" t="s">
        <v>652</v>
      </c>
      <c r="J272" s="273"/>
      <c r="K272" s="273"/>
      <c r="L272" s="273"/>
      <c r="M272" s="273"/>
      <c r="N272" s="273"/>
      <c r="O272" s="49"/>
      <c r="P272" s="50"/>
      <c r="Q272" s="139" t="s">
        <v>629</v>
      </c>
      <c r="R272" s="50">
        <v>252</v>
      </c>
      <c r="S272" s="50">
        <v>584</v>
      </c>
      <c r="T272" s="50">
        <v>643</v>
      </c>
      <c r="U272" s="50">
        <v>722</v>
      </c>
      <c r="V272" s="50">
        <v>667</v>
      </c>
      <c r="W272" s="50"/>
      <c r="BD272" s="2389"/>
    </row>
    <row r="273" spans="1:56" s="171" customFormat="1">
      <c r="C273" s="262"/>
      <c r="D273" s="2335"/>
      <c r="E273" s="300"/>
      <c r="F273" s="300"/>
      <c r="G273" s="269"/>
      <c r="H273" s="269"/>
      <c r="I273" s="49"/>
      <c r="J273" s="273"/>
      <c r="K273" s="273"/>
      <c r="L273" s="273"/>
      <c r="M273" s="273"/>
      <c r="N273" s="273"/>
      <c r="O273" s="49"/>
      <c r="P273" s="50"/>
      <c r="Q273" s="139"/>
      <c r="R273" s="38">
        <f>R272/R277</f>
        <v>9.1470054446460974E-2</v>
      </c>
      <c r="S273" s="38">
        <f>S272/S277</f>
        <v>0.18255704907783682</v>
      </c>
      <c r="T273" s="38">
        <f>T272/T277</f>
        <v>0.14521228545618789</v>
      </c>
      <c r="U273" s="38">
        <f>U272/U277</f>
        <v>0.23757815070746957</v>
      </c>
      <c r="V273" s="38">
        <f>V272/V277</f>
        <v>0.17244053774560497</v>
      </c>
      <c r="W273" s="50"/>
      <c r="BD273" s="2389"/>
    </row>
    <row r="274" spans="1:56" s="171" customFormat="1">
      <c r="C274" s="262"/>
      <c r="D274" s="2335"/>
      <c r="E274" s="300"/>
      <c r="F274" s="300"/>
      <c r="G274" s="269"/>
      <c r="H274" s="269"/>
      <c r="I274" s="182" t="s">
        <v>396</v>
      </c>
      <c r="J274" s="391">
        <f>R253/R244</f>
        <v>0.90626629704664463</v>
      </c>
      <c r="K274" s="391">
        <f>S253/S244</f>
        <v>0.86071602300817951</v>
      </c>
      <c r="L274" s="391">
        <f>T253/T244</f>
        <v>1.0089821716388365</v>
      </c>
      <c r="M274" s="391">
        <f>U253/U244</f>
        <v>1.0497367492707743</v>
      </c>
      <c r="N274" s="391">
        <f>V253/V244</f>
        <v>1.0843613997965287</v>
      </c>
      <c r="O274" s="335">
        <f>(J274+2*K274+2*L274+AVERAGE(M274,N274))/6</f>
        <v>0.9521186268123879</v>
      </c>
      <c r="P274" s="50"/>
      <c r="Q274" s="139" t="s">
        <v>630</v>
      </c>
      <c r="R274" s="50">
        <v>28</v>
      </c>
      <c r="S274" s="50">
        <v>45</v>
      </c>
      <c r="T274" s="50">
        <v>70</v>
      </c>
      <c r="U274" s="50">
        <v>94</v>
      </c>
      <c r="V274" s="50">
        <v>82</v>
      </c>
      <c r="W274" s="50"/>
      <c r="BD274" s="2389"/>
    </row>
    <row r="275" spans="1:56" s="171" customFormat="1">
      <c r="C275" s="262"/>
      <c r="D275" s="2335"/>
      <c r="E275" s="300"/>
      <c r="F275" s="300"/>
      <c r="G275" s="269"/>
      <c r="H275" s="269"/>
      <c r="I275" s="182" t="s">
        <v>643</v>
      </c>
      <c r="J275" s="418">
        <f>R262/R244</f>
        <v>0.87146767903344835</v>
      </c>
      <c r="K275" s="418">
        <f>S262/S244</f>
        <v>0.66360179716893852</v>
      </c>
      <c r="L275" s="418">
        <f>T262/T244</f>
        <v>1.054259772931011</v>
      </c>
      <c r="M275" s="418">
        <f>U262/U244</f>
        <v>1.1332543840032354</v>
      </c>
      <c r="N275" s="418">
        <f>V262/V244</f>
        <v>1.2697670748481913</v>
      </c>
      <c r="O275" s="335">
        <f>(J275+2*K275+2*L275+AVERAGE(M275,N275))/6</f>
        <v>0.9181169247765103</v>
      </c>
      <c r="P275" s="50"/>
      <c r="Q275" s="139"/>
      <c r="R275" s="38">
        <f>R274/R277</f>
        <v>1.0163339382940109E-2</v>
      </c>
      <c r="S275" s="38">
        <f>S274/S277</f>
        <v>1.4066895904970303E-2</v>
      </c>
      <c r="T275" s="38">
        <f>T274/T277</f>
        <v>1.5808491418247517E-2</v>
      </c>
      <c r="U275" s="38">
        <f>U274/U277</f>
        <v>3.0931227377426786E-2</v>
      </c>
      <c r="V275" s="38">
        <f>V274/V277</f>
        <v>2.1199586349534644E-2</v>
      </c>
      <c r="W275" s="50"/>
      <c r="BD275" s="2389"/>
    </row>
    <row r="276" spans="1:56" s="171" customFormat="1">
      <c r="C276" s="262"/>
      <c r="D276" s="2335"/>
      <c r="E276" s="300"/>
      <c r="F276" s="300"/>
      <c r="G276" s="269"/>
      <c r="H276" s="269"/>
      <c r="I276" s="182" t="s">
        <v>647</v>
      </c>
      <c r="J276" s="279">
        <f>R271/R244</f>
        <v>1.218047118970129</v>
      </c>
      <c r="K276" s="279">
        <f>S271/S244</f>
        <v>1.127145821740422</v>
      </c>
      <c r="L276" s="279">
        <f>T271/T244</f>
        <v>1.115241709248679</v>
      </c>
      <c r="M276" s="279">
        <f>U271/U244</f>
        <v>1.0259030601074306</v>
      </c>
      <c r="N276" s="279">
        <f>V271/V244</f>
        <v>1.2233454390936487</v>
      </c>
      <c r="O276" s="335">
        <f>(J276+2*K276+2*L276+AVERAGE(M276,N276))/6</f>
        <v>1.137907738424812</v>
      </c>
      <c r="P276" s="50"/>
      <c r="Q276" s="139" t="s">
        <v>617</v>
      </c>
      <c r="R276" s="50">
        <v>3035</v>
      </c>
      <c r="S276" s="50">
        <v>3746</v>
      </c>
      <c r="T276" s="50">
        <v>5093</v>
      </c>
      <c r="U276" s="50">
        <v>3651</v>
      </c>
      <c r="V276" s="50">
        <v>4439</v>
      </c>
      <c r="W276" s="50"/>
      <c r="BD276" s="2389"/>
    </row>
    <row r="277" spans="1:56" s="171" customFormat="1">
      <c r="C277" s="262"/>
      <c r="D277" s="2335"/>
      <c r="E277" s="300"/>
      <c r="F277" s="300"/>
      <c r="G277" s="269"/>
      <c r="H277" s="269"/>
      <c r="I277" s="49"/>
      <c r="J277" s="273"/>
      <c r="K277" s="273"/>
      <c r="L277" s="273"/>
      <c r="M277" s="273"/>
      <c r="N277" s="273"/>
      <c r="O277" s="49"/>
      <c r="P277" s="50"/>
      <c r="Q277" s="50"/>
      <c r="R277" s="49">
        <f>R270+R272+R274</f>
        <v>2755</v>
      </c>
      <c r="S277" s="49">
        <f>S270+S272+S274</f>
        <v>3199</v>
      </c>
      <c r="T277" s="49">
        <f>T270+T272+T274</f>
        <v>4428</v>
      </c>
      <c r="U277" s="49">
        <f>U270+U272+U274</f>
        <v>3039</v>
      </c>
      <c r="V277" s="49">
        <f>V270+V272+V274</f>
        <v>3868</v>
      </c>
      <c r="W277" s="50"/>
      <c r="BD277" s="2389"/>
    </row>
    <row r="278" spans="1:56" s="171" customFormat="1">
      <c r="D278" s="349"/>
      <c r="E278" s="269"/>
      <c r="F278" s="269"/>
      <c r="G278" s="269"/>
      <c r="H278" s="269"/>
      <c r="I278" s="49"/>
      <c r="J278" s="273"/>
      <c r="K278" s="273"/>
      <c r="L278" s="273"/>
      <c r="M278" s="273"/>
      <c r="N278" s="273"/>
      <c r="O278" s="49"/>
      <c r="P278" s="50"/>
      <c r="Q278" s="50"/>
      <c r="W278" s="50"/>
      <c r="BD278" s="2389"/>
    </row>
    <row r="279" spans="1:56" s="170" customFormat="1">
      <c r="A279" s="46" t="s">
        <v>123</v>
      </c>
      <c r="B279" s="179" t="s">
        <v>370</v>
      </c>
      <c r="C279" s="170" t="s">
        <v>239</v>
      </c>
      <c r="D279" s="2331"/>
      <c r="E279" s="267">
        <v>60.32</v>
      </c>
      <c r="F279" s="267">
        <v>63.24</v>
      </c>
      <c r="G279" s="267">
        <v>72.55</v>
      </c>
      <c r="H279" s="267"/>
      <c r="I279" s="47"/>
      <c r="J279" s="277"/>
      <c r="K279" s="277"/>
      <c r="L279" s="277"/>
      <c r="M279" s="277"/>
      <c r="N279" s="277"/>
      <c r="O279" s="47"/>
      <c r="P279" s="48"/>
      <c r="Q279" s="48"/>
      <c r="R279" s="48"/>
      <c r="S279" s="48"/>
      <c r="T279" s="48"/>
      <c r="U279" s="48"/>
      <c r="V279" s="48"/>
      <c r="W279" s="48"/>
      <c r="BD279" s="2393"/>
    </row>
    <row r="280" spans="1:56" s="171" customFormat="1">
      <c r="C280" s="171" t="s">
        <v>240</v>
      </c>
      <c r="D280" s="349"/>
      <c r="E280" s="264">
        <v>25.22</v>
      </c>
      <c r="F280" s="264">
        <v>24.43</v>
      </c>
      <c r="G280" s="264">
        <v>22.41</v>
      </c>
      <c r="H280" s="264">
        <v>18.45</v>
      </c>
      <c r="I280" s="360" t="s">
        <v>540</v>
      </c>
      <c r="J280" s="273"/>
      <c r="K280" s="280"/>
      <c r="L280" s="280"/>
      <c r="M280" s="392"/>
      <c r="N280" s="392"/>
      <c r="O280" s="49" t="s">
        <v>377</v>
      </c>
      <c r="Q280" s="50"/>
      <c r="R280" s="50"/>
      <c r="S280" s="50"/>
      <c r="T280" s="50"/>
      <c r="U280" s="50"/>
      <c r="V280" s="50"/>
      <c r="W280" s="50"/>
      <c r="BD280" s="2389"/>
    </row>
    <row r="281" spans="1:56" s="171" customFormat="1">
      <c r="C281" s="171" t="s">
        <v>241</v>
      </c>
      <c r="D281" s="349"/>
      <c r="E281" s="264">
        <v>12.76</v>
      </c>
      <c r="F281" s="264">
        <v>10.73</v>
      </c>
      <c r="G281" s="264">
        <v>2.89</v>
      </c>
      <c r="H281" s="264"/>
      <c r="I281" s="360" t="s">
        <v>541</v>
      </c>
      <c r="J281" s="393"/>
      <c r="K281" s="389">
        <f>E280/E286</f>
        <v>0.73980639483719557</v>
      </c>
      <c r="L281" s="389">
        <f>F280/F286</f>
        <v>0.70934959349593496</v>
      </c>
      <c r="M281" s="389">
        <f>G280/G286</f>
        <v>0.63538417918911261</v>
      </c>
      <c r="N281" s="389">
        <f>H280/H286</f>
        <v>0.50081433224755689</v>
      </c>
      <c r="O281" s="358">
        <f>(3*K281+2*L281+AVERAGE(M281,N281))/6</f>
        <v>0.70103627120363188</v>
      </c>
      <c r="Q281" s="50"/>
      <c r="R281" s="50"/>
      <c r="S281" s="50"/>
      <c r="T281" s="50"/>
      <c r="U281" s="50"/>
      <c r="V281" s="50"/>
      <c r="W281" s="50"/>
      <c r="BD281" s="2389"/>
    </row>
    <row r="282" spans="1:56" s="171" customFormat="1">
      <c r="C282" s="171" t="s">
        <v>242</v>
      </c>
      <c r="D282" s="349"/>
      <c r="E282" s="264">
        <v>0.94</v>
      </c>
      <c r="F282" s="264">
        <v>0.86</v>
      </c>
      <c r="G282" s="264">
        <v>1.06</v>
      </c>
      <c r="H282" s="264"/>
      <c r="I282" s="49"/>
      <c r="J282" s="273"/>
      <c r="K282" s="273"/>
      <c r="L282" s="273"/>
      <c r="M282" s="273"/>
      <c r="N282" s="273"/>
      <c r="O282" s="49"/>
      <c r="P282" s="50"/>
      <c r="Q282" s="50"/>
      <c r="R282" s="50"/>
      <c r="S282" s="50"/>
      <c r="T282" s="50"/>
      <c r="U282" s="50"/>
      <c r="V282" s="50"/>
      <c r="W282" s="50"/>
      <c r="BD282" s="2389"/>
    </row>
    <row r="283" spans="1:56" s="171" customFormat="1">
      <c r="C283" s="171" t="s">
        <v>243</v>
      </c>
      <c r="D283" s="349"/>
      <c r="E283" s="264">
        <v>0.75</v>
      </c>
      <c r="F283" s="264">
        <v>0.73</v>
      </c>
      <c r="G283" s="264">
        <v>0.86</v>
      </c>
      <c r="H283" s="264"/>
      <c r="I283" s="49"/>
      <c r="J283" s="273"/>
      <c r="K283" s="273"/>
      <c r="L283" s="273"/>
      <c r="M283" s="273"/>
      <c r="N283" s="273"/>
      <c r="O283" s="49"/>
      <c r="P283" s="50"/>
      <c r="Q283" s="50"/>
      <c r="R283" s="50"/>
      <c r="S283" s="50"/>
      <c r="T283" s="50"/>
      <c r="U283" s="50"/>
      <c r="V283" s="50"/>
      <c r="W283" s="50"/>
      <c r="BD283" s="2389"/>
    </row>
    <row r="284" spans="1:56" s="171" customFormat="1">
      <c r="C284" s="171" t="s">
        <v>155</v>
      </c>
      <c r="D284" s="349"/>
      <c r="E284" s="264"/>
      <c r="F284" s="264"/>
      <c r="G284" s="264">
        <v>0.22</v>
      </c>
      <c r="H284" s="264"/>
      <c r="I284" s="49"/>
      <c r="J284" s="273"/>
      <c r="K284" s="273"/>
      <c r="L284" s="273"/>
      <c r="M284" s="273"/>
      <c r="N284" s="273"/>
      <c r="O284" s="49"/>
      <c r="P284" s="50"/>
      <c r="Q284" s="50"/>
      <c r="R284" s="50"/>
      <c r="S284" s="50"/>
      <c r="T284" s="50"/>
      <c r="U284" s="50"/>
      <c r="V284" s="50"/>
      <c r="W284" s="50"/>
      <c r="BD284" s="2389"/>
    </row>
    <row r="285" spans="1:56" s="171" customFormat="1">
      <c r="B285" s="51" t="s">
        <v>370</v>
      </c>
      <c r="C285" s="51" t="s">
        <v>174</v>
      </c>
      <c r="D285" s="2327"/>
      <c r="E285" s="264">
        <v>65.91</v>
      </c>
      <c r="F285" s="264">
        <v>65.56</v>
      </c>
      <c r="G285" s="264">
        <v>64.73</v>
      </c>
      <c r="H285" s="264">
        <v>63.16</v>
      </c>
      <c r="J285" s="264"/>
      <c r="K285" s="264"/>
      <c r="L285" s="264"/>
      <c r="M285" s="264"/>
      <c r="N285" s="264"/>
      <c r="Q285" s="50"/>
      <c r="R285" s="50"/>
      <c r="S285" s="50"/>
      <c r="T285" s="50"/>
      <c r="U285" s="50"/>
      <c r="V285" s="50"/>
      <c r="W285" s="50"/>
      <c r="BD285" s="2389"/>
    </row>
    <row r="286" spans="1:56" s="171" customFormat="1">
      <c r="C286" s="51" t="s">
        <v>173</v>
      </c>
      <c r="D286" s="2327"/>
      <c r="E286" s="264">
        <v>34.090000000000003</v>
      </c>
      <c r="F286" s="264">
        <v>34.44</v>
      </c>
      <c r="G286" s="264">
        <v>35.269999999999996</v>
      </c>
      <c r="H286" s="264">
        <v>36.840000000000003</v>
      </c>
      <c r="I286" s="851" t="s">
        <v>373</v>
      </c>
      <c r="J286" s="867" t="s">
        <v>513</v>
      </c>
      <c r="K286" s="758">
        <f>E286/$AB$1</f>
        <v>0.34090000000000004</v>
      </c>
      <c r="L286" s="758">
        <f>F286/$AB$1</f>
        <v>0.34439999999999998</v>
      </c>
      <c r="M286" s="758">
        <f>G286/$AB$1</f>
        <v>0.35269999999999996</v>
      </c>
      <c r="N286" s="758">
        <f>H286/$AB$1</f>
        <v>0.36840000000000006</v>
      </c>
      <c r="Q286" s="50"/>
      <c r="R286" s="50"/>
      <c r="S286" s="50"/>
      <c r="T286" s="50"/>
      <c r="U286" s="50"/>
      <c r="V286" s="50"/>
      <c r="W286" s="50"/>
      <c r="BD286" s="2389"/>
    </row>
    <row r="287" spans="1:56" s="171" customFormat="1">
      <c r="B287" s="171" t="s">
        <v>141</v>
      </c>
      <c r="C287" s="171" t="s">
        <v>239</v>
      </c>
      <c r="D287" s="349"/>
      <c r="E287" s="264">
        <v>74.55</v>
      </c>
      <c r="F287" s="264">
        <v>75.48</v>
      </c>
      <c r="G287" s="264">
        <v>82.31</v>
      </c>
      <c r="H287" s="264"/>
      <c r="J287" s="264"/>
      <c r="K287" s="264"/>
      <c r="L287" s="264"/>
      <c r="M287" s="264"/>
      <c r="N287" s="264"/>
      <c r="Q287" s="50"/>
      <c r="R287" s="50"/>
      <c r="S287" s="50"/>
      <c r="T287" s="50"/>
      <c r="U287" s="50"/>
      <c r="V287" s="50"/>
      <c r="W287" s="50"/>
      <c r="BD287" s="2389"/>
    </row>
    <row r="288" spans="1:56" s="171" customFormat="1">
      <c r="C288" s="171" t="s">
        <v>240</v>
      </c>
      <c r="D288" s="349"/>
      <c r="E288" s="264">
        <v>17.11</v>
      </c>
      <c r="F288" s="264">
        <v>16.25</v>
      </c>
      <c r="G288" s="264">
        <v>15.78</v>
      </c>
      <c r="H288" s="264"/>
      <c r="J288" s="264"/>
      <c r="K288" s="264"/>
      <c r="L288" s="264"/>
      <c r="M288" s="264"/>
      <c r="N288" s="264"/>
      <c r="Q288" s="50"/>
      <c r="R288" s="50"/>
      <c r="S288" s="50"/>
      <c r="T288" s="50"/>
      <c r="U288" s="50"/>
      <c r="V288" s="50"/>
      <c r="W288" s="50"/>
      <c r="BD288" s="2389"/>
    </row>
    <row r="289" spans="1:56" s="171" customFormat="1">
      <c r="C289" s="171" t="s">
        <v>241</v>
      </c>
      <c r="D289" s="349"/>
      <c r="E289" s="264">
        <v>9.61</v>
      </c>
      <c r="F289" s="264">
        <v>8.4499999999999993</v>
      </c>
      <c r="G289" s="264">
        <v>2.15</v>
      </c>
      <c r="H289" s="264"/>
      <c r="I289" s="49"/>
      <c r="J289" s="273"/>
      <c r="K289" s="273"/>
      <c r="L289" s="273"/>
      <c r="M289" s="273"/>
      <c r="N289" s="273"/>
      <c r="O289" s="49"/>
      <c r="P289" s="50"/>
      <c r="Q289" s="50"/>
      <c r="R289" s="50"/>
      <c r="S289" s="50"/>
      <c r="T289" s="50"/>
      <c r="U289" s="50"/>
      <c r="V289" s="50"/>
      <c r="W289" s="50"/>
      <c r="BD289" s="2389"/>
    </row>
    <row r="290" spans="1:56" s="171" customFormat="1">
      <c r="C290" s="171" t="s">
        <v>244</v>
      </c>
      <c r="D290" s="349"/>
      <c r="E290" s="264">
        <v>-0.39</v>
      </c>
      <c r="F290" s="264">
        <v>0.23</v>
      </c>
      <c r="G290" s="264">
        <v>0.11</v>
      </c>
      <c r="H290" s="264"/>
      <c r="I290" s="49"/>
      <c r="J290" s="273"/>
      <c r="K290" s="273"/>
      <c r="L290" s="273"/>
      <c r="M290" s="273"/>
      <c r="N290" s="273"/>
      <c r="O290" s="49"/>
      <c r="P290" s="50"/>
      <c r="Q290" s="50"/>
      <c r="R290" s="50"/>
      <c r="S290" s="50"/>
      <c r="T290" s="50"/>
      <c r="U290" s="50"/>
      <c r="V290" s="50"/>
      <c r="W290" s="50"/>
      <c r="BD290" s="2389"/>
    </row>
    <row r="291" spans="1:56" s="171" customFormat="1">
      <c r="C291" s="171" t="s">
        <v>155</v>
      </c>
      <c r="D291" s="349"/>
      <c r="E291" s="264">
        <v>-0.39</v>
      </c>
      <c r="F291" s="264">
        <v>-0.12</v>
      </c>
      <c r="G291" s="264">
        <v>-0.18</v>
      </c>
      <c r="H291" s="264"/>
      <c r="I291" s="49"/>
      <c r="J291" s="273"/>
      <c r="K291" s="273"/>
      <c r="L291" s="273"/>
      <c r="M291" s="273"/>
      <c r="N291" s="273"/>
      <c r="O291" s="49"/>
      <c r="P291" s="50"/>
      <c r="Q291" s="50"/>
      <c r="R291" s="50"/>
      <c r="S291" s="50"/>
      <c r="T291" s="50"/>
      <c r="U291" s="50"/>
      <c r="V291" s="50"/>
      <c r="W291" s="50"/>
      <c r="BD291" s="2389"/>
    </row>
    <row r="292" spans="1:56" s="171" customFormat="1">
      <c r="C292" s="171" t="s">
        <v>242</v>
      </c>
      <c r="D292" s="349"/>
      <c r="E292" s="264">
        <v>-0.49</v>
      </c>
      <c r="F292" s="264">
        <v>-0.28999999999999998</v>
      </c>
      <c r="G292" s="264">
        <v>-0.17</v>
      </c>
      <c r="H292" s="264"/>
      <c r="I292" s="49"/>
      <c r="J292" s="273"/>
      <c r="K292" s="273"/>
      <c r="L292" s="273"/>
      <c r="M292" s="273"/>
      <c r="N292" s="273"/>
      <c r="O292" s="49"/>
      <c r="P292" s="50"/>
      <c r="Q292" s="50"/>
      <c r="R292" s="50"/>
      <c r="S292" s="50"/>
      <c r="T292" s="50"/>
      <c r="U292" s="50"/>
      <c r="V292" s="50"/>
      <c r="W292" s="50"/>
      <c r="BD292" s="2389"/>
    </row>
    <row r="293" spans="1:56" s="171" customFormat="1">
      <c r="D293" s="349"/>
      <c r="E293" s="264"/>
      <c r="F293" s="264"/>
      <c r="G293" s="264"/>
      <c r="H293" s="264"/>
      <c r="I293" s="49"/>
      <c r="J293" s="273"/>
      <c r="K293" s="273"/>
      <c r="L293" s="273"/>
      <c r="M293" s="273"/>
      <c r="N293" s="273"/>
      <c r="O293" s="49"/>
      <c r="P293" s="50"/>
      <c r="Q293" s="50"/>
      <c r="R293" s="50"/>
      <c r="S293" s="50"/>
      <c r="T293" s="50"/>
      <c r="U293" s="50"/>
      <c r="V293" s="50"/>
      <c r="W293" s="50"/>
      <c r="BD293" s="2389"/>
    </row>
    <row r="294" spans="1:56" s="170" customFormat="1">
      <c r="A294" s="55" t="s">
        <v>35</v>
      </c>
      <c r="B294" s="65" t="s">
        <v>320</v>
      </c>
      <c r="C294" s="170" t="s">
        <v>245</v>
      </c>
      <c r="D294" s="2331"/>
      <c r="E294" s="267">
        <v>4329.7</v>
      </c>
      <c r="F294" s="267">
        <v>4454.6000000000004</v>
      </c>
      <c r="G294" s="267">
        <v>4650.84</v>
      </c>
      <c r="H294" s="267"/>
      <c r="I294" s="47"/>
      <c r="J294" s="277"/>
      <c r="K294" s="277"/>
      <c r="L294" s="277"/>
      <c r="M294" s="277"/>
      <c r="N294" s="277"/>
      <c r="O294" s="47"/>
      <c r="P294" s="48"/>
      <c r="Q294" s="48"/>
      <c r="R294" s="47" t="s">
        <v>547</v>
      </c>
      <c r="S294" s="48"/>
      <c r="W294" s="48"/>
      <c r="X294" s="48"/>
      <c r="BD294" s="2393"/>
    </row>
    <row r="295" spans="1:56" s="171" customFormat="1">
      <c r="B295" s="66"/>
      <c r="C295" s="171" t="s">
        <v>246</v>
      </c>
      <c r="D295" s="349"/>
      <c r="E295" s="264" t="s">
        <v>138</v>
      </c>
      <c r="F295" s="264" t="s">
        <v>138</v>
      </c>
      <c r="G295" s="264" t="s">
        <v>138</v>
      </c>
      <c r="H295" s="264"/>
      <c r="I295" s="49"/>
      <c r="J295" s="273"/>
      <c r="K295" s="273"/>
      <c r="L295" s="273"/>
      <c r="M295" s="273"/>
      <c r="N295" s="273"/>
      <c r="O295" s="49"/>
      <c r="Q295" s="49" t="s">
        <v>389</v>
      </c>
      <c r="R295" s="49"/>
      <c r="S295" s="49"/>
      <c r="T295" s="49"/>
      <c r="U295" s="49"/>
      <c r="V295" s="49"/>
      <c r="X295" s="50" t="s">
        <v>514</v>
      </c>
      <c r="BD295" s="2389"/>
    </row>
    <row r="296" spans="1:56" s="171" customFormat="1">
      <c r="B296" s="66"/>
      <c r="C296" s="171" t="s">
        <v>155</v>
      </c>
      <c r="D296" s="349"/>
      <c r="E296" s="264" t="s">
        <v>138</v>
      </c>
      <c r="F296" s="264" t="s">
        <v>138</v>
      </c>
      <c r="G296" s="264" t="s">
        <v>138</v>
      </c>
      <c r="H296" s="264"/>
      <c r="I296" s="49"/>
      <c r="J296" s="273"/>
      <c r="K296" s="278"/>
      <c r="L296" s="278"/>
      <c r="M296" s="278"/>
      <c r="N296" s="278"/>
      <c r="O296" s="53"/>
      <c r="P296" s="366"/>
      <c r="Q296" s="426" t="s">
        <v>844</v>
      </c>
      <c r="R296" s="808">
        <v>0.63542310031210492</v>
      </c>
      <c r="S296" s="369">
        <v>0.6328032673316385</v>
      </c>
      <c r="T296" s="369">
        <v>0.6469324142387215</v>
      </c>
      <c r="U296" s="808">
        <v>0.64573852705933155</v>
      </c>
      <c r="V296" s="808">
        <v>0.65468922888003966</v>
      </c>
      <c r="W296" s="38"/>
      <c r="X296" s="50" t="s">
        <v>247</v>
      </c>
      <c r="BD296" s="2389"/>
    </row>
    <row r="297" spans="1:56" s="171" customFormat="1">
      <c r="B297" s="66"/>
      <c r="C297" s="171" t="s">
        <v>248</v>
      </c>
      <c r="D297" s="349"/>
      <c r="E297" s="264" t="s">
        <v>138</v>
      </c>
      <c r="F297" s="264" t="s">
        <v>138</v>
      </c>
      <c r="G297" s="264" t="s">
        <v>138</v>
      </c>
      <c r="H297" s="264"/>
      <c r="I297" s="182"/>
      <c r="J297" s="273"/>
      <c r="K297" s="273"/>
      <c r="L297" s="273"/>
      <c r="M297" s="273"/>
      <c r="N297" s="273"/>
      <c r="O297" s="53"/>
      <c r="P297" s="809"/>
      <c r="Q297" s="810" t="s">
        <v>845</v>
      </c>
      <c r="R297" s="811">
        <v>0.57999999999999996</v>
      </c>
      <c r="S297" s="812">
        <v>0.61</v>
      </c>
      <c r="T297" s="812">
        <v>0.62107029932745483</v>
      </c>
      <c r="U297" s="811">
        <v>0.61517878779279156</v>
      </c>
      <c r="V297" s="811">
        <v>0.64030187496422708</v>
      </c>
      <c r="W297" s="38"/>
      <c r="X297" s="50" t="s">
        <v>516</v>
      </c>
      <c r="BD297" s="2389"/>
    </row>
    <row r="298" spans="1:56" s="171" customFormat="1">
      <c r="B298" s="66"/>
      <c r="C298" s="171" t="s">
        <v>249</v>
      </c>
      <c r="D298" s="349"/>
      <c r="E298" s="264" t="s">
        <v>138</v>
      </c>
      <c r="F298" s="264" t="s">
        <v>138</v>
      </c>
      <c r="G298" s="264" t="s">
        <v>138</v>
      </c>
      <c r="H298" s="264"/>
      <c r="I298" s="49"/>
      <c r="J298" s="273"/>
      <c r="K298" s="278"/>
      <c r="L298" s="278"/>
      <c r="M298" s="278"/>
      <c r="N298" s="278"/>
      <c r="O298" s="53"/>
      <c r="Q298" s="139" t="s">
        <v>865</v>
      </c>
      <c r="R298" s="50">
        <v>568</v>
      </c>
      <c r="S298" s="50">
        <v>1155</v>
      </c>
      <c r="T298" s="50">
        <v>1240</v>
      </c>
      <c r="U298" s="50">
        <v>1348</v>
      </c>
      <c r="V298" s="67">
        <v>1409.65272</v>
      </c>
      <c r="W298" s="38"/>
      <c r="X298" s="50" t="s">
        <v>517</v>
      </c>
      <c r="BD298" s="2389"/>
    </row>
    <row r="299" spans="1:56" s="171" customFormat="1" ht="14.4">
      <c r="B299" s="66" t="s">
        <v>66</v>
      </c>
      <c r="C299" s="171" t="s">
        <v>245</v>
      </c>
      <c r="D299" s="349"/>
      <c r="E299" s="264">
        <v>1455.44</v>
      </c>
      <c r="F299" s="264">
        <v>1527.34</v>
      </c>
      <c r="G299" s="264">
        <v>1645.39</v>
      </c>
      <c r="H299" s="264"/>
      <c r="I299" s="49"/>
      <c r="J299" s="273"/>
      <c r="K299" s="273"/>
      <c r="L299" s="273"/>
      <c r="M299" s="273"/>
      <c r="N299" s="273"/>
      <c r="O299" s="49"/>
      <c r="P299" s="39"/>
      <c r="Q299" s="139" t="s">
        <v>866</v>
      </c>
      <c r="R299" s="50">
        <v>431</v>
      </c>
      <c r="S299" s="50">
        <v>886</v>
      </c>
      <c r="T299" s="50">
        <v>899</v>
      </c>
      <c r="U299" s="50">
        <v>926</v>
      </c>
      <c r="V299" s="67">
        <v>946.68420000000003</v>
      </c>
      <c r="W299" s="38"/>
      <c r="X299" s="813" t="s">
        <v>515</v>
      </c>
      <c r="Y299" s="49"/>
      <c r="Z299" s="49"/>
      <c r="AA299" s="49"/>
      <c r="AB299" s="49" t="s">
        <v>861</v>
      </c>
      <c r="AC299" s="49"/>
      <c r="AD299" s="49"/>
      <c r="AE299" s="49"/>
      <c r="AF299" s="49"/>
      <c r="AG299" s="49"/>
      <c r="AH299" s="49"/>
      <c r="BD299" s="2389"/>
    </row>
    <row r="300" spans="1:56" s="171" customFormat="1" ht="14.4">
      <c r="C300" s="171" t="s">
        <v>246</v>
      </c>
      <c r="D300" s="349"/>
      <c r="E300" s="264" t="s">
        <v>138</v>
      </c>
      <c r="F300" s="264" t="s">
        <v>138</v>
      </c>
      <c r="G300" s="264" t="s">
        <v>138</v>
      </c>
      <c r="H300" s="264"/>
      <c r="I300" s="49"/>
      <c r="J300" s="273"/>
      <c r="K300" s="273"/>
      <c r="L300" s="273"/>
      <c r="M300" s="273"/>
      <c r="N300" s="273"/>
      <c r="O300" s="49"/>
      <c r="P300" s="710"/>
      <c r="Q300" s="426" t="s">
        <v>867</v>
      </c>
      <c r="R300" s="369">
        <f>R298/(R298+R299)</f>
        <v>0.56856856856856852</v>
      </c>
      <c r="S300" s="369">
        <f>S298/(S298+S299)</f>
        <v>0.56589906908378251</v>
      </c>
      <c r="T300" s="369">
        <f>T298/(T298+T299)</f>
        <v>0.57971014492753625</v>
      </c>
      <c r="U300" s="369">
        <f>U298/(U298+U299)</f>
        <v>0.59278803869832897</v>
      </c>
      <c r="V300" s="369">
        <f>V298/(V298+V299)</f>
        <v>0.59823903281199697</v>
      </c>
      <c r="W300" s="38"/>
      <c r="X300" s="49" t="s">
        <v>863</v>
      </c>
      <c r="BD300" s="2389"/>
    </row>
    <row r="301" spans="1:56" s="171" customFormat="1">
      <c r="C301" s="171" t="s">
        <v>155</v>
      </c>
      <c r="D301" s="349"/>
      <c r="E301" s="264" t="s">
        <v>138</v>
      </c>
      <c r="F301" s="264" t="s">
        <v>138</v>
      </c>
      <c r="G301" s="264" t="s">
        <v>138</v>
      </c>
      <c r="H301" s="264"/>
      <c r="I301" s="837" t="s">
        <v>967</v>
      </c>
      <c r="J301" s="875"/>
      <c r="K301" s="875"/>
      <c r="L301" s="875"/>
      <c r="M301" s="875"/>
      <c r="N301" s="875"/>
      <c r="O301" s="49"/>
      <c r="P301" s="380"/>
      <c r="Q301" s="382" t="s">
        <v>862</v>
      </c>
      <c r="R301" s="807">
        <v>0.11440467797553636</v>
      </c>
      <c r="S301" s="806">
        <v>0.11213320942701904</v>
      </c>
      <c r="T301" s="806">
        <v>9.978434242650662E-2</v>
      </c>
      <c r="U301" s="807">
        <v>9.3779220739473215E-2</v>
      </c>
      <c r="V301" s="807">
        <v>7.8903866830953892E-2</v>
      </c>
      <c r="W301" s="38"/>
      <c r="X301" s="49" t="s">
        <v>869</v>
      </c>
      <c r="BD301" s="2389"/>
    </row>
    <row r="302" spans="1:56" s="171" customFormat="1" ht="14.4">
      <c r="C302" s="171" t="s">
        <v>248</v>
      </c>
      <c r="D302" s="349"/>
      <c r="E302" s="264" t="s">
        <v>138</v>
      </c>
      <c r="F302" s="264" t="s">
        <v>138</v>
      </c>
      <c r="G302" s="264" t="s">
        <v>138</v>
      </c>
      <c r="H302" s="264"/>
      <c r="I302" s="837" t="s">
        <v>968</v>
      </c>
      <c r="J302" s="273"/>
      <c r="K302" s="273"/>
      <c r="L302" s="273"/>
      <c r="M302" s="273"/>
      <c r="N302" s="273"/>
      <c r="O302" s="49"/>
      <c r="P302" s="710"/>
      <c r="Q302" s="426" t="s">
        <v>868</v>
      </c>
      <c r="R302" s="369">
        <f>R300/(1+R301)</f>
        <v>0.51019937353587619</v>
      </c>
      <c r="S302" s="369">
        <f>S300/(1+S301)</f>
        <v>0.50884108512085413</v>
      </c>
      <c r="T302" s="369">
        <f>T300/(1+T301)</f>
        <v>0.52711256431283082</v>
      </c>
      <c r="U302" s="369">
        <f>U300/(1+U301)</f>
        <v>0.54196315623692481</v>
      </c>
      <c r="V302" s="369">
        <f>V300/(1+V301)</f>
        <v>0.5544878011876947</v>
      </c>
      <c r="W302" s="38"/>
      <c r="X302" s="49" t="s">
        <v>864</v>
      </c>
      <c r="BD302" s="2389"/>
    </row>
    <row r="303" spans="1:56" s="171" customFormat="1">
      <c r="C303" s="171" t="s">
        <v>249</v>
      </c>
      <c r="D303" s="349"/>
      <c r="E303" s="264" t="s">
        <v>138</v>
      </c>
      <c r="F303" s="264" t="s">
        <v>138</v>
      </c>
      <c r="G303" s="264" t="s">
        <v>138</v>
      </c>
      <c r="H303" s="264"/>
      <c r="I303" s="837" t="s">
        <v>960</v>
      </c>
      <c r="J303" s="273"/>
      <c r="K303" s="273"/>
      <c r="L303" s="273"/>
      <c r="M303" s="273"/>
      <c r="N303" s="273"/>
      <c r="O303" s="49"/>
      <c r="W303" s="38"/>
      <c r="X303" s="49" t="s">
        <v>969</v>
      </c>
      <c r="BD303" s="2389"/>
    </row>
    <row r="304" spans="1:56" s="171" customFormat="1" ht="14.4">
      <c r="D304" s="349"/>
      <c r="E304" s="264"/>
      <c r="F304" s="264"/>
      <c r="G304" s="264"/>
      <c r="H304" s="264"/>
      <c r="I304" s="49"/>
      <c r="J304" s="273"/>
      <c r="K304" s="273"/>
      <c r="L304" s="273"/>
      <c r="M304" s="273"/>
      <c r="N304" s="273"/>
      <c r="O304" s="49"/>
      <c r="P304" s="39"/>
      <c r="Q304" s="182" t="s">
        <v>381</v>
      </c>
      <c r="R304" s="38"/>
      <c r="S304" s="38"/>
      <c r="T304" s="38"/>
      <c r="U304" s="38"/>
      <c r="V304" s="38"/>
      <c r="W304" s="38"/>
      <c r="X304" s="49" t="s">
        <v>959</v>
      </c>
      <c r="BD304" s="2389"/>
    </row>
    <row r="305" spans="2:56" s="171" customFormat="1">
      <c r="B305" s="804" t="s">
        <v>370</v>
      </c>
      <c r="C305" s="804" t="s">
        <v>553</v>
      </c>
      <c r="D305" s="2340"/>
      <c r="E305" s="264" t="s">
        <v>138</v>
      </c>
      <c r="F305" s="264" t="s">
        <v>138</v>
      </c>
      <c r="G305" s="264" t="s">
        <v>138</v>
      </c>
      <c r="H305" s="264">
        <v>63.28</v>
      </c>
      <c r="I305" s="851" t="s">
        <v>373</v>
      </c>
      <c r="J305" s="776">
        <f>$H$305/100/$V$318*R318</f>
        <v>0.5981133158250882</v>
      </c>
      <c r="K305" s="776">
        <f>$H$305/100/$V$318*S318</f>
        <v>0.5997848900947319</v>
      </c>
      <c r="L305" s="776">
        <f>$H$305/100/$V$318*T318</f>
        <v>0.61298310621604546</v>
      </c>
      <c r="M305" s="776">
        <f>$H$305/100/$V$318*U318</f>
        <v>0.6291371778838869</v>
      </c>
      <c r="N305" s="776">
        <f>$H$305/100/$V$318*V318</f>
        <v>0.63280000000000003</v>
      </c>
      <c r="O305" s="49"/>
      <c r="P305" s="378"/>
      <c r="Q305" s="382" t="s">
        <v>856</v>
      </c>
      <c r="R305" s="807">
        <v>9.390565087487851E-2</v>
      </c>
      <c r="S305" s="806">
        <v>0.106499183431858</v>
      </c>
      <c r="T305" s="806">
        <v>0.11603445693755086</v>
      </c>
      <c r="U305" s="806">
        <v>0.11895697396254699</v>
      </c>
      <c r="V305" s="807">
        <v>0.12560874737101885</v>
      </c>
      <c r="X305" s="49" t="s">
        <v>962</v>
      </c>
      <c r="BD305" s="2389"/>
    </row>
    <row r="306" spans="2:56" s="171" customFormat="1">
      <c r="C306" s="804" t="s">
        <v>554</v>
      </c>
      <c r="D306" s="2340"/>
      <c r="E306" s="264" t="s">
        <v>138</v>
      </c>
      <c r="F306" s="264" t="s">
        <v>138</v>
      </c>
      <c r="G306" s="264" t="s">
        <v>138</v>
      </c>
      <c r="H306" s="264">
        <v>37.72</v>
      </c>
      <c r="I306" s="49"/>
      <c r="J306" s="273"/>
      <c r="K306" s="273"/>
      <c r="L306" s="273"/>
      <c r="M306" s="273"/>
      <c r="N306" s="273"/>
      <c r="O306" s="49"/>
      <c r="P306" s="50"/>
      <c r="Q306" s="182" t="s">
        <v>865</v>
      </c>
      <c r="R306" s="64">
        <v>336.91653401820605</v>
      </c>
      <c r="S306" s="64">
        <v>395.00864657448443</v>
      </c>
      <c r="T306" s="64">
        <v>465.35630905500778</v>
      </c>
      <c r="U306" s="64"/>
      <c r="V306" s="64"/>
      <c r="W306" s="38"/>
      <c r="X306" s="49" t="s">
        <v>970</v>
      </c>
      <c r="BD306" s="2389"/>
    </row>
    <row r="307" spans="2:56" s="171" customFormat="1" ht="14.4">
      <c r="C307" s="804"/>
      <c r="D307" s="2340"/>
      <c r="E307" s="264"/>
      <c r="F307" s="264"/>
      <c r="G307" s="264"/>
      <c r="H307" s="264"/>
      <c r="I307" s="49"/>
      <c r="J307" s="273"/>
      <c r="K307" s="273"/>
      <c r="L307" s="273"/>
      <c r="M307" s="273"/>
      <c r="N307" s="273"/>
      <c r="O307" s="49"/>
      <c r="P307" s="39"/>
      <c r="Q307" s="182" t="s">
        <v>866</v>
      </c>
      <c r="R307" s="64">
        <v>21.78499768677294</v>
      </c>
      <c r="S307" s="64">
        <v>20.525796365153941</v>
      </c>
      <c r="T307" s="64">
        <v>16.972265614545506</v>
      </c>
      <c r="U307" s="64"/>
      <c r="V307" s="64"/>
      <c r="W307" s="38"/>
      <c r="X307" s="837" t="s">
        <v>961</v>
      </c>
      <c r="BD307" s="2389"/>
    </row>
    <row r="308" spans="2:56" s="171" customFormat="1" ht="14.4">
      <c r="C308" s="804"/>
      <c r="D308" s="2340"/>
      <c r="E308" s="264"/>
      <c r="F308" s="264"/>
      <c r="G308" s="264"/>
      <c r="H308" s="264"/>
      <c r="I308" s="49"/>
      <c r="J308" s="273"/>
      <c r="K308" s="273"/>
      <c r="L308" s="273"/>
      <c r="M308" s="273"/>
      <c r="N308" s="273"/>
      <c r="O308" s="49"/>
      <c r="P308" s="710"/>
      <c r="Q308" s="426" t="s">
        <v>857</v>
      </c>
      <c r="R308" s="369">
        <f>R306/(R306+R307)</f>
        <v>0.93926706255413916</v>
      </c>
      <c r="S308" s="369">
        <f>S306/(S306+S307)</f>
        <v>0.9506038627750153</v>
      </c>
      <c r="T308" s="369">
        <f>T306/(T306+T307)</f>
        <v>0.96481181811346484</v>
      </c>
      <c r="U308" s="369">
        <v>1</v>
      </c>
      <c r="V308" s="369">
        <v>1</v>
      </c>
      <c r="W308" s="38"/>
      <c r="X308" s="50"/>
      <c r="BD308" s="2389"/>
    </row>
    <row r="309" spans="2:56" s="171" customFormat="1" ht="14.4">
      <c r="C309" s="804"/>
      <c r="D309" s="2340"/>
      <c r="E309" s="264"/>
      <c r="F309" s="264"/>
      <c r="G309" s="264"/>
      <c r="H309" s="264"/>
      <c r="I309" s="49"/>
      <c r="J309" s="273"/>
      <c r="K309" s="273"/>
      <c r="L309" s="273"/>
      <c r="M309" s="273"/>
      <c r="N309" s="273"/>
      <c r="O309" s="49"/>
      <c r="P309" s="39"/>
      <c r="Q309" s="182"/>
      <c r="R309" s="53"/>
      <c r="S309" s="53"/>
      <c r="T309" s="53"/>
      <c r="U309" s="53"/>
      <c r="V309" s="53"/>
      <c r="W309" s="38"/>
      <c r="X309" s="50"/>
      <c r="BD309" s="2389"/>
    </row>
    <row r="310" spans="2:56" s="171" customFormat="1" ht="14.4">
      <c r="C310" s="804"/>
      <c r="D310" s="2340"/>
      <c r="E310" s="264"/>
      <c r="F310" s="264"/>
      <c r="G310" s="264"/>
      <c r="H310" s="264"/>
      <c r="I310" s="49"/>
      <c r="J310" s="273"/>
      <c r="K310" s="273"/>
      <c r="L310" s="273"/>
      <c r="M310" s="273"/>
      <c r="N310" s="273"/>
      <c r="O310" s="49"/>
      <c r="P310" s="39"/>
      <c r="Q310" s="182" t="s">
        <v>858</v>
      </c>
      <c r="R310" s="38"/>
      <c r="S310" s="38"/>
      <c r="T310" s="38"/>
      <c r="U310" s="38"/>
      <c r="V310" s="38"/>
      <c r="W310" s="38"/>
      <c r="X310" s="50"/>
      <c r="BD310" s="2389"/>
    </row>
    <row r="311" spans="2:56" s="171" customFormat="1">
      <c r="C311" s="804"/>
      <c r="D311" s="2340"/>
      <c r="E311" s="264"/>
      <c r="F311" s="264"/>
      <c r="G311" s="264"/>
      <c r="H311" s="264"/>
      <c r="I311" s="49"/>
      <c r="J311" s="273"/>
      <c r="K311" s="273"/>
      <c r="L311" s="273"/>
      <c r="M311" s="273"/>
      <c r="N311" s="273"/>
      <c r="O311" s="49"/>
      <c r="P311" s="378"/>
      <c r="Q311" s="382" t="s">
        <v>859</v>
      </c>
      <c r="R311" s="807">
        <v>8.9844122675406479E-2</v>
      </c>
      <c r="S311" s="806">
        <v>9.5446002069131397E-2</v>
      </c>
      <c r="T311" s="806">
        <v>9.2514869855491108E-2</v>
      </c>
      <c r="U311" s="806">
        <v>9.523794927450592E-2</v>
      </c>
      <c r="V311" s="807">
        <v>9.7463281618521497E-2</v>
      </c>
      <c r="X311" s="50"/>
      <c r="BD311" s="2389"/>
    </row>
    <row r="312" spans="2:56" s="171" customFormat="1">
      <c r="C312" s="804"/>
      <c r="D312" s="2340"/>
      <c r="E312" s="264"/>
      <c r="F312" s="264"/>
      <c r="G312" s="264"/>
      <c r="H312" s="264"/>
      <c r="I312" s="837"/>
      <c r="J312" s="273"/>
      <c r="K312" s="273"/>
      <c r="L312" s="273"/>
      <c r="M312" s="273"/>
      <c r="N312" s="273"/>
      <c r="O312" s="49"/>
      <c r="Q312" s="182" t="s">
        <v>865</v>
      </c>
      <c r="R312" s="64">
        <v>266.77682990327025</v>
      </c>
      <c r="S312" s="64">
        <v>290.15408188292167</v>
      </c>
      <c r="T312" s="64">
        <v>314.14418437910911</v>
      </c>
      <c r="U312" s="64"/>
      <c r="V312" s="64"/>
      <c r="W312" s="38"/>
      <c r="X312" s="50"/>
      <c r="BD312" s="2389"/>
    </row>
    <row r="313" spans="2:56" s="171" customFormat="1" ht="14.4">
      <c r="C313" s="804"/>
      <c r="D313" s="2340"/>
      <c r="E313" s="264"/>
      <c r="F313" s="264"/>
      <c r="G313" s="264"/>
      <c r="H313" s="264"/>
      <c r="I313" s="837"/>
      <c r="J313" s="273"/>
      <c r="K313" s="273"/>
      <c r="L313" s="273"/>
      <c r="M313" s="273"/>
      <c r="N313" s="273"/>
      <c r="O313" s="49"/>
      <c r="P313" s="39"/>
      <c r="Q313" s="182" t="s">
        <v>866</v>
      </c>
      <c r="R313" s="64">
        <v>47.441747139609291</v>
      </c>
      <c r="S313" s="64">
        <v>43.968276439477805</v>
      </c>
      <c r="T313" s="64">
        <v>13.622000694321621</v>
      </c>
      <c r="U313" s="64"/>
      <c r="V313" s="64"/>
      <c r="W313" s="38"/>
      <c r="X313" s="50"/>
      <c r="BD313" s="2389"/>
    </row>
    <row r="314" spans="2:56" s="171" customFormat="1" ht="14.4">
      <c r="C314" s="804"/>
      <c r="D314" s="2340"/>
      <c r="E314" s="264"/>
      <c r="F314" s="264"/>
      <c r="G314" s="264"/>
      <c r="H314" s="264"/>
      <c r="I314" s="837"/>
      <c r="J314" s="273"/>
      <c r="K314" s="273"/>
      <c r="L314" s="273"/>
      <c r="M314" s="273"/>
      <c r="N314" s="273"/>
      <c r="O314" s="49"/>
      <c r="P314" s="710"/>
      <c r="Q314" s="426" t="s">
        <v>860</v>
      </c>
      <c r="R314" s="369">
        <f>R312/(R312+R313)</f>
        <v>0.84901673355507823</v>
      </c>
      <c r="S314" s="369">
        <f>S312/(S312+S313)</f>
        <v>0.86840666197784899</v>
      </c>
      <c r="T314" s="369">
        <f>T312/(T312+T313)</f>
        <v>0.95843988393351243</v>
      </c>
      <c r="U314" s="369">
        <v>1</v>
      </c>
      <c r="V314" s="369">
        <v>1</v>
      </c>
      <c r="W314" s="38"/>
      <c r="X314" s="50"/>
      <c r="BD314" s="2389"/>
    </row>
    <row r="315" spans="2:56" s="171" customFormat="1" ht="14.4">
      <c r="C315" s="804"/>
      <c r="D315" s="2340"/>
      <c r="E315" s="264"/>
      <c r="F315" s="264"/>
      <c r="G315" s="264"/>
      <c r="H315" s="264"/>
      <c r="I315" s="837"/>
      <c r="J315" s="273"/>
      <c r="K315" s="273"/>
      <c r="L315" s="273"/>
      <c r="M315" s="273"/>
      <c r="N315" s="273"/>
      <c r="O315" s="49"/>
      <c r="P315" s="39"/>
      <c r="Q315" s="182"/>
      <c r="R315" s="53"/>
      <c r="S315" s="53"/>
      <c r="T315" s="53"/>
      <c r="U315" s="53"/>
      <c r="V315" s="53"/>
      <c r="W315" s="38"/>
      <c r="X315" s="50"/>
      <c r="BD315" s="2389"/>
    </row>
    <row r="316" spans="2:56" s="171" customFormat="1" ht="14.4">
      <c r="C316" s="804"/>
      <c r="D316" s="2340"/>
      <c r="E316" s="264"/>
      <c r="F316" s="264"/>
      <c r="G316" s="264"/>
      <c r="H316" s="264"/>
      <c r="I316" s="837"/>
      <c r="J316" s="273"/>
      <c r="K316" s="273"/>
      <c r="L316" s="273"/>
      <c r="M316" s="273"/>
      <c r="N316" s="273"/>
      <c r="O316" s="49"/>
      <c r="P316" s="805"/>
      <c r="Q316" s="382" t="s">
        <v>870</v>
      </c>
      <c r="R316" s="806">
        <f>1-(R296+R305+R311)</f>
        <v>0.18082712613760998</v>
      </c>
      <c r="S316" s="806">
        <f>1-(S296+S305+S311)</f>
        <v>0.16525154716737211</v>
      </c>
      <c r="T316" s="806">
        <f>1-(T296+T305+T311)</f>
        <v>0.14451825896823656</v>
      </c>
      <c r="U316" s="806">
        <f>1-(U296+U305+U311)</f>
        <v>0.14006654970361554</v>
      </c>
      <c r="V316" s="806">
        <f>1-(V296+V305+V311)</f>
        <v>0.12223874213042007</v>
      </c>
      <c r="W316" s="38"/>
      <c r="X316" s="49" t="s">
        <v>971</v>
      </c>
      <c r="BD316" s="2389"/>
    </row>
    <row r="317" spans="2:56" s="171" customFormat="1" ht="14.4">
      <c r="C317" s="804"/>
      <c r="D317" s="2340"/>
      <c r="E317" s="264"/>
      <c r="F317" s="264"/>
      <c r="G317" s="264"/>
      <c r="H317" s="264"/>
      <c r="I317" s="837"/>
      <c r="J317" s="273"/>
      <c r="K317" s="273"/>
      <c r="L317" s="273"/>
      <c r="M317" s="273"/>
      <c r="N317" s="273"/>
      <c r="O317" s="49"/>
      <c r="P317" s="39"/>
      <c r="Q317" s="182"/>
      <c r="R317" s="53"/>
      <c r="S317" s="53"/>
      <c r="T317" s="53"/>
      <c r="U317" s="53"/>
      <c r="V317" s="53"/>
      <c r="W317" s="38"/>
      <c r="X317" s="49"/>
      <c r="BD317" s="2389"/>
    </row>
    <row r="318" spans="2:56" s="171" customFormat="1" ht="14.4">
      <c r="C318" s="804"/>
      <c r="D318" s="2340"/>
      <c r="E318" s="264"/>
      <c r="F318" s="264"/>
      <c r="G318" s="264"/>
      <c r="H318" s="264"/>
      <c r="I318" s="837"/>
      <c r="J318" s="273"/>
      <c r="K318" s="273"/>
      <c r="L318" s="273"/>
      <c r="M318" s="273"/>
      <c r="N318" s="273"/>
      <c r="O318" s="49"/>
      <c r="P318" s="814"/>
      <c r="Q318" s="382" t="s">
        <v>373</v>
      </c>
      <c r="R318" s="806">
        <f>R302*R296+R308*R305+R314*R311+R316</f>
        <v>0.66950124226454721</v>
      </c>
      <c r="S318" s="806">
        <f>S302*S296+S308*S305+S314*S311+S316</f>
        <v>0.67137232759311938</v>
      </c>
      <c r="T318" s="806">
        <f>T302*T296+T308*T305+T314*T311+T316</f>
        <v>0.68614581926284746</v>
      </c>
      <c r="U318" s="806">
        <f>U302*U296+U308*U305+U314*U311+U316</f>
        <v>0.70422796316952674</v>
      </c>
      <c r="V318" s="806">
        <f>V302*V296+V308*V305+V314*V311+V316</f>
        <v>0.70832796210292104</v>
      </c>
      <c r="W318" s="38"/>
      <c r="X318" s="49"/>
      <c r="BD318" s="2389"/>
    </row>
    <row r="319" spans="2:56" s="171" customFormat="1" ht="14.4">
      <c r="C319" s="804"/>
      <c r="D319" s="2340"/>
      <c r="E319" s="264"/>
      <c r="F319" s="264"/>
      <c r="G319" s="264"/>
      <c r="H319" s="264"/>
      <c r="I319" s="182"/>
      <c r="J319" s="802"/>
      <c r="K319" s="802"/>
      <c r="L319" s="802"/>
      <c r="M319" s="802"/>
      <c r="N319" s="802"/>
      <c r="O319" s="49"/>
      <c r="P319" s="39"/>
      <c r="Q319" s="182" t="s">
        <v>871</v>
      </c>
      <c r="R319" s="53">
        <f>1-R318</f>
        <v>0.33049875773545279</v>
      </c>
      <c r="S319" s="53">
        <f>1-S318</f>
        <v>0.32862767240688062</v>
      </c>
      <c r="T319" s="53">
        <f>1-T318</f>
        <v>0.31385418073715254</v>
      </c>
      <c r="U319" s="53">
        <f>1-U318</f>
        <v>0.29577203683047326</v>
      </c>
      <c r="V319" s="53">
        <f>1-V318</f>
        <v>0.29167203789707896</v>
      </c>
      <c r="W319" s="38"/>
      <c r="X319" s="49"/>
      <c r="BD319" s="2389"/>
    </row>
    <row r="320" spans="2:56" s="171" customFormat="1" ht="14.4">
      <c r="C320" s="804"/>
      <c r="D320" s="2340"/>
      <c r="E320" s="264"/>
      <c r="F320" s="264"/>
      <c r="G320" s="264"/>
      <c r="H320" s="264"/>
      <c r="I320" s="304"/>
      <c r="J320" s="264"/>
      <c r="K320" s="264"/>
      <c r="L320" s="264"/>
      <c r="M320" s="264"/>
      <c r="N320" s="264"/>
      <c r="O320" s="49"/>
      <c r="P320" s="39"/>
      <c r="Q320" s="182"/>
      <c r="R320" s="53"/>
      <c r="S320" s="53"/>
      <c r="T320" s="53"/>
      <c r="U320" s="53"/>
      <c r="V320" s="53"/>
      <c r="W320" s="38"/>
      <c r="X320" s="49"/>
      <c r="BD320" s="2389"/>
    </row>
    <row r="321" spans="1:56" s="171" customFormat="1">
      <c r="D321" s="349"/>
      <c r="E321" s="264"/>
      <c r="F321" s="264"/>
      <c r="G321" s="264"/>
      <c r="H321" s="264"/>
      <c r="I321" s="49"/>
      <c r="J321" s="273"/>
      <c r="K321" s="273"/>
      <c r="L321" s="273"/>
      <c r="M321" s="273"/>
      <c r="N321" s="273"/>
      <c r="O321" s="49"/>
      <c r="P321" s="50"/>
      <c r="R321" s="50"/>
      <c r="S321" s="50"/>
      <c r="T321" s="50"/>
      <c r="U321" s="50"/>
      <c r="V321" s="50"/>
      <c r="W321" s="50"/>
      <c r="BD321" s="2389"/>
    </row>
    <row r="322" spans="1:56" s="170" customFormat="1">
      <c r="A322" s="55" t="s">
        <v>39</v>
      </c>
      <c r="B322" s="179" t="s">
        <v>370</v>
      </c>
      <c r="C322" s="251" t="s">
        <v>525</v>
      </c>
      <c r="D322" s="2341"/>
      <c r="E322" s="267">
        <v>26.8</v>
      </c>
      <c r="F322" s="267">
        <v>26.72</v>
      </c>
      <c r="G322" s="267">
        <v>27.29</v>
      </c>
      <c r="H322" s="267">
        <v>27.76</v>
      </c>
      <c r="I322" s="309"/>
      <c r="J322" s="277"/>
      <c r="K322" s="277"/>
      <c r="L322" s="277"/>
      <c r="M322" s="277"/>
      <c r="N322" s="277"/>
      <c r="P322" s="48"/>
      <c r="Q322" s="305" t="s">
        <v>320</v>
      </c>
      <c r="R322" s="47" t="s">
        <v>547</v>
      </c>
      <c r="T322" s="48"/>
      <c r="U322" s="48"/>
      <c r="V322" s="48"/>
      <c r="X322" s="48" t="s">
        <v>616</v>
      </c>
      <c r="BD322" s="2393"/>
    </row>
    <row r="323" spans="1:56" s="171" customFormat="1">
      <c r="C323" s="248" t="s">
        <v>164</v>
      </c>
      <c r="D323" s="2342"/>
      <c r="E323" s="264">
        <v>26.16</v>
      </c>
      <c r="F323" s="264">
        <v>28.58</v>
      </c>
      <c r="G323" s="264">
        <v>28.97</v>
      </c>
      <c r="H323" s="264">
        <v>28.21</v>
      </c>
      <c r="I323" s="349"/>
      <c r="J323" s="273" t="s">
        <v>620</v>
      </c>
      <c r="K323" s="264"/>
      <c r="L323" s="273"/>
      <c r="M323" s="273"/>
      <c r="N323" s="273"/>
      <c r="P323" s="366"/>
      <c r="Q323" s="365" t="s">
        <v>250</v>
      </c>
      <c r="R323" s="367">
        <v>2081</v>
      </c>
      <c r="S323" s="367">
        <v>4638</v>
      </c>
      <c r="T323" s="367">
        <v>5171</v>
      </c>
      <c r="U323" s="367"/>
      <c r="V323" s="367"/>
      <c r="BD323" s="2389"/>
    </row>
    <row r="324" spans="1:56" s="171" customFormat="1">
      <c r="C324" s="248" t="s">
        <v>174</v>
      </c>
      <c r="D324" s="2342"/>
      <c r="E324" s="264">
        <v>17.46</v>
      </c>
      <c r="F324" s="264">
        <v>19.34</v>
      </c>
      <c r="G324" s="264">
        <v>21.33</v>
      </c>
      <c r="H324" s="264">
        <v>23.4</v>
      </c>
      <c r="I324" s="182" t="s">
        <v>373</v>
      </c>
      <c r="J324" s="348"/>
      <c r="K324" s="326">
        <f>E323/$AB$1/E328</f>
        <v>0.2645363535241177</v>
      </c>
      <c r="L324" s="326">
        <f>F323/$AB$1/F328</f>
        <v>0.28892033966841896</v>
      </c>
      <c r="M324" s="326">
        <f>G323/$AB$1/G328</f>
        <v>0.29327799149625433</v>
      </c>
      <c r="N324" s="326">
        <f>H323/$AB$1/H328</f>
        <v>0.28587353060397241</v>
      </c>
      <c r="Q324" s="139" t="s">
        <v>251</v>
      </c>
      <c r="R324" s="50">
        <v>3007</v>
      </c>
      <c r="S324" s="50">
        <v>6903</v>
      </c>
      <c r="T324" s="50">
        <v>7621</v>
      </c>
      <c r="U324" s="50"/>
      <c r="V324" s="50"/>
      <c r="X324" s="49"/>
      <c r="BD324" s="2389"/>
    </row>
    <row r="325" spans="1:56" s="171" customFormat="1">
      <c r="C325" s="248" t="s">
        <v>526</v>
      </c>
      <c r="D325" s="2342"/>
      <c r="E325" s="264">
        <v>14.76</v>
      </c>
      <c r="F325" s="264">
        <v>13.41</v>
      </c>
      <c r="G325" s="264">
        <v>12.29</v>
      </c>
      <c r="H325" s="264">
        <v>10.43</v>
      </c>
      <c r="I325" s="182"/>
      <c r="J325" s="351"/>
      <c r="K325" s="351"/>
      <c r="L325" s="351"/>
      <c r="M325" s="351"/>
      <c r="N325" s="352"/>
      <c r="Q325" s="139" t="s">
        <v>252</v>
      </c>
      <c r="R325" s="50">
        <v>3532</v>
      </c>
      <c r="S325" s="50">
        <v>7214</v>
      </c>
      <c r="T325" s="50">
        <v>7139</v>
      </c>
      <c r="U325" s="50"/>
      <c r="V325" s="50"/>
      <c r="BD325" s="2389"/>
    </row>
    <row r="326" spans="1:56" s="171" customFormat="1">
      <c r="C326" s="248" t="s">
        <v>527</v>
      </c>
      <c r="D326" s="2342"/>
      <c r="E326" s="264">
        <v>13.71</v>
      </c>
      <c r="F326" s="264">
        <v>10.87</v>
      </c>
      <c r="G326" s="264">
        <v>8.9</v>
      </c>
      <c r="H326" s="264">
        <v>8.8800000000000008</v>
      </c>
      <c r="J326" s="273" t="s">
        <v>613</v>
      </c>
      <c r="K326" s="264"/>
      <c r="L326" s="264"/>
      <c r="M326" s="264"/>
      <c r="N326" s="264"/>
      <c r="Q326" s="139" t="s">
        <v>253</v>
      </c>
      <c r="R326" s="50">
        <v>1731</v>
      </c>
      <c r="S326" s="50">
        <v>3523</v>
      </c>
      <c r="T326" s="50">
        <v>2949</v>
      </c>
      <c r="U326" s="50"/>
      <c r="V326" s="50"/>
      <c r="BD326" s="2389"/>
    </row>
    <row r="327" spans="1:56" s="171" customFormat="1">
      <c r="C327" s="248" t="s">
        <v>528</v>
      </c>
      <c r="D327" s="2342"/>
      <c r="E327" s="264"/>
      <c r="F327" s="264"/>
      <c r="G327" s="264"/>
      <c r="H327" s="264"/>
      <c r="I327" s="851" t="s">
        <v>373</v>
      </c>
      <c r="J327" s="776">
        <f>R331</f>
        <v>0.28165979767703259</v>
      </c>
      <c r="K327" s="876">
        <f>E323/SUM(E322:E325)</f>
        <v>0.3071143460906316</v>
      </c>
      <c r="L327" s="876">
        <f>F323/SUM(F322:F325)</f>
        <v>0.32458830210107892</v>
      </c>
      <c r="M327" s="833">
        <f>G323/SUM(G322:G325)</f>
        <v>0.32231864708500224</v>
      </c>
      <c r="N327" s="833">
        <f>H323/SUM(H322:H325)</f>
        <v>0.3141425389755011</v>
      </c>
      <c r="Q327" s="139" t="s">
        <v>615</v>
      </c>
      <c r="R327" s="50">
        <v>30</v>
      </c>
      <c r="S327" s="50">
        <v>62</v>
      </c>
      <c r="T327" s="50">
        <v>63</v>
      </c>
      <c r="U327" s="50"/>
      <c r="V327" s="50"/>
      <c r="X327" s="49" t="s">
        <v>952</v>
      </c>
      <c r="BD327" s="2389"/>
    </row>
    <row r="328" spans="1:56" s="171" customFormat="1">
      <c r="D328" s="349"/>
      <c r="E328" s="316">
        <f>SUM(E322:E326)/100</f>
        <v>0.98890000000000011</v>
      </c>
      <c r="F328" s="316">
        <f>SUM(F322:F326)/100</f>
        <v>0.98919999999999997</v>
      </c>
      <c r="G328" s="316">
        <f>SUM(G322:G326)/100</f>
        <v>0.98780000000000001</v>
      </c>
      <c r="H328" s="316">
        <f>SUM(H322:H326)/100</f>
        <v>0.98680000000000012</v>
      </c>
      <c r="J328" s="273" t="s">
        <v>536</v>
      </c>
      <c r="K328" s="273"/>
      <c r="L328" s="273"/>
      <c r="M328" s="273"/>
      <c r="N328" s="273"/>
      <c r="Q328" s="139" t="s">
        <v>526</v>
      </c>
      <c r="R328" s="50">
        <v>2056</v>
      </c>
      <c r="S328" s="50">
        <v>3894</v>
      </c>
      <c r="T328" s="50">
        <v>3555</v>
      </c>
      <c r="U328" s="50"/>
      <c r="V328" s="50"/>
      <c r="X328" s="50"/>
      <c r="BD328" s="2389"/>
    </row>
    <row r="329" spans="1:56" s="171" customFormat="1">
      <c r="D329" s="349"/>
      <c r="E329" s="264"/>
      <c r="F329" s="264"/>
      <c r="G329" s="264"/>
      <c r="H329" s="264"/>
      <c r="I329" s="182"/>
      <c r="J329" s="273" t="s">
        <v>621</v>
      </c>
      <c r="K329" s="273"/>
      <c r="L329" s="273"/>
      <c r="M329" s="273"/>
      <c r="N329" s="273"/>
      <c r="O329" s="49"/>
      <c r="Q329" s="139" t="s">
        <v>155</v>
      </c>
      <c r="R329" s="50">
        <v>535</v>
      </c>
      <c r="S329" s="50">
        <v>641</v>
      </c>
      <c r="T329" s="50">
        <v>551</v>
      </c>
      <c r="U329" s="50"/>
      <c r="V329" s="50"/>
      <c r="X329" s="49"/>
      <c r="BD329" s="2389"/>
    </row>
    <row r="330" spans="1:56" s="171" customFormat="1">
      <c r="D330" s="349"/>
      <c r="E330" s="264"/>
      <c r="F330" s="264"/>
      <c r="G330" s="264"/>
      <c r="H330" s="264"/>
      <c r="I330" s="184"/>
      <c r="J330" s="273" t="s">
        <v>953</v>
      </c>
      <c r="K330" s="273"/>
      <c r="L330" s="273"/>
      <c r="M330" s="273"/>
      <c r="N330" s="273"/>
      <c r="O330" s="49"/>
      <c r="P330" s="367"/>
      <c r="Q330" s="367" t="s">
        <v>617</v>
      </c>
      <c r="R330" s="367">
        <f>R323+R324+R325+R328</f>
        <v>10676</v>
      </c>
      <c r="S330" s="367">
        <f>S323+S324+S325+S328</f>
        <v>22649</v>
      </c>
      <c r="T330" s="367">
        <f>T323+T324+T325+T328</f>
        <v>23486</v>
      </c>
      <c r="U330" s="367"/>
      <c r="V330" s="367"/>
      <c r="X330" s="49" t="s">
        <v>618</v>
      </c>
      <c r="BD330" s="2389"/>
    </row>
    <row r="331" spans="1:56" s="171" customFormat="1">
      <c r="D331" s="349"/>
      <c r="E331" s="264"/>
      <c r="F331" s="264"/>
      <c r="G331" s="264"/>
      <c r="H331" s="264"/>
      <c r="I331" s="184"/>
      <c r="J331" s="273"/>
      <c r="K331" s="273"/>
      <c r="L331" s="273"/>
      <c r="M331" s="273"/>
      <c r="N331" s="273"/>
      <c r="O331" s="49"/>
      <c r="P331" s="50"/>
      <c r="Q331" s="50"/>
      <c r="R331" s="38">
        <f>R324/R330</f>
        <v>0.28165979767703259</v>
      </c>
      <c r="S331" s="353">
        <f>S324/S330</f>
        <v>0.30478166806481521</v>
      </c>
      <c r="T331" s="353">
        <f>T324/T330</f>
        <v>0.32449118623861023</v>
      </c>
      <c r="U331" s="353"/>
      <c r="V331" s="353"/>
      <c r="W331" s="50"/>
      <c r="X331" s="49"/>
      <c r="BD331" s="2389"/>
    </row>
    <row r="332" spans="1:56" s="171" customFormat="1">
      <c r="D332" s="349"/>
      <c r="E332" s="264"/>
      <c r="F332" s="264"/>
      <c r="G332" s="264"/>
      <c r="H332" s="264"/>
      <c r="J332" s="273"/>
      <c r="K332" s="273"/>
      <c r="L332" s="273"/>
      <c r="M332" s="273"/>
      <c r="N332" s="273"/>
      <c r="O332" s="49"/>
      <c r="P332" s="49"/>
      <c r="Q332" s="182" t="s">
        <v>619</v>
      </c>
      <c r="R332" s="311"/>
      <c r="S332" s="311">
        <f>K327-S331</f>
        <v>2.3326780258163815E-3</v>
      </c>
      <c r="T332" s="311">
        <f>L327-T331</f>
        <v>9.711586246868853E-5</v>
      </c>
      <c r="U332" s="311" t="s">
        <v>561</v>
      </c>
      <c r="V332" s="311"/>
      <c r="W332" s="50"/>
      <c r="X332" s="49"/>
      <c r="BD332" s="2389"/>
    </row>
    <row r="333" spans="1:56" s="171" customFormat="1">
      <c r="D333" s="349"/>
      <c r="E333" s="264"/>
      <c r="F333" s="264"/>
      <c r="G333" s="264"/>
      <c r="H333" s="264"/>
      <c r="J333" s="273"/>
      <c r="K333" s="273"/>
      <c r="L333" s="273"/>
      <c r="M333" s="273"/>
      <c r="N333" s="273"/>
      <c r="O333" s="49"/>
      <c r="P333" s="50"/>
      <c r="Q333" s="139"/>
      <c r="R333" s="350"/>
      <c r="S333" s="350"/>
      <c r="T333" s="50"/>
      <c r="U333" s="50"/>
      <c r="V333" s="50"/>
      <c r="W333" s="50"/>
      <c r="X333" s="49"/>
      <c r="BD333" s="2389"/>
    </row>
    <row r="334" spans="1:56" s="171" customFormat="1">
      <c r="D334" s="349"/>
      <c r="E334" s="264"/>
      <c r="F334" s="264"/>
      <c r="G334" s="264"/>
      <c r="H334" s="264"/>
      <c r="I334" s="184"/>
      <c r="J334" s="273"/>
      <c r="K334" s="273"/>
      <c r="L334" s="273"/>
      <c r="M334" s="273"/>
      <c r="N334" s="273"/>
      <c r="O334" s="49"/>
      <c r="P334" s="50"/>
      <c r="Q334" s="50"/>
      <c r="R334" s="50"/>
      <c r="S334" s="50"/>
      <c r="T334" s="50"/>
      <c r="U334" s="50"/>
      <c r="V334" s="50"/>
      <c r="W334" s="50"/>
      <c r="BD334" s="2389"/>
    </row>
    <row r="335" spans="1:56" s="2369" customFormat="1">
      <c r="A335" s="748" t="s">
        <v>38</v>
      </c>
      <c r="B335" s="749" t="s">
        <v>370</v>
      </c>
      <c r="C335" s="750" t="s">
        <v>254</v>
      </c>
      <c r="D335" s="2329"/>
      <c r="E335" s="751">
        <v>52.88</v>
      </c>
      <c r="F335" s="751">
        <v>52.39</v>
      </c>
      <c r="G335" s="751">
        <v>52.54</v>
      </c>
      <c r="H335" s="751"/>
      <c r="I335" s="752"/>
      <c r="J335" s="753"/>
      <c r="K335" s="753"/>
      <c r="L335" s="753"/>
      <c r="M335" s="753"/>
      <c r="N335" s="753"/>
      <c r="O335" s="752"/>
      <c r="P335" s="750"/>
      <c r="Q335" s="754" t="s">
        <v>320</v>
      </c>
      <c r="R335" s="750"/>
      <c r="S335" s="755"/>
      <c r="T335" s="755"/>
      <c r="U335" s="755"/>
      <c r="V335" s="755"/>
      <c r="W335" s="755"/>
      <c r="X335" s="750"/>
      <c r="Y335" s="755"/>
      <c r="Z335" s="750"/>
      <c r="AA335" s="750"/>
      <c r="AB335" s="750"/>
      <c r="AC335" s="750"/>
      <c r="AD335" s="750"/>
      <c r="AE335" s="750"/>
      <c r="AF335" s="750"/>
      <c r="AG335" s="750"/>
      <c r="AH335" s="750"/>
      <c r="AI335" s="750"/>
      <c r="AJ335" s="750"/>
      <c r="AK335" s="750"/>
      <c r="BD335" s="2392"/>
    </row>
    <row r="336" spans="1:56" s="2324" customFormat="1">
      <c r="A336" s="756"/>
      <c r="B336" s="756"/>
      <c r="C336" s="756" t="s">
        <v>255</v>
      </c>
      <c r="D336" s="849"/>
      <c r="E336" s="757">
        <v>40.96</v>
      </c>
      <c r="F336" s="757">
        <v>41.02</v>
      </c>
      <c r="G336" s="757">
        <v>40.92</v>
      </c>
      <c r="H336" s="757"/>
      <c r="I336" s="868" t="s">
        <v>373</v>
      </c>
      <c r="J336" s="913">
        <f>R336/R337</f>
        <v>0.14257620452310718</v>
      </c>
      <c r="K336" s="913">
        <f>S336/S337</f>
        <v>7.1198280494357877E-2</v>
      </c>
      <c r="L336" s="913">
        <f>T336/T337</f>
        <v>4.6128672886784572E-2</v>
      </c>
      <c r="M336" s="913">
        <f>U336/U337</f>
        <v>1.2317167051578136E-2</v>
      </c>
      <c r="N336" s="914">
        <f>V336/V337</f>
        <v>5.8479532163742687E-3</v>
      </c>
      <c r="O336" s="759"/>
      <c r="P336" s="756"/>
      <c r="Q336" s="760" t="s">
        <v>55</v>
      </c>
      <c r="R336" s="761">
        <v>116</v>
      </c>
      <c r="S336" s="761">
        <v>106</v>
      </c>
      <c r="T336" s="762">
        <f>S336/(1+67%)</f>
        <v>63.473053892215574</v>
      </c>
      <c r="U336" s="763">
        <f>226-U338</f>
        <v>16</v>
      </c>
      <c r="V336" s="764">
        <v>7</v>
      </c>
      <c r="W336" s="756"/>
      <c r="X336" s="765" t="s">
        <v>521</v>
      </c>
      <c r="Y336" s="756"/>
      <c r="Z336" s="756"/>
      <c r="AA336" s="756"/>
      <c r="AB336" s="756"/>
      <c r="AC336" s="756"/>
      <c r="AD336" s="756"/>
      <c r="AE336" s="756"/>
      <c r="AF336" s="756"/>
      <c r="AG336" s="756"/>
      <c r="AH336" s="756"/>
      <c r="AI336" s="756"/>
      <c r="AJ336" s="756"/>
      <c r="AK336" s="756"/>
      <c r="BD336" s="2388"/>
    </row>
    <row r="337" spans="1:56" s="2324" customFormat="1">
      <c r="A337" s="756"/>
      <c r="B337" s="756"/>
      <c r="C337" s="756" t="s">
        <v>256</v>
      </c>
      <c r="D337" s="849"/>
      <c r="E337" s="757">
        <v>6.16</v>
      </c>
      <c r="F337" s="757">
        <v>6.59</v>
      </c>
      <c r="G337" s="757">
        <v>6.54</v>
      </c>
      <c r="H337" s="757"/>
      <c r="I337" s="766"/>
      <c r="J337" s="767"/>
      <c r="K337" s="767"/>
      <c r="L337" s="767"/>
      <c r="M337" s="767"/>
      <c r="N337" s="767"/>
      <c r="O337" s="766"/>
      <c r="P337" s="756"/>
      <c r="Q337" s="768" t="s">
        <v>139</v>
      </c>
      <c r="R337" s="769">
        <v>813.6</v>
      </c>
      <c r="S337" s="769">
        <v>1488.8</v>
      </c>
      <c r="T337" s="769">
        <v>1376</v>
      </c>
      <c r="U337" s="765">
        <v>1299</v>
      </c>
      <c r="V337" s="765">
        <v>1197</v>
      </c>
      <c r="W337" s="756"/>
      <c r="X337" s="765" t="s">
        <v>522</v>
      </c>
      <c r="Y337" s="756"/>
      <c r="Z337" s="756"/>
      <c r="AA337" s="756"/>
      <c r="AB337" s="756"/>
      <c r="AC337" s="756"/>
      <c r="AD337" s="756"/>
      <c r="AE337" s="756"/>
      <c r="AF337" s="756"/>
      <c r="AG337" s="756"/>
      <c r="AH337" s="756"/>
      <c r="AI337" s="756"/>
      <c r="AJ337" s="756"/>
      <c r="AK337" s="756"/>
      <c r="BD337" s="2388"/>
    </row>
    <row r="338" spans="1:56" s="2324" customFormat="1">
      <c r="A338" s="756"/>
      <c r="B338" s="756"/>
      <c r="C338" s="756"/>
      <c r="D338" s="849"/>
      <c r="E338" s="757"/>
      <c r="F338" s="757"/>
      <c r="G338" s="757"/>
      <c r="H338" s="757"/>
      <c r="I338" s="766"/>
      <c r="J338" s="757"/>
      <c r="K338" s="757"/>
      <c r="L338" s="757"/>
      <c r="M338" s="770"/>
      <c r="N338" s="770"/>
      <c r="O338" s="771"/>
      <c r="P338" s="756"/>
      <c r="Q338" s="768" t="s">
        <v>564</v>
      </c>
      <c r="R338" s="769">
        <f>231.9-R336</f>
        <v>115.9</v>
      </c>
      <c r="S338" s="772">
        <f>333.4-S336</f>
        <v>227.39999999999998</v>
      </c>
      <c r="T338" s="773">
        <f>279.3-T336</f>
        <v>215.82694610778444</v>
      </c>
      <c r="U338" s="774">
        <v>210</v>
      </c>
      <c r="V338" s="773">
        <f>224.7-V336</f>
        <v>217.7</v>
      </c>
      <c r="W338" s="765" t="s">
        <v>524</v>
      </c>
      <c r="X338" s="765" t="s">
        <v>523</v>
      </c>
      <c r="Y338" s="756"/>
      <c r="Z338" s="756"/>
      <c r="AA338" s="756"/>
      <c r="AB338" s="756"/>
      <c r="AC338" s="756"/>
      <c r="AD338" s="756"/>
      <c r="AE338" s="756"/>
      <c r="AF338" s="756"/>
      <c r="AG338" s="756"/>
      <c r="AH338" s="756"/>
      <c r="AI338" s="756"/>
      <c r="AJ338" s="756"/>
      <c r="AK338" s="756"/>
      <c r="BD338" s="2388"/>
    </row>
    <row r="339" spans="1:56" s="2324" customFormat="1">
      <c r="A339" s="756"/>
      <c r="B339" s="756"/>
      <c r="C339" s="756"/>
      <c r="D339" s="849"/>
      <c r="E339" s="757"/>
      <c r="F339" s="757"/>
      <c r="G339" s="757"/>
      <c r="H339" s="757"/>
      <c r="I339" s="766"/>
      <c r="J339" s="757"/>
      <c r="K339" s="757"/>
      <c r="L339" s="757"/>
      <c r="M339" s="770"/>
      <c r="N339" s="770"/>
      <c r="O339" s="771"/>
      <c r="P339" s="765"/>
      <c r="Q339" s="769"/>
      <c r="R339" s="772"/>
      <c r="S339" s="773"/>
      <c r="T339" s="774"/>
      <c r="U339" s="765"/>
      <c r="V339" s="756"/>
      <c r="W339" s="765"/>
      <c r="X339" s="756"/>
      <c r="Y339" s="756"/>
      <c r="Z339" s="756"/>
      <c r="AA339" s="756"/>
      <c r="AB339" s="756"/>
      <c r="AC339" s="756"/>
      <c r="AD339" s="756"/>
      <c r="AE339" s="756"/>
      <c r="AF339" s="756"/>
      <c r="AG339" s="756"/>
      <c r="AH339" s="756"/>
      <c r="AI339" s="756"/>
      <c r="AJ339" s="756"/>
      <c r="AK339" s="756"/>
      <c r="BD339" s="2388"/>
    </row>
    <row r="340" spans="1:56" s="170" customFormat="1">
      <c r="A340" s="46" t="s">
        <v>1037</v>
      </c>
      <c r="B340" s="179" t="s">
        <v>370</v>
      </c>
      <c r="C340" s="260" t="s">
        <v>257</v>
      </c>
      <c r="D340" s="2334"/>
      <c r="E340" s="268">
        <v>51.332437972715063</v>
      </c>
      <c r="F340" s="268">
        <v>49.865969709154271</v>
      </c>
      <c r="G340" s="268">
        <v>44.957047406936049</v>
      </c>
      <c r="H340" s="268">
        <v>43.41</v>
      </c>
      <c r="I340" s="277" t="s">
        <v>588</v>
      </c>
      <c r="J340" s="267"/>
      <c r="K340" s="277"/>
      <c r="L340" s="277"/>
      <c r="M340" s="277"/>
      <c r="N340" s="277"/>
      <c r="O340" s="48" t="s">
        <v>672</v>
      </c>
      <c r="P340" s="48"/>
      <c r="Q340" s="305" t="s">
        <v>530</v>
      </c>
      <c r="R340" s="48">
        <v>3123</v>
      </c>
      <c r="S340" s="48">
        <v>6847</v>
      </c>
      <c r="T340" s="48"/>
      <c r="U340" s="48"/>
      <c r="V340" s="48"/>
      <c r="W340" s="48"/>
      <c r="BD340" s="2393"/>
    </row>
    <row r="341" spans="1:56" s="171" customFormat="1">
      <c r="C341" s="171" t="s">
        <v>258</v>
      </c>
      <c r="D341" s="349"/>
      <c r="E341" s="269">
        <v>48.667562027284937</v>
      </c>
      <c r="F341" s="269">
        <v>50.134030290845729</v>
      </c>
      <c r="G341" s="269">
        <v>32.815781100859056</v>
      </c>
      <c r="H341" s="269">
        <v>35.68</v>
      </c>
      <c r="I341" s="49" t="s">
        <v>956</v>
      </c>
      <c r="J341" s="273"/>
      <c r="K341" s="273"/>
      <c r="L341" s="273"/>
      <c r="M341" s="273"/>
      <c r="N341" s="273"/>
      <c r="O341" s="49"/>
      <c r="P341" s="367"/>
      <c r="Q341" s="365" t="s">
        <v>567</v>
      </c>
      <c r="R341" s="394">
        <v>1804</v>
      </c>
      <c r="S341" s="394">
        <v>3947</v>
      </c>
      <c r="T341" s="63"/>
      <c r="U341" s="63"/>
      <c r="V341" s="63"/>
      <c r="W341" s="50"/>
      <c r="BD341" s="2389"/>
    </row>
    <row r="342" spans="1:56" s="171" customFormat="1">
      <c r="C342" s="171" t="s">
        <v>259</v>
      </c>
      <c r="D342" s="349"/>
      <c r="E342" s="269" t="s">
        <v>138</v>
      </c>
      <c r="F342" s="269" t="s">
        <v>138</v>
      </c>
      <c r="G342" s="269">
        <v>16.016544702513521</v>
      </c>
      <c r="H342" s="269">
        <v>15.65</v>
      </c>
      <c r="I342" s="49" t="s">
        <v>577</v>
      </c>
      <c r="J342" s="273"/>
      <c r="K342" s="273"/>
      <c r="L342" s="273"/>
      <c r="M342" s="273"/>
      <c r="N342" s="273"/>
      <c r="O342" s="49"/>
      <c r="P342" s="50"/>
      <c r="Q342" s="139" t="s">
        <v>543</v>
      </c>
      <c r="R342" s="63">
        <v>876</v>
      </c>
      <c r="S342" s="63">
        <v>1677</v>
      </c>
      <c r="T342" s="50" t="s">
        <v>566</v>
      </c>
      <c r="V342" s="63"/>
      <c r="W342" s="50"/>
      <c r="BD342" s="2389"/>
    </row>
    <row r="343" spans="1:56" s="171" customFormat="1">
      <c r="C343" s="262" t="s">
        <v>586</v>
      </c>
      <c r="D343" s="2335"/>
      <c r="E343" s="269" t="s">
        <v>138</v>
      </c>
      <c r="F343" s="269" t="s">
        <v>138</v>
      </c>
      <c r="G343" s="269">
        <v>4.8425071587655104</v>
      </c>
      <c r="H343" s="269">
        <v>3.99</v>
      </c>
      <c r="I343" s="49" t="s">
        <v>957</v>
      </c>
      <c r="J343" s="273"/>
      <c r="K343" s="273"/>
      <c r="L343" s="273"/>
      <c r="M343" s="273"/>
      <c r="N343" s="273"/>
      <c r="P343" s="50"/>
      <c r="Q343" s="139" t="s">
        <v>568</v>
      </c>
      <c r="R343" s="63">
        <v>443</v>
      </c>
      <c r="S343" s="63">
        <v>1223</v>
      </c>
      <c r="T343" s="50"/>
      <c r="V343" s="63"/>
      <c r="W343" s="50"/>
      <c r="BD343" s="2389"/>
    </row>
    <row r="344" spans="1:56" s="171" customFormat="1">
      <c r="C344" s="171" t="s">
        <v>260</v>
      </c>
      <c r="D344" s="349"/>
      <c r="E344" s="269" t="s">
        <v>138</v>
      </c>
      <c r="F344" s="269" t="s">
        <v>138</v>
      </c>
      <c r="G344" s="269">
        <v>1.368119630925867</v>
      </c>
      <c r="H344" s="269">
        <v>1.29</v>
      </c>
      <c r="I344" s="49" t="s">
        <v>958</v>
      </c>
      <c r="J344" s="273"/>
      <c r="K344" s="273"/>
      <c r="L344" s="273"/>
      <c r="M344" s="273"/>
      <c r="N344" s="273"/>
      <c r="P344" s="380"/>
      <c r="Q344" s="379" t="s">
        <v>569</v>
      </c>
      <c r="R344" s="380">
        <v>73</v>
      </c>
      <c r="S344" s="380">
        <v>141</v>
      </c>
      <c r="T344" s="50"/>
      <c r="V344" s="50"/>
      <c r="W344" s="50"/>
      <c r="BD344" s="2389"/>
    </row>
    <row r="345" spans="1:56" s="171" customFormat="1">
      <c r="B345" s="51" t="s">
        <v>370</v>
      </c>
      <c r="C345" s="51" t="s">
        <v>174</v>
      </c>
      <c r="D345" s="2327"/>
      <c r="E345" s="269">
        <v>45.606842440093303</v>
      </c>
      <c r="F345" s="269">
        <v>46.924004825090471</v>
      </c>
      <c r="G345" s="269">
        <v>48.832325803372576</v>
      </c>
      <c r="H345" s="269">
        <v>51.32</v>
      </c>
      <c r="I345" s="49"/>
      <c r="J345" s="273"/>
      <c r="K345" s="273"/>
      <c r="L345" s="273"/>
      <c r="M345" s="273"/>
      <c r="N345" s="273"/>
      <c r="P345" s="50"/>
      <c r="Q345" s="139" t="s">
        <v>565</v>
      </c>
      <c r="R345" s="50">
        <f>R340+R344</f>
        <v>3196</v>
      </c>
      <c r="S345" s="50">
        <f>S340+S344</f>
        <v>6988</v>
      </c>
      <c r="T345" s="50"/>
      <c r="V345" s="50"/>
      <c r="W345" s="50"/>
      <c r="BD345" s="2389"/>
    </row>
    <row r="346" spans="1:56" s="171" customFormat="1">
      <c r="C346" s="171" t="s">
        <v>260</v>
      </c>
      <c r="D346" s="349"/>
      <c r="E346" s="269">
        <v>5.6549091680214887E-2</v>
      </c>
      <c r="F346" s="269">
        <v>0.75727114327838096</v>
      </c>
      <c r="G346" s="269">
        <v>1.368119630925867</v>
      </c>
      <c r="H346" s="269">
        <v>1.29</v>
      </c>
      <c r="I346" s="49"/>
      <c r="J346" s="273"/>
      <c r="K346" s="273"/>
      <c r="L346" s="273"/>
      <c r="M346" s="273"/>
      <c r="N346" s="273"/>
      <c r="P346" s="50"/>
      <c r="Q346" s="139" t="s">
        <v>570</v>
      </c>
      <c r="R346" s="50">
        <v>3069</v>
      </c>
      <c r="S346" s="50">
        <v>6593</v>
      </c>
      <c r="T346" s="50" t="s">
        <v>571</v>
      </c>
      <c r="V346" s="50"/>
      <c r="W346" s="50"/>
      <c r="BD346" s="2389"/>
    </row>
    <row r="347" spans="1:56" s="171" customFormat="1">
      <c r="C347" s="262" t="s">
        <v>586</v>
      </c>
      <c r="D347" s="2335"/>
      <c r="E347" s="269">
        <v>6.2274687212836648</v>
      </c>
      <c r="F347" s="269">
        <v>5.3411070902023861</v>
      </c>
      <c r="G347" s="269">
        <v>4.8425071587655104</v>
      </c>
      <c r="H347" s="269">
        <v>3.99</v>
      </c>
      <c r="I347" s="49"/>
      <c r="J347" s="273"/>
      <c r="K347" s="273"/>
      <c r="L347" s="273"/>
      <c r="M347" s="273"/>
      <c r="N347" s="273"/>
      <c r="O347" s="49" t="s">
        <v>377</v>
      </c>
      <c r="P347" s="378"/>
      <c r="Q347" s="379" t="s">
        <v>573</v>
      </c>
      <c r="R347" s="380">
        <f>R345+R346</f>
        <v>6265</v>
      </c>
      <c r="S347" s="380">
        <f>S345+S346</f>
        <v>13581</v>
      </c>
      <c r="T347" s="50"/>
      <c r="U347" s="50"/>
      <c r="V347" s="50"/>
      <c r="W347" s="50"/>
      <c r="BD347" s="2389"/>
    </row>
    <row r="348" spans="1:56" s="171" customFormat="1">
      <c r="C348" s="51" t="s">
        <v>173</v>
      </c>
      <c r="D348" s="2327"/>
      <c r="E348" s="269">
        <v>48.109139746942816</v>
      </c>
      <c r="F348" s="269">
        <v>46.977616941428764</v>
      </c>
      <c r="G348" s="269">
        <v>44.957047406936049</v>
      </c>
      <c r="H348" s="269">
        <v>43.41</v>
      </c>
      <c r="I348" s="321" t="s">
        <v>576</v>
      </c>
      <c r="J348" s="325">
        <f>R351/S351*K348</f>
        <v>0.47229570949190197</v>
      </c>
      <c r="K348" s="326">
        <f>E348/100</f>
        <v>0.48109139746942814</v>
      </c>
      <c r="L348" s="326">
        <f>F348/100</f>
        <v>0.46977616941428763</v>
      </c>
      <c r="M348" s="326">
        <f>G348/100</f>
        <v>0.44957047406936046</v>
      </c>
      <c r="N348" s="326">
        <f>H348/100</f>
        <v>0.43409999999999999</v>
      </c>
      <c r="O348" s="390">
        <f>(J348+2*K348+2*L348+AVERAGE(M348:N348))/6</f>
        <v>0.46931101338233555</v>
      </c>
      <c r="P348" s="380"/>
      <c r="Q348" s="379" t="s">
        <v>155</v>
      </c>
      <c r="R348" s="380">
        <v>305</v>
      </c>
      <c r="S348" s="380">
        <v>560</v>
      </c>
      <c r="T348" s="50"/>
      <c r="U348" s="50"/>
      <c r="V348" s="50"/>
      <c r="W348" s="50"/>
      <c r="BD348" s="2389"/>
    </row>
    <row r="349" spans="1:56" s="171" customFormat="1">
      <c r="B349" s="171" t="s">
        <v>141</v>
      </c>
      <c r="C349" s="171" t="s">
        <v>261</v>
      </c>
      <c r="D349" s="349"/>
      <c r="E349" s="264">
        <v>56.62</v>
      </c>
      <c r="F349" s="264">
        <v>61.22</v>
      </c>
      <c r="G349" s="264">
        <v>52.03</v>
      </c>
      <c r="H349" s="264">
        <v>64.7</v>
      </c>
      <c r="I349" s="182" t="s">
        <v>578</v>
      </c>
      <c r="J349" s="273"/>
      <c r="K349" s="273"/>
      <c r="L349" s="273"/>
      <c r="M349" s="273"/>
      <c r="N349" s="273"/>
      <c r="P349" s="378"/>
      <c r="Q349" s="379" t="s">
        <v>139</v>
      </c>
      <c r="R349" s="380">
        <f>R347+R348</f>
        <v>6570</v>
      </c>
      <c r="S349" s="380">
        <f>S347+S348</f>
        <v>14141</v>
      </c>
      <c r="T349" s="50"/>
      <c r="U349" s="50"/>
      <c r="V349" s="50"/>
      <c r="W349" s="50"/>
      <c r="BD349" s="2389"/>
    </row>
    <row r="350" spans="1:56" s="171" customFormat="1">
      <c r="C350" s="171" t="s">
        <v>262</v>
      </c>
      <c r="D350" s="349"/>
      <c r="E350" s="264">
        <v>43.38</v>
      </c>
      <c r="F350" s="264">
        <v>38.78</v>
      </c>
      <c r="G350" s="264">
        <v>47.97</v>
      </c>
      <c r="H350" s="264">
        <v>35.299999999999997</v>
      </c>
      <c r="I350" s="851" t="s">
        <v>575</v>
      </c>
      <c r="J350" s="833">
        <f>R350</f>
        <v>0.51013567438148444</v>
      </c>
      <c r="K350" s="833">
        <f>(E348+$S$354*E347)/(100-E347*(1-$S$354))</f>
        <v>0.51945984623640407</v>
      </c>
      <c r="L350" s="833">
        <f>(F348+$S$354*F347)/(100-F347*(1-$S$354))</f>
        <v>0.50193588936770728</v>
      </c>
      <c r="M350" s="833">
        <f>(G348+$S$354*G347)/(100-G347*(1-$S$354))</f>
        <v>0.47779411910514158</v>
      </c>
      <c r="N350" s="833">
        <f>(H348+$S$354*H347)/(100-H347*(1-$S$354))</f>
        <v>0.4566820303658996</v>
      </c>
      <c r="O350" s="436">
        <f>(J350+2*K350+2*L350+AVERAGE(M350:N350))/6</f>
        <v>0.5033608700542046</v>
      </c>
      <c r="Q350" s="182" t="s">
        <v>574</v>
      </c>
      <c r="R350" s="353">
        <f>R345/R347</f>
        <v>0.51013567438148444</v>
      </c>
      <c r="S350" s="323">
        <f>S345/(S345+S346)</f>
        <v>0.51454237537736547</v>
      </c>
      <c r="T350" s="323"/>
      <c r="U350" s="323"/>
      <c r="V350" s="323"/>
      <c r="W350" s="50"/>
      <c r="X350" s="184"/>
      <c r="BD350" s="2389"/>
    </row>
    <row r="351" spans="1:56" s="171" customFormat="1">
      <c r="D351" s="349"/>
      <c r="E351" s="264"/>
      <c r="F351" s="264"/>
      <c r="G351" s="264"/>
      <c r="H351" s="264"/>
      <c r="I351" s="182" t="s">
        <v>654</v>
      </c>
      <c r="J351" s="273" t="s">
        <v>587</v>
      </c>
      <c r="K351" s="273"/>
      <c r="L351" s="273"/>
      <c r="M351" s="273"/>
      <c r="N351" s="273"/>
      <c r="P351" s="50"/>
      <c r="Q351" s="182" t="s">
        <v>579</v>
      </c>
      <c r="R351" s="38">
        <f>R340/R349</f>
        <v>0.47534246575342465</v>
      </c>
      <c r="S351" s="323">
        <f>S340/S349</f>
        <v>0.48419489427904672</v>
      </c>
      <c r="T351" s="38" t="s">
        <v>582</v>
      </c>
      <c r="U351" s="38"/>
      <c r="V351" s="38"/>
      <c r="W351" s="50"/>
      <c r="X351" s="66"/>
      <c r="BD351" s="2389"/>
    </row>
    <row r="352" spans="1:56" s="171" customFormat="1">
      <c r="B352" s="317" t="s">
        <v>370</v>
      </c>
      <c r="C352" s="317" t="s">
        <v>563</v>
      </c>
      <c r="D352" s="2337"/>
      <c r="E352" s="324">
        <f t="shared" ref="E352:H353" si="11">E340-E348</f>
        <v>3.2232982257722469</v>
      </c>
      <c r="F352" s="324">
        <f t="shared" si="11"/>
        <v>2.8883527677255074</v>
      </c>
      <c r="G352" s="324">
        <f t="shared" si="11"/>
        <v>0</v>
      </c>
      <c r="H352" s="324">
        <f t="shared" si="11"/>
        <v>0</v>
      </c>
      <c r="I352" s="49"/>
      <c r="J352" s="273" t="s">
        <v>589</v>
      </c>
      <c r="K352" s="273"/>
      <c r="L352" s="273"/>
      <c r="M352" s="273"/>
      <c r="N352" s="273"/>
      <c r="P352" s="50"/>
      <c r="Q352" s="182" t="s">
        <v>581</v>
      </c>
      <c r="R352" s="322">
        <f>R344/R340</f>
        <v>2.3374959974383606E-2</v>
      </c>
      <c r="S352" s="322">
        <f>S344/S340</f>
        <v>2.0592960420622169E-2</v>
      </c>
      <c r="T352" s="49" t="s">
        <v>580</v>
      </c>
      <c r="U352" s="50"/>
      <c r="V352" s="50"/>
      <c r="W352" s="50"/>
      <c r="BD352" s="2389"/>
    </row>
    <row r="353" spans="1:56" s="171" customFormat="1">
      <c r="B353" s="317"/>
      <c r="C353" s="317" t="s">
        <v>572</v>
      </c>
      <c r="D353" s="2337"/>
      <c r="E353" s="324">
        <f t="shared" si="11"/>
        <v>-7.9524379727150603</v>
      </c>
      <c r="F353" s="324">
        <f t="shared" si="11"/>
        <v>-11.08596970915427</v>
      </c>
      <c r="G353" s="324">
        <f t="shared" si="11"/>
        <v>-19.214218899140945</v>
      </c>
      <c r="H353" s="324">
        <f t="shared" si="11"/>
        <v>-29.020000000000003</v>
      </c>
      <c r="J353" s="273" t="s">
        <v>590</v>
      </c>
      <c r="K353" s="273"/>
      <c r="L353" s="273"/>
      <c r="M353" s="273"/>
      <c r="N353" s="273"/>
      <c r="Q353" s="182" t="s">
        <v>583</v>
      </c>
      <c r="R353" s="38">
        <f>(R344+R348)/R349</f>
        <v>5.7534246575342465E-2</v>
      </c>
      <c r="S353" s="323">
        <f>(S344+S348)/S349</f>
        <v>4.9572166042005518E-2</v>
      </c>
      <c r="T353" s="49" t="s">
        <v>584</v>
      </c>
      <c r="W353" s="50"/>
      <c r="BD353" s="2389"/>
    </row>
    <row r="354" spans="1:56" s="171" customFormat="1">
      <c r="B354" s="49"/>
      <c r="C354" s="49"/>
      <c r="D354" s="412"/>
      <c r="E354" s="279"/>
      <c r="F354" s="279"/>
      <c r="G354" s="279"/>
      <c r="H354" s="279"/>
      <c r="J354" s="273"/>
      <c r="K354" s="273"/>
      <c r="L354" s="273"/>
      <c r="M354" s="273"/>
      <c r="N354" s="273"/>
      <c r="P354" s="50"/>
      <c r="Q354" s="182" t="s">
        <v>581</v>
      </c>
      <c r="R354" s="38">
        <f>R344/(R344+R348)</f>
        <v>0.19312169312169311</v>
      </c>
      <c r="S354" s="38">
        <f>S344/(S344+S348)</f>
        <v>0.20114122681883023</v>
      </c>
      <c r="T354" s="49" t="s">
        <v>585</v>
      </c>
      <c r="U354" s="50"/>
      <c r="V354" s="50"/>
      <c r="W354" s="50"/>
      <c r="BD354" s="2389"/>
    </row>
    <row r="355" spans="1:56" s="171" customFormat="1">
      <c r="B355" s="49"/>
      <c r="C355" s="49"/>
      <c r="D355" s="412"/>
      <c r="E355" s="279"/>
      <c r="F355" s="279"/>
      <c r="G355" s="279"/>
      <c r="H355" s="279"/>
      <c r="I355" s="304" t="s">
        <v>55</v>
      </c>
      <c r="J355" s="273"/>
      <c r="K355" s="280"/>
      <c r="L355" s="280"/>
      <c r="M355" s="392"/>
      <c r="N355" s="392"/>
      <c r="O355" s="49"/>
      <c r="P355" s="50"/>
      <c r="Q355" s="182"/>
      <c r="R355" s="38"/>
      <c r="S355" s="38"/>
      <c r="T355" s="38"/>
      <c r="W355" s="50"/>
      <c r="BD355" s="2389"/>
    </row>
    <row r="356" spans="1:56" s="171" customFormat="1">
      <c r="B356" s="49"/>
      <c r="C356" s="49"/>
      <c r="D356" s="412"/>
      <c r="E356" s="279"/>
      <c r="F356" s="279"/>
      <c r="G356" s="279"/>
      <c r="H356" s="279"/>
      <c r="I356" s="850" t="s">
        <v>972</v>
      </c>
      <c r="J356" s="919"/>
      <c r="K356" s="920">
        <f>E350/100/K350</f>
        <v>0.83509823356506252</v>
      </c>
      <c r="L356" s="920">
        <f>F350/100/L350</f>
        <v>0.77260863033427407</v>
      </c>
      <c r="M356" s="920">
        <f>G350/100/M350</f>
        <v>1.0039889166037204</v>
      </c>
      <c r="N356" s="920">
        <f>H350/100/N350</f>
        <v>0.77296669570548193</v>
      </c>
      <c r="O356" s="395">
        <f>(3*K356+2*L356+AVERAGE(M356:N356))/6</f>
        <v>0.82316496125305605</v>
      </c>
      <c r="P356" s="49" t="s">
        <v>591</v>
      </c>
      <c r="R356" s="38"/>
      <c r="S356" s="323"/>
      <c r="T356" s="50"/>
      <c r="U356" s="50"/>
      <c r="V356" s="50"/>
      <c r="W356" s="50"/>
      <c r="BD356" s="2389"/>
    </row>
    <row r="357" spans="1:56" s="171" customFormat="1">
      <c r="B357" s="49"/>
      <c r="C357" s="49"/>
      <c r="D357" s="412"/>
      <c r="E357" s="279"/>
      <c r="F357" s="279"/>
      <c r="G357" s="279"/>
      <c r="H357" s="279"/>
      <c r="I357" s="360" t="s">
        <v>973</v>
      </c>
      <c r="J357" s="362"/>
      <c r="K357" s="416">
        <f>E350/E348</f>
        <v>0.90169976491331183</v>
      </c>
      <c r="L357" s="416">
        <f>F350/F348</f>
        <v>0.82549951497860197</v>
      </c>
      <c r="M357" s="416">
        <f>G350/G348</f>
        <v>1.0670184713375797</v>
      </c>
      <c r="N357" s="416">
        <f>H350/H348</f>
        <v>0.81317668739921678</v>
      </c>
      <c r="O357" s="335">
        <f>(3*K357+2*L357+AVERAGE(M357:N357))/6</f>
        <v>0.88269931734425633</v>
      </c>
      <c r="P357" s="49" t="s">
        <v>954</v>
      </c>
      <c r="R357" s="38"/>
      <c r="S357" s="323"/>
      <c r="T357" s="50"/>
      <c r="U357" s="49"/>
      <c r="V357" s="50"/>
      <c r="W357" s="50"/>
      <c r="BD357" s="2389"/>
    </row>
    <row r="358" spans="1:56" s="171" customFormat="1">
      <c r="B358" s="49"/>
      <c r="C358" s="49"/>
      <c r="D358" s="412"/>
      <c r="E358" s="279"/>
      <c r="F358" s="279"/>
      <c r="G358" s="279"/>
      <c r="H358" s="279"/>
      <c r="I358" s="360" t="s">
        <v>974</v>
      </c>
      <c r="J358" s="348"/>
      <c r="K358" s="347">
        <f>E350/E340</f>
        <v>0.84507967502065551</v>
      </c>
      <c r="L358" s="347">
        <f>F350/F340</f>
        <v>0.77768466603951081</v>
      </c>
      <c r="M358" s="347">
        <f>G350/G340</f>
        <v>1.0670184713375797</v>
      </c>
      <c r="N358" s="347">
        <f>H350/H340</f>
        <v>0.81317668739921678</v>
      </c>
      <c r="O358" s="335">
        <f>(3*K358+2*L358+AVERAGE(M358:N358))/6</f>
        <v>0.83845098941823115</v>
      </c>
      <c r="P358" s="49" t="s">
        <v>955</v>
      </c>
      <c r="R358" s="38"/>
      <c r="S358" s="323"/>
      <c r="T358" s="50"/>
      <c r="U358" s="184"/>
      <c r="V358" s="49" t="s">
        <v>592</v>
      </c>
      <c r="W358" s="50"/>
      <c r="BD358" s="2389"/>
    </row>
    <row r="359" spans="1:56" s="171" customFormat="1">
      <c r="B359" s="49"/>
      <c r="C359" s="49"/>
      <c r="D359" s="412"/>
      <c r="E359" s="279"/>
      <c r="F359" s="279"/>
      <c r="G359" s="279"/>
      <c r="H359" s="279"/>
      <c r="I359" s="182"/>
      <c r="J359" s="273"/>
      <c r="K359" s="294"/>
      <c r="L359" s="294"/>
      <c r="M359" s="294"/>
      <c r="N359" s="294"/>
      <c r="O359" s="335"/>
      <c r="P359" s="49"/>
      <c r="R359" s="38"/>
      <c r="S359" s="323"/>
      <c r="T359" s="50"/>
      <c r="U359" s="184"/>
      <c r="V359" s="49"/>
      <c r="W359" s="50"/>
      <c r="BD359" s="2389"/>
    </row>
    <row r="360" spans="1:56" s="171" customFormat="1">
      <c r="B360" s="49"/>
      <c r="C360" s="49"/>
      <c r="D360" s="412"/>
      <c r="E360" s="279"/>
      <c r="F360" s="279"/>
      <c r="G360" s="279"/>
      <c r="H360" s="279"/>
      <c r="I360" s="869" t="s">
        <v>641</v>
      </c>
      <c r="J360" s="862">
        <f>J350*K356</f>
        <v>0.4260134005544996</v>
      </c>
      <c r="K360" s="862">
        <f>K356*K350</f>
        <v>0.43380000000000002</v>
      </c>
      <c r="L360" s="862">
        <f>L356*L350</f>
        <v>0.38780000000000003</v>
      </c>
      <c r="M360" s="862">
        <f>M356*M350</f>
        <v>0.47970000000000002</v>
      </c>
      <c r="N360" s="862">
        <f>N356*N350</f>
        <v>0.35299999999999998</v>
      </c>
      <c r="O360" s="540">
        <f>(J360+2*K360+2*L360+AVERAGE(M360:N360))/6</f>
        <v>0.41426056675908329</v>
      </c>
      <c r="P360" s="49"/>
      <c r="R360" s="38"/>
      <c r="S360" s="323"/>
      <c r="T360" s="50"/>
      <c r="U360" s="184"/>
      <c r="V360" s="49"/>
      <c r="W360" s="50"/>
      <c r="BD360" s="2389"/>
    </row>
    <row r="361" spans="1:56" s="171" customFormat="1">
      <c r="D361" s="349"/>
      <c r="E361" s="264"/>
      <c r="F361" s="264"/>
      <c r="G361" s="264"/>
      <c r="H361" s="264"/>
      <c r="I361" s="49"/>
      <c r="J361" s="273"/>
      <c r="K361" s="273"/>
      <c r="L361" s="273"/>
      <c r="M361" s="273"/>
      <c r="N361" s="273"/>
      <c r="P361" s="50"/>
      <c r="Q361" s="139"/>
      <c r="R361" s="38"/>
      <c r="S361" s="38"/>
      <c r="T361" s="50"/>
      <c r="U361" s="50"/>
      <c r="V361" s="50"/>
      <c r="W361" s="50"/>
      <c r="BD361" s="2389"/>
    </row>
    <row r="362" spans="1:56" s="170" customFormat="1">
      <c r="A362" s="55" t="s">
        <v>46</v>
      </c>
      <c r="C362" s="354" t="s">
        <v>670</v>
      </c>
      <c r="D362" s="2343"/>
      <c r="E362" s="267"/>
      <c r="F362" s="267"/>
      <c r="G362" s="267"/>
      <c r="H362" s="267"/>
      <c r="I362" s="401" t="s">
        <v>320</v>
      </c>
      <c r="J362" s="399"/>
      <c r="K362" s="400"/>
      <c r="L362" s="400"/>
      <c r="M362" s="400"/>
      <c r="N362" s="400"/>
      <c r="O362" s="68"/>
      <c r="P362" s="47"/>
      <c r="R362" s="48"/>
      <c r="S362" s="48"/>
      <c r="T362" s="48"/>
      <c r="U362" s="48"/>
      <c r="V362" s="48"/>
      <c r="W362" s="48"/>
      <c r="BD362" s="2393"/>
    </row>
    <row r="363" spans="1:56" s="171" customFormat="1">
      <c r="D363" s="349"/>
      <c r="E363" s="264"/>
      <c r="F363" s="264"/>
      <c r="G363" s="264"/>
      <c r="H363" s="264"/>
      <c r="I363" s="398" t="s">
        <v>263</v>
      </c>
      <c r="J363" s="292">
        <v>23.9</v>
      </c>
      <c r="K363" s="293">
        <v>50.6</v>
      </c>
      <c r="L363" s="293">
        <v>51.6</v>
      </c>
      <c r="M363" s="293">
        <v>50.7</v>
      </c>
      <c r="N363" s="293">
        <v>50.6</v>
      </c>
      <c r="O363" s="69"/>
      <c r="P363" s="49"/>
      <c r="R363" s="50"/>
      <c r="S363" s="50"/>
      <c r="T363" s="50"/>
      <c r="U363" s="50"/>
      <c r="V363" s="50"/>
      <c r="W363" s="50"/>
      <c r="AB363" s="50" t="s">
        <v>264</v>
      </c>
      <c r="BD363" s="2389"/>
    </row>
    <row r="364" spans="1:56" s="171" customFormat="1">
      <c r="D364" s="349"/>
      <c r="E364" s="264"/>
      <c r="F364" s="264"/>
      <c r="G364" s="264"/>
      <c r="H364" s="264"/>
      <c r="I364" s="398" t="s">
        <v>265</v>
      </c>
      <c r="J364" s="292">
        <v>15.6</v>
      </c>
      <c r="K364" s="293">
        <v>35.700000000000003</v>
      </c>
      <c r="L364" s="293">
        <v>36.700000000000003</v>
      </c>
      <c r="M364" s="293">
        <v>39.9</v>
      </c>
      <c r="N364" s="293">
        <v>43.3</v>
      </c>
      <c r="O364" s="69"/>
      <c r="P364" s="49"/>
      <c r="R364" s="50"/>
      <c r="S364" s="50"/>
      <c r="T364" s="50"/>
      <c r="U364" s="50"/>
      <c r="V364" s="50"/>
      <c r="W364" s="50"/>
      <c r="AB364" s="50"/>
      <c r="BD364" s="2389"/>
    </row>
    <row r="365" spans="1:56" s="171" customFormat="1">
      <c r="D365" s="349"/>
      <c r="E365" s="264"/>
      <c r="F365" s="264"/>
      <c r="G365" s="264"/>
      <c r="H365" s="264"/>
      <c r="I365" s="398" t="s">
        <v>266</v>
      </c>
      <c r="J365" s="292">
        <v>9.9</v>
      </c>
      <c r="K365" s="293">
        <v>19.7</v>
      </c>
      <c r="L365" s="293">
        <v>17.3</v>
      </c>
      <c r="M365" s="293">
        <v>16.5</v>
      </c>
      <c r="N365" s="293">
        <v>14.8</v>
      </c>
      <c r="O365" s="69"/>
      <c r="P365" s="49"/>
      <c r="R365" s="50"/>
      <c r="S365" s="50"/>
      <c r="T365" s="50"/>
      <c r="U365" s="50"/>
      <c r="V365" s="50"/>
      <c r="W365" s="50"/>
      <c r="AB365" s="50"/>
      <c r="BD365" s="2389"/>
    </row>
    <row r="366" spans="1:56" s="171" customFormat="1">
      <c r="D366" s="349"/>
      <c r="E366" s="264"/>
      <c r="F366" s="264"/>
      <c r="G366" s="264"/>
      <c r="H366" s="264"/>
      <c r="I366" s="403" t="s">
        <v>139</v>
      </c>
      <c r="J366" s="397">
        <f>SUM(J363:J365)</f>
        <v>49.4</v>
      </c>
      <c r="K366" s="397">
        <f>SUM(K363:K365)</f>
        <v>106.00000000000001</v>
      </c>
      <c r="L366" s="397">
        <f>SUM(L363:L365)</f>
        <v>105.60000000000001</v>
      </c>
      <c r="M366" s="397">
        <f>SUM(M363:M365)</f>
        <v>107.1</v>
      </c>
      <c r="N366" s="397">
        <f>SUM(N363:N365)</f>
        <v>108.7</v>
      </c>
      <c r="O366" s="60"/>
      <c r="P366" s="49"/>
      <c r="R366" s="50"/>
      <c r="S366" s="50"/>
      <c r="T366" s="50"/>
      <c r="U366" s="50"/>
      <c r="V366" s="50"/>
      <c r="W366" s="50"/>
      <c r="AB366" s="50"/>
      <c r="BD366" s="2389"/>
    </row>
    <row r="367" spans="1:56" s="171" customFormat="1">
      <c r="D367" s="349"/>
      <c r="E367" s="264"/>
      <c r="F367" s="264"/>
      <c r="G367" s="264"/>
      <c r="H367" s="264"/>
      <c r="I367" s="182" t="s">
        <v>267</v>
      </c>
      <c r="J367" s="278">
        <f>J363/J366</f>
        <v>0.48380566801619429</v>
      </c>
      <c r="K367" s="278">
        <f>K363/K366</f>
        <v>0.47735849056603769</v>
      </c>
      <c r="L367" s="278">
        <f>L363/L366</f>
        <v>0.48863636363636359</v>
      </c>
      <c r="M367" s="278">
        <f>M363/M366</f>
        <v>0.47338935574229696</v>
      </c>
      <c r="N367" s="278">
        <f>N363/N366</f>
        <v>0.46550137994480223</v>
      </c>
      <c r="O367" s="49" t="s">
        <v>377</v>
      </c>
      <c r="P367" s="49"/>
      <c r="R367" s="50"/>
      <c r="S367" s="50"/>
      <c r="T367" s="50"/>
      <c r="U367" s="50"/>
      <c r="V367" s="50"/>
      <c r="W367" s="50"/>
      <c r="AB367" s="50"/>
      <c r="BD367" s="2389"/>
    </row>
    <row r="368" spans="1:56" s="171" customFormat="1">
      <c r="D368" s="349"/>
      <c r="E368" s="264"/>
      <c r="F368" s="264"/>
      <c r="G368" s="264"/>
      <c r="H368" s="264"/>
      <c r="I368" s="870" t="s">
        <v>384</v>
      </c>
      <c r="J368" s="758">
        <f>(J363+J365)/J366</f>
        <v>0.68421052631578949</v>
      </c>
      <c r="K368" s="758">
        <f>(K363+K365)/K366</f>
        <v>0.66320754716981123</v>
      </c>
      <c r="L368" s="758">
        <f>(L363+L365)/L366</f>
        <v>0.65246212121212122</v>
      </c>
      <c r="M368" s="758">
        <f>(M363+M365)/M366</f>
        <v>0.62745098039215697</v>
      </c>
      <c r="N368" s="758">
        <f>(N363+N365)/N366</f>
        <v>0.60165593376264948</v>
      </c>
      <c r="O368" s="390">
        <f>(J368+2*K368+2*L368+AVERAGE(M368:N368))/6</f>
        <v>0.65501722002617635</v>
      </c>
      <c r="P368" s="49"/>
      <c r="R368" s="50"/>
      <c r="S368" s="50"/>
      <c r="T368" s="50"/>
      <c r="U368" s="50"/>
      <c r="V368" s="50"/>
      <c r="W368" s="50"/>
      <c r="AB368" s="50"/>
      <c r="BD368" s="2389"/>
    </row>
    <row r="369" spans="4:56" s="171" customFormat="1">
      <c r="D369" s="349"/>
      <c r="E369" s="264"/>
      <c r="F369" s="264"/>
      <c r="G369" s="264"/>
      <c r="H369" s="264"/>
      <c r="I369" s="53"/>
      <c r="J369" s="264"/>
      <c r="K369" s="294"/>
      <c r="L369" s="294"/>
      <c r="M369" s="294"/>
      <c r="N369" s="294"/>
      <c r="O369" s="60"/>
      <c r="P369" s="49"/>
      <c r="R369" s="50"/>
      <c r="S369" s="50"/>
      <c r="T369" s="50"/>
      <c r="U369" s="50"/>
      <c r="V369" s="50"/>
      <c r="W369" s="50"/>
      <c r="AB369" s="50"/>
      <c r="BD369" s="2389"/>
    </row>
    <row r="370" spans="4:56" s="171" customFormat="1">
      <c r="D370" s="349"/>
      <c r="E370" s="264"/>
      <c r="F370" s="264"/>
      <c r="G370" s="264"/>
      <c r="H370" s="264"/>
      <c r="I370" s="398" t="s">
        <v>66</v>
      </c>
      <c r="J370" s="292" t="s">
        <v>701</v>
      </c>
      <c r="K370" s="293"/>
      <c r="L370" s="293"/>
      <c r="M370" s="293"/>
      <c r="N370" s="293"/>
      <c r="O370" s="69"/>
      <c r="P370" s="49"/>
      <c r="R370" s="50"/>
      <c r="S370" s="50"/>
      <c r="T370" s="50"/>
      <c r="U370" s="50"/>
      <c r="V370" s="50"/>
      <c r="W370" s="50"/>
      <c r="AB370" s="50" t="s">
        <v>699</v>
      </c>
      <c r="BD370" s="2389"/>
    </row>
    <row r="371" spans="4:56" s="171" customFormat="1">
      <c r="D371" s="349"/>
      <c r="E371" s="264"/>
      <c r="F371" s="264"/>
      <c r="G371" s="264"/>
      <c r="H371" s="264"/>
      <c r="I371" s="398" t="s">
        <v>263</v>
      </c>
      <c r="J371" s="404">
        <v>7.2</v>
      </c>
      <c r="K371" s="405">
        <v>14.7</v>
      </c>
      <c r="L371" s="405">
        <v>16</v>
      </c>
      <c r="M371" s="405">
        <v>14.9</v>
      </c>
      <c r="N371" s="405">
        <v>14.9</v>
      </c>
      <c r="O371" s="69"/>
      <c r="P371" s="49"/>
      <c r="R371" s="50"/>
      <c r="S371" s="50"/>
      <c r="T371" s="50"/>
      <c r="U371" s="50"/>
      <c r="V371" s="50"/>
      <c r="W371" s="50"/>
      <c r="AB371" s="50" t="s">
        <v>398</v>
      </c>
      <c r="BD371" s="2389"/>
    </row>
    <row r="372" spans="4:56" s="171" customFormat="1">
      <c r="D372" s="349"/>
      <c r="E372" s="264"/>
      <c r="F372" s="264"/>
      <c r="G372" s="264"/>
      <c r="H372" s="264"/>
      <c r="I372" s="398" t="s">
        <v>265</v>
      </c>
      <c r="J372" s="292">
        <v>4.9000000000000004</v>
      </c>
      <c r="K372" s="293">
        <v>11</v>
      </c>
      <c r="L372" s="293">
        <v>12</v>
      </c>
      <c r="M372" s="293">
        <v>13</v>
      </c>
      <c r="N372" s="293">
        <v>13.9</v>
      </c>
      <c r="O372" s="69"/>
      <c r="P372" s="49"/>
      <c r="R372" s="50"/>
      <c r="S372" s="50"/>
      <c r="T372" s="50"/>
      <c r="U372" s="50"/>
      <c r="V372" s="50"/>
      <c r="W372" s="50"/>
      <c r="AB372" s="50" t="s">
        <v>399</v>
      </c>
      <c r="BD372" s="2389"/>
    </row>
    <row r="373" spans="4:56" s="171" customFormat="1">
      <c r="D373" s="349"/>
      <c r="E373" s="264"/>
      <c r="F373" s="264"/>
      <c r="G373" s="264"/>
      <c r="H373" s="264"/>
      <c r="I373" s="398" t="s">
        <v>266</v>
      </c>
      <c r="J373" s="292">
        <v>5.2</v>
      </c>
      <c r="K373" s="293">
        <v>10</v>
      </c>
      <c r="L373" s="293">
        <v>8.9</v>
      </c>
      <c r="M373" s="293">
        <v>8.3000000000000007</v>
      </c>
      <c r="N373" s="293">
        <v>7.5</v>
      </c>
      <c r="O373" s="69"/>
      <c r="P373" s="49"/>
      <c r="R373" s="50"/>
      <c r="S373" s="50"/>
      <c r="T373" s="50"/>
      <c r="U373" s="50"/>
      <c r="V373" s="50"/>
      <c r="W373" s="50"/>
      <c r="BD373" s="2389"/>
    </row>
    <row r="374" spans="4:56" s="171" customFormat="1">
      <c r="D374" s="349"/>
      <c r="E374" s="264"/>
      <c r="F374" s="264"/>
      <c r="G374" s="264"/>
      <c r="H374" s="264"/>
      <c r="I374" s="406" t="s">
        <v>139</v>
      </c>
      <c r="J374" s="397">
        <f>SUM(J371:J373)</f>
        <v>17.3</v>
      </c>
      <c r="K374" s="397">
        <f>SUM(K371:K373)</f>
        <v>35.700000000000003</v>
      </c>
      <c r="L374" s="397">
        <f>SUM(L371:L373)</f>
        <v>36.9</v>
      </c>
      <c r="M374" s="397">
        <f>SUM(M371:M373)</f>
        <v>36.200000000000003</v>
      </c>
      <c r="N374" s="397">
        <f>SUM(N371:N373)</f>
        <v>36.299999999999997</v>
      </c>
      <c r="O374" s="60"/>
      <c r="P374" s="49"/>
      <c r="R374" s="50"/>
      <c r="S374" s="50"/>
      <c r="T374" s="50"/>
      <c r="U374" s="50"/>
      <c r="V374" s="50"/>
      <c r="W374" s="50"/>
      <c r="X374" s="49" t="s">
        <v>700</v>
      </c>
      <c r="BD374" s="2389"/>
    </row>
    <row r="375" spans="4:56" s="171" customFormat="1">
      <c r="D375" s="349"/>
      <c r="E375" s="264"/>
      <c r="F375" s="264"/>
      <c r="G375" s="264"/>
      <c r="H375" s="264"/>
      <c r="I375" s="182" t="s">
        <v>267</v>
      </c>
      <c r="J375" s="278">
        <f>J371/J374</f>
        <v>0.41618497109826591</v>
      </c>
      <c r="K375" s="278">
        <f>K371/K374</f>
        <v>0.41176470588235287</v>
      </c>
      <c r="L375" s="278">
        <f>L371/L374</f>
        <v>0.43360433604336046</v>
      </c>
      <c r="M375" s="278">
        <f>M371/M374</f>
        <v>0.41160220994475138</v>
      </c>
      <c r="N375" s="278">
        <f>N371/N374</f>
        <v>0.41046831955922869</v>
      </c>
      <c r="O375" s="53"/>
      <c r="P375" s="49"/>
      <c r="R375" s="50"/>
      <c r="S375" s="50"/>
      <c r="T375" s="50"/>
      <c r="U375" s="50"/>
      <c r="V375" s="50"/>
      <c r="W375" s="50"/>
      <c r="X375" s="50" t="s">
        <v>400</v>
      </c>
      <c r="BD375" s="2389"/>
    </row>
    <row r="376" spans="4:56" s="171" customFormat="1">
      <c r="D376" s="349"/>
      <c r="E376" s="264"/>
      <c r="F376" s="264"/>
      <c r="G376" s="264"/>
      <c r="H376" s="264"/>
      <c r="I376" s="870" t="s">
        <v>704</v>
      </c>
      <c r="J376" s="758">
        <f>(J371+J373)/J374</f>
        <v>0.7167630057803468</v>
      </c>
      <c r="K376" s="758">
        <f>(K371+K373)/K374</f>
        <v>0.69187675070027999</v>
      </c>
      <c r="L376" s="758">
        <f>(L371+L373)/L374</f>
        <v>0.67479674796747968</v>
      </c>
      <c r="M376" s="758">
        <f>(M371+M373)/M374</f>
        <v>0.64088397790055252</v>
      </c>
      <c r="N376" s="758">
        <f>(N371+N373)/N374</f>
        <v>0.61707988980716255</v>
      </c>
      <c r="O376" s="390">
        <f>(J376+2*K376+2*L376+AVERAGE(M376:N376))/6</f>
        <v>0.67984865616162071</v>
      </c>
      <c r="P376" s="49"/>
      <c r="R376" s="50"/>
      <c r="S376" s="50"/>
      <c r="T376" s="50"/>
      <c r="U376" s="50"/>
      <c r="V376" s="50"/>
      <c r="W376" s="50"/>
      <c r="X376" s="50" t="s">
        <v>401</v>
      </c>
      <c r="BD376" s="2389"/>
    </row>
    <row r="377" spans="4:56" s="171" customFormat="1">
      <c r="D377" s="349"/>
      <c r="E377" s="264"/>
      <c r="F377" s="264"/>
      <c r="G377" s="264"/>
      <c r="H377" s="264"/>
      <c r="I377" s="182" t="s">
        <v>702</v>
      </c>
      <c r="J377" s="278">
        <f t="shared" ref="J377:N378" si="12">J371/J363</f>
        <v>0.30125523012552302</v>
      </c>
      <c r="K377" s="278">
        <f t="shared" si="12"/>
        <v>0.29051383399209485</v>
      </c>
      <c r="L377" s="278">
        <f t="shared" si="12"/>
        <v>0.31007751937984496</v>
      </c>
      <c r="M377" s="278">
        <f t="shared" si="12"/>
        <v>0.29388560157790927</v>
      </c>
      <c r="N377" s="278">
        <f t="shared" si="12"/>
        <v>0.29446640316205536</v>
      </c>
      <c r="O377" s="53"/>
      <c r="P377" s="49"/>
      <c r="R377" s="50"/>
      <c r="S377" s="50"/>
      <c r="T377" s="50"/>
      <c r="U377" s="50"/>
      <c r="V377" s="50"/>
      <c r="W377" s="50"/>
      <c r="BD377" s="2389"/>
    </row>
    <row r="378" spans="4:56" s="171" customFormat="1">
      <c r="D378" s="349"/>
      <c r="E378" s="264"/>
      <c r="F378" s="264"/>
      <c r="G378" s="264"/>
      <c r="H378" s="264"/>
      <c r="I378" s="182" t="s">
        <v>703</v>
      </c>
      <c r="J378" s="278">
        <f t="shared" si="12"/>
        <v>0.31410256410256415</v>
      </c>
      <c r="K378" s="278">
        <f t="shared" si="12"/>
        <v>0.30812324929971985</v>
      </c>
      <c r="L378" s="278">
        <f t="shared" si="12"/>
        <v>0.32697547683923706</v>
      </c>
      <c r="M378" s="278">
        <f t="shared" si="12"/>
        <v>0.32581453634085217</v>
      </c>
      <c r="N378" s="278">
        <f t="shared" si="12"/>
        <v>0.32101616628175522</v>
      </c>
      <c r="O378" s="53"/>
      <c r="P378" s="49"/>
      <c r="R378" s="50"/>
      <c r="S378" s="50"/>
      <c r="T378" s="50"/>
      <c r="U378" s="50"/>
      <c r="V378" s="50"/>
      <c r="W378" s="50"/>
      <c r="X378" s="57" t="s">
        <v>705</v>
      </c>
      <c r="BD378" s="2389"/>
    </row>
    <row r="379" spans="4:56" s="171" customFormat="1">
      <c r="D379" s="349"/>
      <c r="E379" s="264"/>
      <c r="F379" s="264"/>
      <c r="G379" s="264"/>
      <c r="H379" s="264"/>
      <c r="I379" s="49"/>
      <c r="J379" s="264"/>
      <c r="K379" s="278"/>
      <c r="L379" s="278"/>
      <c r="M379" s="278"/>
      <c r="N379" s="278"/>
      <c r="O379" s="53"/>
      <c r="P379" s="49"/>
      <c r="R379" s="50"/>
      <c r="S379" s="50"/>
      <c r="T379" s="50"/>
      <c r="U379" s="50"/>
      <c r="V379" s="50"/>
      <c r="W379" s="50"/>
      <c r="BD379" s="2389"/>
    </row>
    <row r="380" spans="4:56" s="171" customFormat="1">
      <c r="D380" s="349"/>
      <c r="E380" s="264"/>
      <c r="F380" s="264"/>
      <c r="G380" s="264"/>
      <c r="H380" s="264"/>
      <c r="I380" s="304" t="s">
        <v>397</v>
      </c>
      <c r="J380" s="264"/>
      <c r="K380" s="278"/>
      <c r="L380" s="278"/>
      <c r="M380" s="278"/>
      <c r="N380" s="278"/>
      <c r="O380" s="53"/>
      <c r="P380" s="49"/>
      <c r="R380" s="50"/>
      <c r="S380" s="50"/>
      <c r="T380" s="50"/>
      <c r="U380" s="50"/>
      <c r="V380" s="50"/>
      <c r="W380" s="50"/>
      <c r="X380" s="53"/>
      <c r="BD380" s="2389"/>
    </row>
    <row r="381" spans="4:56" s="171" customFormat="1">
      <c r="D381" s="349"/>
      <c r="E381" s="264"/>
      <c r="F381" s="264"/>
      <c r="G381" s="264"/>
      <c r="H381" s="264"/>
      <c r="I381" s="402" t="s">
        <v>263</v>
      </c>
      <c r="J381" s="407">
        <f>J375/J367</f>
        <v>0.86023169758386353</v>
      </c>
      <c r="K381" s="407">
        <f>K375/K367</f>
        <v>0.86259009532666819</v>
      </c>
      <c r="L381" s="407">
        <f>L375/L367</f>
        <v>0.88737631562362151</v>
      </c>
      <c r="M381" s="407">
        <f>M375/M367</f>
        <v>0.86947922455784754</v>
      </c>
      <c r="N381" s="407">
        <f>N375/N367</f>
        <v>0.88177680506103073</v>
      </c>
      <c r="O381" s="453">
        <f>(J381+2*K381+2*L381+AVERAGE(M381:N381))/6</f>
        <v>0.87263208904898037</v>
      </c>
      <c r="P381" s="49"/>
      <c r="R381" s="50"/>
      <c r="S381" s="50"/>
      <c r="T381" s="50"/>
      <c r="U381" s="50"/>
      <c r="V381" s="50"/>
      <c r="W381" s="50"/>
      <c r="X381" s="53"/>
      <c r="BD381" s="2389"/>
    </row>
    <row r="382" spans="4:56" s="171" customFormat="1">
      <c r="D382" s="349"/>
      <c r="E382" s="264"/>
      <c r="F382" s="264"/>
      <c r="G382" s="264"/>
      <c r="H382" s="264"/>
      <c r="I382" s="402" t="s">
        <v>265</v>
      </c>
      <c r="J382" s="295">
        <f>(J372/J374)/(J364/J366)</f>
        <v>0.89691714836223524</v>
      </c>
      <c r="K382" s="295">
        <f>(K372/K374)/(K364/K366)</f>
        <v>0.91487575422325784</v>
      </c>
      <c r="L382" s="295">
        <f>(L372/L374)/(L364/L366)</f>
        <v>0.93573469794643449</v>
      </c>
      <c r="M382" s="295">
        <f>(M372/M374)/(M364/M366)</f>
        <v>0.9639430066879906</v>
      </c>
      <c r="N382" s="295">
        <f>(N372/N374)/(N364/N366)</f>
        <v>0.96127981473352053</v>
      </c>
      <c r="O382" s="453">
        <f>(J382+2*K382+2*L382+AVERAGE(M382:N382))/6</f>
        <v>0.92679157723539574</v>
      </c>
      <c r="P382" s="49"/>
      <c r="Q382" s="184"/>
      <c r="R382" s="50"/>
      <c r="S382" s="50"/>
      <c r="T382" s="50"/>
      <c r="U382" s="50"/>
      <c r="V382" s="50"/>
      <c r="W382" s="50"/>
      <c r="X382" s="53"/>
      <c r="BD382" s="2389"/>
    </row>
    <row r="383" spans="4:56" s="171" customFormat="1">
      <c r="D383" s="349"/>
      <c r="E383" s="264"/>
      <c r="F383" s="264"/>
      <c r="G383" s="264"/>
      <c r="H383" s="264"/>
      <c r="I383" s="402" t="s">
        <v>266</v>
      </c>
      <c r="J383" s="295">
        <f>(J373/J374)/(J365/J366)</f>
        <v>1.4998540316459392</v>
      </c>
      <c r="K383" s="295">
        <f>(K373/K374)/(K365/K366)</f>
        <v>1.507201865517781</v>
      </c>
      <c r="L383" s="295">
        <f>(L373/L374)/(L365/L366)</f>
        <v>1.4722496357911556</v>
      </c>
      <c r="M383" s="295">
        <f>(M373/M374)/(M365/M366)</f>
        <v>1.4882471120040179</v>
      </c>
      <c r="N383" s="295">
        <f>(N373/N374)/(N365/N366)</f>
        <v>1.5174782220236764</v>
      </c>
      <c r="O383" s="453">
        <f>(J383+2*K383+2*L383+AVERAGE(M383:N383))/6</f>
        <v>1.4936032835462765</v>
      </c>
      <c r="P383" s="49"/>
      <c r="R383" s="50"/>
      <c r="S383" s="50"/>
      <c r="T383" s="50"/>
      <c r="U383" s="50"/>
      <c r="V383" s="50"/>
      <c r="W383" s="50"/>
      <c r="X383" s="53"/>
      <c r="BD383" s="2389"/>
    </row>
    <row r="384" spans="4:56" s="171" customFormat="1">
      <c r="D384" s="349"/>
      <c r="E384" s="264"/>
      <c r="F384" s="264"/>
      <c r="G384" s="264"/>
      <c r="H384" s="264"/>
      <c r="I384" s="850" t="s">
        <v>972</v>
      </c>
      <c r="J384" s="922">
        <f>J376/J368</f>
        <v>1.0475767007558914</v>
      </c>
      <c r="K384" s="922">
        <f>K376/K368</f>
        <v>1.0432281020516314</v>
      </c>
      <c r="L384" s="922">
        <f>L376/L368</f>
        <v>1.0342313002230168</v>
      </c>
      <c r="M384" s="922">
        <f>M376/M368</f>
        <v>1.0214088397790053</v>
      </c>
      <c r="N384" s="922">
        <f>N376/N368</f>
        <v>1.0256358413155744</v>
      </c>
      <c r="O384" s="453">
        <f>(J384+2*K384+2*L384+AVERAGE(M384:N384))/6</f>
        <v>1.0376696409754129</v>
      </c>
      <c r="P384" s="49"/>
      <c r="Q384" s="49" t="s">
        <v>706</v>
      </c>
      <c r="R384" s="50"/>
      <c r="S384" s="50"/>
      <c r="T384" s="50"/>
      <c r="U384" s="50"/>
      <c r="V384" s="50"/>
      <c r="W384" s="50"/>
      <c r="X384" s="53"/>
      <c r="BD384" s="2389"/>
    </row>
    <row r="385" spans="1:56" s="171" customFormat="1">
      <c r="D385" s="349"/>
      <c r="E385" s="264"/>
      <c r="F385" s="264"/>
      <c r="G385" s="264"/>
      <c r="H385" s="264"/>
      <c r="I385" s="59"/>
      <c r="J385" s="296"/>
      <c r="K385" s="295"/>
      <c r="L385" s="295"/>
      <c r="M385" s="295"/>
      <c r="N385" s="295"/>
      <c r="O385" s="70"/>
      <c r="P385" s="49"/>
      <c r="R385" s="50"/>
      <c r="S385" s="50"/>
      <c r="T385" s="50"/>
      <c r="U385" s="50"/>
      <c r="V385" s="50"/>
      <c r="W385" s="50"/>
      <c r="X385" s="53"/>
      <c r="BD385" s="2389"/>
    </row>
    <row r="386" spans="1:56" s="170" customFormat="1">
      <c r="A386" s="46" t="s">
        <v>49</v>
      </c>
      <c r="B386" s="179" t="s">
        <v>370</v>
      </c>
      <c r="C386" s="170" t="s">
        <v>268</v>
      </c>
      <c r="D386" s="2331"/>
      <c r="E386" s="267">
        <v>50.54</v>
      </c>
      <c r="F386" s="267">
        <v>55.15</v>
      </c>
      <c r="G386" s="267">
        <v>59.31</v>
      </c>
      <c r="H386" s="267"/>
      <c r="I386" s="47"/>
      <c r="J386" s="277"/>
      <c r="K386" s="277"/>
      <c r="L386" s="277"/>
      <c r="M386" s="277"/>
      <c r="N386" s="277"/>
      <c r="O386" s="47"/>
      <c r="P386" s="48"/>
      <c r="Q386" s="48"/>
      <c r="R386" s="48"/>
      <c r="S386" s="48"/>
      <c r="T386" s="48"/>
      <c r="U386" s="48"/>
      <c r="V386" s="48"/>
      <c r="W386" s="48"/>
      <c r="BD386" s="2393"/>
    </row>
    <row r="387" spans="1:56" s="171" customFormat="1">
      <c r="C387" s="171" t="s">
        <v>269</v>
      </c>
      <c r="D387" s="349"/>
      <c r="E387" s="264">
        <v>15.06</v>
      </c>
      <c r="F387" s="264">
        <v>13.42</v>
      </c>
      <c r="G387" s="264">
        <v>11.16</v>
      </c>
      <c r="H387" s="264"/>
      <c r="I387" s="49"/>
      <c r="J387" s="273"/>
      <c r="K387" s="273"/>
      <c r="L387" s="273"/>
      <c r="M387" s="273"/>
      <c r="N387" s="273"/>
      <c r="O387" s="49"/>
      <c r="P387" s="50"/>
      <c r="Q387" s="50" t="s">
        <v>342</v>
      </c>
      <c r="R387" s="50"/>
      <c r="S387" s="50"/>
      <c r="T387" s="50"/>
      <c r="U387" s="50"/>
      <c r="V387" s="50"/>
      <c r="W387" s="50"/>
      <c r="BD387" s="2389"/>
    </row>
    <row r="388" spans="1:56" s="171" customFormat="1">
      <c r="C388" s="171" t="s">
        <v>270</v>
      </c>
      <c r="D388" s="349"/>
      <c r="E388" s="264">
        <v>10.59</v>
      </c>
      <c r="F388" s="264">
        <v>11.33</v>
      </c>
      <c r="G388" s="264">
        <v>11.08</v>
      </c>
      <c r="H388" s="264"/>
      <c r="I388" s="49"/>
      <c r="J388" s="273"/>
      <c r="K388" s="273"/>
      <c r="L388" s="273"/>
      <c r="M388" s="273"/>
      <c r="N388" s="273"/>
      <c r="O388" s="49"/>
      <c r="P388" s="50"/>
      <c r="Q388" s="50"/>
      <c r="R388" s="50"/>
      <c r="S388" s="50"/>
      <c r="T388" s="50"/>
      <c r="U388" s="50"/>
      <c r="V388" s="50"/>
      <c r="W388" s="50"/>
      <c r="BD388" s="2389"/>
    </row>
    <row r="389" spans="1:56" s="171" customFormat="1">
      <c r="C389" s="171" t="s">
        <v>271</v>
      </c>
      <c r="D389" s="349"/>
      <c r="E389" s="264">
        <v>10.55</v>
      </c>
      <c r="F389" s="264">
        <v>7.82</v>
      </c>
      <c r="G389" s="264">
        <v>7.41</v>
      </c>
      <c r="H389" s="264"/>
      <c r="I389" s="49"/>
      <c r="J389" s="273"/>
      <c r="K389" s="273"/>
      <c r="L389" s="273"/>
      <c r="M389" s="273"/>
      <c r="N389" s="273"/>
      <c r="O389" s="49"/>
      <c r="P389" s="50"/>
      <c r="Q389" s="50"/>
      <c r="R389" s="50"/>
      <c r="S389" s="50"/>
      <c r="T389" s="50"/>
      <c r="U389" s="50"/>
      <c r="V389" s="50"/>
      <c r="W389" s="50"/>
      <c r="BD389" s="2389"/>
    </row>
    <row r="390" spans="1:56" s="171" customFormat="1">
      <c r="C390" s="171" t="s">
        <v>272</v>
      </c>
      <c r="D390" s="349"/>
      <c r="E390" s="264">
        <v>7.88</v>
      </c>
      <c r="F390" s="264">
        <v>7.87</v>
      </c>
      <c r="G390" s="264">
        <v>6.86</v>
      </c>
      <c r="H390" s="264"/>
      <c r="I390" s="49"/>
      <c r="J390" s="273"/>
      <c r="K390" s="273"/>
      <c r="L390" s="273"/>
      <c r="M390" s="273"/>
      <c r="N390" s="273"/>
      <c r="O390" s="49"/>
      <c r="P390" s="50"/>
      <c r="Q390" s="50"/>
      <c r="R390" s="50"/>
      <c r="S390" s="50"/>
      <c r="T390" s="50"/>
      <c r="U390" s="50"/>
      <c r="V390" s="50"/>
      <c r="W390" s="50"/>
      <c r="BD390" s="2389"/>
    </row>
    <row r="391" spans="1:56" s="171" customFormat="1">
      <c r="C391" s="171" t="s">
        <v>273</v>
      </c>
      <c r="D391" s="349"/>
      <c r="E391" s="264">
        <v>5.36</v>
      </c>
      <c r="F391" s="264">
        <v>4.41</v>
      </c>
      <c r="G391" s="264">
        <v>4.18</v>
      </c>
      <c r="H391" s="264"/>
      <c r="I391" s="49"/>
      <c r="J391" s="273"/>
      <c r="K391" s="273"/>
      <c r="L391" s="273"/>
      <c r="M391" s="273"/>
      <c r="N391" s="273"/>
      <c r="O391" s="49"/>
      <c r="P391" s="50"/>
      <c r="Q391" s="50"/>
      <c r="R391" s="50"/>
      <c r="S391" s="50"/>
      <c r="T391" s="50"/>
      <c r="U391" s="50"/>
      <c r="V391" s="50"/>
      <c r="W391" s="50"/>
      <c r="BD391" s="2389"/>
    </row>
    <row r="392" spans="1:56" s="171" customFormat="1">
      <c r="B392" s="51" t="s">
        <v>370</v>
      </c>
      <c r="C392" s="51" t="s">
        <v>164</v>
      </c>
      <c r="D392" s="2327"/>
      <c r="E392" s="264">
        <v>88.55</v>
      </c>
      <c r="F392" s="264">
        <v>92.21</v>
      </c>
      <c r="G392" s="264">
        <v>92.59</v>
      </c>
      <c r="H392" s="264">
        <v>92.6</v>
      </c>
      <c r="I392" s="872" t="s">
        <v>373</v>
      </c>
      <c r="J392" s="758"/>
      <c r="K392" s="871">
        <f>E392/100</f>
        <v>0.88549999999999995</v>
      </c>
      <c r="L392" s="871">
        <f>F392/100</f>
        <v>0.92209999999999992</v>
      </c>
      <c r="M392" s="871">
        <f>G392/100</f>
        <v>0.92590000000000006</v>
      </c>
      <c r="N392" s="871">
        <f>H392/100</f>
        <v>0.92599999999999993</v>
      </c>
      <c r="O392" s="49"/>
      <c r="P392" s="50"/>
      <c r="Q392" s="50"/>
      <c r="R392" s="50"/>
      <c r="S392" s="50"/>
      <c r="T392" s="50"/>
      <c r="U392" s="50"/>
      <c r="V392" s="50"/>
      <c r="W392" s="50"/>
      <c r="BD392" s="2389"/>
    </row>
    <row r="393" spans="1:56" s="171" customFormat="1">
      <c r="C393" s="51" t="s">
        <v>274</v>
      </c>
      <c r="D393" s="2327"/>
      <c r="E393" s="264">
        <v>11.450000000000003</v>
      </c>
      <c r="F393" s="264">
        <v>7.79</v>
      </c>
      <c r="G393" s="264">
        <v>7.41</v>
      </c>
      <c r="H393" s="264">
        <v>7.4</v>
      </c>
      <c r="I393" s="49"/>
      <c r="J393" s="273"/>
      <c r="K393" s="273"/>
      <c r="L393" s="273"/>
      <c r="M393" s="273"/>
      <c r="N393" s="273"/>
      <c r="O393" s="49"/>
      <c r="P393" s="50"/>
      <c r="Q393" s="50"/>
      <c r="R393" s="50"/>
      <c r="S393" s="50"/>
      <c r="T393" s="50"/>
      <c r="U393" s="50"/>
      <c r="V393" s="50"/>
      <c r="W393" s="50"/>
      <c r="BD393" s="2389"/>
    </row>
    <row r="394" spans="1:56" s="171" customFormat="1">
      <c r="A394" s="181" t="s">
        <v>371</v>
      </c>
      <c r="B394" s="180" t="s">
        <v>370</v>
      </c>
      <c r="C394" s="171" t="s">
        <v>65</v>
      </c>
      <c r="D394" s="349"/>
      <c r="E394" s="264">
        <v>69.53</v>
      </c>
      <c r="F394" s="264">
        <v>68.17</v>
      </c>
      <c r="G394" s="264">
        <v>70.64</v>
      </c>
      <c r="H394" s="264">
        <v>74.75</v>
      </c>
      <c r="I394" s="49"/>
      <c r="J394" s="273"/>
      <c r="K394" s="273"/>
      <c r="L394" s="273"/>
      <c r="M394" s="273"/>
      <c r="N394" s="273"/>
      <c r="O394" s="49"/>
      <c r="P394" s="50"/>
      <c r="Q394" s="50"/>
      <c r="R394" s="50"/>
      <c r="S394" s="50"/>
      <c r="T394" s="50"/>
      <c r="U394" s="50"/>
      <c r="V394" s="50"/>
      <c r="W394" s="50"/>
      <c r="BD394" s="2389"/>
    </row>
    <row r="395" spans="1:56" s="171" customFormat="1">
      <c r="C395" s="171" t="s">
        <v>275</v>
      </c>
      <c r="D395" s="349"/>
      <c r="E395" s="264">
        <f>100-E394</f>
        <v>30.47</v>
      </c>
      <c r="F395" s="264">
        <f>100-F394</f>
        <v>31.83</v>
      </c>
      <c r="G395" s="264">
        <f>100-G394</f>
        <v>29.36</v>
      </c>
      <c r="H395" s="264">
        <v>25.25</v>
      </c>
      <c r="I395" s="49"/>
      <c r="J395" s="273"/>
      <c r="K395" s="273"/>
      <c r="L395" s="273"/>
      <c r="M395" s="273"/>
      <c r="N395" s="273"/>
      <c r="O395" s="49"/>
      <c r="P395" s="50"/>
      <c r="Q395" s="50"/>
      <c r="R395" s="50"/>
      <c r="S395" s="50"/>
      <c r="T395" s="50"/>
      <c r="U395" s="50"/>
      <c r="V395" s="50"/>
      <c r="W395" s="50"/>
      <c r="BD395" s="2389"/>
    </row>
    <row r="396" spans="1:56" s="172" customFormat="1">
      <c r="D396" s="2344"/>
      <c r="E396" s="291"/>
      <c r="F396" s="291"/>
      <c r="G396" s="291"/>
      <c r="H396" s="291"/>
      <c r="I396" s="78"/>
      <c r="J396" s="276"/>
      <c r="K396" s="276"/>
      <c r="L396" s="276"/>
      <c r="M396" s="276"/>
      <c r="N396" s="276"/>
      <c r="O396" s="78"/>
      <c r="P396" s="54"/>
      <c r="Q396" s="54"/>
      <c r="R396" s="54"/>
      <c r="S396" s="54"/>
      <c r="T396" s="54"/>
      <c r="U396" s="54"/>
      <c r="V396" s="54"/>
      <c r="W396" s="54"/>
      <c r="BD396" s="2391"/>
    </row>
    <row r="397" spans="1:56">
      <c r="A397" s="43" t="s">
        <v>663</v>
      </c>
      <c r="B397" s="51" t="s">
        <v>370</v>
      </c>
      <c r="C397" s="419" t="s">
        <v>667</v>
      </c>
      <c r="D397" s="2338"/>
      <c r="E397" s="264">
        <v>61.81</v>
      </c>
      <c r="F397" s="264">
        <v>84.88</v>
      </c>
      <c r="G397" s="264">
        <v>81.38</v>
      </c>
      <c r="H397" s="264">
        <v>81.61</v>
      </c>
      <c r="I397" s="321" t="s">
        <v>546</v>
      </c>
      <c r="J397" s="917"/>
      <c r="K397" s="918">
        <f>E397/100</f>
        <v>0.61809999999999998</v>
      </c>
      <c r="L397" s="918">
        <f>F397/100</f>
        <v>0.8488</v>
      </c>
      <c r="M397" s="918">
        <f>G397/100</f>
        <v>0.81379999999999997</v>
      </c>
      <c r="N397" s="918">
        <f>H397/100</f>
        <v>0.81610000000000005</v>
      </c>
      <c r="Q397" s="424" t="s">
        <v>672</v>
      </c>
      <c r="X397" s="45"/>
      <c r="Y397" s="45"/>
      <c r="Z397" s="45"/>
      <c r="AA397" s="45"/>
    </row>
    <row r="398" spans="1:56">
      <c r="A398" s="425"/>
      <c r="C398" s="419" t="s">
        <v>668</v>
      </c>
      <c r="D398" s="2338"/>
      <c r="E398" s="264">
        <v>26.04</v>
      </c>
      <c r="F398" s="421" t="s">
        <v>138</v>
      </c>
      <c r="G398" s="264">
        <v>0.65</v>
      </c>
      <c r="H398" s="421" t="s">
        <v>138</v>
      </c>
      <c r="K398" s="273" t="s">
        <v>965</v>
      </c>
      <c r="Q398" s="424" t="s">
        <v>55</v>
      </c>
      <c r="R398" s="45">
        <v>238.8</v>
      </c>
      <c r="S398" s="45">
        <v>528.1</v>
      </c>
      <c r="T398" s="45">
        <v>570.70000000000005</v>
      </c>
      <c r="U398" s="427">
        <v>592.75761706000003</v>
      </c>
      <c r="V398" s="427">
        <v>607.02297536000003</v>
      </c>
      <c r="W398" s="45" t="s">
        <v>673</v>
      </c>
      <c r="Y398" s="45"/>
      <c r="Z398" s="45"/>
      <c r="AA398" s="45"/>
    </row>
    <row r="399" spans="1:56">
      <c r="A399" s="425"/>
      <c r="C399" s="419" t="s">
        <v>671</v>
      </c>
      <c r="D399" s="2338"/>
      <c r="E399" s="264">
        <v>12.15</v>
      </c>
      <c r="F399" s="264">
        <v>12.2</v>
      </c>
      <c r="G399" s="264">
        <v>14.86</v>
      </c>
      <c r="H399" s="264">
        <v>15.29</v>
      </c>
      <c r="Q399" s="424" t="s">
        <v>174</v>
      </c>
      <c r="R399" s="45">
        <v>114.1</v>
      </c>
      <c r="S399" s="45">
        <v>222.5</v>
      </c>
      <c r="T399" s="45">
        <v>220.4</v>
      </c>
      <c r="U399" s="427">
        <v>237.64553364339082</v>
      </c>
      <c r="V399" s="427">
        <v>245.19964191</v>
      </c>
      <c r="W399" s="45" t="s">
        <v>677</v>
      </c>
      <c r="Y399" s="45"/>
      <c r="Z399" s="45"/>
      <c r="AA399" s="45"/>
    </row>
    <row r="400" spans="1:56">
      <c r="C400" s="419" t="s">
        <v>669</v>
      </c>
      <c r="D400" s="2338"/>
      <c r="F400" s="264">
        <v>2.91</v>
      </c>
      <c r="G400" s="264">
        <v>3.1</v>
      </c>
      <c r="H400" s="264">
        <v>3.1</v>
      </c>
      <c r="Q400" s="424" t="s">
        <v>675</v>
      </c>
      <c r="R400" s="45">
        <v>55.6</v>
      </c>
      <c r="S400" s="45">
        <v>103.8</v>
      </c>
      <c r="T400" s="45">
        <v>108.5</v>
      </c>
      <c r="U400" s="427">
        <v>142.5376941346</v>
      </c>
      <c r="V400" s="427">
        <v>149.90811216814731</v>
      </c>
      <c r="W400" s="45" t="s">
        <v>674</v>
      </c>
      <c r="Y400" s="45"/>
      <c r="Z400" s="45"/>
      <c r="AA400" s="45"/>
    </row>
    <row r="401" spans="1:56">
      <c r="Q401" s="424" t="s">
        <v>676</v>
      </c>
      <c r="R401" s="45" t="s">
        <v>513</v>
      </c>
      <c r="S401" s="45" t="s">
        <v>513</v>
      </c>
      <c r="U401" s="427">
        <v>29.735815495000004</v>
      </c>
      <c r="V401" s="427">
        <v>30.401292120000001</v>
      </c>
      <c r="W401" s="45" t="s">
        <v>678</v>
      </c>
      <c r="Y401" s="45"/>
      <c r="Z401" s="45"/>
      <c r="AA401" s="45"/>
    </row>
    <row r="402" spans="1:56">
      <c r="B402" s="51" t="s">
        <v>141</v>
      </c>
      <c r="C402" s="419" t="s">
        <v>667</v>
      </c>
      <c r="D402" s="2338"/>
      <c r="E402" s="264">
        <v>89.47</v>
      </c>
      <c r="F402" s="264">
        <v>91.6</v>
      </c>
      <c r="G402" s="264">
        <v>93.92</v>
      </c>
      <c r="H402" s="421" t="s">
        <v>138</v>
      </c>
      <c r="I402" s="321" t="s">
        <v>679</v>
      </c>
      <c r="J402" s="342"/>
      <c r="K402" s="423">
        <f>E402/100</f>
        <v>0.89469999999999994</v>
      </c>
      <c r="L402" s="423">
        <f>F402/100</f>
        <v>0.91599999999999993</v>
      </c>
      <c r="M402" s="423">
        <f>G402/100</f>
        <v>0.93920000000000003</v>
      </c>
      <c r="N402" s="423"/>
      <c r="P402" s="426"/>
      <c r="Q402" s="426" t="s">
        <v>617</v>
      </c>
      <c r="R402" s="428">
        <f>R398+R399+R400</f>
        <v>408.5</v>
      </c>
      <c r="S402" s="428">
        <f>S398+S399+S400</f>
        <v>854.4</v>
      </c>
      <c r="T402" s="428">
        <f>T398+T399+T400</f>
        <v>899.6</v>
      </c>
      <c r="U402" s="428">
        <f>U398+U399+U400</f>
        <v>972.94084483799077</v>
      </c>
      <c r="V402" s="428">
        <f>V398+V399+V400</f>
        <v>1002.1307294381473</v>
      </c>
      <c r="W402" s="41" t="s">
        <v>681</v>
      </c>
      <c r="Y402" s="45"/>
      <c r="Z402" s="45"/>
      <c r="AA402" s="45"/>
    </row>
    <row r="403" spans="1:56">
      <c r="C403" s="419" t="s">
        <v>668</v>
      </c>
      <c r="D403" s="2338"/>
      <c r="E403" s="264">
        <v>5.81</v>
      </c>
      <c r="F403" s="264">
        <v>4.41</v>
      </c>
      <c r="G403" s="264">
        <v>1.77</v>
      </c>
      <c r="H403" s="421" t="s">
        <v>138</v>
      </c>
      <c r="I403" s="182" t="s">
        <v>680</v>
      </c>
      <c r="K403" s="422">
        <f>K402/K397</f>
        <v>1.4475004044652968</v>
      </c>
      <c r="L403" s="422">
        <f>L402/L397</f>
        <v>1.0791705937794533</v>
      </c>
      <c r="M403" s="422">
        <f>M402/M397</f>
        <v>1.1540919144753012</v>
      </c>
      <c r="Q403" s="163"/>
      <c r="R403" s="163"/>
      <c r="S403" s="163"/>
      <c r="T403" s="163"/>
      <c r="U403" s="434">
        <f>U402+U401</f>
        <v>1002.6766603329908</v>
      </c>
      <c r="V403" s="434"/>
      <c r="W403" s="41"/>
      <c r="Y403" s="45"/>
      <c r="Z403" s="45"/>
      <c r="AA403" s="45"/>
    </row>
    <row r="404" spans="1:56">
      <c r="C404" s="419" t="s">
        <v>671</v>
      </c>
      <c r="D404" s="2338"/>
      <c r="E404" s="264">
        <v>4.71</v>
      </c>
      <c r="F404" s="264">
        <v>3.99</v>
      </c>
      <c r="G404" s="264">
        <v>4.3</v>
      </c>
      <c r="H404" s="421" t="s">
        <v>138</v>
      </c>
      <c r="I404" s="182"/>
      <c r="K404" s="422"/>
      <c r="L404" s="422"/>
      <c r="M404" s="422"/>
      <c r="O404" s="49" t="s">
        <v>377</v>
      </c>
      <c r="Q404" s="424" t="s">
        <v>66</v>
      </c>
      <c r="R404" s="163"/>
      <c r="S404" s="163"/>
      <c r="U404" s="427"/>
      <c r="V404" s="429"/>
      <c r="W404" s="163"/>
      <c r="X404" s="45"/>
      <c r="Y404" s="45"/>
      <c r="Z404" s="45"/>
      <c r="AA404" s="45"/>
    </row>
    <row r="405" spans="1:56">
      <c r="I405" s="851" t="s">
        <v>373</v>
      </c>
      <c r="J405" s="758">
        <f>R398/R402</f>
        <v>0.58457772337821301</v>
      </c>
      <c r="K405" s="758">
        <f>S398/S402</f>
        <v>0.61809456928838957</v>
      </c>
      <c r="L405" s="758">
        <f>T398/T402</f>
        <v>0.63439306358381509</v>
      </c>
      <c r="M405" s="758">
        <f>U398/U402</f>
        <v>0.60924322398933006</v>
      </c>
      <c r="N405" s="758">
        <f>V398/V402</f>
        <v>0.60573232366632679</v>
      </c>
      <c r="O405" s="435">
        <f>(J405+2*K405+2*L405+AVERAGE(M405,N405))/6</f>
        <v>0.61617346049174182</v>
      </c>
      <c r="Q405" s="424" t="s">
        <v>55</v>
      </c>
      <c r="R405" s="45">
        <v>115.5</v>
      </c>
      <c r="S405" s="45">
        <v>227.8</v>
      </c>
      <c r="T405" s="45">
        <v>218.6</v>
      </c>
      <c r="U405" s="427">
        <v>185.50318086000001</v>
      </c>
      <c r="V405" s="427">
        <v>166.72625211999997</v>
      </c>
      <c r="W405" s="163"/>
      <c r="X405" s="45"/>
      <c r="Y405" s="45"/>
      <c r="Z405" s="45"/>
      <c r="AA405" s="45"/>
    </row>
    <row r="406" spans="1:56">
      <c r="Q406" s="424" t="s">
        <v>174</v>
      </c>
      <c r="R406" s="45">
        <v>6.7</v>
      </c>
      <c r="S406" s="45">
        <v>14.8</v>
      </c>
      <c r="T406" s="45">
        <v>13</v>
      </c>
      <c r="U406" s="427">
        <v>3.4810467533908076</v>
      </c>
      <c r="V406" s="427">
        <v>5.6587315300000123</v>
      </c>
      <c r="W406" s="163"/>
      <c r="X406" s="45"/>
      <c r="Y406" s="45"/>
      <c r="Z406" s="45"/>
      <c r="AA406" s="45"/>
    </row>
    <row r="407" spans="1:56">
      <c r="H407" s="349"/>
      <c r="I407" s="873" t="s">
        <v>641</v>
      </c>
      <c r="J407" s="758">
        <f>R405/R409</f>
        <v>0.89258114374034003</v>
      </c>
      <c r="K407" s="758">
        <f>S405/S409</f>
        <v>0.89473684210526316</v>
      </c>
      <c r="L407" s="758">
        <f>T405/T409</f>
        <v>0.90969621306699966</v>
      </c>
      <c r="M407" s="758">
        <f>U405/U409</f>
        <v>0.93952867987978417</v>
      </c>
      <c r="N407" s="874">
        <f>V405/V409</f>
        <v>0.92232145907274721</v>
      </c>
      <c r="O407" s="435">
        <f>(J407+2*K407+2*L407+AVERAGE(M407,N407))/6</f>
        <v>0.90539538726018864</v>
      </c>
      <c r="Q407" s="424" t="s">
        <v>675</v>
      </c>
      <c r="R407" s="45">
        <v>7.2</v>
      </c>
      <c r="S407" s="45">
        <v>12</v>
      </c>
      <c r="T407" s="45">
        <v>8.6999999999999993</v>
      </c>
      <c r="U407" s="427">
        <v>8.4585805015628992</v>
      </c>
      <c r="V407" s="427">
        <v>8.3830668815551075</v>
      </c>
      <c r="W407" s="163"/>
      <c r="X407" s="45"/>
      <c r="Y407" s="45"/>
      <c r="Z407" s="45"/>
      <c r="AA407" s="45"/>
    </row>
    <row r="408" spans="1:56">
      <c r="I408" s="864" t="s">
        <v>972</v>
      </c>
      <c r="J408" s="430">
        <f>J407/J405</f>
        <v>1.5268818978975247</v>
      </c>
      <c r="K408" s="430">
        <f>K407/K405</f>
        <v>1.4475727284505524</v>
      </c>
      <c r="L408" s="430">
        <f>L407/L405</f>
        <v>1.4339630511215573</v>
      </c>
      <c r="M408" s="430">
        <f>M407/M405</f>
        <v>1.54212413513234</v>
      </c>
      <c r="N408" s="430">
        <f>N407/N405</f>
        <v>1.5226551779343651</v>
      </c>
      <c r="O408" s="431">
        <f>(J408+2*K408+2*L408+AVERAGE(M408,N408))/6</f>
        <v>1.4703905189291826</v>
      </c>
      <c r="Q408" s="424" t="s">
        <v>676</v>
      </c>
      <c r="R408" s="45" t="s">
        <v>513</v>
      </c>
      <c r="S408" s="45">
        <v>-7.1</v>
      </c>
      <c r="U408" s="427">
        <v>-1.267996455</v>
      </c>
      <c r="V408" s="427">
        <v>-2.6591354799999984</v>
      </c>
      <c r="X408" s="45"/>
      <c r="Y408" s="45"/>
      <c r="Z408" s="45"/>
      <c r="AA408" s="45"/>
    </row>
    <row r="409" spans="1:56">
      <c r="P409" s="426"/>
      <c r="Q409" s="426" t="s">
        <v>617</v>
      </c>
      <c r="R409" s="428">
        <f>R405+R406+R407</f>
        <v>129.4</v>
      </c>
      <c r="S409" s="428">
        <f>S405+S406+S407</f>
        <v>254.60000000000002</v>
      </c>
      <c r="T409" s="428">
        <f>T405+T406+T407</f>
        <v>240.29999999999998</v>
      </c>
      <c r="U409" s="428">
        <f>U405+U406+U407</f>
        <v>197.44280811495372</v>
      </c>
      <c r="V409" s="428">
        <f>V405+V406+V407</f>
        <v>180.76805053155508</v>
      </c>
      <c r="X409" s="45"/>
      <c r="Y409" s="45"/>
      <c r="Z409" s="45"/>
      <c r="AA409" s="45"/>
    </row>
    <row r="410" spans="1:56">
      <c r="I410" s="41" t="s">
        <v>951</v>
      </c>
      <c r="Q410" s="424"/>
      <c r="X410" s="45"/>
      <c r="Y410" s="45"/>
      <c r="Z410" s="45"/>
      <c r="AA410" s="45"/>
    </row>
    <row r="411" spans="1:56">
      <c r="I411" s="41" t="s">
        <v>950</v>
      </c>
      <c r="Q411" s="424"/>
      <c r="X411" s="45"/>
      <c r="Y411" s="45"/>
      <c r="Z411" s="45"/>
      <c r="AA411" s="45"/>
    </row>
    <row r="412" spans="1:56">
      <c r="Q412" s="424"/>
      <c r="X412" s="45"/>
      <c r="Y412" s="45"/>
      <c r="Z412" s="45"/>
      <c r="AA412" s="45"/>
    </row>
    <row r="413" spans="1:56" s="441" customFormat="1">
      <c r="A413" s="440" t="s">
        <v>451</v>
      </c>
      <c r="B413" s="440" t="s">
        <v>370</v>
      </c>
      <c r="C413" s="441" t="s">
        <v>686</v>
      </c>
      <c r="D413" s="2345"/>
      <c r="E413" s="442"/>
      <c r="F413" s="442"/>
      <c r="G413" s="442">
        <v>51.62</v>
      </c>
      <c r="H413" s="442">
        <v>51.66</v>
      </c>
      <c r="J413" s="442"/>
      <c r="K413" s="442"/>
      <c r="L413" s="442"/>
      <c r="M413" s="442"/>
      <c r="N413" s="442"/>
      <c r="Q413" s="443" t="s">
        <v>672</v>
      </c>
      <c r="BD413" s="2394"/>
    </row>
    <row r="414" spans="1:56" s="444" customFormat="1">
      <c r="C414" s="444" t="s">
        <v>687</v>
      </c>
      <c r="D414" s="2346"/>
      <c r="E414" s="445"/>
      <c r="F414" s="445"/>
      <c r="G414" s="445">
        <v>44.2</v>
      </c>
      <c r="H414" s="445">
        <v>44.44</v>
      </c>
      <c r="J414" s="445"/>
      <c r="K414" s="445"/>
      <c r="L414" s="445"/>
      <c r="M414" s="445"/>
      <c r="N414" s="445"/>
      <c r="S414" s="444">
        <v>101</v>
      </c>
      <c r="T414" s="444">
        <v>120</v>
      </c>
      <c r="W414" s="444" t="s">
        <v>689</v>
      </c>
      <c r="AJ414" s="446"/>
      <c r="AK414" s="446"/>
      <c r="BD414" s="2395"/>
    </row>
    <row r="415" spans="1:56" s="444" customFormat="1">
      <c r="A415" s="444" t="s">
        <v>821</v>
      </c>
      <c r="C415" s="444" t="s">
        <v>688</v>
      </c>
      <c r="D415" s="2346"/>
      <c r="E415" s="445"/>
      <c r="F415" s="445"/>
      <c r="G415" s="445">
        <v>4.18</v>
      </c>
      <c r="H415" s="445">
        <v>3.9</v>
      </c>
      <c r="J415" s="445"/>
      <c r="K415" s="445"/>
      <c r="L415" s="445"/>
      <c r="M415" s="445"/>
      <c r="N415" s="445"/>
      <c r="S415" s="444">
        <v>311</v>
      </c>
      <c r="T415" s="444">
        <v>332</v>
      </c>
      <c r="W415" s="444" t="s">
        <v>690</v>
      </c>
      <c r="AJ415" s="446"/>
      <c r="AK415" s="446"/>
      <c r="BD415" s="2395"/>
    </row>
    <row r="416" spans="1:56" s="444" customFormat="1">
      <c r="A416" s="444" t="s">
        <v>822</v>
      </c>
      <c r="D416" s="2346"/>
      <c r="E416" s="445"/>
      <c r="F416" s="445"/>
      <c r="G416" s="445"/>
      <c r="H416" s="445"/>
      <c r="J416" s="445"/>
      <c r="K416" s="445"/>
      <c r="L416" s="445"/>
      <c r="M416" s="445"/>
      <c r="N416" s="445"/>
      <c r="S416" s="444">
        <v>154</v>
      </c>
      <c r="T416" s="444">
        <v>147</v>
      </c>
      <c r="W416" s="444" t="s">
        <v>691</v>
      </c>
      <c r="AJ416" s="446"/>
      <c r="AK416" s="446"/>
      <c r="BD416" s="2395"/>
    </row>
    <row r="417" spans="1:56" s="444" customFormat="1">
      <c r="A417" s="444" t="s">
        <v>820</v>
      </c>
      <c r="D417" s="2346"/>
      <c r="E417" s="445"/>
      <c r="F417" s="445"/>
      <c r="G417" s="445"/>
      <c r="H417" s="445"/>
      <c r="J417" s="445"/>
      <c r="K417" s="445"/>
      <c r="L417" s="445"/>
      <c r="M417" s="445"/>
      <c r="N417" s="445"/>
      <c r="S417" s="444">
        <v>128</v>
      </c>
      <c r="T417" s="444">
        <v>125</v>
      </c>
      <c r="W417" s="444" t="s">
        <v>692</v>
      </c>
      <c r="AJ417" s="446"/>
      <c r="AK417" s="446"/>
      <c r="BD417" s="2395"/>
    </row>
    <row r="418" spans="1:56" s="444" customFormat="1">
      <c r="A418" s="444" t="s">
        <v>823</v>
      </c>
      <c r="D418" s="2346"/>
      <c r="E418" s="445"/>
      <c r="F418" s="445"/>
      <c r="G418" s="445"/>
      <c r="H418" s="445"/>
      <c r="J418" s="445"/>
      <c r="K418" s="445"/>
      <c r="L418" s="445"/>
      <c r="M418" s="445"/>
      <c r="N418" s="445"/>
      <c r="S418" s="444">
        <v>30</v>
      </c>
      <c r="T418" s="444">
        <v>40</v>
      </c>
      <c r="W418" s="444" t="s">
        <v>693</v>
      </c>
      <c r="AJ418" s="446"/>
      <c r="AK418" s="446"/>
      <c r="BD418" s="2395"/>
    </row>
    <row r="419" spans="1:56" s="444" customFormat="1">
      <c r="A419" s="444" t="s">
        <v>824</v>
      </c>
      <c r="D419" s="2346"/>
      <c r="E419" s="445"/>
      <c r="F419" s="445"/>
      <c r="G419" s="445"/>
      <c r="H419" s="445"/>
      <c r="J419" s="445"/>
      <c r="K419" s="445"/>
      <c r="L419" s="445"/>
      <c r="M419" s="445"/>
      <c r="N419" s="445"/>
      <c r="S419" s="444">
        <v>31</v>
      </c>
      <c r="T419" s="444">
        <v>32</v>
      </c>
      <c r="W419" s="444" t="s">
        <v>694</v>
      </c>
      <c r="AJ419" s="446"/>
      <c r="AK419" s="446"/>
      <c r="BD419" s="2395"/>
    </row>
    <row r="420" spans="1:56" s="444" customFormat="1">
      <c r="D420" s="2346"/>
      <c r="E420" s="445"/>
      <c r="F420" s="445"/>
      <c r="G420" s="445"/>
      <c r="H420" s="445"/>
      <c r="J420" s="445"/>
      <c r="K420" s="445"/>
      <c r="L420" s="445"/>
      <c r="M420" s="445"/>
      <c r="N420" s="445"/>
      <c r="S420" s="444">
        <v>31</v>
      </c>
      <c r="T420" s="444">
        <v>24</v>
      </c>
      <c r="W420" s="444" t="s">
        <v>695</v>
      </c>
      <c r="Y420" s="444" t="s">
        <v>697</v>
      </c>
      <c r="AJ420" s="446"/>
      <c r="AK420" s="446"/>
      <c r="BD420" s="2395"/>
    </row>
    <row r="421" spans="1:56" s="444" customFormat="1">
      <c r="D421" s="2346"/>
      <c r="E421" s="445"/>
      <c r="F421" s="445"/>
      <c r="G421" s="445"/>
      <c r="H421" s="445"/>
      <c r="J421" s="445"/>
      <c r="K421" s="445"/>
      <c r="L421" s="445"/>
      <c r="M421" s="445"/>
      <c r="N421" s="445"/>
      <c r="Q421" s="447" t="s">
        <v>660</v>
      </c>
      <c r="R421" s="448"/>
      <c r="S421" s="448">
        <f>S414+S416+S417+S418</f>
        <v>413</v>
      </c>
      <c r="T421" s="448">
        <f>T414+T416+T417+T418</f>
        <v>432</v>
      </c>
      <c r="BD421" s="2395"/>
    </row>
    <row r="422" spans="1:56" s="444" customFormat="1">
      <c r="D422" s="2346"/>
      <c r="E422" s="445"/>
      <c r="F422" s="445"/>
      <c r="G422" s="445"/>
      <c r="H422" s="445"/>
      <c r="J422" s="445"/>
      <c r="K422" s="445"/>
      <c r="L422" s="445"/>
      <c r="M422" s="445"/>
      <c r="N422" s="445"/>
      <c r="Q422" s="449" t="s">
        <v>659</v>
      </c>
      <c r="S422" s="444">
        <f>S415</f>
        <v>311</v>
      </c>
      <c r="T422" s="444">
        <f>T415</f>
        <v>332</v>
      </c>
      <c r="BD422" s="2395"/>
    </row>
    <row r="423" spans="1:56" s="444" customFormat="1">
      <c r="D423" s="2346"/>
      <c r="E423" s="445"/>
      <c r="F423" s="445"/>
      <c r="G423" s="445"/>
      <c r="H423" s="445"/>
      <c r="J423" s="445"/>
      <c r="K423" s="445"/>
      <c r="L423" s="445"/>
      <c r="M423" s="445"/>
      <c r="N423" s="445"/>
      <c r="Q423" s="449" t="s">
        <v>661</v>
      </c>
      <c r="S423" s="146">
        <f>S422/(S422+S421)</f>
        <v>0.42955801104972374</v>
      </c>
      <c r="T423" s="146">
        <f>T422/(T422+T421)</f>
        <v>0.43455497382198954</v>
      </c>
      <c r="BD423" s="2395"/>
    </row>
    <row r="424" spans="1:56" s="444" customFormat="1">
      <c r="D424" s="2346"/>
      <c r="E424" s="445"/>
      <c r="F424" s="445"/>
      <c r="G424" s="445"/>
      <c r="H424" s="445"/>
      <c r="J424" s="445"/>
      <c r="K424" s="445"/>
      <c r="L424" s="445"/>
      <c r="M424" s="445"/>
      <c r="N424" s="445"/>
      <c r="Q424" s="449" t="s">
        <v>696</v>
      </c>
      <c r="S424" s="450">
        <f>S419*S423</f>
        <v>13.316298342541437</v>
      </c>
      <c r="T424" s="450">
        <f>T419*T423</f>
        <v>13.905759162303665</v>
      </c>
      <c r="BD424" s="2395"/>
    </row>
    <row r="425" spans="1:56" s="444" customFormat="1">
      <c r="D425" s="2346"/>
      <c r="E425" s="445"/>
      <c r="F425" s="445"/>
      <c r="G425" s="445"/>
      <c r="H425" s="445"/>
      <c r="J425" s="445"/>
      <c r="K425" s="445"/>
      <c r="L425" s="445"/>
      <c r="M425" s="445"/>
      <c r="N425" s="445"/>
      <c r="Q425" s="447" t="s">
        <v>598</v>
      </c>
      <c r="R425" s="448"/>
      <c r="S425" s="451">
        <f>S421+S420-S424</f>
        <v>430.68370165745858</v>
      </c>
      <c r="T425" s="451">
        <f>T421+T420-T424</f>
        <v>442.09424083769636</v>
      </c>
      <c r="BD425" s="2395"/>
    </row>
    <row r="426" spans="1:56" s="444" customFormat="1">
      <c r="D426" s="2346"/>
      <c r="E426" s="445"/>
      <c r="F426" s="445"/>
      <c r="G426" s="445"/>
      <c r="H426" s="445"/>
      <c r="J426" s="445"/>
      <c r="K426" s="445"/>
      <c r="L426" s="445"/>
      <c r="M426" s="445"/>
      <c r="N426" s="445"/>
      <c r="Q426" s="452" t="s">
        <v>597</v>
      </c>
      <c r="S426" s="450">
        <f>S422+S424</f>
        <v>324.31629834254142</v>
      </c>
      <c r="T426" s="450">
        <f>T422+T424</f>
        <v>345.90575916230364</v>
      </c>
      <c r="W426" s="444" t="s">
        <v>698</v>
      </c>
      <c r="BD426" s="2395"/>
    </row>
    <row r="427" spans="1:56" s="444" customFormat="1">
      <c r="D427" s="2346"/>
      <c r="E427" s="445"/>
      <c r="F427" s="445"/>
      <c r="G427" s="445"/>
      <c r="H427" s="445"/>
      <c r="J427" s="445"/>
      <c r="K427" s="445"/>
      <c r="L427" s="445"/>
      <c r="M427" s="445"/>
      <c r="N427" s="445"/>
      <c r="Q427" s="447" t="s">
        <v>617</v>
      </c>
      <c r="R427" s="448"/>
      <c r="S427" s="451">
        <f>S425+S426</f>
        <v>755</v>
      </c>
      <c r="T427" s="451">
        <f>T425+T426</f>
        <v>788</v>
      </c>
      <c r="BD427" s="2395"/>
    </row>
    <row r="428" spans="1:56" s="444" customFormat="1">
      <c r="D428" s="2346"/>
      <c r="E428" s="445"/>
      <c r="F428" s="445"/>
      <c r="G428" s="445"/>
      <c r="H428" s="445"/>
      <c r="J428" s="445"/>
      <c r="K428" s="445"/>
      <c r="L428" s="445"/>
      <c r="M428" s="445"/>
      <c r="N428" s="445"/>
      <c r="Q428" s="449" t="s">
        <v>599</v>
      </c>
      <c r="S428" s="146">
        <f>S426/S427</f>
        <v>0.42955801104972374</v>
      </c>
      <c r="T428" s="146">
        <f>T426/T427</f>
        <v>0.43896669944454775</v>
      </c>
      <c r="BD428" s="2395"/>
    </row>
    <row r="429" spans="1:56" s="2347" customFormat="1">
      <c r="D429" s="2346"/>
      <c r="E429" s="445"/>
      <c r="F429" s="445"/>
      <c r="G429" s="445"/>
      <c r="H429" s="445"/>
      <c r="J429" s="445"/>
      <c r="K429" s="445"/>
      <c r="L429" s="445"/>
      <c r="M429" s="445"/>
      <c r="N429" s="445"/>
      <c r="BD429" s="2395"/>
    </row>
    <row r="430" spans="1:56" s="170" customFormat="1">
      <c r="D430" s="2331"/>
      <c r="E430" s="267"/>
      <c r="F430" s="267"/>
      <c r="G430" s="267"/>
      <c r="H430" s="267"/>
      <c r="I430" s="47"/>
      <c r="J430" s="277"/>
      <c r="K430" s="277"/>
      <c r="L430" s="277"/>
      <c r="M430" s="277"/>
      <c r="N430" s="277"/>
      <c r="O430" s="47"/>
      <c r="P430" s="48"/>
      <c r="Q430" s="48"/>
      <c r="R430" s="48"/>
      <c r="S430" s="48"/>
      <c r="T430" s="48"/>
      <c r="U430" s="48"/>
      <c r="V430" s="48"/>
      <c r="W430" s="48"/>
      <c r="BD430" s="2393"/>
    </row>
    <row r="431" spans="1:56">
      <c r="A431" s="2348" t="s">
        <v>1816</v>
      </c>
    </row>
  </sheetData>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dimension ref="A1:QH100"/>
  <sheetViews>
    <sheetView showGridLines="0" zoomScale="90" zoomScaleNormal="90" workbookViewId="0">
      <pane xSplit="2" ySplit="3" topLeftCell="C9" activePane="bottomRight" state="frozen"/>
      <selection pane="topRight" activeCell="C1" sqref="C1"/>
      <selection pane="bottomLeft" activeCell="A3" sqref="A3"/>
      <selection pane="bottomRight" activeCell="OP41" sqref="OP41"/>
    </sheetView>
  </sheetViews>
  <sheetFormatPr baseColWidth="10" defaultRowHeight="13.2"/>
  <cols>
    <col min="1" max="1" width="11.5546875" style="7"/>
    <col min="2" max="2" width="12.33203125" style="3109" customWidth="1"/>
    <col min="3" max="3" width="5.88671875" style="228" customWidth="1"/>
    <col min="4" max="4" width="9.6640625" style="236" customWidth="1"/>
    <col min="5" max="6" width="10.44140625" style="236" customWidth="1"/>
    <col min="7" max="11" width="11.5546875" style="7"/>
    <col min="12" max="12" width="11.5546875" style="11"/>
    <col min="13" max="13" width="11.5546875" style="7"/>
    <col min="14" max="18" width="15.33203125" style="7" customWidth="1"/>
    <col min="19" max="86" width="11.5546875" style="7" customWidth="1"/>
    <col min="87" max="101" width="13" style="7" customWidth="1"/>
    <col min="102" max="122" width="11.5546875" style="7" customWidth="1"/>
    <col min="123" max="123" width="12.109375" style="7" customWidth="1"/>
    <col min="124" max="124" width="12" style="7" customWidth="1"/>
    <col min="125" max="125" width="11.5546875" style="7" customWidth="1"/>
    <col min="126" max="126" width="11.5546875" style="11" customWidth="1"/>
    <col min="127" max="130" width="11.5546875" style="7" customWidth="1"/>
    <col min="131" max="131" width="13.77734375" style="7" customWidth="1"/>
    <col min="132" max="138" width="11.5546875" style="7" customWidth="1"/>
    <col min="139" max="140" width="11.5546875" style="21" hidden="1" customWidth="1"/>
    <col min="141" max="141" width="11.5546875" style="7" customWidth="1"/>
    <col min="142" max="142" width="11.5546875" style="228" customWidth="1"/>
    <col min="143" max="143" width="11.44140625" style="7" customWidth="1"/>
    <col min="144" max="157" width="11.5546875" style="7" customWidth="1"/>
    <col min="158" max="159" width="11.88671875" style="7" customWidth="1"/>
    <col min="160" max="161" width="11.5546875" style="7" customWidth="1"/>
    <col min="162" max="177" width="12.5546875" style="7" customWidth="1"/>
    <col min="178" max="178" width="14.21875" style="7" customWidth="1"/>
    <col min="179" max="179" width="12.44140625" style="7" bestFit="1" customWidth="1"/>
    <col min="180" max="180" width="14" style="7" customWidth="1"/>
    <col min="181" max="182" width="11.5546875" style="7" customWidth="1"/>
    <col min="183" max="197" width="11.5546875" style="7"/>
    <col min="198" max="198" width="11.77734375" style="7" customWidth="1"/>
    <col min="199" max="218" width="11.44140625" style="7" customWidth="1"/>
    <col min="219" max="219" width="11.5546875" style="7" customWidth="1"/>
    <col min="220" max="233" width="11.5546875" style="7"/>
    <col min="234" max="234" width="13.88671875" style="7" bestFit="1" customWidth="1"/>
    <col min="235" max="235" width="11.5546875" style="7"/>
    <col min="236" max="236" width="11.44140625" style="7" customWidth="1"/>
    <col min="237" max="237" width="11.5546875" style="7" customWidth="1"/>
    <col min="238" max="253" width="11.5546875" style="7"/>
    <col min="254" max="254" width="14.77734375" style="7" bestFit="1" customWidth="1"/>
    <col min="255" max="255" width="11.5546875" style="7"/>
    <col min="256" max="256" width="14.6640625" style="7" bestFit="1" customWidth="1"/>
    <col min="257" max="257" width="17.5546875" style="7" bestFit="1" customWidth="1"/>
    <col min="258" max="273" width="11.5546875" style="7"/>
    <col min="274" max="274" width="16.88671875" style="7" customWidth="1"/>
    <col min="275" max="275" width="15.109375" style="7" customWidth="1"/>
    <col min="276" max="276" width="15.21875" style="7" customWidth="1"/>
    <col min="277" max="294" width="11.5546875" style="7"/>
    <col min="295" max="299" width="11.5546875" style="7" customWidth="1"/>
    <col min="300" max="315" width="11.5546875" style="7"/>
    <col min="316" max="316" width="13.6640625" style="7" customWidth="1"/>
    <col min="317" max="317" width="14.44140625" style="7" customWidth="1"/>
    <col min="318" max="318" width="13.77734375" style="7" customWidth="1"/>
    <col min="319" max="341" width="11.5546875" style="7"/>
    <col min="342" max="342" width="13.21875" style="7" customWidth="1"/>
    <col min="343" max="343" width="11.5546875" style="7"/>
    <col min="344" max="344" width="13.77734375" style="7" customWidth="1"/>
    <col min="345" max="359" width="11.5546875" style="7"/>
    <col min="360" max="360" width="12.88671875" style="7" customWidth="1"/>
    <col min="361" max="361" width="11.5546875" style="7"/>
    <col min="362" max="362" width="13.21875" style="7" customWidth="1"/>
    <col min="363" max="363" width="11.5546875" style="7"/>
    <col min="364" max="364" width="12.21875" style="7" customWidth="1"/>
    <col min="365" max="365" width="11.5546875" style="7"/>
    <col min="366" max="366" width="13.77734375" style="7" customWidth="1"/>
    <col min="367" max="382" width="11.5546875" style="7" customWidth="1"/>
    <col min="383" max="385" width="11.5546875" style="11" customWidth="1"/>
    <col min="386" max="399" width="11.5546875" style="7" customWidth="1"/>
    <col min="400" max="400" width="13.6640625" style="7" customWidth="1"/>
    <col min="401" max="401" width="14.44140625" style="7" customWidth="1"/>
    <col min="402" max="402" width="13.77734375" style="7" customWidth="1"/>
    <col min="403" max="404" width="11.5546875" style="7"/>
    <col min="405" max="405" width="11.5546875" style="7" customWidth="1"/>
    <col min="406" max="449" width="11.5546875" style="7"/>
    <col min="450" max="450" width="11.5546875" style="2383"/>
    <col min="451" max="16384" width="11.5546875" style="7"/>
  </cols>
  <sheetData>
    <row r="1" spans="1:450">
      <c r="A1" s="110" t="s">
        <v>1264</v>
      </c>
      <c r="B1" s="2778"/>
      <c r="C1" s="226"/>
      <c r="T1" s="11" t="s">
        <v>1201</v>
      </c>
      <c r="V1" s="11" t="s">
        <v>1209</v>
      </c>
      <c r="AJ1" s="11" t="s">
        <v>1151</v>
      </c>
      <c r="AL1" s="11" t="s">
        <v>1134</v>
      </c>
      <c r="AX1" s="11" t="s">
        <v>1327</v>
      </c>
      <c r="BM1" s="11" t="s">
        <v>1151</v>
      </c>
      <c r="BP1" s="11" t="s">
        <v>1153</v>
      </c>
      <c r="CE1" s="11" t="s">
        <v>1151</v>
      </c>
      <c r="CI1" s="10">
        <f>'GEARINGS, E&amp;Enot'!AB1</f>
        <v>1</v>
      </c>
      <c r="CJ1" s="11" t="s">
        <v>2583</v>
      </c>
      <c r="CZ1" s="21"/>
      <c r="DA1" s="21"/>
      <c r="DB1" s="21" t="s">
        <v>1134</v>
      </c>
      <c r="DD1" s="11" t="s">
        <v>1457</v>
      </c>
      <c r="FG1" s="482">
        <f>PROFILES!$H$1</f>
        <v>1</v>
      </c>
      <c r="KO1" s="482">
        <f>'GEARINGS, E&amp;Enot'!AB1</f>
        <v>1</v>
      </c>
      <c r="PF1" s="11"/>
    </row>
    <row r="2" spans="1:450">
      <c r="D2" s="236" t="s">
        <v>302</v>
      </c>
      <c r="E2" s="5">
        <v>40178</v>
      </c>
      <c r="F2" s="5"/>
      <c r="G2" s="5">
        <v>40359</v>
      </c>
      <c r="H2" s="24">
        <v>40543</v>
      </c>
      <c r="I2" s="5">
        <v>40724</v>
      </c>
      <c r="J2" s="24">
        <v>40908</v>
      </c>
      <c r="K2" s="5">
        <v>41090</v>
      </c>
      <c r="L2" s="24">
        <v>41274</v>
      </c>
      <c r="M2" s="24">
        <v>41455</v>
      </c>
      <c r="N2" s="9" t="s">
        <v>483</v>
      </c>
      <c r="O2" s="9" t="s">
        <v>1877</v>
      </c>
      <c r="P2" s="9" t="s">
        <v>483</v>
      </c>
      <c r="Q2" s="11" t="s">
        <v>483</v>
      </c>
      <c r="R2" s="9" t="s">
        <v>483</v>
      </c>
      <c r="S2" s="11"/>
      <c r="T2" s="5">
        <v>40178</v>
      </c>
      <c r="U2" s="5">
        <v>40268</v>
      </c>
      <c r="V2" s="5">
        <v>40359</v>
      </c>
      <c r="W2" s="5">
        <v>40451</v>
      </c>
      <c r="X2" s="5">
        <v>40543</v>
      </c>
      <c r="Y2" s="5">
        <v>40633</v>
      </c>
      <c r="Z2" s="5">
        <v>40724</v>
      </c>
      <c r="AA2" s="5">
        <v>40816</v>
      </c>
      <c r="AB2" s="5">
        <v>40908</v>
      </c>
      <c r="AC2" s="5">
        <v>40999</v>
      </c>
      <c r="AD2" s="5">
        <v>41090</v>
      </c>
      <c r="AE2" s="5">
        <v>41182</v>
      </c>
      <c r="AF2" s="5">
        <v>41274</v>
      </c>
      <c r="AG2" s="5">
        <v>41364</v>
      </c>
      <c r="AH2" s="24">
        <v>41455</v>
      </c>
      <c r="AI2" s="11"/>
      <c r="AJ2" s="9" t="s">
        <v>483</v>
      </c>
      <c r="AK2" s="9" t="s">
        <v>483</v>
      </c>
      <c r="AL2" s="9" t="s">
        <v>483</v>
      </c>
      <c r="AM2" s="24"/>
      <c r="AN2" s="5">
        <v>40359</v>
      </c>
      <c r="AO2" s="24">
        <v>40543</v>
      </c>
      <c r="AP2" s="5">
        <v>40724</v>
      </c>
      <c r="AQ2" s="24">
        <v>40908</v>
      </c>
      <c r="AR2" s="5">
        <v>41090</v>
      </c>
      <c r="AS2" s="24">
        <v>41274</v>
      </c>
      <c r="AT2" s="24">
        <v>41455</v>
      </c>
      <c r="AU2" s="9" t="s">
        <v>483</v>
      </c>
      <c r="AV2" s="9" t="s">
        <v>483</v>
      </c>
      <c r="AW2" s="9"/>
      <c r="AX2" s="5">
        <v>40178</v>
      </c>
      <c r="AY2" s="5">
        <v>40268</v>
      </c>
      <c r="AZ2" s="5">
        <v>40359</v>
      </c>
      <c r="BA2" s="5">
        <v>40451</v>
      </c>
      <c r="BB2" s="5">
        <v>40543</v>
      </c>
      <c r="BC2" s="5">
        <v>40633</v>
      </c>
      <c r="BD2" s="5">
        <v>40724</v>
      </c>
      <c r="BE2" s="5">
        <v>40816</v>
      </c>
      <c r="BF2" s="5">
        <v>40908</v>
      </c>
      <c r="BG2" s="5">
        <v>40999</v>
      </c>
      <c r="BH2" s="5">
        <v>41090</v>
      </c>
      <c r="BI2" s="5">
        <v>41182</v>
      </c>
      <c r="BJ2" s="5">
        <v>41274</v>
      </c>
      <c r="BK2" s="5">
        <v>41364</v>
      </c>
      <c r="BL2" s="24">
        <v>41455</v>
      </c>
      <c r="BM2" s="9" t="s">
        <v>483</v>
      </c>
      <c r="BN2" s="9" t="s">
        <v>483</v>
      </c>
      <c r="BO2" s="9"/>
      <c r="BP2" s="5">
        <v>40178</v>
      </c>
      <c r="BQ2" s="5">
        <v>40268</v>
      </c>
      <c r="BR2" s="5">
        <v>40359</v>
      </c>
      <c r="BS2" s="5">
        <v>40451</v>
      </c>
      <c r="BT2" s="5">
        <v>40543</v>
      </c>
      <c r="BU2" s="5">
        <v>40633</v>
      </c>
      <c r="BV2" s="5">
        <v>40724</v>
      </c>
      <c r="BW2" s="5">
        <v>40816</v>
      </c>
      <c r="BX2" s="5">
        <v>40908</v>
      </c>
      <c r="BY2" s="5">
        <v>40999</v>
      </c>
      <c r="BZ2" s="5">
        <v>41090</v>
      </c>
      <c r="CA2" s="5">
        <v>41182</v>
      </c>
      <c r="CB2" s="5">
        <v>41274</v>
      </c>
      <c r="CC2" s="5">
        <v>41364</v>
      </c>
      <c r="CD2" s="24">
        <v>41455</v>
      </c>
      <c r="CE2" s="9" t="s">
        <v>483</v>
      </c>
      <c r="CF2" s="9" t="s">
        <v>483</v>
      </c>
      <c r="CG2" s="9" t="s">
        <v>483</v>
      </c>
      <c r="CH2" s="11"/>
      <c r="CI2" s="5">
        <v>40178</v>
      </c>
      <c r="CJ2" s="5">
        <v>40268</v>
      </c>
      <c r="CK2" s="5">
        <v>40359</v>
      </c>
      <c r="CL2" s="5">
        <v>40451</v>
      </c>
      <c r="CM2" s="5">
        <v>40543</v>
      </c>
      <c r="CN2" s="5">
        <v>40633</v>
      </c>
      <c r="CO2" s="5">
        <v>40724</v>
      </c>
      <c r="CP2" s="5">
        <v>40816</v>
      </c>
      <c r="CQ2" s="5">
        <v>40908</v>
      </c>
      <c r="CR2" s="5">
        <v>40999</v>
      </c>
      <c r="CS2" s="5">
        <v>41090</v>
      </c>
      <c r="CT2" s="5">
        <v>41182</v>
      </c>
      <c r="CU2" s="5">
        <v>41274</v>
      </c>
      <c r="CV2" s="5">
        <v>41364</v>
      </c>
      <c r="CW2" s="24">
        <v>41455</v>
      </c>
      <c r="CX2" s="9" t="s">
        <v>483</v>
      </c>
      <c r="CY2" s="11"/>
      <c r="CZ2" s="2864" t="s">
        <v>483</v>
      </c>
      <c r="DA2" s="2864" t="s">
        <v>483</v>
      </c>
      <c r="DB2" s="2864" t="s">
        <v>483</v>
      </c>
      <c r="DC2" s="11"/>
      <c r="DD2" s="5">
        <v>40178</v>
      </c>
      <c r="DE2" s="5">
        <v>40268</v>
      </c>
      <c r="DF2" s="5">
        <v>40359</v>
      </c>
      <c r="DG2" s="5">
        <v>40451</v>
      </c>
      <c r="DH2" s="5">
        <v>40543</v>
      </c>
      <c r="DI2" s="5">
        <v>40633</v>
      </c>
      <c r="DJ2" s="5">
        <v>40724</v>
      </c>
      <c r="DK2" s="5">
        <v>40816</v>
      </c>
      <c r="DL2" s="5">
        <v>40908</v>
      </c>
      <c r="DM2" s="5">
        <v>40999</v>
      </c>
      <c r="DN2" s="5">
        <v>41090</v>
      </c>
      <c r="DO2" s="5">
        <v>41182</v>
      </c>
      <c r="DP2" s="5">
        <v>41274</v>
      </c>
      <c r="DQ2" s="5">
        <v>41364</v>
      </c>
      <c r="DR2" s="24">
        <v>41455</v>
      </c>
      <c r="DS2" s="9" t="s">
        <v>483</v>
      </c>
      <c r="DT2" s="9" t="s">
        <v>483</v>
      </c>
      <c r="DU2" s="9" t="s">
        <v>483</v>
      </c>
      <c r="DW2" s="5">
        <v>40359</v>
      </c>
      <c r="DX2" s="5">
        <v>40724</v>
      </c>
      <c r="DY2" s="5">
        <v>41090</v>
      </c>
      <c r="DZ2" s="24">
        <v>41455</v>
      </c>
      <c r="EA2" s="9" t="s">
        <v>483</v>
      </c>
      <c r="EB2" s="9" t="s">
        <v>483</v>
      </c>
      <c r="EC2" s="11"/>
      <c r="ED2" s="5">
        <v>40359</v>
      </c>
      <c r="EE2" s="5">
        <v>40724</v>
      </c>
      <c r="EF2" s="5">
        <v>41090</v>
      </c>
      <c r="EG2" s="24">
        <v>41455</v>
      </c>
      <c r="EH2" s="9" t="s">
        <v>483</v>
      </c>
      <c r="EI2" s="21" t="s">
        <v>483</v>
      </c>
      <c r="EJ2" s="21" t="s">
        <v>483</v>
      </c>
      <c r="EK2" s="9" t="s">
        <v>483</v>
      </c>
      <c r="EL2" s="480"/>
      <c r="EM2" s="5">
        <v>40178</v>
      </c>
      <c r="EN2" s="5">
        <v>40268</v>
      </c>
      <c r="EO2" s="5">
        <v>40359</v>
      </c>
      <c r="EP2" s="5">
        <v>40451</v>
      </c>
      <c r="EQ2" s="5">
        <v>40543</v>
      </c>
      <c r="ER2" s="5">
        <v>40633</v>
      </c>
      <c r="ES2" s="5">
        <v>40724</v>
      </c>
      <c r="ET2" s="5">
        <v>40816</v>
      </c>
      <c r="EU2" s="5">
        <v>40908</v>
      </c>
      <c r="EV2" s="5">
        <v>40999</v>
      </c>
      <c r="EW2" s="5">
        <v>41090</v>
      </c>
      <c r="EX2" s="5">
        <v>41182</v>
      </c>
      <c r="EY2" s="5">
        <v>41274</v>
      </c>
      <c r="EZ2" s="5">
        <v>41364</v>
      </c>
      <c r="FA2" s="24">
        <v>41455</v>
      </c>
      <c r="FB2" s="9" t="s">
        <v>483</v>
      </c>
      <c r="FC2" s="9" t="s">
        <v>483</v>
      </c>
      <c r="FD2" s="9" t="s">
        <v>483</v>
      </c>
      <c r="FE2" s="9" t="s">
        <v>2084</v>
      </c>
      <c r="FF2" s="9"/>
      <c r="FG2" s="5">
        <v>40178</v>
      </c>
      <c r="FH2" s="5">
        <v>40268</v>
      </c>
      <c r="FI2" s="5">
        <v>40359</v>
      </c>
      <c r="FJ2" s="5">
        <v>40451</v>
      </c>
      <c r="FK2" s="5">
        <v>40543</v>
      </c>
      <c r="FL2" s="5">
        <v>40633</v>
      </c>
      <c r="FM2" s="5">
        <v>40724</v>
      </c>
      <c r="FN2" s="5">
        <v>40816</v>
      </c>
      <c r="FO2" s="5">
        <v>40908</v>
      </c>
      <c r="FP2" s="5">
        <v>40999</v>
      </c>
      <c r="FQ2" s="5">
        <v>41090</v>
      </c>
      <c r="FR2" s="5">
        <v>41182</v>
      </c>
      <c r="FS2" s="5">
        <v>41274</v>
      </c>
      <c r="FT2" s="5">
        <v>41364</v>
      </c>
      <c r="FU2" s="24">
        <v>41455</v>
      </c>
      <c r="FV2" s="9" t="s">
        <v>483</v>
      </c>
      <c r="FW2" s="9" t="s">
        <v>483</v>
      </c>
      <c r="FX2" s="9" t="s">
        <v>2161</v>
      </c>
      <c r="FZ2" s="9"/>
      <c r="GA2" s="5">
        <v>40178</v>
      </c>
      <c r="GB2" s="5">
        <v>40268</v>
      </c>
      <c r="GC2" s="5">
        <v>40359</v>
      </c>
      <c r="GD2" s="5">
        <v>40451</v>
      </c>
      <c r="GE2" s="5">
        <v>40543</v>
      </c>
      <c r="GF2" s="5">
        <v>40633</v>
      </c>
      <c r="GG2" s="5">
        <v>40724</v>
      </c>
      <c r="GH2" s="5">
        <v>40816</v>
      </c>
      <c r="GI2" s="5">
        <v>40908</v>
      </c>
      <c r="GJ2" s="5">
        <v>40999</v>
      </c>
      <c r="GK2" s="5">
        <v>41090</v>
      </c>
      <c r="GL2" s="5">
        <v>41182</v>
      </c>
      <c r="GM2" s="5">
        <v>41274</v>
      </c>
      <c r="GN2" s="5">
        <v>41364</v>
      </c>
      <c r="GO2" s="24">
        <v>41455</v>
      </c>
      <c r="GP2" s="9" t="s">
        <v>483</v>
      </c>
      <c r="GQ2" s="9" t="s">
        <v>483</v>
      </c>
      <c r="GR2" s="9"/>
      <c r="GS2" s="5">
        <v>40178</v>
      </c>
      <c r="GT2" s="5">
        <v>40268</v>
      </c>
      <c r="GU2" s="5">
        <v>40359</v>
      </c>
      <c r="GV2" s="5">
        <v>40451</v>
      </c>
      <c r="GW2" s="5">
        <v>40543</v>
      </c>
      <c r="GX2" s="5">
        <v>40633</v>
      </c>
      <c r="GY2" s="5">
        <v>40724</v>
      </c>
      <c r="GZ2" s="5">
        <v>40816</v>
      </c>
      <c r="HA2" s="5">
        <v>40908</v>
      </c>
      <c r="HB2" s="5">
        <v>40999</v>
      </c>
      <c r="HC2" s="5">
        <v>41090</v>
      </c>
      <c r="HD2" s="5">
        <v>41182</v>
      </c>
      <c r="HE2" s="5">
        <v>41274</v>
      </c>
      <c r="HF2" s="5">
        <v>41364</v>
      </c>
      <c r="HG2" s="24">
        <v>41455</v>
      </c>
      <c r="HH2" s="9" t="s">
        <v>483</v>
      </c>
      <c r="HI2" s="9" t="s">
        <v>483</v>
      </c>
      <c r="HJ2" s="9"/>
      <c r="HK2" s="5">
        <v>40178</v>
      </c>
      <c r="HL2" s="5">
        <v>40268</v>
      </c>
      <c r="HM2" s="5">
        <v>40359</v>
      </c>
      <c r="HN2" s="5">
        <v>40451</v>
      </c>
      <c r="HO2" s="5">
        <v>40543</v>
      </c>
      <c r="HP2" s="5">
        <v>40633</v>
      </c>
      <c r="HQ2" s="5">
        <v>40724</v>
      </c>
      <c r="HR2" s="5">
        <v>40816</v>
      </c>
      <c r="HS2" s="5">
        <v>40908</v>
      </c>
      <c r="HT2" s="5">
        <v>40999</v>
      </c>
      <c r="HU2" s="5">
        <v>41090</v>
      </c>
      <c r="HV2" s="5">
        <v>41182</v>
      </c>
      <c r="HW2" s="5">
        <v>41274</v>
      </c>
      <c r="HX2" s="5">
        <v>41364</v>
      </c>
      <c r="HY2" s="24">
        <v>41455</v>
      </c>
      <c r="HZ2" s="9" t="s">
        <v>483</v>
      </c>
      <c r="IA2" s="9" t="s">
        <v>483</v>
      </c>
      <c r="IB2" s="9" t="s">
        <v>483</v>
      </c>
      <c r="IC2" s="9" t="s">
        <v>483</v>
      </c>
      <c r="IE2" s="5">
        <v>40178</v>
      </c>
      <c r="IF2" s="5">
        <v>40268</v>
      </c>
      <c r="IG2" s="5">
        <v>40359</v>
      </c>
      <c r="IH2" s="5">
        <v>40451</v>
      </c>
      <c r="II2" s="5">
        <v>40543</v>
      </c>
      <c r="IJ2" s="5">
        <v>40633</v>
      </c>
      <c r="IK2" s="5">
        <v>40724</v>
      </c>
      <c r="IL2" s="5">
        <v>40816</v>
      </c>
      <c r="IM2" s="5">
        <v>40908</v>
      </c>
      <c r="IN2" s="5">
        <v>40999</v>
      </c>
      <c r="IO2" s="5">
        <v>41090</v>
      </c>
      <c r="IP2" s="5">
        <v>41182</v>
      </c>
      <c r="IQ2" s="5">
        <v>41274</v>
      </c>
      <c r="IR2" s="5">
        <v>41364</v>
      </c>
      <c r="IS2" s="24">
        <v>41455</v>
      </c>
      <c r="IT2" s="9" t="s">
        <v>483</v>
      </c>
      <c r="IU2" s="9" t="s">
        <v>483</v>
      </c>
      <c r="IV2" s="9" t="s">
        <v>483</v>
      </c>
      <c r="IW2" s="9" t="s">
        <v>483</v>
      </c>
      <c r="IY2" s="5">
        <v>40178</v>
      </c>
      <c r="IZ2" s="5">
        <v>40268</v>
      </c>
      <c r="JA2" s="5">
        <v>40359</v>
      </c>
      <c r="JB2" s="5">
        <v>40451</v>
      </c>
      <c r="JC2" s="5">
        <v>40543</v>
      </c>
      <c r="JD2" s="5">
        <v>40633</v>
      </c>
      <c r="JE2" s="5">
        <v>40724</v>
      </c>
      <c r="JF2" s="5">
        <v>40816</v>
      </c>
      <c r="JG2" s="5">
        <v>40908</v>
      </c>
      <c r="JH2" s="5">
        <v>40999</v>
      </c>
      <c r="JI2" s="5">
        <v>41090</v>
      </c>
      <c r="JJ2" s="5">
        <v>41182</v>
      </c>
      <c r="JK2" s="5">
        <v>41274</v>
      </c>
      <c r="JL2" s="5">
        <v>41364</v>
      </c>
      <c r="JM2" s="24">
        <v>41455</v>
      </c>
      <c r="JN2" s="17" t="s">
        <v>367</v>
      </c>
      <c r="JO2" s="11" t="s">
        <v>484</v>
      </c>
      <c r="JP2" s="9" t="s">
        <v>483</v>
      </c>
      <c r="JQ2" s="9" t="s">
        <v>483</v>
      </c>
      <c r="JR2" s="9"/>
      <c r="JS2" s="9"/>
      <c r="JT2" s="5">
        <v>40178</v>
      </c>
      <c r="JU2" s="5">
        <v>40268</v>
      </c>
      <c r="JV2" s="5">
        <v>40359</v>
      </c>
      <c r="JW2" s="5">
        <v>40451</v>
      </c>
      <c r="JX2" s="5">
        <v>40543</v>
      </c>
      <c r="JY2" s="5">
        <v>40633</v>
      </c>
      <c r="JZ2" s="5">
        <v>40724</v>
      </c>
      <c r="KA2" s="5">
        <v>40816</v>
      </c>
      <c r="KB2" s="5">
        <v>40908</v>
      </c>
      <c r="KC2" s="5">
        <v>40999</v>
      </c>
      <c r="KD2" s="5">
        <v>41090</v>
      </c>
      <c r="KE2" s="5">
        <v>41182</v>
      </c>
      <c r="KF2" s="5">
        <v>41274</v>
      </c>
      <c r="KG2" s="5">
        <v>41364</v>
      </c>
      <c r="KH2" s="24">
        <v>41455</v>
      </c>
      <c r="KI2" s="17" t="s">
        <v>367</v>
      </c>
      <c r="KJ2" s="11" t="s">
        <v>484</v>
      </c>
      <c r="KK2" s="9" t="s">
        <v>483</v>
      </c>
      <c r="KL2" s="9" t="s">
        <v>483</v>
      </c>
      <c r="KM2" s="9" t="s">
        <v>483</v>
      </c>
      <c r="KN2" s="9"/>
      <c r="KO2" s="5">
        <v>40178</v>
      </c>
      <c r="KP2" s="5">
        <v>40268</v>
      </c>
      <c r="KQ2" s="5">
        <v>40359</v>
      </c>
      <c r="KR2" s="5">
        <v>40451</v>
      </c>
      <c r="KS2" s="5">
        <v>40543</v>
      </c>
      <c r="KT2" s="5">
        <v>40633</v>
      </c>
      <c r="KU2" s="5">
        <v>40724</v>
      </c>
      <c r="KV2" s="5">
        <v>40816</v>
      </c>
      <c r="KW2" s="5">
        <v>40908</v>
      </c>
      <c r="KX2" s="5">
        <v>40999</v>
      </c>
      <c r="KY2" s="5">
        <v>41090</v>
      </c>
      <c r="KZ2" s="5">
        <v>41182</v>
      </c>
      <c r="LA2" s="5">
        <v>41274</v>
      </c>
      <c r="LB2" s="5">
        <v>41364</v>
      </c>
      <c r="LC2" s="24">
        <v>41455</v>
      </c>
      <c r="LD2" s="17" t="s">
        <v>367</v>
      </c>
      <c r="LE2" s="11" t="s">
        <v>484</v>
      </c>
      <c r="LF2" s="9" t="s">
        <v>483</v>
      </c>
      <c r="LG2" s="9" t="s">
        <v>483</v>
      </c>
      <c r="LH2" s="9"/>
      <c r="LI2" s="5">
        <v>40178</v>
      </c>
      <c r="LJ2" s="5">
        <v>40268</v>
      </c>
      <c r="LK2" s="5">
        <v>40359</v>
      </c>
      <c r="LL2" s="5">
        <v>40451</v>
      </c>
      <c r="LM2" s="5">
        <v>40543</v>
      </c>
      <c r="LN2" s="5">
        <v>40633</v>
      </c>
      <c r="LO2" s="5">
        <v>40724</v>
      </c>
      <c r="LP2" s="5">
        <v>40816</v>
      </c>
      <c r="LQ2" s="5">
        <v>40908</v>
      </c>
      <c r="LR2" s="5">
        <v>40999</v>
      </c>
      <c r="LS2" s="5">
        <v>41090</v>
      </c>
      <c r="LT2" s="5">
        <v>41182</v>
      </c>
      <c r="LU2" s="5">
        <v>41274</v>
      </c>
      <c r="LV2" s="5">
        <v>41364</v>
      </c>
      <c r="LW2" s="24">
        <v>41455</v>
      </c>
      <c r="LX2" s="17">
        <v>41455</v>
      </c>
      <c r="LY2" s="17" t="s">
        <v>367</v>
      </c>
      <c r="LZ2" s="17" t="s">
        <v>367</v>
      </c>
      <c r="MA2" s="11" t="s">
        <v>484</v>
      </c>
      <c r="MB2" s="9" t="s">
        <v>483</v>
      </c>
      <c r="MC2" s="9" t="s">
        <v>483</v>
      </c>
      <c r="MD2" s="9" t="s">
        <v>483</v>
      </c>
      <c r="ME2" s="9"/>
      <c r="MF2" s="9"/>
      <c r="MG2" s="5">
        <v>40178</v>
      </c>
      <c r="MH2" s="5">
        <v>40268</v>
      </c>
      <c r="MI2" s="5">
        <v>40359</v>
      </c>
      <c r="MJ2" s="5">
        <v>40451</v>
      </c>
      <c r="MK2" s="5">
        <v>40543</v>
      </c>
      <c r="ML2" s="5">
        <v>40633</v>
      </c>
      <c r="MM2" s="5">
        <v>40724</v>
      </c>
      <c r="MN2" s="5">
        <v>40816</v>
      </c>
      <c r="MO2" s="5">
        <v>40908</v>
      </c>
      <c r="MP2" s="5">
        <v>40999</v>
      </c>
      <c r="MQ2" s="5">
        <v>41090</v>
      </c>
      <c r="MR2" s="5">
        <v>41182</v>
      </c>
      <c r="MS2" s="5">
        <v>41274</v>
      </c>
      <c r="MT2" s="5">
        <v>41364</v>
      </c>
      <c r="MU2" s="24">
        <v>41455</v>
      </c>
      <c r="MV2" s="17">
        <v>41455</v>
      </c>
      <c r="MW2" s="17" t="s">
        <v>367</v>
      </c>
      <c r="MX2" s="17" t="s">
        <v>367</v>
      </c>
      <c r="MY2" s="9" t="s">
        <v>484</v>
      </c>
      <c r="MZ2" s="9" t="s">
        <v>483</v>
      </c>
      <c r="NA2" s="9" t="s">
        <v>483</v>
      </c>
      <c r="NB2" s="9" t="s">
        <v>483</v>
      </c>
      <c r="NC2" s="9"/>
      <c r="ND2" s="5">
        <v>40178</v>
      </c>
      <c r="NE2" s="5">
        <v>40268</v>
      </c>
      <c r="NF2" s="5">
        <v>40359</v>
      </c>
      <c r="NG2" s="5">
        <v>40451</v>
      </c>
      <c r="NH2" s="5">
        <v>40543</v>
      </c>
      <c r="NI2" s="5">
        <v>40633</v>
      </c>
      <c r="NJ2" s="5">
        <v>40724</v>
      </c>
      <c r="NK2" s="5">
        <v>40816</v>
      </c>
      <c r="NL2" s="5">
        <v>40908</v>
      </c>
      <c r="NM2" s="5">
        <v>40999</v>
      </c>
      <c r="NN2" s="5">
        <v>41090</v>
      </c>
      <c r="NO2" s="5">
        <v>41182</v>
      </c>
      <c r="NP2" s="5">
        <v>41274</v>
      </c>
      <c r="NQ2" s="5">
        <v>41364</v>
      </c>
      <c r="NR2" s="24">
        <v>41455</v>
      </c>
      <c r="NU2" s="24">
        <v>40178</v>
      </c>
      <c r="NV2" s="5">
        <v>40268</v>
      </c>
      <c r="NW2" s="5">
        <v>40359</v>
      </c>
      <c r="NX2" s="5">
        <v>40451</v>
      </c>
      <c r="NY2" s="5">
        <v>40543</v>
      </c>
      <c r="NZ2" s="5">
        <v>40633</v>
      </c>
      <c r="OA2" s="5">
        <v>40724</v>
      </c>
      <c r="OB2" s="5">
        <v>40816</v>
      </c>
      <c r="OC2" s="5">
        <v>40908</v>
      </c>
      <c r="OD2" s="5">
        <v>40999</v>
      </c>
      <c r="OE2" s="5">
        <v>41090</v>
      </c>
      <c r="OF2" s="5">
        <v>41182</v>
      </c>
      <c r="OG2" s="5">
        <v>41274</v>
      </c>
      <c r="OH2" s="5">
        <v>41364</v>
      </c>
      <c r="OI2" s="24">
        <v>41455</v>
      </c>
      <c r="OJ2" s="17" t="s">
        <v>367</v>
      </c>
      <c r="OK2" s="9" t="s">
        <v>484</v>
      </c>
      <c r="OL2" s="9" t="s">
        <v>483</v>
      </c>
      <c r="OM2" s="9" t="s">
        <v>483</v>
      </c>
      <c r="ON2" s="9"/>
      <c r="OP2" s="5">
        <v>40178</v>
      </c>
      <c r="OQ2" s="5">
        <v>40268</v>
      </c>
      <c r="OR2" s="5">
        <v>40359</v>
      </c>
      <c r="OS2" s="5">
        <v>40451</v>
      </c>
      <c r="OT2" s="5">
        <v>40543</v>
      </c>
      <c r="OU2" s="5">
        <v>40633</v>
      </c>
      <c r="OV2" s="5">
        <v>40724</v>
      </c>
      <c r="OW2" s="5">
        <v>40816</v>
      </c>
      <c r="OX2" s="5">
        <v>40908</v>
      </c>
      <c r="OY2" s="5">
        <v>40999</v>
      </c>
      <c r="OZ2" s="5">
        <v>41090</v>
      </c>
      <c r="PA2" s="5">
        <v>41182</v>
      </c>
      <c r="PB2" s="24">
        <v>41274</v>
      </c>
      <c r="PC2" s="5">
        <v>41364</v>
      </c>
      <c r="PD2" s="24">
        <v>41455</v>
      </c>
      <c r="PE2" s="9" t="s">
        <v>483</v>
      </c>
      <c r="PF2" s="11" t="s">
        <v>483</v>
      </c>
      <c r="PG2" s="9" t="s">
        <v>1066</v>
      </c>
      <c r="PH2" s="9"/>
      <c r="PJ2" s="5">
        <v>40178</v>
      </c>
      <c r="PK2" s="5">
        <v>40268</v>
      </c>
      <c r="PL2" s="5">
        <v>40359</v>
      </c>
      <c r="PM2" s="5">
        <v>40451</v>
      </c>
      <c r="PN2" s="5">
        <v>40543</v>
      </c>
      <c r="PO2" s="5">
        <v>40633</v>
      </c>
      <c r="PP2" s="5">
        <v>40724</v>
      </c>
      <c r="PQ2" s="5">
        <v>40816</v>
      </c>
      <c r="PR2" s="5">
        <v>40908</v>
      </c>
      <c r="PS2" s="5">
        <v>40999</v>
      </c>
      <c r="PT2" s="5">
        <v>41090</v>
      </c>
      <c r="PU2" s="5">
        <v>41182</v>
      </c>
      <c r="PV2" s="24">
        <v>41274</v>
      </c>
      <c r="PW2" s="5">
        <v>41364</v>
      </c>
      <c r="PX2" s="24">
        <v>41455</v>
      </c>
      <c r="PY2" s="9" t="s">
        <v>483</v>
      </c>
      <c r="PZ2" s="9" t="s">
        <v>1769</v>
      </c>
      <c r="QA2" s="9"/>
      <c r="QC2" s="24">
        <v>41455</v>
      </c>
      <c r="QD2" s="9" t="s">
        <v>483</v>
      </c>
      <c r="QE2" s="9" t="s">
        <v>483</v>
      </c>
      <c r="QF2" s="9" t="s">
        <v>765</v>
      </c>
      <c r="QH2" s="31" t="s">
        <v>1816</v>
      </c>
    </row>
    <row r="3" spans="1:450" s="470" customFormat="1">
      <c r="A3" s="3010" t="s">
        <v>1162</v>
      </c>
      <c r="B3" s="3110"/>
      <c r="C3" s="3128"/>
      <c r="D3" s="3129" t="s">
        <v>80</v>
      </c>
      <c r="E3" s="470" t="s">
        <v>81</v>
      </c>
      <c r="G3" s="470" t="s">
        <v>81</v>
      </c>
      <c r="H3" s="3010" t="s">
        <v>81</v>
      </c>
      <c r="I3" s="470" t="s">
        <v>81</v>
      </c>
      <c r="J3" s="3010" t="s">
        <v>81</v>
      </c>
      <c r="K3" s="470" t="s">
        <v>81</v>
      </c>
      <c r="L3" s="3010" t="s">
        <v>81</v>
      </c>
      <c r="M3" s="3010" t="s">
        <v>81</v>
      </c>
      <c r="N3" s="2966" t="s">
        <v>83</v>
      </c>
      <c r="O3" s="2966" t="s">
        <v>83</v>
      </c>
      <c r="P3" s="2966" t="s">
        <v>307</v>
      </c>
      <c r="Q3" s="3010" t="s">
        <v>2582</v>
      </c>
      <c r="R3" s="2966" t="s">
        <v>731</v>
      </c>
      <c r="S3" s="3010"/>
      <c r="T3" s="3010" t="s">
        <v>1202</v>
      </c>
      <c r="U3" s="3010" t="s">
        <v>1202</v>
      </c>
      <c r="V3" s="3010" t="s">
        <v>1202</v>
      </c>
      <c r="W3" s="3010" t="s">
        <v>1202</v>
      </c>
      <c r="X3" s="3010" t="s">
        <v>1202</v>
      </c>
      <c r="Y3" s="3010" t="s">
        <v>1202</v>
      </c>
      <c r="Z3" s="3010" t="s">
        <v>1202</v>
      </c>
      <c r="AA3" s="3010" t="s">
        <v>1202</v>
      </c>
      <c r="AB3" s="3010" t="s">
        <v>1202</v>
      </c>
      <c r="AC3" s="3010" t="s">
        <v>1202</v>
      </c>
      <c r="AD3" s="3010" t="s">
        <v>1202</v>
      </c>
      <c r="AE3" s="3010" t="s">
        <v>1202</v>
      </c>
      <c r="AF3" s="3010" t="s">
        <v>1202</v>
      </c>
      <c r="AG3" s="3010" t="s">
        <v>1202</v>
      </c>
      <c r="AH3" s="3010" t="s">
        <v>1202</v>
      </c>
      <c r="AI3" s="3010"/>
      <c r="AJ3" s="2966" t="s">
        <v>1086</v>
      </c>
      <c r="AK3" s="2966" t="s">
        <v>1087</v>
      </c>
      <c r="AL3" s="2966" t="s">
        <v>1087</v>
      </c>
      <c r="AM3" s="3010"/>
      <c r="AN3" s="3010" t="s">
        <v>1083</v>
      </c>
      <c r="AO3" s="3010" t="s">
        <v>1083</v>
      </c>
      <c r="AP3" s="3010" t="s">
        <v>1083</v>
      </c>
      <c r="AQ3" s="3010" t="s">
        <v>1083</v>
      </c>
      <c r="AR3" s="3010" t="s">
        <v>1083</v>
      </c>
      <c r="AS3" s="3010"/>
      <c r="AT3" s="3010"/>
      <c r="AU3" s="2966" t="s">
        <v>1084</v>
      </c>
      <c r="AV3" s="2966" t="s">
        <v>1085</v>
      </c>
      <c r="AW3" s="2966"/>
      <c r="AX3" s="3010" t="s">
        <v>1328</v>
      </c>
      <c r="AY3" s="3010" t="s">
        <v>1328</v>
      </c>
      <c r="AZ3" s="3010" t="s">
        <v>1328</v>
      </c>
      <c r="BA3" s="3010" t="s">
        <v>1328</v>
      </c>
      <c r="BB3" s="3010" t="s">
        <v>1328</v>
      </c>
      <c r="BC3" s="3010" t="s">
        <v>1328</v>
      </c>
      <c r="BD3" s="3010" t="s">
        <v>1328</v>
      </c>
      <c r="BE3" s="3010" t="s">
        <v>1328</v>
      </c>
      <c r="BF3" s="3010" t="s">
        <v>1328</v>
      </c>
      <c r="BG3" s="3010" t="s">
        <v>1328</v>
      </c>
      <c r="BH3" s="3010" t="s">
        <v>1328</v>
      </c>
      <c r="BI3" s="3010" t="s">
        <v>1328</v>
      </c>
      <c r="BJ3" s="3010" t="s">
        <v>1328</v>
      </c>
      <c r="BK3" s="3010" t="s">
        <v>1328</v>
      </c>
      <c r="BL3" s="3010" t="s">
        <v>1328</v>
      </c>
      <c r="BM3" s="2966" t="s">
        <v>1329</v>
      </c>
      <c r="BN3" s="2966" t="s">
        <v>1330</v>
      </c>
      <c r="BO3" s="2966"/>
      <c r="BP3" s="3010" t="s">
        <v>1088</v>
      </c>
      <c r="BQ3" s="3010" t="s">
        <v>1088</v>
      </c>
      <c r="BR3" s="3010" t="s">
        <v>1088</v>
      </c>
      <c r="BS3" s="3010" t="s">
        <v>1088</v>
      </c>
      <c r="BT3" s="3010" t="s">
        <v>1088</v>
      </c>
      <c r="BU3" s="3010" t="s">
        <v>1088</v>
      </c>
      <c r="BV3" s="3010" t="s">
        <v>1088</v>
      </c>
      <c r="BW3" s="3010" t="s">
        <v>1088</v>
      </c>
      <c r="BX3" s="3010" t="s">
        <v>1088</v>
      </c>
      <c r="BY3" s="3010" t="s">
        <v>1088</v>
      </c>
      <c r="BZ3" s="3010" t="s">
        <v>1088</v>
      </c>
      <c r="CA3" s="3010" t="s">
        <v>1088</v>
      </c>
      <c r="CB3" s="3010" t="s">
        <v>1088</v>
      </c>
      <c r="CC3" s="3010" t="s">
        <v>1088</v>
      </c>
      <c r="CD3" s="3010" t="s">
        <v>1088</v>
      </c>
      <c r="CE3" s="2966" t="s">
        <v>1090</v>
      </c>
      <c r="CF3" s="2966" t="s">
        <v>1091</v>
      </c>
      <c r="CG3" s="2966" t="s">
        <v>1199</v>
      </c>
      <c r="CH3" s="3010"/>
      <c r="CI3" s="3010" t="s">
        <v>1276</v>
      </c>
      <c r="CJ3" s="3010" t="s">
        <v>1276</v>
      </c>
      <c r="CK3" s="3010" t="s">
        <v>1276</v>
      </c>
      <c r="CL3" s="3010" t="s">
        <v>1276</v>
      </c>
      <c r="CM3" s="3010" t="s">
        <v>1276</v>
      </c>
      <c r="CN3" s="3010" t="s">
        <v>1276</v>
      </c>
      <c r="CO3" s="3010" t="s">
        <v>1276</v>
      </c>
      <c r="CP3" s="3010" t="s">
        <v>1276</v>
      </c>
      <c r="CQ3" s="3010" t="s">
        <v>1276</v>
      </c>
      <c r="CR3" s="3010" t="s">
        <v>1276</v>
      </c>
      <c r="CS3" s="3010" t="s">
        <v>1276</v>
      </c>
      <c r="CT3" s="3010" t="s">
        <v>1276</v>
      </c>
      <c r="CU3" s="3010" t="s">
        <v>1276</v>
      </c>
      <c r="CV3" s="3010" t="s">
        <v>1276</v>
      </c>
      <c r="CW3" s="3010" t="s">
        <v>1276</v>
      </c>
      <c r="CX3" s="2966" t="s">
        <v>2584</v>
      </c>
      <c r="CY3" s="3010"/>
      <c r="CZ3" s="3130" t="s">
        <v>1157</v>
      </c>
      <c r="DA3" s="3130" t="s">
        <v>2585</v>
      </c>
      <c r="DB3" s="3130" t="s">
        <v>2585</v>
      </c>
      <c r="DC3" s="3010"/>
      <c r="DD3" s="3010" t="s">
        <v>1152</v>
      </c>
      <c r="DE3" s="3010" t="s">
        <v>1152</v>
      </c>
      <c r="DF3" s="3010" t="s">
        <v>1152</v>
      </c>
      <c r="DG3" s="3010" t="s">
        <v>1152</v>
      </c>
      <c r="DH3" s="3010" t="s">
        <v>1152</v>
      </c>
      <c r="DI3" s="3010" t="s">
        <v>1152</v>
      </c>
      <c r="DJ3" s="3010" t="s">
        <v>1152</v>
      </c>
      <c r="DK3" s="3010" t="s">
        <v>1152</v>
      </c>
      <c r="DL3" s="3010" t="s">
        <v>1152</v>
      </c>
      <c r="DM3" s="3010" t="s">
        <v>1152</v>
      </c>
      <c r="DN3" s="3010" t="s">
        <v>1152</v>
      </c>
      <c r="DO3" s="3010" t="s">
        <v>1152</v>
      </c>
      <c r="DP3" s="3010" t="s">
        <v>1152</v>
      </c>
      <c r="DQ3" s="3010" t="s">
        <v>1152</v>
      </c>
      <c r="DR3" s="3010" t="s">
        <v>1152</v>
      </c>
      <c r="DS3" s="2966" t="s">
        <v>1154</v>
      </c>
      <c r="DT3" s="2966" t="s">
        <v>1155</v>
      </c>
      <c r="DU3" s="2966" t="s">
        <v>1156</v>
      </c>
      <c r="DV3" s="3010"/>
      <c r="DW3" s="3010" t="s">
        <v>733</v>
      </c>
      <c r="DX3" s="3010" t="s">
        <v>733</v>
      </c>
      <c r="DY3" s="3010" t="s">
        <v>733</v>
      </c>
      <c r="DZ3" s="3010" t="s">
        <v>733</v>
      </c>
      <c r="EA3" s="2966" t="s">
        <v>734</v>
      </c>
      <c r="EB3" s="2966" t="s">
        <v>737</v>
      </c>
      <c r="EC3" s="3010"/>
      <c r="ED3" s="3010" t="s">
        <v>87</v>
      </c>
      <c r="EE3" s="3010" t="s">
        <v>87</v>
      </c>
      <c r="EF3" s="3010" t="s">
        <v>87</v>
      </c>
      <c r="EG3" s="3010" t="s">
        <v>87</v>
      </c>
      <c r="EH3" s="2966" t="s">
        <v>1163</v>
      </c>
      <c r="EI3" s="3131" t="s">
        <v>735</v>
      </c>
      <c r="EJ3" s="3131" t="s">
        <v>736</v>
      </c>
      <c r="EK3" s="2966" t="s">
        <v>1164</v>
      </c>
      <c r="EL3" s="3132"/>
      <c r="EM3" s="3010" t="s">
        <v>1158</v>
      </c>
      <c r="EN3" s="3010" t="s">
        <v>1158</v>
      </c>
      <c r="EO3" s="3010" t="s">
        <v>1158</v>
      </c>
      <c r="EP3" s="3010" t="s">
        <v>1158</v>
      </c>
      <c r="EQ3" s="3010" t="s">
        <v>1158</v>
      </c>
      <c r="ER3" s="3010" t="s">
        <v>1158</v>
      </c>
      <c r="ES3" s="3010" t="s">
        <v>1158</v>
      </c>
      <c r="ET3" s="3010" t="s">
        <v>1158</v>
      </c>
      <c r="EU3" s="3010" t="s">
        <v>1158</v>
      </c>
      <c r="EV3" s="3010" t="s">
        <v>1158</v>
      </c>
      <c r="EW3" s="3010" t="s">
        <v>1158</v>
      </c>
      <c r="EX3" s="3010" t="s">
        <v>1158</v>
      </c>
      <c r="EY3" s="3010" t="s">
        <v>1158</v>
      </c>
      <c r="EZ3" s="3010" t="s">
        <v>1158</v>
      </c>
      <c r="FA3" s="3010" t="s">
        <v>1158</v>
      </c>
      <c r="FB3" s="2966" t="s">
        <v>1165</v>
      </c>
      <c r="FC3" s="2966" t="s">
        <v>1166</v>
      </c>
      <c r="FD3" s="2966" t="s">
        <v>783</v>
      </c>
      <c r="FE3" s="2966" t="s">
        <v>1165</v>
      </c>
      <c r="FF3" s="2966"/>
      <c r="FG3" s="3010" t="s">
        <v>792</v>
      </c>
      <c r="FH3" s="3010" t="s">
        <v>792</v>
      </c>
      <c r="FI3" s="3010" t="s">
        <v>792</v>
      </c>
      <c r="FJ3" s="3010" t="s">
        <v>792</v>
      </c>
      <c r="FK3" s="3010" t="s">
        <v>792</v>
      </c>
      <c r="FL3" s="3010" t="s">
        <v>792</v>
      </c>
      <c r="FM3" s="3010" t="s">
        <v>792</v>
      </c>
      <c r="FN3" s="3010" t="s">
        <v>792</v>
      </c>
      <c r="FO3" s="3010" t="s">
        <v>792</v>
      </c>
      <c r="FP3" s="3010" t="s">
        <v>792</v>
      </c>
      <c r="FQ3" s="3010" t="s">
        <v>792</v>
      </c>
      <c r="FR3" s="3010" t="s">
        <v>792</v>
      </c>
      <c r="FS3" s="3010" t="s">
        <v>792</v>
      </c>
      <c r="FT3" s="3010" t="s">
        <v>792</v>
      </c>
      <c r="FU3" s="3010" t="s">
        <v>792</v>
      </c>
      <c r="FV3" s="2966" t="s">
        <v>1167</v>
      </c>
      <c r="FW3" s="2966" t="s">
        <v>1168</v>
      </c>
      <c r="FX3" s="2966" t="s">
        <v>1167</v>
      </c>
      <c r="FY3" s="3010" t="s">
        <v>2160</v>
      </c>
      <c r="FZ3" s="2966"/>
      <c r="GA3" s="3010" t="s">
        <v>85</v>
      </c>
      <c r="GB3" s="3010" t="s">
        <v>85</v>
      </c>
      <c r="GC3" s="3010" t="s">
        <v>85</v>
      </c>
      <c r="GD3" s="3010" t="s">
        <v>85</v>
      </c>
      <c r="GE3" s="3010" t="s">
        <v>85</v>
      </c>
      <c r="GF3" s="3010" t="s">
        <v>85</v>
      </c>
      <c r="GG3" s="3010" t="s">
        <v>85</v>
      </c>
      <c r="GH3" s="3010" t="s">
        <v>85</v>
      </c>
      <c r="GI3" s="3010" t="s">
        <v>85</v>
      </c>
      <c r="GJ3" s="3010" t="s">
        <v>85</v>
      </c>
      <c r="GK3" s="3010" t="s">
        <v>85</v>
      </c>
      <c r="GL3" s="3010" t="s">
        <v>85</v>
      </c>
      <c r="GM3" s="3010" t="s">
        <v>85</v>
      </c>
      <c r="GN3" s="3010" t="s">
        <v>85</v>
      </c>
      <c r="GO3" s="3010" t="s">
        <v>85</v>
      </c>
      <c r="GP3" s="2966" t="s">
        <v>86</v>
      </c>
      <c r="GQ3" s="2966" t="s">
        <v>94</v>
      </c>
      <c r="GR3" s="2966"/>
      <c r="GS3" s="3133" t="s">
        <v>340</v>
      </c>
      <c r="GT3" s="3133" t="s">
        <v>340</v>
      </c>
      <c r="GU3" s="3133" t="s">
        <v>340</v>
      </c>
      <c r="GV3" s="3133" t="s">
        <v>340</v>
      </c>
      <c r="GW3" s="3133" t="s">
        <v>340</v>
      </c>
      <c r="GX3" s="3133" t="s">
        <v>340</v>
      </c>
      <c r="GY3" s="3133" t="s">
        <v>340</v>
      </c>
      <c r="GZ3" s="3133" t="s">
        <v>340</v>
      </c>
      <c r="HA3" s="3133" t="s">
        <v>340</v>
      </c>
      <c r="HB3" s="3133" t="s">
        <v>340</v>
      </c>
      <c r="HC3" s="3133" t="s">
        <v>340</v>
      </c>
      <c r="HD3" s="3133" t="s">
        <v>340</v>
      </c>
      <c r="HE3" s="3133" t="s">
        <v>340</v>
      </c>
      <c r="HF3" s="3133" t="s">
        <v>340</v>
      </c>
      <c r="HG3" s="3133" t="s">
        <v>340</v>
      </c>
      <c r="HH3" s="2966" t="s">
        <v>752</v>
      </c>
      <c r="HI3" s="2966" t="s">
        <v>753</v>
      </c>
      <c r="HJ3" s="2966"/>
      <c r="HK3" s="3010" t="s">
        <v>738</v>
      </c>
      <c r="HL3" s="3010" t="s">
        <v>738</v>
      </c>
      <c r="HM3" s="3010" t="s">
        <v>738</v>
      </c>
      <c r="HN3" s="3010" t="s">
        <v>738</v>
      </c>
      <c r="HO3" s="3010" t="s">
        <v>738</v>
      </c>
      <c r="HP3" s="3010" t="s">
        <v>738</v>
      </c>
      <c r="HQ3" s="3010" t="s">
        <v>738</v>
      </c>
      <c r="HR3" s="3010" t="s">
        <v>738</v>
      </c>
      <c r="HS3" s="3010" t="s">
        <v>738</v>
      </c>
      <c r="HT3" s="3010" t="s">
        <v>738</v>
      </c>
      <c r="HU3" s="3010" t="s">
        <v>738</v>
      </c>
      <c r="HV3" s="3010" t="s">
        <v>738</v>
      </c>
      <c r="HW3" s="3010" t="s">
        <v>738</v>
      </c>
      <c r="HX3" s="3010" t="s">
        <v>738</v>
      </c>
      <c r="HY3" s="3010" t="s">
        <v>738</v>
      </c>
      <c r="HZ3" s="2966" t="s">
        <v>739</v>
      </c>
      <c r="IA3" s="2966" t="s">
        <v>740</v>
      </c>
      <c r="IB3" s="2966" t="s">
        <v>783</v>
      </c>
      <c r="IC3" s="2966" t="s">
        <v>756</v>
      </c>
      <c r="IE3" s="3010" t="s">
        <v>754</v>
      </c>
      <c r="IF3" s="3010" t="s">
        <v>754</v>
      </c>
      <c r="IG3" s="3010" t="s">
        <v>754</v>
      </c>
      <c r="IH3" s="3010" t="s">
        <v>754</v>
      </c>
      <c r="II3" s="3010" t="s">
        <v>754</v>
      </c>
      <c r="IJ3" s="3010" t="s">
        <v>754</v>
      </c>
      <c r="IK3" s="3010" t="s">
        <v>754</v>
      </c>
      <c r="IL3" s="3010" t="s">
        <v>754</v>
      </c>
      <c r="IM3" s="3010" t="s">
        <v>754</v>
      </c>
      <c r="IN3" s="3010" t="s">
        <v>754</v>
      </c>
      <c r="IO3" s="3010" t="s">
        <v>754</v>
      </c>
      <c r="IP3" s="3010" t="s">
        <v>754</v>
      </c>
      <c r="IQ3" s="3010" t="s">
        <v>754</v>
      </c>
      <c r="IR3" s="3010" t="s">
        <v>754</v>
      </c>
      <c r="IS3" s="3010" t="s">
        <v>754</v>
      </c>
      <c r="IT3" s="2966" t="s">
        <v>1169</v>
      </c>
      <c r="IU3" s="2966" t="s">
        <v>755</v>
      </c>
      <c r="IV3" s="2966" t="s">
        <v>783</v>
      </c>
      <c r="IW3" s="2966" t="s">
        <v>784</v>
      </c>
      <c r="IY3" s="3010" t="s">
        <v>95</v>
      </c>
      <c r="IZ3" s="3010" t="s">
        <v>95</v>
      </c>
      <c r="JA3" s="3010" t="s">
        <v>95</v>
      </c>
      <c r="JB3" s="3010" t="s">
        <v>95</v>
      </c>
      <c r="JC3" s="3010" t="s">
        <v>95</v>
      </c>
      <c r="JD3" s="3010" t="s">
        <v>95</v>
      </c>
      <c r="JE3" s="3010" t="s">
        <v>95</v>
      </c>
      <c r="JF3" s="3010" t="s">
        <v>95</v>
      </c>
      <c r="JG3" s="3010" t="s">
        <v>95</v>
      </c>
      <c r="JH3" s="3010" t="s">
        <v>95</v>
      </c>
      <c r="JI3" s="3010" t="s">
        <v>95</v>
      </c>
      <c r="JJ3" s="3010" t="s">
        <v>95</v>
      </c>
      <c r="JK3" s="3010" t="s">
        <v>95</v>
      </c>
      <c r="JL3" s="3010" t="s">
        <v>95</v>
      </c>
      <c r="JM3" s="3010" t="s">
        <v>95</v>
      </c>
      <c r="JN3" s="2966" t="s">
        <v>96</v>
      </c>
      <c r="JO3" s="3010" t="s">
        <v>96</v>
      </c>
      <c r="JP3" s="2966" t="s">
        <v>96</v>
      </c>
      <c r="JQ3" s="2966" t="s">
        <v>97</v>
      </c>
      <c r="JR3" s="2966"/>
      <c r="JS3" s="2966"/>
      <c r="JT3" s="3010" t="s">
        <v>1159</v>
      </c>
      <c r="JU3" s="3010" t="s">
        <v>1159</v>
      </c>
      <c r="JV3" s="3010" t="s">
        <v>1159</v>
      </c>
      <c r="JW3" s="3010" t="s">
        <v>1159</v>
      </c>
      <c r="JX3" s="3010" t="s">
        <v>1159</v>
      </c>
      <c r="JY3" s="3010" t="s">
        <v>1159</v>
      </c>
      <c r="JZ3" s="3010" t="s">
        <v>1159</v>
      </c>
      <c r="KA3" s="3010" t="s">
        <v>1159</v>
      </c>
      <c r="KB3" s="3010" t="s">
        <v>1159</v>
      </c>
      <c r="KC3" s="3010" t="s">
        <v>1159</v>
      </c>
      <c r="KD3" s="3010" t="s">
        <v>1159</v>
      </c>
      <c r="KE3" s="3010" t="s">
        <v>1159</v>
      </c>
      <c r="KF3" s="3010" t="s">
        <v>1159</v>
      </c>
      <c r="KG3" s="3010" t="s">
        <v>1159</v>
      </c>
      <c r="KH3" s="3010" t="s">
        <v>1159</v>
      </c>
      <c r="KI3" s="2966" t="s">
        <v>1160</v>
      </c>
      <c r="KJ3" s="3010" t="s">
        <v>1160</v>
      </c>
      <c r="KK3" s="2966" t="s">
        <v>1160</v>
      </c>
      <c r="KL3" s="2966" t="s">
        <v>1161</v>
      </c>
      <c r="KM3" s="2966" t="s">
        <v>783</v>
      </c>
      <c r="KN3" s="2966"/>
      <c r="KO3" s="3010" t="s">
        <v>1064</v>
      </c>
      <c r="KP3" s="3010" t="s">
        <v>1064</v>
      </c>
      <c r="KQ3" s="3010" t="s">
        <v>1064</v>
      </c>
      <c r="KR3" s="3010" t="s">
        <v>1064</v>
      </c>
      <c r="KS3" s="3010" t="s">
        <v>1064</v>
      </c>
      <c r="KT3" s="3010" t="s">
        <v>1064</v>
      </c>
      <c r="KU3" s="3010" t="s">
        <v>1064</v>
      </c>
      <c r="KV3" s="3010" t="s">
        <v>1064</v>
      </c>
      <c r="KW3" s="3010" t="s">
        <v>1064</v>
      </c>
      <c r="KX3" s="3010" t="s">
        <v>1064</v>
      </c>
      <c r="KY3" s="3010" t="s">
        <v>1064</v>
      </c>
      <c r="KZ3" s="3010" t="s">
        <v>1064</v>
      </c>
      <c r="LA3" s="3010" t="s">
        <v>1064</v>
      </c>
      <c r="LB3" s="3010" t="s">
        <v>1064</v>
      </c>
      <c r="LC3" s="3010" t="s">
        <v>1064</v>
      </c>
      <c r="LD3" s="2966" t="s">
        <v>1170</v>
      </c>
      <c r="LE3" s="3010" t="s">
        <v>1170</v>
      </c>
      <c r="LF3" s="2966" t="s">
        <v>1170</v>
      </c>
      <c r="LG3" s="2966" t="s">
        <v>1171</v>
      </c>
      <c r="LH3" s="2966"/>
      <c r="LI3" s="3010" t="s">
        <v>1427</v>
      </c>
      <c r="LJ3" s="3010" t="s">
        <v>1427</v>
      </c>
      <c r="LK3" s="3010" t="s">
        <v>1427</v>
      </c>
      <c r="LL3" s="3010" t="s">
        <v>1427</v>
      </c>
      <c r="LM3" s="3010" t="s">
        <v>1427</v>
      </c>
      <c r="LN3" s="3010" t="s">
        <v>1427</v>
      </c>
      <c r="LO3" s="3010" t="s">
        <v>1427</v>
      </c>
      <c r="LP3" s="3010" t="s">
        <v>1427</v>
      </c>
      <c r="LQ3" s="3010" t="s">
        <v>1427</v>
      </c>
      <c r="LR3" s="3010" t="s">
        <v>1427</v>
      </c>
      <c r="LS3" s="3010" t="s">
        <v>1427</v>
      </c>
      <c r="LT3" s="3010" t="s">
        <v>1427</v>
      </c>
      <c r="LU3" s="3010" t="s">
        <v>1427</v>
      </c>
      <c r="LV3" s="3010" t="s">
        <v>1427</v>
      </c>
      <c r="LW3" s="3010" t="s">
        <v>1427</v>
      </c>
      <c r="LX3" s="2966" t="s">
        <v>1437</v>
      </c>
      <c r="LY3" s="2966" t="s">
        <v>1428</v>
      </c>
      <c r="LZ3" s="2966" t="s">
        <v>1430</v>
      </c>
      <c r="MA3" s="3010" t="s">
        <v>1428</v>
      </c>
      <c r="MB3" s="2966" t="s">
        <v>1428</v>
      </c>
      <c r="MC3" s="2966" t="s">
        <v>1429</v>
      </c>
      <c r="MD3" s="2966" t="s">
        <v>1430</v>
      </c>
      <c r="ME3" s="2966"/>
      <c r="MF3" s="2966"/>
      <c r="MG3" s="3010" t="s">
        <v>1431</v>
      </c>
      <c r="MH3" s="3010" t="s">
        <v>1431</v>
      </c>
      <c r="MI3" s="3010" t="s">
        <v>1431</v>
      </c>
      <c r="MJ3" s="3010" t="s">
        <v>1431</v>
      </c>
      <c r="MK3" s="3010" t="s">
        <v>1431</v>
      </c>
      <c r="ML3" s="3010" t="s">
        <v>1431</v>
      </c>
      <c r="MM3" s="3010" t="s">
        <v>1431</v>
      </c>
      <c r="MN3" s="3010" t="s">
        <v>1431</v>
      </c>
      <c r="MO3" s="3010" t="s">
        <v>1431</v>
      </c>
      <c r="MP3" s="3010" t="s">
        <v>1431</v>
      </c>
      <c r="MQ3" s="3010" t="s">
        <v>1431</v>
      </c>
      <c r="MR3" s="3010" t="s">
        <v>1431</v>
      </c>
      <c r="MS3" s="3010" t="s">
        <v>1431</v>
      </c>
      <c r="MT3" s="3010" t="s">
        <v>1431</v>
      </c>
      <c r="MU3" s="3010" t="s">
        <v>1431</v>
      </c>
      <c r="MV3" s="2966" t="s">
        <v>1725</v>
      </c>
      <c r="MW3" s="2966" t="s">
        <v>1432</v>
      </c>
      <c r="MX3" s="2966" t="s">
        <v>1688</v>
      </c>
      <c r="MY3" s="2966" t="s">
        <v>1432</v>
      </c>
      <c r="MZ3" s="2966" t="s">
        <v>1432</v>
      </c>
      <c r="NA3" s="2966" t="s">
        <v>1433</v>
      </c>
      <c r="NB3" s="2966" t="s">
        <v>1688</v>
      </c>
      <c r="NC3" s="2966"/>
      <c r="ND3" s="3010" t="s">
        <v>1687</v>
      </c>
      <c r="NE3" s="3010" t="s">
        <v>1687</v>
      </c>
      <c r="NF3" s="3010" t="s">
        <v>1687</v>
      </c>
      <c r="NG3" s="3010" t="s">
        <v>1687</v>
      </c>
      <c r="NH3" s="3010" t="s">
        <v>1687</v>
      </c>
      <c r="NI3" s="3010" t="s">
        <v>1687</v>
      </c>
      <c r="NJ3" s="3010" t="s">
        <v>1687</v>
      </c>
      <c r="NK3" s="3010" t="s">
        <v>1687</v>
      </c>
      <c r="NL3" s="3010" t="s">
        <v>1687</v>
      </c>
      <c r="NM3" s="3010" t="s">
        <v>1687</v>
      </c>
      <c r="NN3" s="3010" t="s">
        <v>1687</v>
      </c>
      <c r="NO3" s="3010" t="s">
        <v>1687</v>
      </c>
      <c r="NP3" s="3010" t="s">
        <v>1687</v>
      </c>
      <c r="NQ3" s="3010" t="s">
        <v>1687</v>
      </c>
      <c r="NR3" s="3010" t="s">
        <v>1687</v>
      </c>
      <c r="NS3" s="3010"/>
      <c r="NT3" s="3010"/>
      <c r="NU3" s="3010" t="s">
        <v>1689</v>
      </c>
      <c r="NV3" s="3010" t="s">
        <v>1689</v>
      </c>
      <c r="NW3" s="3010" t="s">
        <v>1689</v>
      </c>
      <c r="NX3" s="3010" t="s">
        <v>1689</v>
      </c>
      <c r="NY3" s="3010" t="s">
        <v>1689</v>
      </c>
      <c r="NZ3" s="3010" t="s">
        <v>1689</v>
      </c>
      <c r="OA3" s="3010" t="s">
        <v>1689</v>
      </c>
      <c r="OB3" s="3010" t="s">
        <v>1689</v>
      </c>
      <c r="OC3" s="3010" t="s">
        <v>1689</v>
      </c>
      <c r="OD3" s="3010" t="s">
        <v>1689</v>
      </c>
      <c r="OE3" s="3010" t="s">
        <v>1689</v>
      </c>
      <c r="OF3" s="3010" t="s">
        <v>1689</v>
      </c>
      <c r="OG3" s="3010" t="s">
        <v>1689</v>
      </c>
      <c r="OH3" s="3010" t="s">
        <v>1689</v>
      </c>
      <c r="OI3" s="3010" t="s">
        <v>1689</v>
      </c>
      <c r="OJ3" s="2966" t="s">
        <v>1690</v>
      </c>
      <c r="OK3" s="2966" t="s">
        <v>1690</v>
      </c>
      <c r="OL3" s="2966" t="s">
        <v>1690</v>
      </c>
      <c r="OM3" s="2966" t="s">
        <v>1691</v>
      </c>
      <c r="ON3" s="2966"/>
      <c r="OO3" s="3010" t="s">
        <v>2160</v>
      </c>
      <c r="OP3" s="3010" t="s">
        <v>1058</v>
      </c>
      <c r="OQ3" s="3010" t="s">
        <v>1058</v>
      </c>
      <c r="OR3" s="3010" t="s">
        <v>1058</v>
      </c>
      <c r="OS3" s="3010" t="s">
        <v>1058</v>
      </c>
      <c r="OT3" s="3010" t="s">
        <v>1058</v>
      </c>
      <c r="OU3" s="3010" t="s">
        <v>1058</v>
      </c>
      <c r="OV3" s="3010" t="s">
        <v>1058</v>
      </c>
      <c r="OW3" s="3010" t="s">
        <v>1058</v>
      </c>
      <c r="OX3" s="3010" t="s">
        <v>1058</v>
      </c>
      <c r="OY3" s="3010" t="s">
        <v>1058</v>
      </c>
      <c r="OZ3" s="3010" t="s">
        <v>1058</v>
      </c>
      <c r="PA3" s="3010" t="s">
        <v>1058</v>
      </c>
      <c r="PB3" s="3010" t="s">
        <v>1058</v>
      </c>
      <c r="PC3" s="3010" t="s">
        <v>1058</v>
      </c>
      <c r="PD3" s="3010" t="s">
        <v>1058</v>
      </c>
      <c r="PE3" s="2966" t="s">
        <v>1059</v>
      </c>
      <c r="PF3" s="3010" t="s">
        <v>1063</v>
      </c>
      <c r="PG3" s="2966" t="s">
        <v>1067</v>
      </c>
      <c r="PH3" s="2966"/>
      <c r="PI3" s="11" t="s">
        <v>2160</v>
      </c>
      <c r="PJ3" s="3010" t="s">
        <v>2089</v>
      </c>
      <c r="PK3" s="3010" t="s">
        <v>2089</v>
      </c>
      <c r="PL3" s="3010" t="s">
        <v>2089</v>
      </c>
      <c r="PM3" s="3010" t="s">
        <v>2089</v>
      </c>
      <c r="PN3" s="3010" t="s">
        <v>2089</v>
      </c>
      <c r="PO3" s="3010" t="s">
        <v>2089</v>
      </c>
      <c r="PP3" s="3010" t="s">
        <v>2089</v>
      </c>
      <c r="PQ3" s="3010" t="s">
        <v>2089</v>
      </c>
      <c r="PR3" s="3010" t="s">
        <v>2089</v>
      </c>
      <c r="PS3" s="3010" t="s">
        <v>2089</v>
      </c>
      <c r="PT3" s="3010" t="s">
        <v>2089</v>
      </c>
      <c r="PU3" s="3010" t="s">
        <v>2089</v>
      </c>
      <c r="PV3" s="3010" t="s">
        <v>2089</v>
      </c>
      <c r="PW3" s="3010" t="s">
        <v>2089</v>
      </c>
      <c r="PX3" s="3010" t="s">
        <v>2089</v>
      </c>
      <c r="PY3" s="2966" t="s">
        <v>2090</v>
      </c>
      <c r="PZ3" s="2966" t="s">
        <v>2090</v>
      </c>
      <c r="QA3" s="2966"/>
      <c r="QC3" s="3010" t="s">
        <v>476</v>
      </c>
      <c r="QD3" s="2966" t="s">
        <v>762</v>
      </c>
      <c r="QE3" s="2966" t="s">
        <v>763</v>
      </c>
      <c r="QF3" s="2966" t="s">
        <v>764</v>
      </c>
      <c r="QH3" s="3134"/>
    </row>
    <row r="4" spans="1:450">
      <c r="N4" s="11" t="s">
        <v>2591</v>
      </c>
      <c r="O4" s="11" t="s">
        <v>2591</v>
      </c>
      <c r="AJ4" s="11" t="s">
        <v>88</v>
      </c>
      <c r="CZ4" s="21"/>
      <c r="DA4" s="21"/>
      <c r="DB4" s="21"/>
      <c r="EA4" s="11" t="s">
        <v>88</v>
      </c>
      <c r="EH4" s="11" t="s">
        <v>88</v>
      </c>
      <c r="GA4" s="142"/>
      <c r="GB4" s="142"/>
      <c r="GC4" s="142"/>
      <c r="GD4" s="142"/>
      <c r="GE4" s="142"/>
      <c r="GF4" s="142"/>
      <c r="GG4" s="142"/>
      <c r="GH4" s="142"/>
      <c r="GI4" s="142"/>
      <c r="GJ4" s="142"/>
      <c r="GK4" s="142"/>
      <c r="GL4" s="142"/>
      <c r="GM4" s="142"/>
      <c r="GN4" s="142"/>
      <c r="GO4" s="142"/>
      <c r="IC4" s="1259" t="s">
        <v>751</v>
      </c>
      <c r="IW4" s="11"/>
      <c r="NT4" s="455">
        <v>1</v>
      </c>
      <c r="NU4" s="455">
        <v>2</v>
      </c>
      <c r="NV4" s="455">
        <v>3</v>
      </c>
      <c r="NW4" s="455">
        <v>4</v>
      </c>
      <c r="NX4" s="455">
        <v>5</v>
      </c>
      <c r="NY4" s="455">
        <v>6</v>
      </c>
      <c r="NZ4" s="455">
        <v>7</v>
      </c>
      <c r="OA4" s="455">
        <v>8</v>
      </c>
      <c r="OB4" s="455">
        <v>9</v>
      </c>
      <c r="OC4" s="455">
        <v>10</v>
      </c>
      <c r="OD4" s="455">
        <v>11</v>
      </c>
      <c r="OE4" s="455">
        <v>12</v>
      </c>
      <c r="OF4" s="455">
        <v>13</v>
      </c>
      <c r="OG4" s="455">
        <v>14</v>
      </c>
      <c r="OH4" s="455">
        <v>15</v>
      </c>
      <c r="OI4" s="455">
        <v>16</v>
      </c>
      <c r="OJ4" s="455">
        <v>17</v>
      </c>
      <c r="OK4" s="455">
        <v>18</v>
      </c>
      <c r="OL4" s="455">
        <v>19</v>
      </c>
      <c r="OM4" s="455">
        <v>20</v>
      </c>
      <c r="ON4" s="455"/>
      <c r="OP4" s="455"/>
      <c r="OQ4" s="455"/>
    </row>
    <row r="5" spans="1:450">
      <c r="A5" s="11" t="s">
        <v>502</v>
      </c>
      <c r="B5" s="83" t="s">
        <v>52</v>
      </c>
      <c r="C5" s="1207" t="s">
        <v>1105</v>
      </c>
      <c r="E5" s="13">
        <f>'Bloom Cleaner Data'!D5</f>
        <v>44877.982799999998</v>
      </c>
      <c r="G5" s="13">
        <f>'Bloom Cleaner Data'!F5</f>
        <v>42397.642</v>
      </c>
      <c r="H5" s="13">
        <f>'Bloom Cleaner Data'!H5</f>
        <v>41722.336900000002</v>
      </c>
      <c r="I5" s="13">
        <f>'Bloom Cleaner Data'!J5</f>
        <v>46601.985000000001</v>
      </c>
      <c r="J5" s="13">
        <f>'Bloom Cleaner Data'!L5</f>
        <v>38308.4948</v>
      </c>
      <c r="K5" s="13">
        <f>'Bloom Cleaner Data'!N5</f>
        <v>37307.514000000003</v>
      </c>
      <c r="L5" s="13">
        <f>'Bloom Cleaner Data'!P5</f>
        <v>37124.548600000002</v>
      </c>
      <c r="M5" s="13">
        <f>'Bloom Cleaner Data'!R5</f>
        <v>39791.94</v>
      </c>
      <c r="N5" s="13">
        <f t="shared" ref="N5:N25" si="0">AVERAGE(G5:M5)</f>
        <v>40464.923042857146</v>
      </c>
      <c r="O5" s="13">
        <f>AVERAGE(K5:M5)</f>
        <v>38074.667533333333</v>
      </c>
      <c r="P5" s="10">
        <f t="shared" ref="P5:P27" si="1">(M5-G5)/G5</f>
        <v>-6.1458653761923776E-2</v>
      </c>
      <c r="Q5" s="146">
        <f>P5</f>
        <v>-6.1458653761923776E-2</v>
      </c>
      <c r="R5" s="10">
        <f>P5-$P$29</f>
        <v>4.0316925143715168E-2</v>
      </c>
      <c r="S5" s="1363" t="s">
        <v>52</v>
      </c>
      <c r="T5" s="1322">
        <f>'Bloom Cleaner Data'!D5/'Bloom Cleaner Data'!$F5</f>
        <v>1.058501857249514</v>
      </c>
      <c r="U5" s="1322">
        <f>'Bloom Cleaner Data'!E5/'Bloom Cleaner Data'!$F5</f>
        <v>1.0357951038880888</v>
      </c>
      <c r="V5" s="1322">
        <f>'Bloom Cleaner Data'!F5/'Bloom Cleaner Data'!$F5</f>
        <v>1</v>
      </c>
      <c r="W5" s="1322">
        <f>'Bloom Cleaner Data'!G5/'Bloom Cleaner Data'!$F5</f>
        <v>1.0347665089487761</v>
      </c>
      <c r="X5" s="1322">
        <f>'Bloom Cleaner Data'!H5/'Bloom Cleaner Data'!$F5</f>
        <v>0.98407210712331605</v>
      </c>
      <c r="Y5" s="1322">
        <f>'Bloom Cleaner Data'!I5/'Bloom Cleaner Data'!$F5</f>
        <v>1.107827411722567</v>
      </c>
      <c r="Z5" s="1322">
        <f>'Bloom Cleaner Data'!J5/'Bloom Cleaner Data'!$F5</f>
        <v>1.0991645478774503</v>
      </c>
      <c r="AA5" s="1322">
        <f>'Bloom Cleaner Data'!K5/'Bloom Cleaner Data'!$F5</f>
        <v>0.89946102662973559</v>
      </c>
      <c r="AB5" s="1322">
        <f>'Bloom Cleaner Data'!L5/'Bloom Cleaner Data'!$F5</f>
        <v>0.90355248530095145</v>
      </c>
      <c r="AC5" s="1322">
        <f>'Bloom Cleaner Data'!M5/'Bloom Cleaner Data'!$F5</f>
        <v>0.92376703402514704</v>
      </c>
      <c r="AD5" s="1322">
        <f>'Bloom Cleaner Data'!N5/'Bloom Cleaner Data'!$F5</f>
        <v>0.87994313457338036</v>
      </c>
      <c r="AE5" s="1322">
        <f>'Bloom Cleaner Data'!O5/'Bloom Cleaner Data'!$F5</f>
        <v>0.97564230105061023</v>
      </c>
      <c r="AF5" s="1322">
        <f>'Bloom Cleaner Data'!P5/'Bloom Cleaner Data'!$F5</f>
        <v>0.87562767287860022</v>
      </c>
      <c r="AG5" s="1322">
        <f>'Bloom Cleaner Data'!Q5/'Bloom Cleaner Data'!$F5</f>
        <v>0.8458012594190969</v>
      </c>
      <c r="AH5" s="1322">
        <f>'Bloom Cleaner Data'!R5/'Bloom Cleaner Data'!$F5</f>
        <v>0.93854134623807617</v>
      </c>
      <c r="AI5" s="13"/>
      <c r="AJ5" s="13">
        <f>AVERAGE('Bloom Cleaner Data'!BW5:CI5)</f>
        <v>88812.913376923054</v>
      </c>
      <c r="AK5" s="18">
        <f>('Bloom Cleaner Data'!CI5-'Bloom Cleaner Data'!BW5)/'Bloom Cleaner Data'!BW5</f>
        <v>-6.2001777195027932E-2</v>
      </c>
      <c r="AL5" s="18">
        <f>('Bloom Cleaner Data'!CI5+'Bloom Cleaner Data'!CH5-'Bloom Cleaner Data'!BW5-'Bloom Cleaner Data'!BV5)/('Bloom Cleaner Data'!BW5+'Bloom Cleaner Data'!BV5)</f>
        <v>-0.1071192557907365</v>
      </c>
      <c r="AM5" s="13"/>
      <c r="AN5" s="13">
        <f>'Bloom Cleaner Data'!BW5</f>
        <v>95766.642000000007</v>
      </c>
      <c r="AO5" s="13">
        <f>'Bloom Cleaner Data'!BY5</f>
        <v>92100.336899999995</v>
      </c>
      <c r="AP5" s="13">
        <f>'Bloom Cleaner Data'!CA5</f>
        <v>97085.985000000001</v>
      </c>
      <c r="AQ5" s="13">
        <f>'Bloom Cleaner Data'!CC5</f>
        <v>85151.4948</v>
      </c>
      <c r="AR5" s="13">
        <f>'Bloom Cleaner Data'!CE5</f>
        <v>84504.513999999996</v>
      </c>
      <c r="AS5" s="13">
        <f>'Bloom Cleaner Data'!CG5</f>
        <v>80315.548599999995</v>
      </c>
      <c r="AT5" s="13">
        <f>'Bloom Cleaner Data'!CI5</f>
        <v>89828.94</v>
      </c>
      <c r="AU5" s="13">
        <f t="shared" ref="AU5:AU25" si="2">AVERAGE(AN5:AT5)</f>
        <v>89250.494471428552</v>
      </c>
      <c r="AV5" s="10">
        <f t="shared" ref="AV5:AV27" si="3">(AT5-AN5)/AN5</f>
        <v>-6.2001777195027932E-2</v>
      </c>
      <c r="AW5" s="10"/>
      <c r="AX5" s="13">
        <f>'Bloom Cleaner Data'!T5+'OPERATING LEASES'!AU5</f>
        <v>64414.755045418417</v>
      </c>
      <c r="AY5" s="13">
        <f>'Bloom Cleaner Data'!U5+'OPERATING LEASES'!AV5</f>
        <v>62456.098571492781</v>
      </c>
      <c r="AZ5" s="13">
        <f>'Bloom Cleaner Data'!V5+'OPERATING LEASES'!AW5</f>
        <v>65734.442097567153</v>
      </c>
      <c r="BA5" s="13">
        <f>'Bloom Cleaner Data'!W5+'OPERATING LEASES'!AX5</f>
        <v>62561.785623641517</v>
      </c>
      <c r="BB5" s="13">
        <f>'Bloom Cleaner Data'!X5+'OPERATING LEASES'!AY5</f>
        <v>59934.129149715882</v>
      </c>
      <c r="BC5" s="13">
        <f>'Bloom Cleaner Data'!Y5+'OPERATING LEASES'!AZ5</f>
        <v>58457.333405421377</v>
      </c>
      <c r="BD5" s="13">
        <f>'Bloom Cleaner Data'!Z5+'OPERATING LEASES'!BA5</f>
        <v>60250.537661126873</v>
      </c>
      <c r="BE5" s="13">
        <f>'Bloom Cleaner Data'!AA5+'OPERATING LEASES'!BB5</f>
        <v>59817.741916832376</v>
      </c>
      <c r="BF5" s="13">
        <f>'Bloom Cleaner Data'!AB5+'OPERATING LEASES'!BC5</f>
        <v>56604.946172537871</v>
      </c>
      <c r="BG5" s="13">
        <f>'Bloom Cleaner Data'!AC5+'OPERATING LEASES'!BD5</f>
        <v>54631.54443065924</v>
      </c>
      <c r="BH5" s="13">
        <f>'Bloom Cleaner Data'!AD5+'OPERATING LEASES'!BE5</f>
        <v>57154.142688780608</v>
      </c>
      <c r="BI5" s="13">
        <f>'Bloom Cleaner Data'!AE5+'OPERATING LEASES'!BF5</f>
        <v>55255.740946901977</v>
      </c>
      <c r="BJ5" s="13">
        <f>'Bloom Cleaner Data'!AF5+'OPERATING LEASES'!BG5</f>
        <v>53003.339205023345</v>
      </c>
      <c r="BK5" s="13">
        <f>'Bloom Cleaner Data'!AG5+'OPERATING LEASES'!BH5</f>
        <v>52953.339205023345</v>
      </c>
      <c r="BL5" s="13">
        <f>'Bloom Cleaner Data'!AH5+'OPERATING LEASES'!BI5</f>
        <v>57439.339205023345</v>
      </c>
      <c r="BM5" s="1167">
        <f>AVERAGE(AZ5:BL5)</f>
        <v>57984.489362173452</v>
      </c>
      <c r="BN5" s="10">
        <f>(BL5-AZ5)/AZ5</f>
        <v>-0.12619112032976107</v>
      </c>
      <c r="BO5" s="10"/>
      <c r="BP5" s="13">
        <f>'Bloom Cleaner Data'!BU5+'OPERATING LEASES'!AU5</f>
        <v>114875.73784541842</v>
      </c>
      <c r="BQ5" s="13">
        <f>'Bloom Cleaner Data'!BV5+'OPERATING LEASES'!AV5</f>
        <v>112111.36857149279</v>
      </c>
      <c r="BR5" s="13">
        <f>'Bloom Cleaner Data'!BW5+'OPERATING LEASES'!AW5</f>
        <v>113174.08409756716</v>
      </c>
      <c r="BS5" s="13">
        <f>'Bloom Cleaner Data'!BX5+'OPERATING LEASES'!AX5</f>
        <v>111635.44562364151</v>
      </c>
      <c r="BT5" s="13">
        <f>'Bloom Cleaner Data'!BY5+'OPERATING LEASES'!AY5</f>
        <v>106668.46604971588</v>
      </c>
      <c r="BU5" s="13">
        <f>'Bloom Cleaner Data'!BZ5+'OPERATING LEASES'!AZ5</f>
        <v>110479.60340542138</v>
      </c>
      <c r="BV5" s="13">
        <f>'Bloom Cleaner Data'!CA5+'OPERATING LEASES'!BA5</f>
        <v>111574.52266112687</v>
      </c>
      <c r="BW5" s="13">
        <f>'Bloom Cleaner Data'!CB5+'OPERATING LEASES'!BB5</f>
        <v>102799.76851683238</v>
      </c>
      <c r="BX5" s="13">
        <f>'Bloom Cleaner Data'!CC5+'OPERATING LEASES'!BC5</f>
        <v>99560.440972537879</v>
      </c>
      <c r="BY5" s="13">
        <f>'Bloom Cleaner Data'!CD5+'OPERATING LEASES'!BD5</f>
        <v>98506.088430659234</v>
      </c>
      <c r="BZ5" s="13">
        <f>'Bloom Cleaner Data'!CE5+'OPERATING LEASES'!BE5</f>
        <v>98926.656688780611</v>
      </c>
      <c r="CA5" s="13">
        <f>'Bloom Cleaner Data'!CF5+'OPERATING LEASES'!BF5</f>
        <v>101231.67394690198</v>
      </c>
      <c r="CB5" s="13">
        <f>'Bloom Cleaner Data'!CG5+'OPERATING LEASES'!BG5</f>
        <v>94750.887805023347</v>
      </c>
      <c r="CC5" s="13">
        <f>'Bloom Cleaner Data'!CH5+'OPERATING LEASES'!BH5</f>
        <v>93406.318205023359</v>
      </c>
      <c r="CD5" s="13">
        <f>'Bloom Cleaner Data'!CI5+'OPERATING LEASES'!BI5</f>
        <v>104264.27920502335</v>
      </c>
      <c r="CE5" s="1167">
        <f>AVERAGE(BR5:CD5)</f>
        <v>103613.71043140421</v>
      </c>
      <c r="CF5" s="10">
        <f>(CD5-BR5)/BR5</f>
        <v>-7.8726547368058925E-2</v>
      </c>
      <c r="CG5" s="18">
        <f t="shared" ref="CG5:CG27" si="4">(CE5-AJ5)/AJ5</f>
        <v>0.16665140790581204</v>
      </c>
      <c r="CH5" s="13"/>
      <c r="CI5" s="18">
        <f>$CI$1*BP5/('Bloom Cleaner Data'!D5+'Bloom Cleaner Data'!T5+'OPERATING LEASES'!AU5)+(1-$CI$1)*'Bloom Cleaner Data'!BU5/('Bloom Cleaner Data'!D5+'Bloom Cleaner Data'!T5)-1</f>
        <v>5.1082991514921128E-2</v>
      </c>
      <c r="CJ5" s="18">
        <f>$CI$1*BQ5/('Bloom Cleaner Data'!E5+'Bloom Cleaner Data'!U5+'OPERATING LEASES'!AV5)+(1-$CI$1)*'Bloom Cleaner Data'!BV5/('Bloom Cleaner Data'!E5+'Bloom Cleaner Data'!U5)-1</f>
        <v>5.3961889153866904E-2</v>
      </c>
      <c r="CK5" s="18">
        <f>$CI$1*BR5/('Bloom Cleaner Data'!F5+'Bloom Cleaner Data'!V5+'OPERATING LEASES'!AW5)+(1-$CI$1)*'Bloom Cleaner Data'!BW5/('Bloom Cleaner Data'!F5+'Bloom Cleaner Data'!V5)-1</f>
        <v>4.6628158904721051E-2</v>
      </c>
      <c r="CL5" s="18">
        <f>$CI$1*BS5/('Bloom Cleaner Data'!G5+'Bloom Cleaner Data'!W5+'OPERATING LEASES'!AX5)+(1-$CI$1)*'Bloom Cleaner Data'!BX5/('Bloom Cleaner Data'!G5+'Bloom Cleaner Data'!W5)-1</f>
        <v>4.8875613953105912E-2</v>
      </c>
      <c r="CM5" s="18">
        <f>$CI$1*BT5/('Bloom Cleaner Data'!H5+'Bloom Cleaner Data'!X5+'OPERATING LEASES'!AY5)+(1-$CI$1)*'Bloom Cleaner Data'!BY5/('Bloom Cleaner Data'!H5+'Bloom Cleaner Data'!X5)-1</f>
        <v>4.9303307450692335E-2</v>
      </c>
      <c r="CN5" s="18">
        <f>$CI$1*BU5/('Bloom Cleaner Data'!I5+'Bloom Cleaner Data'!Y5+'OPERATING LEASES'!AZ5)+(1-$CI$1)*'Bloom Cleaner Data'!BZ5/('Bloom Cleaner Data'!I5+'Bloom Cleaner Data'!Y5)-1</f>
        <v>4.7929078968508065E-2</v>
      </c>
      <c r="CO5" s="18">
        <f>$CI$1*BV5/('Bloom Cleaner Data'!J5+'Bloom Cleaner Data'!Z5+'OPERATING LEASES'!BA5)+(1-$CI$1)*'Bloom Cleaner Data'!CA5/('Bloom Cleaner Data'!J5+'Bloom Cleaner Data'!Z5)-1</f>
        <v>4.4191750296578292E-2</v>
      </c>
      <c r="CP5" s="18">
        <f>$CI$1*BW5/('Bloom Cleaner Data'!K5+'Bloom Cleaner Data'!AA5+'OPERATING LEASES'!BB5)+(1-$CI$1)*'Bloom Cleaner Data'!CB5/('Bloom Cleaner Data'!K5+'Bloom Cleaner Data'!AA5)-1</f>
        <v>4.948303221431738E-2</v>
      </c>
      <c r="CQ5" s="18">
        <f>$CI$1*BX5/('Bloom Cleaner Data'!L5+'Bloom Cleaner Data'!AB5+'OPERATING LEASES'!BC5)+(1-$CI$1)*'Bloom Cleaner Data'!CC5/('Bloom Cleaner Data'!L5+'Bloom Cleaner Data'!AB5)-1</f>
        <v>4.8960399627114626E-2</v>
      </c>
      <c r="CR5" s="18">
        <f>$CI$1*BY5/('Bloom Cleaner Data'!M5+'Bloom Cleaner Data'!AC5+'OPERATING LEASES'!BD5)+(1-$CI$1)*'Bloom Cleaner Data'!CD5/('Bloom Cleaner Data'!M5+'Bloom Cleaner Data'!AC5)-1</f>
        <v>5.0204116980466784E-2</v>
      </c>
      <c r="CS5" s="18">
        <f>$CI$1*BZ5/('Bloom Cleaner Data'!N5+'Bloom Cleaner Data'!AD5+'OPERATING LEASES'!BE5)+(1-$CI$1)*'Bloom Cleaner Data'!CE5/('Bloom Cleaner Data'!N5+'Bloom Cleaner Data'!AD5)-1</f>
        <v>4.7267856149407539E-2</v>
      </c>
      <c r="CT5" s="18">
        <f>$CI$1*CA5/('Bloom Cleaner Data'!O5+'Bloom Cleaner Data'!AE5+'OPERATING LEASES'!BF5)+(1-$CI$1)*'Bloom Cleaner Data'!CF5/('Bloom Cleaner Data'!O5+'Bloom Cleaner Data'!AE5)-1</f>
        <v>4.7722705831404033E-2</v>
      </c>
      <c r="CU5" s="18">
        <f>$CI$1*CB5/('Bloom Cleaner Data'!P5+'Bloom Cleaner Data'!AF5+'OPERATING LEASES'!BG5)+(1-$CI$1)*'Bloom Cleaner Data'!CG5/('Bloom Cleaner Data'!P5+'Bloom Cleaner Data'!AF5)-1</f>
        <v>5.1293779457042943E-2</v>
      </c>
      <c r="CV5" s="18">
        <f>$CI$1*CC5/('Bloom Cleaner Data'!Q5+'Bloom Cleaner Data'!AG5+'OPERATING LEASES'!BH5)+(1-$CI$1)*'Bloom Cleaner Data'!CH5/('Bloom Cleaner Data'!Q5+'Bloom Cleaner Data'!AG5)-1</f>
        <v>5.1715216735818803E-2</v>
      </c>
      <c r="CW5" s="18">
        <f>$CI$1*CD5/('Bloom Cleaner Data'!R5+'Bloom Cleaner Data'!AH5+'OPERATING LEASES'!BI5)+(1-$CI$1)*'Bloom Cleaner Data'!CI5/('Bloom Cleaner Data'!R5+'Bloom Cleaner Data'!AH5)-1</f>
        <v>7.2332690236133868E-2</v>
      </c>
      <c r="CX5" s="18">
        <f>AVERAGE(CK5:CW5)</f>
        <v>5.0454438985023969E-2</v>
      </c>
      <c r="CY5" s="13"/>
      <c r="CZ5" s="3112">
        <f>AVERAGE('Bloom Cleaner Data'!GX5:HJ5)</f>
        <v>18594.986312043202</v>
      </c>
      <c r="DA5" s="2860">
        <f>('Bloom Cleaner Data'!HJ5-'Bloom Cleaner Data'!GX5)/'Bloom Cleaner Data'!GX5</f>
        <v>-0.19010247532864813</v>
      </c>
      <c r="DB5" s="2860">
        <f>('Bloom Cleaner Data'!HJ5+'Bloom Cleaner Data'!HI5-'Bloom Cleaner Data'!GX5-'Bloom Cleaner Data'!GW5)/('Bloom Cleaner Data'!GX5+'Bloom Cleaner Data'!GW5)</f>
        <v>-0.19590347661227198</v>
      </c>
      <c r="DC5" s="13"/>
      <c r="DD5" s="13">
        <f>'Bloom Cleaner Data'!GV5+'OPERATING LEASES'!BL5</f>
        <v>25911.673602749175</v>
      </c>
      <c r="DE5" s="13">
        <f>'Bloom Cleaner Data'!GW5+'OPERATING LEASES'!BM5</f>
        <v>25335.159649129135</v>
      </c>
      <c r="DF5" s="13">
        <f>'Bloom Cleaner Data'!GX5+'OPERATING LEASES'!BN5</f>
        <v>24462.438038220072</v>
      </c>
      <c r="DG5" s="13">
        <f>'Bloom Cleaner Data'!GY5+'OPERATING LEASES'!BO5</f>
        <v>23504.765162635595</v>
      </c>
      <c r="DH5" s="13">
        <f>'Bloom Cleaner Data'!GZ5+'OPERATING LEASES'!BP5</f>
        <v>20011.922341967907</v>
      </c>
      <c r="DI5" s="13">
        <f>'Bloom Cleaner Data'!HA5+'OPERATING LEASES'!BQ5</f>
        <v>19613.971286021486</v>
      </c>
      <c r="DJ5" s="13">
        <f>'Bloom Cleaner Data'!HB5+'OPERATING LEASES'!BR5</f>
        <v>18941.704765765146</v>
      </c>
      <c r="DK5" s="13">
        <f>'Bloom Cleaner Data'!HC5+'OPERATING LEASES'!BS5</f>
        <v>18842.819022835225</v>
      </c>
      <c r="DL5" s="13">
        <f>'Bloom Cleaner Data'!HD5+'OPERATING LEASES'!BT5</f>
        <v>21187.810704800591</v>
      </c>
      <c r="DM5" s="13">
        <f>'Bloom Cleaner Data'!HE5+'OPERATING LEASES'!BU5</f>
        <v>21343.699215101045</v>
      </c>
      <c r="DN5" s="13">
        <f>'Bloom Cleaner Data'!HF5+'OPERATING LEASES'!BV5</f>
        <v>21777.819461188908</v>
      </c>
      <c r="DO5" s="13">
        <f>'Bloom Cleaner Data'!HG5+'OPERATING LEASES'!BW5</f>
        <v>21796.584632328028</v>
      </c>
      <c r="DP5" s="13">
        <f>'Bloom Cleaner Data'!HH5+'OPERATING LEASES'!BX5</f>
        <v>20179.58436379928</v>
      </c>
      <c r="DQ5" s="13">
        <f>'Bloom Cleaner Data'!HI5+'OPERATING LEASES'!BY5</f>
        <v>19875.607862790337</v>
      </c>
      <c r="DR5" s="13">
        <f>'Bloom Cleaner Data'!HJ5+'OPERATING LEASES'!BZ5</f>
        <v>19685.644306250852</v>
      </c>
      <c r="DS5" s="1167">
        <f>AVERAGE(DF5:DR5)</f>
        <v>20863.413166438811</v>
      </c>
      <c r="DT5" s="10">
        <f>(DR5-DF5)/DF5</f>
        <v>-0.19527055007787722</v>
      </c>
      <c r="DU5" s="18">
        <f>(DS5-CZ5)/CZ5</f>
        <v>0.1219913161714157</v>
      </c>
      <c r="DV5" s="167"/>
      <c r="DW5" s="15">
        <f>'Bloom Cleaner Data'!DT5</f>
        <v>1.5009000000000001</v>
      </c>
      <c r="DX5" s="15">
        <f>'Bloom Cleaner Data'!DX5</f>
        <v>1.6141000000000001</v>
      </c>
      <c r="DY5" s="15">
        <f>'Bloom Cleaner Data'!EB5</f>
        <v>1.4472</v>
      </c>
      <c r="DZ5" s="15">
        <f>'Bloom Cleaner Data'!EF5</f>
        <v>1.5407999999999999</v>
      </c>
      <c r="EA5" s="15">
        <f>AVERAGE('Bloom Cleaner Data'!DT5:EF5)</f>
        <v>1.4833076923076924</v>
      </c>
      <c r="EB5" s="18">
        <f t="shared" ref="EB5:EB27" si="5">(DZ5-DW5)/DW5</f>
        <v>2.6584049570257725E-2</v>
      </c>
      <c r="EC5" s="13"/>
      <c r="ED5" s="15">
        <f>'Bloom Cleaner Data'!DC5</f>
        <v>4.4325999999999999</v>
      </c>
      <c r="EE5" s="15">
        <f>'Bloom Cleaner Data'!DG5</f>
        <v>5.7976000000000001</v>
      </c>
      <c r="EF5" s="15">
        <f>'Bloom Cleaner Data'!DK5</f>
        <v>4.3132000000000001</v>
      </c>
      <c r="EG5" s="15">
        <f>'Bloom Cleaner Data'!DO5</f>
        <v>5.1337000000000002</v>
      </c>
      <c r="EH5" s="15">
        <f>AVERAGE('Bloom Cleaner Data'!DC5:DO5)</f>
        <v>4.8039846153846151</v>
      </c>
      <c r="EI5" s="22">
        <f>AVERAGE(ED5:EG5)</f>
        <v>4.9192749999999998</v>
      </c>
      <c r="EJ5" s="22">
        <f t="shared" ref="EJ5:EJ27" si="6">EH5-EI5</f>
        <v>-0.11529038461538477</v>
      </c>
      <c r="EK5" s="18">
        <f>(EG5-ED5)/ED5</f>
        <v>0.15816902043947126</v>
      </c>
      <c r="EL5" s="241"/>
      <c r="EM5" s="15">
        <f>('Bloom Cleaner Data'!BU5+'OPERATING LEASES'!AU5)/DD5</f>
        <v>4.4333584779807635</v>
      </c>
      <c r="EN5" s="15">
        <f>('Bloom Cleaner Data'!BV5+'OPERATING LEASES'!AV5)/DE5</f>
        <v>4.4251297455450009</v>
      </c>
      <c r="EO5" s="15">
        <f>('Bloom Cleaner Data'!BW5+'OPERATING LEASES'!AW5)/DF5</f>
        <v>4.6264433627075174</v>
      </c>
      <c r="EP5" s="15">
        <f>('Bloom Cleaner Data'!BX5+'OPERATING LEASES'!AX5)/DG5</f>
        <v>4.7494814286042333</v>
      </c>
      <c r="EQ5" s="15">
        <f>('Bloom Cleaner Data'!BY5+'OPERATING LEASES'!AY5)/DH5</f>
        <v>5.3302458517948876</v>
      </c>
      <c r="ER5" s="15">
        <f>('Bloom Cleaner Data'!BZ5+'OPERATING LEASES'!AZ5)/DI5</f>
        <v>5.6326993546767428</v>
      </c>
      <c r="ES5" s="15">
        <f>('Bloom Cleaner Data'!CA5+'OPERATING LEASES'!BA5)/DJ5</f>
        <v>5.8904160972239632</v>
      </c>
      <c r="ET5" s="15">
        <f>('Bloom Cleaner Data'!CB5+'OPERATING LEASES'!BB5)/DK5</f>
        <v>5.455646970458691</v>
      </c>
      <c r="EU5" s="15">
        <f>('Bloom Cleaner Data'!CC5+'OPERATING LEASES'!BC5)/DL5</f>
        <v>4.6989489551169221</v>
      </c>
      <c r="EV5" s="15">
        <f>('Bloom Cleaner Data'!CD5+'OPERATING LEASES'!BD5)/DM5</f>
        <v>4.6152303514924178</v>
      </c>
      <c r="EW5" s="15">
        <f>('Bloom Cleaner Data'!CE5+'OPERATING LEASES'!BE5)/DN5</f>
        <v>4.5425418676595068</v>
      </c>
      <c r="EX5" s="15">
        <f>('Bloom Cleaner Data'!CF5+'OPERATING LEASES'!BF5)/DO5</f>
        <v>4.6443823954308083</v>
      </c>
      <c r="EY5" s="15">
        <f>('Bloom Cleaner Data'!CG5+'OPERATING LEASES'!BG5)/DP5</f>
        <v>4.6953835171649825</v>
      </c>
      <c r="EZ5" s="15">
        <f>('Bloom Cleaner Data'!CH5+'OPERATING LEASES'!BH5)/DQ5</f>
        <v>4.6995452340298911</v>
      </c>
      <c r="FA5" s="15">
        <f>('Bloom Cleaner Data'!CI5+'OPERATING LEASES'!BI5)/DR5</f>
        <v>5.2964626193065953</v>
      </c>
      <c r="FB5" s="526">
        <f>AVERAGE(EO5:FA5)</f>
        <v>4.9905713850513198</v>
      </c>
      <c r="FC5" s="10">
        <f>(FA5-EO5)/EO5</f>
        <v>0.1448238320606966</v>
      </c>
      <c r="FD5" s="15">
        <f t="shared" ref="FD5:FD27" si="7">FB5-EH5</f>
        <v>0.18658676966670473</v>
      </c>
      <c r="FE5" s="15">
        <f>AVERAGE(ER5:FA5)</f>
        <v>5.0171257362560526</v>
      </c>
      <c r="FF5" s="13"/>
      <c r="FG5" s="15">
        <f>$FG$1*EM5+(1-$FG$1)*'Bloom Cleaner Data'!DA5</f>
        <v>4.4333584779807635</v>
      </c>
      <c r="FH5" s="15">
        <f>$FG$1*EN5+(1-$FG$1)*'Bloom Cleaner Data'!DB5</f>
        <v>4.4251297455450009</v>
      </c>
      <c r="FI5" s="15">
        <f>$FG$1*EO5+(1-$FG$1)*'Bloom Cleaner Data'!DC5</f>
        <v>4.6264433627075174</v>
      </c>
      <c r="FJ5" s="15">
        <f>$FG$1*EP5+(1-$FG$1)*'Bloom Cleaner Data'!DD5</f>
        <v>4.7494814286042333</v>
      </c>
      <c r="FK5" s="15">
        <f>$FG$1*EQ5+(1-$FG$1)*'Bloom Cleaner Data'!DE5</f>
        <v>5.3302458517948876</v>
      </c>
      <c r="FL5" s="15">
        <f>$FG$1*ER5+(1-$FG$1)*'Bloom Cleaner Data'!DF5</f>
        <v>5.6326993546767428</v>
      </c>
      <c r="FM5" s="15">
        <f>$FG$1*ES5+(1-$FG$1)*'Bloom Cleaner Data'!DG5</f>
        <v>5.8904160972239632</v>
      </c>
      <c r="FN5" s="15">
        <f>$FG$1*ET5+(1-$FG$1)*'Bloom Cleaner Data'!DH5</f>
        <v>5.455646970458691</v>
      </c>
      <c r="FO5" s="15">
        <f>$FG$1*EU5+(1-$FG$1)*'Bloom Cleaner Data'!DI5</f>
        <v>4.6989489551169221</v>
      </c>
      <c r="FP5" s="15">
        <f>$FG$1*EV5+(1-$FG$1)*'Bloom Cleaner Data'!DJ5</f>
        <v>4.6152303514924178</v>
      </c>
      <c r="FQ5" s="15">
        <f>$FG$1*EW5+(1-$FG$1)*'Bloom Cleaner Data'!DK5</f>
        <v>4.5425418676595068</v>
      </c>
      <c r="FR5" s="15">
        <f>$FG$1*EX5+(1-$FG$1)*'Bloom Cleaner Data'!DL5</f>
        <v>4.6443823954308083</v>
      </c>
      <c r="FS5" s="15">
        <f>$FG$1*EY5+(1-$FG$1)*'Bloom Cleaner Data'!DM5</f>
        <v>4.6953835171649825</v>
      </c>
      <c r="FT5" s="15">
        <f>$FG$1*EZ5+(1-$FG$1)*'Bloom Cleaner Data'!DN5</f>
        <v>4.6995452340298911</v>
      </c>
      <c r="FU5" s="15">
        <f>$FG$1*FA5+(1-$FG$1)*'Bloom Cleaner Data'!DO5</f>
        <v>5.2964626193065953</v>
      </c>
      <c r="FV5" s="526">
        <f>AVERAGE(FI5:FU5)</f>
        <v>4.9905713850513198</v>
      </c>
      <c r="FW5" s="10">
        <f>(FU5-FI5)/FI5</f>
        <v>0.1448238320606966</v>
      </c>
      <c r="FX5" s="526">
        <f>AVERAGE(FL5:FU5)</f>
        <v>5.0171257362560526</v>
      </c>
      <c r="FY5" s="2710"/>
      <c r="FZ5" s="2710"/>
      <c r="GA5" s="10">
        <f>'Bloom Cleaner Data'!T5/('Bloom Cleaner Data'!T5+'Bloom Cleaner Data'!D5)</f>
        <v>0.4960133923076876</v>
      </c>
      <c r="GB5" s="10">
        <f>'Bloom Cleaner Data'!U5/('Bloom Cleaner Data'!U5+'Bloom Cleaner Data'!E5)</f>
        <v>0.49836499864582806</v>
      </c>
      <c r="GC5" s="10">
        <f>'Bloom Cleaner Data'!V5/('Bloom Cleaner Data'!V5+'Bloom Cleaner Data'!F5)</f>
        <v>0.53267777016965256</v>
      </c>
      <c r="GD5" s="10">
        <f>'Bloom Cleaner Data'!W5/('Bloom Cleaner Data'!W5+'Bloom Cleaner Data'!G5)</f>
        <v>0.51493902526666291</v>
      </c>
      <c r="GE5" s="10">
        <f>'Bloom Cleaner Data'!X5/('Bloom Cleaner Data'!X5+'Bloom Cleaner Data'!H5)</f>
        <v>0.52091935171631465</v>
      </c>
      <c r="GF5" s="10">
        <f>'Bloom Cleaner Data'!Y5/('Bloom Cleaner Data'!Y5+'Bloom Cleaner Data'!I5)</f>
        <v>0.48327652440469993</v>
      </c>
      <c r="GG5" s="10">
        <f>'Bloom Cleaner Data'!Z5/('Bloom Cleaner Data'!Z5+'Bloom Cleaner Data'!J5)</f>
        <v>0.49545285426998414</v>
      </c>
      <c r="GH5" s="10">
        <f>'Bloom Cleaner Data'!AA5/('Bloom Cleaner Data'!AA5+'Bloom Cleaner Data'!K5)</f>
        <v>0.5433151172137608</v>
      </c>
      <c r="GI5" s="10">
        <f>'Bloom Cleaner Data'!AB5/('Bloom Cleaner Data'!AB5+'Bloom Cleaner Data'!L5)</f>
        <v>0.52414464688995233</v>
      </c>
      <c r="GJ5" s="10">
        <f>'Bloom Cleaner Data'!AC5/('Bloom Cleaner Data'!AC5+'Bloom Cleaner Data'!M5)</f>
        <v>0.50661650017792548</v>
      </c>
      <c r="GK5" s="10">
        <f>'Bloom Cleaner Data'!AD5/('Bloom Cleaner Data'!AD5+'Bloom Cleaner Data'!N5)</f>
        <v>0.53388630020916916</v>
      </c>
      <c r="GL5" s="10">
        <f>'Bloom Cleaner Data'!AE5/('Bloom Cleaner Data'!AE5+'Bloom Cleaner Data'!O5)</f>
        <v>0.49672758030888514</v>
      </c>
      <c r="GM5" s="10">
        <f>'Bloom Cleaner Data'!AF5/('Bloom Cleaner Data'!AF5+'Bloom Cleaner Data'!P5)</f>
        <v>0.50953496365691131</v>
      </c>
      <c r="GN5" s="10">
        <f>'Bloom Cleaner Data'!AG5/('Bloom Cleaner Data'!AG5+'Bloom Cleaner Data'!Q5)</f>
        <v>0.51786833304518809</v>
      </c>
      <c r="GO5" s="10">
        <f>'Bloom Cleaner Data'!AH5/('Bloom Cleaner Data'!AH5+'Bloom Cleaner Data'!R5)</f>
        <v>0.51939744871548044</v>
      </c>
      <c r="GP5" s="10">
        <f>AVERAGE(GC5:GO5)</f>
        <v>0.51528895508035288</v>
      </c>
      <c r="GQ5" s="10">
        <f>(GO5-GC5)/GC5</f>
        <v>-2.4931247740904369E-2</v>
      </c>
      <c r="GR5" s="10"/>
      <c r="GS5" s="493">
        <f t="shared" ref="GS5:GS27" si="8">GA5/(1-GA5)</f>
        <v>0.98417970782768793</v>
      </c>
      <c r="GT5" s="494">
        <f t="shared" ref="GT5:GT27" si="9">GB5/(1-GB5)</f>
        <v>0.99348131071492929</v>
      </c>
      <c r="GU5" s="494">
        <f t="shared" ref="GU5:GU27" si="10">GC5/(1-GC5)</f>
        <v>1.1398511266263349</v>
      </c>
      <c r="GV5" s="494">
        <f t="shared" ref="GV5:GV27" si="11">GD5/(1-GD5)</f>
        <v>1.0615964839260699</v>
      </c>
      <c r="GW5" s="494">
        <f t="shared" ref="GW5:GW27" si="12">GE5/(1-GE5)</f>
        <v>1.0873312323979629</v>
      </c>
      <c r="GX5" s="494">
        <f t="shared" ref="GX5:GX27" si="13">GF5/(1-GF5)</f>
        <v>0.93527108256100222</v>
      </c>
      <c r="GY5" s="494">
        <f t="shared" ref="GY5:GY27" si="14">GG5/(1-GG5)</f>
        <v>0.98197533860413877</v>
      </c>
      <c r="GZ5" s="494">
        <f t="shared" ref="GZ5:GZ27" si="15">GH5/(1-GH5)</f>
        <v>1.1896936765215209</v>
      </c>
      <c r="HA5" s="494">
        <f t="shared" ref="HA5:HA27" si="16">GI5/(1-GI5)</f>
        <v>1.1014789335967334</v>
      </c>
      <c r="HB5" s="494">
        <f t="shared" ref="HB5:HB27" si="17">GJ5/(1-GJ5)</f>
        <v>1.0268209219818318</v>
      </c>
      <c r="HC5" s="494">
        <f t="shared" ref="HC5:HC27" si="18">GK5/(1-GK5)</f>
        <v>1.1453992887330953</v>
      </c>
      <c r="HD5" s="494">
        <f t="shared" ref="HD5:HD27" si="19">GL5/(1-GL5)</f>
        <v>0.98699543403104284</v>
      </c>
      <c r="HE5" s="494">
        <f t="shared" ref="HE5:HE27" si="20">GM5/(1-GM5)</f>
        <v>1.0388813185461867</v>
      </c>
      <c r="HF5" s="494">
        <f t="shared" ref="HF5:HF27" si="21">GN5/(1-GN5)</f>
        <v>1.0741222129550052</v>
      </c>
      <c r="HG5" s="495">
        <f t="shared" ref="HG5:HG27" si="22">GO5/(1-GO5)</f>
        <v>1.0807213722175895</v>
      </c>
      <c r="HH5" s="10">
        <f>AVERAGE(GU5:HG5)</f>
        <v>1.065395263284501</v>
      </c>
      <c r="HI5" s="10">
        <f>(HG5-GU5)/GU5</f>
        <v>-5.1874980010551262E-2</v>
      </c>
      <c r="HJ5" s="10"/>
      <c r="HK5" s="18">
        <f>('Bloom Cleaner Data'!T5+'OPERATING LEASES'!AU5)/('Bloom Cleaner Data'!T5+'OPERATING LEASES'!AU5+'Bloom Cleaner Data'!D5)</f>
        <v>0.58937818116081442</v>
      </c>
      <c r="HL5" s="18">
        <f>('Bloom Cleaner Data'!U5+'OPERATING LEASES'!AV5)/('Bloom Cleaner Data'!U5+'OPERATING LEASES'!AV5+'Bloom Cleaner Data'!E5)</f>
        <v>0.58715140559196333</v>
      </c>
      <c r="HM5" s="18">
        <f>('Bloom Cleaner Data'!V5+'OPERATING LEASES'!AW5)/('Bloom Cleaner Data'!V5+'OPERATING LEASES'!AW5+'Bloom Cleaner Data'!F5)</f>
        <v>0.60790876867087129</v>
      </c>
      <c r="HN5" s="18">
        <f>('Bloom Cleaner Data'!W5+'OPERATING LEASES'!AX5)/('Bloom Cleaner Data'!W5+'OPERATING LEASES'!AX5+'Bloom Cleaner Data'!G5)</f>
        <v>0.58780193816956527</v>
      </c>
      <c r="HO5" s="18">
        <f>('Bloom Cleaner Data'!X5+'OPERATING LEASES'!AY5)/('Bloom Cleaner Data'!X5+'OPERATING LEASES'!AY5+'Bloom Cleaner Data'!H5)</f>
        <v>0.58957517882241384</v>
      </c>
      <c r="HP5" s="18">
        <f>('Bloom Cleaner Data'!Y5+'OPERATING LEASES'!AZ5)/('Bloom Cleaner Data'!Y5+'OPERATING LEASES'!AZ5+'Bloom Cleaner Data'!I5)</f>
        <v>0.55448370256814439</v>
      </c>
      <c r="HQ5" s="18">
        <f>('Bloom Cleaner Data'!Z5+'OPERATING LEASES'!BA5)/('Bloom Cleaner Data'!Z5+'OPERATING LEASES'!BA5+'Bloom Cleaner Data'!J5)</f>
        <v>0.56386630994390285</v>
      </c>
      <c r="HR5" s="18">
        <f>('Bloom Cleaner Data'!AA5+'OPERATING LEASES'!BB5)/('Bloom Cleaner Data'!AA5+'OPERATING LEASES'!BB5+'Bloom Cleaner Data'!K5)</f>
        <v>0.61067944094457305</v>
      </c>
      <c r="HS5" s="18">
        <f>('Bloom Cleaner Data'!AB5+'OPERATING LEASES'!BC5)/('Bloom Cleaner Data'!AB5+'OPERATING LEASES'!BC5+'Bloom Cleaner Data'!L5)</f>
        <v>0.59638493339332066</v>
      </c>
      <c r="HT5" s="18">
        <f>('Bloom Cleaner Data'!AC5+'OPERATING LEASES'!BD5)/('Bloom Cleaner Data'!AC5+'OPERATING LEASES'!BD5+'Bloom Cleaner Data'!M5)</f>
        <v>0.58244392597587236</v>
      </c>
      <c r="HU5" s="18">
        <f>('Bloom Cleaner Data'!AD5+'OPERATING LEASES'!BE5)/('Bloom Cleaner Data'!AD5+'OPERATING LEASES'!BE5+'Bloom Cleaner Data'!N5)</f>
        <v>0.60505124187144299</v>
      </c>
      <c r="HV5" s="18">
        <f>('Bloom Cleaner Data'!AE5+'OPERATING LEASES'!BF5)/('Bloom Cleaner Data'!AE5+'OPERATING LEASES'!BF5+'Bloom Cleaner Data'!O5)</f>
        <v>0.57188320770012269</v>
      </c>
      <c r="HW5" s="18">
        <f>('Bloom Cleaner Data'!AF5+'OPERATING LEASES'!BG5)/('Bloom Cleaner Data'!AF5+'OPERATING LEASES'!BG5+'Bloom Cleaner Data'!P5)</f>
        <v>0.58809032915191828</v>
      </c>
      <c r="HX5" s="18">
        <f>('Bloom Cleaner Data'!AG5+'OPERATING LEASES'!BH5)/('Bloom Cleaner Data'!AG5+'OPERATING LEASES'!BH5+'Bloom Cleaner Data'!Q5)</f>
        <v>0.59623196470130613</v>
      </c>
      <c r="HY5" s="18">
        <f>('Bloom Cleaner Data'!AH5+'OPERATING LEASES'!BI5)/('Bloom Cleaner Data'!AH5+'OPERATING LEASES'!BI5+'Bloom Cleaner Data'!R5)</f>
        <v>0.59074959904524027</v>
      </c>
      <c r="HZ5" s="10">
        <f>AVERAGE(HM5:HY5)</f>
        <v>0.58808850315066874</v>
      </c>
      <c r="IA5" s="10">
        <f>(HY5-HM5)/HM5</f>
        <v>-2.8226553900756759E-2</v>
      </c>
      <c r="IB5" s="10">
        <f t="shared" ref="IB5:IB27" si="23">HZ5-GP5</f>
        <v>7.2799548070315856E-2</v>
      </c>
      <c r="IC5" s="10">
        <f t="shared" ref="IC5:IC27" si="24">IB5/GP5</f>
        <v>0.14127907721011346</v>
      </c>
      <c r="IE5" s="499">
        <f>HK5/(1-HK5)</f>
        <v>1.4353308911517835</v>
      </c>
      <c r="IF5" s="500">
        <f t="shared" ref="IF5:IS20" si="25">HL5/(1-HL5)</f>
        <v>1.4221954816967486</v>
      </c>
      <c r="IG5" s="500">
        <f t="shared" si="25"/>
        <v>1.550426839718283</v>
      </c>
      <c r="IH5" s="500">
        <f t="shared" si="25"/>
        <v>1.4260181999869967</v>
      </c>
      <c r="II5" s="500">
        <f t="shared" si="25"/>
        <v>1.4364998128787911</v>
      </c>
      <c r="IJ5" s="500">
        <f t="shared" si="25"/>
        <v>1.2445867991012294</v>
      </c>
      <c r="IK5" s="500">
        <f t="shared" si="25"/>
        <v>1.2928749206954782</v>
      </c>
      <c r="IL5" s="500">
        <f t="shared" si="25"/>
        <v>1.5685774273678457</v>
      </c>
      <c r="IM5" s="500">
        <f t="shared" si="25"/>
        <v>1.4776082032995426</v>
      </c>
      <c r="IN5" s="500">
        <f t="shared" si="25"/>
        <v>1.3948879257405247</v>
      </c>
      <c r="IO5" s="500">
        <f t="shared" si="25"/>
        <v>1.5319740331339313</v>
      </c>
      <c r="IP5" s="500">
        <f t="shared" si="25"/>
        <v>1.3358112038257617</v>
      </c>
      <c r="IQ5" s="500">
        <f t="shared" si="25"/>
        <v>1.4277167320230617</v>
      </c>
      <c r="IR5" s="500">
        <f t="shared" si="25"/>
        <v>1.4766695542410482</v>
      </c>
      <c r="IS5" s="501">
        <f t="shared" si="25"/>
        <v>1.4434918027375232</v>
      </c>
      <c r="IT5" s="10">
        <f>AVERAGE(IG5:IS5)</f>
        <v>1.4313187272884629</v>
      </c>
      <c r="IU5" s="10">
        <f>(IS5-IG5)/IG5</f>
        <v>-6.8971353076027891E-2</v>
      </c>
      <c r="IV5" s="10">
        <f>IT5-HH5</f>
        <v>0.36592346400396192</v>
      </c>
      <c r="IW5" s="10">
        <f>IV5/HH5</f>
        <v>0.34346263458677162</v>
      </c>
      <c r="IY5" s="15">
        <f>'Bloom Cleaner Data'!T5/'Bloom Cleaner Data'!BU5*'Bloom Cleaner Data'!DA5</f>
        <v>1.9713618310182239</v>
      </c>
      <c r="IZ5" s="15">
        <f>'Bloom Cleaner Data'!U5/'Bloom Cleaner Data'!BV5*'Bloom Cleaner Data'!DB5</f>
        <v>1.9694355339865979</v>
      </c>
      <c r="JA5" s="15">
        <f>'Bloom Cleaner Data'!V5/'Bloom Cleaner Data'!BW5*'Bloom Cleaner Data'!DC5</f>
        <v>2.2368358723489541</v>
      </c>
      <c r="JB5" s="15">
        <f>'Bloom Cleaner Data'!W5/'Bloom Cleaner Data'!BX5*'Bloom Cleaner Data'!DD5</f>
        <v>2.2207552364584768</v>
      </c>
      <c r="JC5" s="15">
        <f>'Bloom Cleaner Data'!X5/'Bloom Cleaner Data'!BY5*'Bloom Cleaner Data'!DE5</f>
        <v>2.5480723078657923</v>
      </c>
      <c r="JD5" s="15">
        <f>'Bloom Cleaner Data'!Y5/'Bloom Cleaner Data'!BZ5*'Bloom Cleaner Data'!DF5</f>
        <v>2.5228967516532093</v>
      </c>
      <c r="JE5" s="15">
        <f>'Bloom Cleaner Data'!Z5/'Bloom Cleaner Data'!CA5*'Bloom Cleaner Data'!DG5</f>
        <v>2.7327298703309237</v>
      </c>
      <c r="JF5" s="15">
        <f>'Bloom Cleaner Data'!AA5/'Bloom Cleaner Data'!CB5*'Bloom Cleaner Data'!DH5</f>
        <v>2.7243678071761082</v>
      </c>
      <c r="JG5" s="15">
        <f>'Bloom Cleaner Data'!AB5/'Bloom Cleaner Data'!CC5*'Bloom Cleaner Data'!DI5</f>
        <v>2.2203675654088459</v>
      </c>
      <c r="JH5" s="15">
        <f>'Bloom Cleaner Data'!AC5/'Bloom Cleaner Data'!CD5*'Bloom Cleaner Data'!DJ5</f>
        <v>2.0990712772651348</v>
      </c>
      <c r="JI5" s="15">
        <f>'Bloom Cleaner Data'!AD5/'Bloom Cleaner Data'!CE5*'Bloom Cleaner Data'!DK5</f>
        <v>2.1810865914216135</v>
      </c>
      <c r="JJ5" s="15">
        <f>'Bloom Cleaner Data'!AE5/'Bloom Cleaner Data'!CF5*'Bloom Cleaner Data'!DL5</f>
        <v>2.0819655425698573</v>
      </c>
      <c r="JK5" s="15">
        <f>'Bloom Cleaner Data'!AF5/'Bloom Cleaner Data'!CG5*'Bloom Cleaner Data'!DM5</f>
        <v>2.1436391209559642</v>
      </c>
      <c r="JL5" s="15">
        <f>'Bloom Cleaner Data'!AG5/'Bloom Cleaner Data'!CH5*'Bloom Cleaner Data'!DN5</f>
        <v>2.1776520536740462</v>
      </c>
      <c r="JM5" s="15">
        <f>'Bloom Cleaner Data'!AH5/'Bloom Cleaner Data'!CI5*'Bloom Cleaner Data'!DO5</f>
        <v>2.4576671482486603</v>
      </c>
      <c r="JN5" s="15">
        <f>AVERAGE(JK5:JM5)</f>
        <v>2.2596527742928902</v>
      </c>
      <c r="JO5" s="15">
        <f>AVERAGE(JJ5:JM5)</f>
        <v>2.2152309663621321</v>
      </c>
      <c r="JP5" s="15">
        <f>AVERAGE(JA5:JM5)</f>
        <v>2.3343928573367374</v>
      </c>
      <c r="JQ5" s="18">
        <f>(JM5-JA5)/JA5</f>
        <v>9.8724845496959091E-2</v>
      </c>
      <c r="JR5" s="18"/>
      <c r="JS5" s="2024" t="s">
        <v>52</v>
      </c>
      <c r="JT5" s="526">
        <f>('Bloom Cleaner Data'!T5+'OPERATING LEASES'!AU5)/DD5</f>
        <v>2.4859357227540926</v>
      </c>
      <c r="JU5" s="526">
        <f>('Bloom Cleaner Data'!U5+'OPERATING LEASES'!AV5)/DE5</f>
        <v>2.4651945926711236</v>
      </c>
      <c r="JV5" s="526">
        <f>('Bloom Cleaner Data'!V5+'OPERATING LEASES'!AW5)/DF5</f>
        <v>2.6871582462411872</v>
      </c>
      <c r="JW5" s="526">
        <f>('Bloom Cleaner Data'!W5+'OPERATING LEASES'!AX5)/DG5</f>
        <v>2.661663930303503</v>
      </c>
      <c r="JX5" s="526">
        <f>('Bloom Cleaner Data'!X5+'OPERATING LEASES'!AY5)/DH5</f>
        <v>2.9949211337895965</v>
      </c>
      <c r="JY5" s="526">
        <f>('Bloom Cleaner Data'!Y5+'OPERATING LEASES'!AZ5)/DI5</f>
        <v>2.9803925249489294</v>
      </c>
      <c r="JZ5" s="526">
        <f>('Bloom Cleaner Data'!Z5+'OPERATING LEASES'!BA5)/DJ5</f>
        <v>3.1808402889914364</v>
      </c>
      <c r="KA5" s="526">
        <f>('Bloom Cleaner Data'!AA5+'OPERATING LEASES'!BB5)/DK5</f>
        <v>3.1745643708799878</v>
      </c>
      <c r="KB5" s="526">
        <f>('Bloom Cleaner Data'!AB5+'OPERATING LEASES'!BC5)/DL5</f>
        <v>2.671580700865555</v>
      </c>
      <c r="KC5" s="526">
        <f>('Bloom Cleaner Data'!AC5+'OPERATING LEASES'!BD5)/DM5</f>
        <v>2.5596099289108447</v>
      </c>
      <c r="KD5" s="526">
        <f>('Bloom Cleaner Data'!AD5+'OPERATING LEASES'!BE5)/DN5</f>
        <v>2.6244198961533871</v>
      </c>
      <c r="KE5" s="526">
        <f>('Bloom Cleaner Data'!AE5+'OPERATING LEASES'!BF5)/DO5</f>
        <v>2.5350641799609446</v>
      </c>
      <c r="KF5" s="526">
        <f>('Bloom Cleaner Data'!AF5+'OPERATING LEASES'!BG5)/DP5</f>
        <v>2.6265823046438714</v>
      </c>
      <c r="KG5" s="526">
        <f>('Bloom Cleaner Data'!AG5+'OPERATING LEASES'!BH5)/DQ5</f>
        <v>2.6642374698968943</v>
      </c>
      <c r="KH5" s="526">
        <f>('Bloom Cleaner Data'!AH5+'OPERATING LEASES'!BI5)/DR5</f>
        <v>2.9178287645268703</v>
      </c>
      <c r="KI5" s="15">
        <f>AVERAGE(KF5:KH5)</f>
        <v>2.7362161796892117</v>
      </c>
      <c r="KJ5" s="15">
        <f>AVERAGE(KE5:KH5)</f>
        <v>2.6859281797571453</v>
      </c>
      <c r="KK5" s="15">
        <f>AVERAGE(JV5:KH5)</f>
        <v>2.7906818261625395</v>
      </c>
      <c r="KL5" s="18">
        <f>(KH5-JV5)/JV5</f>
        <v>8.5841806528642844E-2</v>
      </c>
      <c r="KM5" s="15">
        <f>KK5-JP5</f>
        <v>0.45628896882580205</v>
      </c>
      <c r="KN5" s="18"/>
      <c r="KO5" s="15">
        <f t="shared" ref="KO5:LC5" si="26">$KO$1*JT5+(1-$KO$1)*IY5</f>
        <v>2.4859357227540926</v>
      </c>
      <c r="KP5" s="15">
        <f t="shared" si="26"/>
        <v>2.4651945926711236</v>
      </c>
      <c r="KQ5" s="15">
        <f t="shared" si="26"/>
        <v>2.6871582462411872</v>
      </c>
      <c r="KR5" s="15">
        <f t="shared" si="26"/>
        <v>2.661663930303503</v>
      </c>
      <c r="KS5" s="15">
        <f t="shared" si="26"/>
        <v>2.9949211337895965</v>
      </c>
      <c r="KT5" s="15">
        <f t="shared" si="26"/>
        <v>2.9803925249489294</v>
      </c>
      <c r="KU5" s="15">
        <f t="shared" si="26"/>
        <v>3.1808402889914364</v>
      </c>
      <c r="KV5" s="15">
        <f t="shared" si="26"/>
        <v>3.1745643708799878</v>
      </c>
      <c r="KW5" s="15">
        <f t="shared" si="26"/>
        <v>2.671580700865555</v>
      </c>
      <c r="KX5" s="15">
        <f t="shared" si="26"/>
        <v>2.5596099289108447</v>
      </c>
      <c r="KY5" s="15">
        <f t="shared" si="26"/>
        <v>2.6244198961533871</v>
      </c>
      <c r="KZ5" s="15">
        <f t="shared" si="26"/>
        <v>2.5350641799609446</v>
      </c>
      <c r="LA5" s="15">
        <f t="shared" si="26"/>
        <v>2.6265823046438714</v>
      </c>
      <c r="LB5" s="15">
        <f t="shared" si="26"/>
        <v>2.6642374698968943</v>
      </c>
      <c r="LC5" s="15">
        <f t="shared" si="26"/>
        <v>2.9178287645268703</v>
      </c>
      <c r="LD5" s="15">
        <f>AVERAGE(LA5:LC5)</f>
        <v>2.7362161796892117</v>
      </c>
      <c r="LE5" s="15">
        <f>AVERAGE(KZ5:LC5)</f>
        <v>2.6859281797571453</v>
      </c>
      <c r="LF5" s="526">
        <f>AVERAGE(KQ5:LC5)</f>
        <v>2.7906818261625395</v>
      </c>
      <c r="LG5" s="10">
        <f>(LC5-KQ5)/KQ5</f>
        <v>8.5841806528642844E-2</v>
      </c>
      <c r="LH5" s="18"/>
      <c r="LI5" s="15">
        <f>('Bloom Cleaner Data'!T5+'Bloom Cleaner Data'!EY5)/'Bloom Cleaner Data'!GV5</f>
        <v>2.2192103242179204</v>
      </c>
      <c r="LJ5" s="15">
        <f>('Bloom Cleaner Data'!U5+'Bloom Cleaner Data'!EZ5)/'Bloom Cleaner Data'!GW5</f>
        <v>2.220100814424554</v>
      </c>
      <c r="LK5" s="15">
        <f>('Bloom Cleaner Data'!V5+'Bloom Cleaner Data'!FA5)/'Bloom Cleaner Data'!GX5</f>
        <v>2.3219547741895346</v>
      </c>
      <c r="LL5" s="15">
        <f>('Bloom Cleaner Data'!W5+'Bloom Cleaner Data'!FB5)/'Bloom Cleaner Data'!GY5</f>
        <v>2.3196483175856049</v>
      </c>
      <c r="LM5" s="15">
        <f>('Bloom Cleaner Data'!X5+'Bloom Cleaner Data'!FC5)/'Bloom Cleaner Data'!GZ5</f>
        <v>2.7057892553702487</v>
      </c>
      <c r="LN5" s="15">
        <f>('Bloom Cleaner Data'!Y5+'Bloom Cleaner Data'!FD5)/'Bloom Cleaner Data'!HA5</f>
        <v>2.6191515026325343</v>
      </c>
      <c r="LO5" s="15">
        <f>('Bloom Cleaner Data'!Z5+'Bloom Cleaner Data'!FE5)/'Bloom Cleaner Data'!HB5</f>
        <v>2.8965909507948031</v>
      </c>
      <c r="LP5" s="15">
        <f>('Bloom Cleaner Data'!AA5+'Bloom Cleaner Data'!FF5)/'Bloom Cleaner Data'!HC5</f>
        <v>2.8522723990623104</v>
      </c>
      <c r="LQ5" s="15">
        <f>('Bloom Cleaner Data'!AB5+'Bloom Cleaner Data'!FG5)/'Bloom Cleaner Data'!HD5</f>
        <v>2.4176411933052755</v>
      </c>
      <c r="LR5" s="15">
        <f>('Bloom Cleaner Data'!AC5+'Bloom Cleaner Data'!FH5)/'Bloom Cleaner Data'!HE5</f>
        <v>2.2710013744232644</v>
      </c>
      <c r="LS5" s="15">
        <f>('Bloom Cleaner Data'!AD5+'Bloom Cleaner Data'!FI5)/'Bloom Cleaner Data'!HF5</f>
        <v>2.331657719491766</v>
      </c>
      <c r="LT5" s="15">
        <f>('Bloom Cleaner Data'!AE5+'Bloom Cleaner Data'!FJ5)/'Bloom Cleaner Data'!HG5</f>
        <v>2.2109314439870364</v>
      </c>
      <c r="LU5" s="15">
        <f>('Bloom Cleaner Data'!AF5+'Bloom Cleaner Data'!FK5)/'Bloom Cleaner Data'!HH5</f>
        <v>2.3674072992635953</v>
      </c>
      <c r="LV5" s="15">
        <f>('Bloom Cleaner Data'!AG5+'Bloom Cleaner Data'!FL5)/'Bloom Cleaner Data'!HI5</f>
        <v>2.4343253057556744</v>
      </c>
      <c r="LW5" s="15">
        <f>('Bloom Cleaner Data'!AH5+'Bloom Cleaner Data'!FM5)/'Bloom Cleaner Data'!HJ5</f>
        <v>2.7573032020638339</v>
      </c>
      <c r="LX5" s="15">
        <f>LW5-JM5</f>
        <v>0.29963605381517366</v>
      </c>
      <c r="LY5" s="15">
        <f>AVERAGE(LU5:LW5)</f>
        <v>2.5196786023610347</v>
      </c>
      <c r="LZ5" s="15">
        <f t="shared" ref="LZ5:LZ27" si="27">LY5-JN5</f>
        <v>0.26002582806814445</v>
      </c>
      <c r="MA5" s="15">
        <f>AVERAGE(LT5:LW5)</f>
        <v>2.442491812767535</v>
      </c>
      <c r="MB5" s="15">
        <f>AVERAGE(LK5:LW5)</f>
        <v>2.5004365183019601</v>
      </c>
      <c r="MC5" s="18">
        <f>(LW5-LK5)/LK5</f>
        <v>0.18749220816596454</v>
      </c>
      <c r="MD5" s="15">
        <f t="shared" ref="MD5:MD27" si="28">MB5-JP5</f>
        <v>0.16604366096522272</v>
      </c>
      <c r="ME5" s="18"/>
      <c r="MF5" s="2024" t="s">
        <v>52</v>
      </c>
      <c r="MG5" s="15">
        <f>JT5+'Bloom Cleaner Data'!EY5/CALCULATIONS!DD5</f>
        <v>2.7002406760015294</v>
      </c>
      <c r="MH5" s="15">
        <f>JU5+'Bloom Cleaner Data'!EZ5/CALCULATIONS!DE5</f>
        <v>2.6843761599832869</v>
      </c>
      <c r="MI5" s="15">
        <f>JV5+'Bloom Cleaner Data'!FA5/CALCULATIONS!DF5</f>
        <v>2.7623347268980516</v>
      </c>
      <c r="MJ5" s="15">
        <f>JW5+'Bloom Cleaner Data'!FB5/CALCULATIONS!DG5</f>
        <v>2.749901357295411</v>
      </c>
      <c r="MK5" s="15">
        <f>JX5+'Bloom Cleaner Data'!FC5/CALCULATIONS!DH5</f>
        <v>3.1352374888111836</v>
      </c>
      <c r="ML5" s="15">
        <f>JY5+'Bloom Cleaner Data'!FD5/CALCULATIONS!DI5</f>
        <v>3.0658418190036452</v>
      </c>
      <c r="MM5" s="15">
        <f>JZ5+'Bloom Cleaner Data'!FE5/CALCULATIONS!DJ5</f>
        <v>3.325705813712287</v>
      </c>
      <c r="MN5" s="15">
        <f>KA5+'Bloom Cleaner Data'!FF5/CALCULATIONS!DK5</f>
        <v>3.2876047815222966</v>
      </c>
      <c r="MO5" s="15">
        <f>KB5+'Bloom Cleaner Data'!FG5/CALCULATIONS!DL5</f>
        <v>2.8485220589054667</v>
      </c>
      <c r="MP5" s="15">
        <f>KC5+'Bloom Cleaner Data'!FH5/CALCULATIONS!DM5</f>
        <v>2.7139411892422047</v>
      </c>
      <c r="MQ5" s="15">
        <f>KD5+'Bloom Cleaner Data'!FI5/CALCULATIONS!DN5</f>
        <v>2.7598788205538445</v>
      </c>
      <c r="MR5" s="15">
        <f>KE5+'Bloom Cleaner Data'!FJ5/CALCULATIONS!DO5</f>
        <v>2.6510915320741315</v>
      </c>
      <c r="MS5" s="15">
        <f>KF5+'Bloom Cleaner Data'!FK5/CALCULATIONS!DP5</f>
        <v>2.8260908736718022</v>
      </c>
      <c r="MT5" s="15">
        <f>KG5+'Bloom Cleaner Data'!FL5/CALCULATIONS!DQ5</f>
        <v>2.8926581567680341</v>
      </c>
      <c r="MU5" s="15">
        <f>KH5+'Bloom Cleaner Data'!FM5/CALCULATIONS!DR5</f>
        <v>3.1841649798132132</v>
      </c>
      <c r="MV5" s="15">
        <f t="shared" ref="MV5:MV27" si="29">MU5-KH5</f>
        <v>0.26633621528634288</v>
      </c>
      <c r="MW5" s="15">
        <f>AVERAGE(MS5:MU5)</f>
        <v>2.967638003417683</v>
      </c>
      <c r="MX5" s="15">
        <f t="shared" ref="MX5:MX27" si="30">MW5-KI5</f>
        <v>0.23142182372847131</v>
      </c>
      <c r="MY5" s="15">
        <f>AVERAGE(MR5:MU5)</f>
        <v>2.8885013855817951</v>
      </c>
      <c r="MZ5" s="15">
        <f>AVERAGE(MI5:MU5)</f>
        <v>2.9386902767901208</v>
      </c>
      <c r="NA5" s="18">
        <f>(MU5-MI5)/MI5</f>
        <v>0.15270787019676416</v>
      </c>
      <c r="NB5" s="15">
        <f t="shared" ref="NB5:NB27" si="31">MZ5-KK5</f>
        <v>0.14800845062758139</v>
      </c>
      <c r="NC5" s="15"/>
      <c r="ND5" s="13">
        <f>'Bloom Cleaner Data'!GF5+('Bloom Cleaner Data'!T5+'Bloom Cleaner Data'!EY5)+'Bloom Cleaner Data'!CK5</f>
        <v>97241</v>
      </c>
      <c r="NE5" s="13">
        <f>'Bloom Cleaner Data'!GG5+('Bloom Cleaner Data'!U5+'Bloom Cleaner Data'!EZ5)+'Bloom Cleaner Data'!CL5</f>
        <v>99201</v>
      </c>
      <c r="NF5" s="13">
        <f>'Bloom Cleaner Data'!GH5+('Bloom Cleaner Data'!V5+'Bloom Cleaner Data'!FA5)+'Bloom Cleaner Data'!CM5</f>
        <v>99995</v>
      </c>
      <c r="NG5" s="13">
        <f>'Bloom Cleaner Data'!GI5+('Bloom Cleaner Data'!W5+'Bloom Cleaner Data'!FB5)+'Bloom Cleaner Data'!CN5</f>
        <v>97210</v>
      </c>
      <c r="NH5" s="13">
        <f>'Bloom Cleaner Data'!GJ5+('Bloom Cleaner Data'!X5+'Bloom Cleaner Data'!FC5)+'Bloom Cleaner Data'!CO5</f>
        <v>96214</v>
      </c>
      <c r="NI5" s="13">
        <f>'Bloom Cleaner Data'!GK5+('Bloom Cleaner Data'!Y5+'Bloom Cleaner Data'!FD5)+'Bloom Cleaner Data'!CP5</f>
        <v>93314</v>
      </c>
      <c r="NJ5" s="13">
        <f>'Bloom Cleaner Data'!GL5+('Bloom Cleaner Data'!Z5+'Bloom Cleaner Data'!FE5)+'Bloom Cleaner Data'!CQ5</f>
        <v>92508</v>
      </c>
      <c r="NK5" s="13">
        <f>'Bloom Cleaner Data'!GM5+('Bloom Cleaner Data'!AA5+'Bloom Cleaner Data'!FF5)+'Bloom Cleaner Data'!CR5</f>
        <v>93036</v>
      </c>
      <c r="NL5" s="13">
        <f>'Bloom Cleaner Data'!GN5+('Bloom Cleaner Data'!AB5+'Bloom Cleaner Data'!FG5)+'Bloom Cleaner Data'!CS5</f>
        <v>90533</v>
      </c>
      <c r="NM5" s="13">
        <f>'Bloom Cleaner Data'!GO5+('Bloom Cleaner Data'!AC5+'Bloom Cleaner Data'!FH5)+'Bloom Cleaner Data'!CT5</f>
        <v>88037</v>
      </c>
      <c r="NN5" s="13">
        <f>'Bloom Cleaner Data'!GP5+('Bloom Cleaner Data'!AD5+'Bloom Cleaner Data'!FI5)+'Bloom Cleaner Data'!CU5</f>
        <v>88021</v>
      </c>
      <c r="NO5" s="13">
        <f>'Bloom Cleaner Data'!GQ5+('Bloom Cleaner Data'!AE5+'Bloom Cleaner Data'!FJ5)+'Bloom Cleaner Data'!CV5</f>
        <v>78226</v>
      </c>
      <c r="NP5" s="13">
        <f>'Bloom Cleaner Data'!GR5+('Bloom Cleaner Data'!AF5+'Bloom Cleaner Data'!FK5)+'Bloom Cleaner Data'!CW5</f>
        <v>77760</v>
      </c>
      <c r="NQ5" s="13">
        <f>'Bloom Cleaner Data'!GS5+('Bloom Cleaner Data'!AG5+'Bloom Cleaner Data'!FL5)+'Bloom Cleaner Data'!CX5</f>
        <v>78664</v>
      </c>
      <c r="NR5" s="13">
        <f>'Bloom Cleaner Data'!GT5+('Bloom Cleaner Data'!AH5+'Bloom Cleaner Data'!FM5)+'Bloom Cleaner Data'!CY5</f>
        <v>86530</v>
      </c>
      <c r="NS5" s="168"/>
      <c r="NT5" s="2024" t="s">
        <v>52</v>
      </c>
      <c r="NU5" s="998">
        <f>('Bloom Cleaner Data'!T5+'Bloom Cleaner Data'!EY5+'OPERATING LEASES'!BL5)/CALCULATIONS!ND5</f>
        <v>0.5473808079190583</v>
      </c>
      <c r="NV5" s="998">
        <f>('Bloom Cleaner Data'!U5+'Bloom Cleaner Data'!EZ5+'OPERATING LEASES'!BM5)/CALCULATIONS!NE5</f>
        <v>0.52785870714148908</v>
      </c>
      <c r="NW5" s="998">
        <f>('Bloom Cleaner Data'!V5+'Bloom Cleaner Data'!FA5+'OPERATING LEASES'!BN5)/CALCULATIONS!NF5</f>
        <v>0.53026017372297185</v>
      </c>
      <c r="NX5" s="998">
        <f>('Bloom Cleaner Data'!W5+'Bloom Cleaner Data'!FB5+'OPERATING LEASES'!BO5)/CALCULATIONS!NG5</f>
        <v>0.52649542779255509</v>
      </c>
      <c r="NY5" s="998">
        <f>('Bloom Cleaner Data'!X5+'Bloom Cleaner Data'!FC5+'OPERATING LEASES'!BP5)/CALCULATIONS!NH5</f>
        <v>0.52364390837092312</v>
      </c>
      <c r="NZ5" s="998">
        <f>('Bloom Cleaner Data'!Y5+'Bloom Cleaner Data'!FD5+'OPERATING LEASES'!BQ5)/CALCULATIONS!NI5</f>
        <v>0.51232230694215231</v>
      </c>
      <c r="OA5" s="998">
        <f>('Bloom Cleaner Data'!Z5+'Bloom Cleaner Data'!FE5+'OPERATING LEASES'!BR5)/CALCULATIONS!NJ5</f>
        <v>0.54808030116314266</v>
      </c>
      <c r="OB5" s="998">
        <f>('Bloom Cleaner Data'!AA5+'Bloom Cleaner Data'!FF5+'OPERATING LEASES'!BS5)/CALCULATIONS!NK5</f>
        <v>0.53408122930908464</v>
      </c>
      <c r="OC5" s="998">
        <f>('Bloom Cleaner Data'!AB5+'Bloom Cleaner Data'!FG5+'OPERATING LEASES'!BT5)/CALCULATIONS!NL5</f>
        <v>0.53161554350347384</v>
      </c>
      <c r="OD5" s="998">
        <f>('Bloom Cleaner Data'!AC5+'Bloom Cleaner Data'!FH5+'OPERATING LEASES'!BU5)/CALCULATIONS!NM5</f>
        <v>0.51904028987811945</v>
      </c>
      <c r="OE5" s="998">
        <f>('Bloom Cleaner Data'!AD5+'Bloom Cleaner Data'!FI5+'OPERATING LEASES'!BV5)/CALCULATIONS!NN5</f>
        <v>0.54382192885788616</v>
      </c>
      <c r="OF5" s="998">
        <f>('Bloom Cleaner Data'!AE5+'Bloom Cleaner Data'!FJ5+'OPERATING LEASES'!BW5)/CALCULATIONS!NO5</f>
        <v>0.58219453890010997</v>
      </c>
      <c r="OG5" s="998">
        <f>('Bloom Cleaner Data'!AF5+'Bloom Cleaner Data'!FK5+'OPERATING LEASES'!BX5)/CALCULATIONS!NP5</f>
        <v>0.57589699074074074</v>
      </c>
      <c r="OH5" s="998">
        <f>('Bloom Cleaner Data'!AG5+'Bloom Cleaner Data'!FL5+'OPERATING LEASES'!BY5)/CALCULATIONS!NQ5</f>
        <v>0.57517733651988201</v>
      </c>
      <c r="OI5" s="998">
        <f>('Bloom Cleaner Data'!AH5+'Bloom Cleaner Data'!FM5+'OPERATING LEASES'!BZ5)/CALCULATIONS!NR5</f>
        <v>0.58285854616895871</v>
      </c>
      <c r="OJ5" s="18">
        <f>AVERAGE(OG5:OI5)</f>
        <v>0.57797762447652712</v>
      </c>
      <c r="OK5" s="18">
        <f>AVERAGE(OF5:OI5)</f>
        <v>0.57903185308242289</v>
      </c>
      <c r="OL5" s="18">
        <f>AVERAGE(NW5:OI5)</f>
        <v>0.54503757860538471</v>
      </c>
      <c r="OM5" s="10">
        <f>(OI5-NW5)/NW5</f>
        <v>9.9193518677241369E-2</v>
      </c>
      <c r="ON5" s="10"/>
      <c r="OO5" s="2710"/>
      <c r="OP5" s="526">
        <f>'Bloom Cleaner Data'!D5/'Bloom Cleaner Data'!GF5</f>
        <v>1.070128592889334</v>
      </c>
      <c r="OQ5" s="526">
        <f>'Bloom Cleaner Data'!E5/'Bloom Cleaner Data'!GG5</f>
        <v>0.9917854965107612</v>
      </c>
      <c r="OR5" s="526">
        <f>'Bloom Cleaner Data'!F5/'Bloom Cleaner Data'!GH5</f>
        <v>0.94665063522897264</v>
      </c>
      <c r="OS5" s="526">
        <f>'Bloom Cleaner Data'!G5/'Bloom Cleaner Data'!GI5</f>
        <v>1.0118002767527676</v>
      </c>
      <c r="OT5" s="526">
        <f>'Bloom Cleaner Data'!H5/'Bloom Cleaner Data'!GJ5</f>
        <v>0.96965550106907139</v>
      </c>
      <c r="OU5" s="526">
        <f>'Bloom Cleaner Data'!I5/'Bloom Cleaner Data'!GK5</f>
        <v>1.1011175450112527</v>
      </c>
      <c r="OV5" s="526">
        <f>'Bloom Cleaner Data'!J5/'Bloom Cleaner Data'!GL5</f>
        <v>1.1864049134419552</v>
      </c>
      <c r="OW5" s="526">
        <f>'Bloom Cleaner Data'!K5/'Bloom Cleaner Data'!GM5</f>
        <v>0.93720881297616121</v>
      </c>
      <c r="OX5" s="526">
        <f>'Bloom Cleaner Data'!L5/'Bloom Cleaner Data'!GN5</f>
        <v>0.95912708244660871</v>
      </c>
      <c r="OY5" s="526">
        <f>'Bloom Cleaner Data'!M5/'Bloom Cleaner Data'!GO5</f>
        <v>0.98361404389974383</v>
      </c>
      <c r="OZ5" s="526">
        <f>'Bloom Cleaner Data'!N5/'Bloom Cleaner Data'!GP5</f>
        <v>0.98504287901990817</v>
      </c>
      <c r="PA5" s="526">
        <f>'Bloom Cleaner Data'!O5/'Bloom Cleaner Data'!GQ5</f>
        <v>1.3670290822565185</v>
      </c>
      <c r="PB5" s="526">
        <f>'Bloom Cleaner Data'!P5/'Bloom Cleaner Data'!GR5</f>
        <v>1.2154846806142161</v>
      </c>
      <c r="PC5" s="526">
        <f>'Bloom Cleaner Data'!Q5/'Bloom Cleaner Data'!GS5</f>
        <v>1.1562886209009124</v>
      </c>
      <c r="PD5" s="526">
        <f>'Bloom Cleaner Data'!R5/'Bloom Cleaner Data'!GT5</f>
        <v>1.2733420800000002</v>
      </c>
      <c r="PE5" s="526">
        <f>AVERAGE(OR5:PD5)</f>
        <v>1.0840589348936991</v>
      </c>
      <c r="PF5" s="10">
        <f>(PD5-OR5)/OR5</f>
        <v>0.34510244076687119</v>
      </c>
      <c r="PG5" s="526">
        <f>AVERAGE(OT5,OX5,PB5)</f>
        <v>1.0480890880432987</v>
      </c>
      <c r="PH5" s="18"/>
      <c r="PI5" s="2710"/>
      <c r="PJ5" s="526">
        <f>CALCULATIONS!DD5/'Bloom Cleaner Data'!GF5</f>
        <v>0.61787141671433754</v>
      </c>
      <c r="PK5" s="526">
        <f>CALCULATIONS!DE5/'Bloom Cleaner Data'!GG5</f>
        <v>0.57217099864787224</v>
      </c>
      <c r="PL5" s="526">
        <f>CALCULATIONS!DF5/'Bloom Cleaner Data'!GH5</f>
        <v>0.54619505745462016</v>
      </c>
      <c r="PM5" s="526">
        <f>CALCULATIONS!DG5/'Bloom Cleaner Data'!GI5</f>
        <v>0.54208406740395743</v>
      </c>
      <c r="PN5" s="526">
        <f>CALCULATIONS!DH5/'Bloom Cleaner Data'!GJ5</f>
        <v>0.46509069308282763</v>
      </c>
      <c r="PO5" s="526">
        <f>CALCULATIONS!DI5/'Bloom Cleaner Data'!GK5</f>
        <v>0.4598174063677205</v>
      </c>
      <c r="PP5" s="526">
        <f>CALCULATIONS!DJ5/'Bloom Cleaner Data'!GL5</f>
        <v>0.48222262641968294</v>
      </c>
      <c r="PQ5" s="526">
        <f>CALCULATIONS!DK5/'Bloom Cleaner Data'!GM5</f>
        <v>0.46308230579590132</v>
      </c>
      <c r="PR5" s="526">
        <f>CALCULATIONS!DL5/'Bloom Cleaner Data'!GN5</f>
        <v>0.53047772226034884</v>
      </c>
      <c r="PS5" s="526">
        <f>CALCULATIONS!DM5/'Bloom Cleaner Data'!GO5</f>
        <v>0.53603142335378584</v>
      </c>
      <c r="PT5" s="526">
        <f>CALCULATIONS!DN5/'Bloom Cleaner Data'!GP5</f>
        <v>0.57500711467468202</v>
      </c>
      <c r="PU5" s="526">
        <f>CALCULATIONS!DO5/'Bloom Cleaner Data'!GQ5</f>
        <v>0.72033393807885349</v>
      </c>
      <c r="PV5" s="526">
        <f>CALCULATIONS!DP5/'Bloom Cleaner Data'!GR5</f>
        <v>0.66069424626917073</v>
      </c>
      <c r="PW5" s="526">
        <f>CALCULATIONS!DQ5/'Bloom Cleaner Data'!GS5</f>
        <v>0.64087988465451062</v>
      </c>
      <c r="PX5" s="526">
        <f>CALCULATIONS!DR5/'Bloom Cleaner Data'!GT5</f>
        <v>0.6299406178000273</v>
      </c>
      <c r="PY5" s="526">
        <f>AVERAGE(PL5:PX5)</f>
        <v>0.55783516181662229</v>
      </c>
      <c r="PZ5" s="526">
        <f>AVERAGE(PP5:PX5)</f>
        <v>0.58207443103410705</v>
      </c>
      <c r="QA5" s="18"/>
      <c r="QC5" s="15">
        <f>'Bloom Cleaner Data'!HZ5</f>
        <v>5.2995000000000001</v>
      </c>
      <c r="QD5" s="15">
        <f>AVERAGE('Bloom Cleaner Data'!HN5:HZ5)</f>
        <v>5.9936769230769231</v>
      </c>
      <c r="QE5" s="504">
        <f>('Bloom Cleaner Data'!HZ5-'Bloom Cleaner Data'!HN5)/'Bloom Cleaner Data'!HN5</f>
        <v>-0.1696567068298262</v>
      </c>
      <c r="QF5" s="15">
        <f>'Bloom Cleaner Data'!HZ5-'Bloom Cleaner Data'!HL5</f>
        <v>0.67999999999999972</v>
      </c>
    </row>
    <row r="6" spans="1:450">
      <c r="A6" s="11" t="s">
        <v>389</v>
      </c>
      <c r="B6" s="83" t="s">
        <v>278</v>
      </c>
      <c r="C6" s="1207" t="s">
        <v>1105</v>
      </c>
      <c r="E6" s="13">
        <f>'Bloom Cleaner Data'!D6</f>
        <v>4403.5114999999996</v>
      </c>
      <c r="G6" s="13">
        <f>'Bloom Cleaner Data'!F6</f>
        <v>4042.8218999999999</v>
      </c>
      <c r="H6" s="13">
        <f>'Bloom Cleaner Data'!H6</f>
        <v>4655.7730000000001</v>
      </c>
      <c r="I6" s="13">
        <f>'Bloom Cleaner Data'!J6</f>
        <v>3894.5628999999999</v>
      </c>
      <c r="J6" s="13">
        <f>'Bloom Cleaner Data'!L6</f>
        <v>4088.4059000000002</v>
      </c>
      <c r="K6" s="13">
        <f>'Bloom Cleaner Data'!N6</f>
        <v>3433.8537999999999</v>
      </c>
      <c r="L6" s="13">
        <f>'Bloom Cleaner Data'!P6</f>
        <v>2540.3172</v>
      </c>
      <c r="M6" s="13">
        <f>'Bloom Cleaner Data'!R6</f>
        <v>2152.6311000000001</v>
      </c>
      <c r="N6" s="13">
        <f t="shared" si="0"/>
        <v>3544.0522571428578</v>
      </c>
      <c r="O6" s="13">
        <f t="shared" ref="O6:O27" si="32">AVERAGE(K6:M6)</f>
        <v>2708.9340333333334</v>
      </c>
      <c r="P6" s="10">
        <f t="shared" si="1"/>
        <v>-0.4675424361384804</v>
      </c>
      <c r="Q6" s="146">
        <f>P6</f>
        <v>-0.4675424361384804</v>
      </c>
      <c r="R6" s="10">
        <f t="shared" ref="R6:R25" si="33">P6-$P$29</f>
        <v>-0.36576685723284147</v>
      </c>
      <c r="S6" s="1363" t="s">
        <v>278</v>
      </c>
      <c r="T6" s="1322">
        <f>'Bloom Cleaner Data'!D6/'Bloom Cleaner Data'!$F6</f>
        <v>1.089217286569067</v>
      </c>
      <c r="U6" s="1322">
        <f>'Bloom Cleaner Data'!E6/'Bloom Cleaner Data'!$F6</f>
        <v>1.1330049191630231</v>
      </c>
      <c r="V6" s="1322">
        <f>'Bloom Cleaner Data'!F6/'Bloom Cleaner Data'!$F6</f>
        <v>1</v>
      </c>
      <c r="W6" s="1322">
        <f>'Bloom Cleaner Data'!G6/'Bloom Cleaner Data'!$F6</f>
        <v>1.2085385705464791</v>
      </c>
      <c r="X6" s="1322">
        <f>'Bloom Cleaner Data'!H6/'Bloom Cleaner Data'!$F6</f>
        <v>1.1516146679624943</v>
      </c>
      <c r="Y6" s="1322">
        <f>'Bloom Cleaner Data'!I6/'Bloom Cleaner Data'!$F6</f>
        <v>1.1297208516655162</v>
      </c>
      <c r="Z6" s="1322">
        <f>'Bloom Cleaner Data'!J6/'Bloom Cleaner Data'!$F6</f>
        <v>0.96332784286144291</v>
      </c>
      <c r="AA6" s="1322">
        <f>'Bloom Cleaner Data'!K6/'Bloom Cleaner Data'!$F6</f>
        <v>0.82966610525187867</v>
      </c>
      <c r="AB6" s="1322">
        <f>'Bloom Cleaner Data'!L6/'Bloom Cleaner Data'!$F6</f>
        <v>1.0112752926365616</v>
      </c>
      <c r="AC6" s="1322">
        <f>'Bloom Cleaner Data'!M6/'Bloom Cleaner Data'!$F6</f>
        <v>0.95588395818277339</v>
      </c>
      <c r="AD6" s="1322">
        <f>'Bloom Cleaner Data'!N6/'Bloom Cleaner Data'!$F6</f>
        <v>0.84937053497211934</v>
      </c>
      <c r="AE6" s="1322">
        <f>'Bloom Cleaner Data'!O6/'Bloom Cleaner Data'!$F6</f>
        <v>0.60207989869650202</v>
      </c>
      <c r="AF6" s="1322">
        <f>'Bloom Cleaner Data'!P6/'Bloom Cleaner Data'!$F6</f>
        <v>0.62835248814695499</v>
      </c>
      <c r="AG6" s="1322">
        <f>'Bloom Cleaner Data'!Q6/'Bloom Cleaner Data'!$F6</f>
        <v>0.56037219942832506</v>
      </c>
      <c r="AH6" s="1322">
        <f>'Bloom Cleaner Data'!R6/'Bloom Cleaner Data'!$F6</f>
        <v>0.53245756386151966</v>
      </c>
      <c r="AI6" s="13"/>
      <c r="AJ6" s="13">
        <f>AVERAGE('Bloom Cleaner Data'!BW6:CI6)</f>
        <v>6857.3513769230776</v>
      </c>
      <c r="AK6" s="18">
        <f>('Bloom Cleaner Data'!CI6-'Bloom Cleaner Data'!BW6)/'Bloom Cleaner Data'!BW6</f>
        <v>-0.21303533858973753</v>
      </c>
      <c r="AL6" s="18">
        <f>('Bloom Cleaner Data'!CI6+'Bloom Cleaner Data'!CH6-'Bloom Cleaner Data'!BW6-'Bloom Cleaner Data'!BV6)/('Bloom Cleaner Data'!BW6+'Bloom Cleaner Data'!BV6)</f>
        <v>-0.22424914248692834</v>
      </c>
      <c r="AM6" s="13"/>
      <c r="AN6" s="13">
        <f>'Bloom Cleaner Data'!BW6</f>
        <v>7151.8218999999999</v>
      </c>
      <c r="AO6" s="13">
        <f>'Bloom Cleaner Data'!BY6</f>
        <v>8008.34</v>
      </c>
      <c r="AP6" s="13">
        <f>'Bloom Cleaner Data'!CA6</f>
        <v>7433.3629000000001</v>
      </c>
      <c r="AQ6" s="13">
        <f>'Bloom Cleaner Data'!CC6</f>
        <v>7412.6539000000002</v>
      </c>
      <c r="AR6" s="13">
        <f>'Bloom Cleaner Data'!CE6</f>
        <v>6805.8537999999999</v>
      </c>
      <c r="AS6" s="13">
        <f>'Bloom Cleaner Data'!CG6</f>
        <v>5736.8901999999998</v>
      </c>
      <c r="AT6" s="13">
        <f>'Bloom Cleaner Data'!CI6</f>
        <v>5628.2311</v>
      </c>
      <c r="AU6" s="13">
        <f t="shared" si="2"/>
        <v>6882.4505428571429</v>
      </c>
      <c r="AV6" s="10">
        <f t="shared" si="3"/>
        <v>-0.21303533858973753</v>
      </c>
      <c r="AW6" s="10"/>
      <c r="AX6" s="13">
        <f>'Bloom Cleaner Data'!T6+'OPERATING LEASES'!AU6</f>
        <v>3244.9096692836506</v>
      </c>
      <c r="AY6" s="13">
        <f>'Bloom Cleaner Data'!U6+'OPERATING LEASES'!AV6</f>
        <v>3062.2029158229102</v>
      </c>
      <c r="AZ6" s="13">
        <f>'Bloom Cleaner Data'!V6+'OPERATING LEASES'!AW6</f>
        <v>3200.8061623621702</v>
      </c>
      <c r="BA6" s="13">
        <f>'Bloom Cleaner Data'!W6+'OPERATING LEASES'!AX6</f>
        <v>2915.10940890143</v>
      </c>
      <c r="BB6" s="13">
        <f>'Bloom Cleaner Data'!X6+'OPERATING LEASES'!AY6</f>
        <v>3439.2336554406897</v>
      </c>
      <c r="BC6" s="13">
        <f>'Bloom Cleaner Data'!Y6+'OPERATING LEASES'!AZ6</f>
        <v>3416.1003173634404</v>
      </c>
      <c r="BD6" s="13">
        <f>'Bloom Cleaner Data'!Z6+'OPERATING LEASES'!BA6</f>
        <v>3625.4879792861916</v>
      </c>
      <c r="BE6" s="13">
        <f>'Bloom Cleaner Data'!AA6+'OPERATING LEASES'!BB6</f>
        <v>3526.8756412089424</v>
      </c>
      <c r="BF6" s="13">
        <f>'Bloom Cleaner Data'!AB6+'OPERATING LEASES'!BC6</f>
        <v>3412.0773031316935</v>
      </c>
      <c r="BG6" s="13">
        <f>'Bloom Cleaner Data'!AC6+'OPERATING LEASES'!BD6</f>
        <v>3367.5138418798665</v>
      </c>
      <c r="BH6" s="13">
        <f>'Bloom Cleaner Data'!AD6+'OPERATING LEASES'!BE6</f>
        <v>3458.2643806280398</v>
      </c>
      <c r="BI6" s="13">
        <f>'Bloom Cleaner Data'!AE6+'OPERATING LEASES'!BF6</f>
        <v>3296.7149193762125</v>
      </c>
      <c r="BJ6" s="13">
        <f>'Bloom Cleaner Data'!AF6+'OPERATING LEASES'!BG6</f>
        <v>3281.2864581243862</v>
      </c>
      <c r="BK6" s="13">
        <f>'Bloom Cleaner Data'!AG6+'OPERATING LEASES'!BH6</f>
        <v>3594.765458124386</v>
      </c>
      <c r="BL6" s="13">
        <f>'Bloom Cleaner Data'!AH6+'OPERATING LEASES'!BI6</f>
        <v>3560.1654581243861</v>
      </c>
      <c r="BM6" s="1167">
        <f t="shared" ref="BM6:BM25" si="34">AVERAGE(AZ6:BL6)</f>
        <v>3391.8769987655251</v>
      </c>
      <c r="BN6" s="10">
        <f t="shared" ref="BN6:BN27" si="35">(BL6-AZ6)/AZ6</f>
        <v>0.11227149584622503</v>
      </c>
      <c r="BO6" s="10"/>
      <c r="BP6" s="13">
        <f>'Bloom Cleaner Data'!BU6+'OPERATING LEASES'!AU6</f>
        <v>7651.1441692836506</v>
      </c>
      <c r="BQ6" s="13">
        <f>'Bloom Cleaner Data'!BV6+'OPERATING LEASES'!AV6</f>
        <v>7645.5400158229104</v>
      </c>
      <c r="BR6" s="13">
        <f>'Bloom Cleaner Data'!BW6+'OPERATING LEASES'!AW6</f>
        <v>7246.22806236217</v>
      </c>
      <c r="BS6" s="13">
        <f>'Bloom Cleaner Data'!BX6+'OPERATING LEASES'!AX6</f>
        <v>7803.7156089014297</v>
      </c>
      <c r="BT6" s="13">
        <f>'Bloom Cleaner Data'!BY6+'OPERATING LEASES'!AY6</f>
        <v>8097.5526554406897</v>
      </c>
      <c r="BU6" s="13">
        <f>'Bloom Cleaner Data'!BZ6+'OPERATING LEASES'!AZ6</f>
        <v>7985.5605173634412</v>
      </c>
      <c r="BV6" s="13">
        <f>'Bloom Cleaner Data'!CA6+'OPERATING LEASES'!BA6</f>
        <v>7522.3508792861912</v>
      </c>
      <c r="BW6" s="13">
        <f>'Bloom Cleaner Data'!CB6+'OPERATING LEASES'!BB6</f>
        <v>6883.1679412089425</v>
      </c>
      <c r="BX6" s="13">
        <f>'Bloom Cleaner Data'!CC6+'OPERATING LEASES'!BC6</f>
        <v>7501.4172031316939</v>
      </c>
      <c r="BY6" s="13">
        <f>'Bloom Cleaner Data'!CD6+'OPERATING LEASES'!BD6</f>
        <v>7232.8824418798667</v>
      </c>
      <c r="BZ6" s="13">
        <f>'Bloom Cleaner Data'!CE6+'OPERATING LEASES'!BE6</f>
        <v>6893.1181806280392</v>
      </c>
      <c r="CA6" s="13">
        <f>'Bloom Cleaner Data'!CF6+'OPERATING LEASES'!BF6</f>
        <v>5731.8167193762129</v>
      </c>
      <c r="CB6" s="13">
        <f>'Bloom Cleaner Data'!CG6+'OPERATING LEASES'!BG6</f>
        <v>5822.6556581243858</v>
      </c>
      <c r="CC6" s="13">
        <f>'Bloom Cleaner Data'!CH6+'OPERATING LEASES'!BH6</f>
        <v>5861.350458124386</v>
      </c>
      <c r="CD6" s="13">
        <f>'Bloom Cleaner Data'!CI6+'OPERATING LEASES'!BI6</f>
        <v>5713.996558124386</v>
      </c>
      <c r="CE6" s="1167">
        <f t="shared" ref="CE6:CE25" si="36">AVERAGE(BR6:CD6)</f>
        <v>6945.8317603039895</v>
      </c>
      <c r="CF6" s="10">
        <f t="shared" ref="CF6:CF27" si="37">(CD6-BR6)/BR6</f>
        <v>-0.21145228814924957</v>
      </c>
      <c r="CG6" s="18">
        <f t="shared" si="4"/>
        <v>1.2902996874080768E-2</v>
      </c>
      <c r="CH6" s="13"/>
      <c r="CI6" s="18">
        <f>$CI$1*BP6/('Bloom Cleaner Data'!D6+'Bloom Cleaner Data'!T6+'OPERATING LEASES'!AU6)+(1-$CI$1)*'Bloom Cleaner Data'!BU6/('Bloom Cleaner Data'!D6+'Bloom Cleaner Data'!T6)-1</f>
        <v>3.5602118917510417E-4</v>
      </c>
      <c r="CJ6" s="18">
        <f>$CI$1*BQ6/('Bloom Cleaner Data'!E6+'Bloom Cleaner Data'!U6+'OPERATING LEASES'!AV6)+(1-$CI$1)*'Bloom Cleaner Data'!BV6/('Bloom Cleaner Data'!E6+'Bloom Cleaner Data'!U6)-1</f>
        <v>3.6636075467733065E-4</v>
      </c>
      <c r="CK6" s="18">
        <f>$CI$1*BR6/('Bloom Cleaner Data'!F6+'Bloom Cleaner Data'!V6+'OPERATING LEASES'!AW6)+(1-$CI$1)*'Bloom Cleaner Data'!BW6/('Bloom Cleaner Data'!F6+'Bloom Cleaner Data'!V6)-1</f>
        <v>3.5893615431592529E-4</v>
      </c>
      <c r="CL6" s="18">
        <f>$CI$1*BS6/('Bloom Cleaner Data'!G6+'Bloom Cleaner Data'!W6+'OPERATING LEASES'!AX6)+(1-$CI$1)*'Bloom Cleaner Data'!BX6/('Bloom Cleaner Data'!G6+'Bloom Cleaner Data'!W6)-1</f>
        <v>3.4610878062069084E-4</v>
      </c>
      <c r="CM6" s="18">
        <f>$CI$1*BT6/('Bloom Cleaner Data'!H6+'Bloom Cleaner Data'!X6+'OPERATING LEASES'!AY6)+(1-$CI$1)*'Bloom Cleaner Data'!BY6/('Bloom Cleaner Data'!H6+'Bloom Cleaner Data'!X6)-1</f>
        <v>3.1451487421430002E-4</v>
      </c>
      <c r="CN6" s="18">
        <f>$CI$1*BU6/('Bloom Cleaner Data'!I6+'Bloom Cleaner Data'!Y6+'OPERATING LEASES'!AZ6)+(1-$CI$1)*'Bloom Cleaner Data'!BZ6/('Bloom Cleaner Data'!I6+'Bloom Cleaner Data'!Y6)-1</f>
        <v>2.7557317438131612E-4</v>
      </c>
      <c r="CO6" s="18">
        <f>$CI$1*BV6/('Bloom Cleaner Data'!J6+'Bloom Cleaner Data'!Z6+'OPERATING LEASES'!BA6)+(1-$CI$1)*'Bloom Cleaner Data'!CA6/('Bloom Cleaner Data'!J6+'Bloom Cleaner Data'!Z6)-1</f>
        <v>3.0584899449759284E-4</v>
      </c>
      <c r="CP6" s="18">
        <f>$CI$1*BW6/('Bloom Cleaner Data'!K6+'Bloom Cleaner Data'!AA6+'OPERATING LEASES'!BB6)+(1-$CI$1)*'Bloom Cleaner Data'!CB6/('Bloom Cleaner Data'!K6+'Bloom Cleaner Data'!AA6)-1</f>
        <v>3.0518518607025591E-4</v>
      </c>
      <c r="CQ6" s="18">
        <f>$CI$1*BX6/('Bloom Cleaner Data'!L6+'Bloom Cleaner Data'!AB6+'OPERATING LEASES'!BC6)+(1-$CI$1)*'Bloom Cleaner Data'!CC6/('Bloom Cleaner Data'!L6+'Bloom Cleaner Data'!AB6)-1</f>
        <v>1.245253105306432E-4</v>
      </c>
      <c r="CR6" s="18">
        <f>$CI$1*BY6/('Bloom Cleaner Data'!M6+'Bloom Cleaner Data'!AC6+'OPERATING LEASES'!BD6)+(1-$CI$1)*'Bloom Cleaner Data'!CD6/('Bloom Cleaner Data'!M6+'Bloom Cleaner Data'!AC6)-1</f>
        <v>1.2444720479232174E-4</v>
      </c>
      <c r="CS6" s="18">
        <f>$CI$1*BZ6/('Bloom Cleaner Data'!N6+'Bloom Cleaner Data'!AD6+'OPERATING LEASES'!BE6)+(1-$CI$1)*'Bloom Cleaner Data'!CE6/('Bloom Cleaner Data'!N6+'Bloom Cleaner Data'!AD6)-1</f>
        <v>1.450932752156131E-4</v>
      </c>
      <c r="CT6" s="18">
        <f>$CI$1*CA6/('Bloom Cleaner Data'!O6+'Bloom Cleaner Data'!AE6+'OPERATING LEASES'!BF6)+(1-$CI$1)*'Bloom Cleaner Data'!CF6/('Bloom Cleaner Data'!O6+'Bloom Cleaner Data'!AE6)-1</f>
        <v>1.7449519832313243E-4</v>
      </c>
      <c r="CU6" s="18">
        <f>$CI$1*CB6/('Bloom Cleaner Data'!P6+'Bloom Cleaner Data'!AF6+'OPERATING LEASES'!BG6)+(1-$CI$1)*'Bloom Cleaner Data'!CG6/('Bloom Cleaner Data'!P6+'Bloom Cleaner Data'!AF6)-1</f>
        <v>1.8070622147758897E-4</v>
      </c>
      <c r="CV6" s="18">
        <f>$CI$1*CC6/('Bloom Cleaner Data'!Q6+'Bloom Cleaner Data'!AG6+'OPERATING LEASES'!BH6)+(1-$CI$1)*'Bloom Cleaner Data'!CH6/('Bloom Cleaner Data'!Q6+'Bloom Cleaner Data'!AG6)-1</f>
        <v>1.8770528800082786E-4</v>
      </c>
      <c r="CW6" s="18">
        <f>$CI$1*CD6/('Bloom Cleaner Data'!R6+'Bloom Cleaner Data'!AH6+'OPERATING LEASES'!BI6)+(1-$CI$1)*'Bloom Cleaner Data'!CI6/('Bloom Cleaner Data'!R6+'Bloom Cleaner Data'!AH6)-1</f>
        <v>2.1005474075441732E-4</v>
      </c>
      <c r="CX6" s="18">
        <f t="shared" ref="CX6:CX27" si="38">AVERAGE(CK6:CW6)</f>
        <v>2.3486110793804812E-4</v>
      </c>
      <c r="CY6" s="13"/>
      <c r="CZ6" s="3112">
        <f>AVERAGE('Bloom Cleaner Data'!GX6:HJ6)</f>
        <v>1543.3192170509947</v>
      </c>
      <c r="DA6" s="2860">
        <f>('Bloom Cleaner Data'!HJ6-'Bloom Cleaner Data'!GX6)/'Bloom Cleaner Data'!GX6</f>
        <v>-0.18749316049731515</v>
      </c>
      <c r="DB6" s="2860">
        <f>('Bloom Cleaner Data'!HJ6+'Bloom Cleaner Data'!HI6-'Bloom Cleaner Data'!GX6-'Bloom Cleaner Data'!GW6)/('Bloom Cleaner Data'!GX6+'Bloom Cleaner Data'!GW6)</f>
        <v>-0.18840898197484937</v>
      </c>
      <c r="DC6" s="13"/>
      <c r="DD6" s="13">
        <f>'Bloom Cleaner Data'!GV6+'OPERATING LEASES'!BL6</f>
        <v>1811.5990895453497</v>
      </c>
      <c r="DE6" s="13">
        <f>'Bloom Cleaner Data'!GW6+'OPERATING LEASES'!BM6</f>
        <v>1781.7140954400918</v>
      </c>
      <c r="DF6" s="13">
        <f>'Bloom Cleaner Data'!GX6+'OPERATING LEASES'!BN6</f>
        <v>1734.5027911579502</v>
      </c>
      <c r="DG6" s="13">
        <f>'Bloom Cleaner Data'!GY6+'OPERATING LEASES'!BO6</f>
        <v>1692.8400139300675</v>
      </c>
      <c r="DH6" s="13">
        <f>'Bloom Cleaner Data'!GZ6+'OPERATING LEASES'!BP6</f>
        <v>1659.6925156587195</v>
      </c>
      <c r="DI6" s="13">
        <f>'Bloom Cleaner Data'!HA6+'OPERATING LEASES'!BQ6</f>
        <v>1630.4669498612875</v>
      </c>
      <c r="DJ6" s="13">
        <f>'Bloom Cleaner Data'!HB6+'OPERATING LEASES'!BR6</f>
        <v>1607.5565532827306</v>
      </c>
      <c r="DK6" s="13">
        <f>'Bloom Cleaner Data'!HC6+'OPERATING LEASES'!BS6</f>
        <v>1571.4132429714905</v>
      </c>
      <c r="DL6" s="13">
        <f>'Bloom Cleaner Data'!HD6+'OPERATING LEASES'!BT6</f>
        <v>1541.053870178439</v>
      </c>
      <c r="DM6" s="13">
        <f>'Bloom Cleaner Data'!HE6+'OPERATING LEASES'!BU6</f>
        <v>1505.6218042486323</v>
      </c>
      <c r="DN6" s="13">
        <f>'Bloom Cleaner Data'!HF6+'OPERATING LEASES'!BV6</f>
        <v>1489.4202255345795</v>
      </c>
      <c r="DO6" s="13">
        <f>'Bloom Cleaner Data'!HG6+'OPERATING LEASES'!BW6</f>
        <v>1486.8018802984627</v>
      </c>
      <c r="DP6" s="13">
        <f>'Bloom Cleaner Data'!HH6+'OPERATING LEASES'!BX6</f>
        <v>1468.6898227369595</v>
      </c>
      <c r="DQ6" s="13">
        <f>'Bloom Cleaner Data'!HI6+'OPERATING LEASES'!BY6</f>
        <v>1444.1990156927477</v>
      </c>
      <c r="DR6" s="13">
        <f>'Bloom Cleaner Data'!HJ6+'OPERATING LEASES'!BZ6</f>
        <v>1409.8007745037219</v>
      </c>
      <c r="DS6" s="1167">
        <f t="shared" ref="DS6:DS27" si="39">AVERAGE(DF6:DR6)</f>
        <v>1557.0814969273681</v>
      </c>
      <c r="DT6" s="10">
        <f t="shared" ref="DT6:DT27" si="40">(DR6-DF6)/DF6</f>
        <v>-0.18720178388266417</v>
      </c>
      <c r="DU6" s="18">
        <f t="shared" ref="DU6:DU27" si="41">(DS6-CZ6)/CZ6</f>
        <v>8.9173255437528225E-3</v>
      </c>
      <c r="DV6" s="167"/>
      <c r="DW6" s="15">
        <f>'Bloom Cleaner Data'!DT6</f>
        <v>1.5190999999999999</v>
      </c>
      <c r="DX6" s="15">
        <f>'Bloom Cleaner Data'!DX6</f>
        <v>1.6217999999999999</v>
      </c>
      <c r="DY6" s="15">
        <f>'Bloom Cleaner Data'!EB6</f>
        <v>1.5662</v>
      </c>
      <c r="DZ6" s="15">
        <f>'Bloom Cleaner Data'!EF6</f>
        <v>1.3078000000000001</v>
      </c>
      <c r="EA6" s="15">
        <f>AVERAGE('Bloom Cleaner Data'!DT6:EF6)</f>
        <v>1.5272923076923075</v>
      </c>
      <c r="EB6" s="18">
        <f t="shared" si="5"/>
        <v>-0.13909551708248294</v>
      </c>
      <c r="EC6" s="13"/>
      <c r="ED6" s="15">
        <f>'Bloom Cleaner Data'!DC6</f>
        <v>4.1608000000000001</v>
      </c>
      <c r="EE6" s="15">
        <f>'Bloom Cleaner Data'!DG6</f>
        <v>4.6638000000000002</v>
      </c>
      <c r="EF6" s="15">
        <f>'Bloom Cleaner Data'!DK6</f>
        <v>4.6111000000000004</v>
      </c>
      <c r="EG6" s="15">
        <f>'Bloom Cleaner Data'!DO6</f>
        <v>4.03</v>
      </c>
      <c r="EH6" s="15">
        <f>AVERAGE('Bloom Cleaner Data'!DC6:DO6)</f>
        <v>4.4325692307692313</v>
      </c>
      <c r="EI6" s="22">
        <f t="shared" ref="EI6:EI25" si="42">AVERAGE(ED6:EG6)</f>
        <v>4.3664250000000004</v>
      </c>
      <c r="EJ6" s="22">
        <f t="shared" si="6"/>
        <v>6.6144230769230816E-2</v>
      </c>
      <c r="EK6" s="18">
        <f t="shared" ref="EK6:EK25" si="43">(EG6-ED6)/ED6</f>
        <v>-3.1436262257258173E-2</v>
      </c>
      <c r="EL6" s="241"/>
      <c r="EM6" s="15">
        <f>('Bloom Cleaner Data'!BU6+'OPERATING LEASES'!AU6)/DD6</f>
        <v>4.2234201890683387</v>
      </c>
      <c r="EN6" s="15">
        <f>('Bloom Cleaner Data'!BV6+'OPERATING LEASES'!AV6)/DE6</f>
        <v>4.2911149636128494</v>
      </c>
      <c r="EO6" s="15">
        <f>('Bloom Cleaner Data'!BW6+'OPERATING LEASES'!AW6)/DF6</f>
        <v>4.1776975507341811</v>
      </c>
      <c r="EP6" s="15">
        <f>('Bloom Cleaner Data'!BX6+'OPERATING LEASES'!AX6)/DG6</f>
        <v>4.6098364551204467</v>
      </c>
      <c r="EQ6" s="15">
        <f>('Bloom Cleaner Data'!BY6+'OPERATING LEASES'!AY6)/DH6</f>
        <v>4.8789475032529337</v>
      </c>
      <c r="ER6" s="15">
        <f>('Bloom Cleaner Data'!BZ6+'OPERATING LEASES'!AZ6)/DI6</f>
        <v>4.8977138224376864</v>
      </c>
      <c r="ES6" s="15">
        <f>('Bloom Cleaner Data'!CA6+'OPERATING LEASES'!BA6)/DJ6</f>
        <v>4.679369359619157</v>
      </c>
      <c r="ET6" s="15">
        <f>('Bloom Cleaner Data'!CB6+'OPERATING LEASES'!BB6)/DK6</f>
        <v>4.380240507705726</v>
      </c>
      <c r="EU6" s="15">
        <f>('Bloom Cleaner Data'!CC6+'OPERATING LEASES'!BC6)/DL6</f>
        <v>4.8677189995072032</v>
      </c>
      <c r="EV6" s="15">
        <f>('Bloom Cleaner Data'!CD6+'OPERATING LEASES'!BD6)/DM6</f>
        <v>4.8039171732700661</v>
      </c>
      <c r="EW6" s="15">
        <f>('Bloom Cleaner Data'!CE6+'OPERATING LEASES'!BE6)/DN6</f>
        <v>4.628054636597926</v>
      </c>
      <c r="EX6" s="15">
        <f>('Bloom Cleaner Data'!CF6+'OPERATING LEASES'!BF6)/DO6</f>
        <v>3.8551314706607713</v>
      </c>
      <c r="EY6" s="15">
        <f>('Bloom Cleaner Data'!CG6+'OPERATING LEASES'!BG6)/DP6</f>
        <v>3.9645237326378724</v>
      </c>
      <c r="EZ6" s="15">
        <f>('Bloom Cleaner Data'!CH6+'OPERATING LEASES'!BH6)/DQ6</f>
        <v>4.0585476062749128</v>
      </c>
      <c r="FA6" s="15">
        <f>('Bloom Cleaner Data'!CI6+'OPERATING LEASES'!BI6)/DR6</f>
        <v>4.0530525032062261</v>
      </c>
      <c r="FB6" s="526">
        <f t="shared" ref="FB6:FB25" si="44">AVERAGE(EO6:FA6)</f>
        <v>4.4503654862327</v>
      </c>
      <c r="FC6" s="10">
        <f t="shared" ref="FC6:FC27" si="45">(FA6-EO6)/EO6</f>
        <v>-2.9835823683801648E-2</v>
      </c>
      <c r="FD6" s="15">
        <f t="shared" si="7"/>
        <v>1.7796255463468746E-2</v>
      </c>
      <c r="FE6" s="15">
        <f t="shared" ref="FE6:FE26" si="46">AVERAGE(ER6:FA6)</f>
        <v>4.4188269811917547</v>
      </c>
      <c r="FF6" s="13"/>
      <c r="FG6" s="15">
        <f>$FG$1*EM6+(1-$FG$1)*'Bloom Cleaner Data'!DA6</f>
        <v>4.2234201890683387</v>
      </c>
      <c r="FH6" s="15">
        <f>$FG$1*EN6+(1-$FG$1)*'Bloom Cleaner Data'!DB6</f>
        <v>4.2911149636128494</v>
      </c>
      <c r="FI6" s="15">
        <f>$FG$1*EO6+(1-$FG$1)*'Bloom Cleaner Data'!DC6</f>
        <v>4.1776975507341811</v>
      </c>
      <c r="FJ6" s="15">
        <f>$FG$1*EP6+(1-$FG$1)*'Bloom Cleaner Data'!DD6</f>
        <v>4.6098364551204467</v>
      </c>
      <c r="FK6" s="15">
        <f>$FG$1*EQ6+(1-$FG$1)*'Bloom Cleaner Data'!DE6</f>
        <v>4.8789475032529337</v>
      </c>
      <c r="FL6" s="15">
        <f>$FG$1*ER6+(1-$FG$1)*'Bloom Cleaner Data'!DF6</f>
        <v>4.8977138224376864</v>
      </c>
      <c r="FM6" s="15">
        <f>$FG$1*ES6+(1-$FG$1)*'Bloom Cleaner Data'!DG6</f>
        <v>4.679369359619157</v>
      </c>
      <c r="FN6" s="15">
        <f>$FG$1*ET6+(1-$FG$1)*'Bloom Cleaner Data'!DH6</f>
        <v>4.380240507705726</v>
      </c>
      <c r="FO6" s="15">
        <f>$FG$1*EU6+(1-$FG$1)*'Bloom Cleaner Data'!DI6</f>
        <v>4.8677189995072032</v>
      </c>
      <c r="FP6" s="15">
        <f>$FG$1*EV6+(1-$FG$1)*'Bloom Cleaner Data'!DJ6</f>
        <v>4.8039171732700661</v>
      </c>
      <c r="FQ6" s="15">
        <f>$FG$1*EW6+(1-$FG$1)*'Bloom Cleaner Data'!DK6</f>
        <v>4.628054636597926</v>
      </c>
      <c r="FR6" s="15">
        <f>$FG$1*EX6+(1-$FG$1)*'Bloom Cleaner Data'!DL6</f>
        <v>3.8551314706607713</v>
      </c>
      <c r="FS6" s="15">
        <f>$FG$1*EY6+(1-$FG$1)*'Bloom Cleaner Data'!DM6</f>
        <v>3.9645237326378724</v>
      </c>
      <c r="FT6" s="15">
        <f>$FG$1*EZ6+(1-$FG$1)*'Bloom Cleaner Data'!DN6</f>
        <v>4.0585476062749128</v>
      </c>
      <c r="FU6" s="15">
        <f>$FG$1*FA6+(1-$FG$1)*'Bloom Cleaner Data'!DO6</f>
        <v>4.0530525032062261</v>
      </c>
      <c r="FV6" s="526">
        <f t="shared" ref="FV6:FV25" si="47">AVERAGE(FI6:FU6)</f>
        <v>4.4503654862327</v>
      </c>
      <c r="FW6" s="10">
        <f t="shared" ref="FW6:FW27" si="48">(FU6-FI6)/FI6</f>
        <v>-2.9835823683801648E-2</v>
      </c>
      <c r="FX6" s="526">
        <f t="shared" ref="FX6:FX27" si="49">AVERAGE(FL6:FU6)</f>
        <v>4.4188269811917547</v>
      </c>
      <c r="FY6" s="2710">
        <v>1</v>
      </c>
      <c r="FZ6" s="2710"/>
      <c r="GA6" s="10">
        <f>'Bloom Cleaner Data'!T6/('Bloom Cleaner Data'!T6+'Bloom Cleaner Data'!D6)</f>
        <v>0.41666238895700475</v>
      </c>
      <c r="GB6" s="10">
        <f>'Bloom Cleaner Data'!U6/('Bloom Cleaner Data'!U6+'Bloom Cleaner Data'!E6)</f>
        <v>0.39296359794989411</v>
      </c>
      <c r="GC6" s="10">
        <f>'Bloom Cleaner Data'!V6/('Bloom Cleaner Data'!V6+'Bloom Cleaner Data'!F6)</f>
        <v>0.43450882396026902</v>
      </c>
      <c r="GD6" s="10">
        <f>'Bloom Cleaner Data'!W6/('Bloom Cleaner Data'!W6+'Bloom Cleaner Data'!G6)</f>
        <v>0.36622447587405305</v>
      </c>
      <c r="GE6" s="10">
        <f>'Bloom Cleaner Data'!X6/('Bloom Cleaner Data'!X6+'Bloom Cleaner Data'!H6)</f>
        <v>0.41844956290406676</v>
      </c>
      <c r="GF6" s="10">
        <f>'Bloom Cleaner Data'!Y6/('Bloom Cleaner Data'!Y6+'Bloom Cleaner Data'!I6)</f>
        <v>0.42144544462823763</v>
      </c>
      <c r="GG6" s="10">
        <f>'Bloom Cleaner Data'!Z6/('Bloom Cleaner Data'!Z6+'Bloom Cleaner Data'!J6)</f>
        <v>0.47590769282816864</v>
      </c>
      <c r="GH6" s="10">
        <f>'Bloom Cleaner Data'!AA6/('Bloom Cleaner Data'!AA6+'Bloom Cleaner Data'!K6)</f>
        <v>0.50616941454970288</v>
      </c>
      <c r="GI6" s="10">
        <f>'Bloom Cleaner Data'!AB6/('Bloom Cleaner Data'!AB6+'Bloom Cleaner Data'!L6)</f>
        <v>0.44838634552285223</v>
      </c>
      <c r="GJ6" s="10">
        <f>'Bloom Cleaner Data'!AC6/('Bloom Cleaner Data'!AC6+'Bloom Cleaner Data'!M6)</f>
        <v>0.45905856865048372</v>
      </c>
      <c r="GK6" s="10">
        <f>'Bloom Cleaner Data'!AD6/('Bloom Cleaner Data'!AD6+'Bloom Cleaner Data'!N6)</f>
        <v>0.49538169357878048</v>
      </c>
      <c r="GL6" s="10">
        <f>'Bloom Cleaner Data'!AE6/('Bloom Cleaner Data'!AE6+'Bloom Cleaner Data'!O6)</f>
        <v>0.56875059374039849</v>
      </c>
      <c r="GM6" s="10">
        <f>'Bloom Cleaner Data'!AF6/('Bloom Cleaner Data'!AF6+'Bloom Cleaner Data'!P6)</f>
        <v>0.55711491303921368</v>
      </c>
      <c r="GN6" s="10">
        <f>'Bloom Cleaner Data'!AG6/('Bloom Cleaner Data'!AG6+'Bloom Cleaner Data'!Q6)</f>
        <v>0.60767323839268772</v>
      </c>
      <c r="GO6" s="10">
        <f>'Bloom Cleaner Data'!AH6/('Bloom Cleaner Data'!AH6+'Bloom Cleaner Data'!R6)</f>
        <v>0.61744816018521742</v>
      </c>
      <c r="GP6" s="10">
        <f t="shared" ref="GP6:GP25" si="50">AVERAGE(GC6:GO6)</f>
        <v>0.49050145598877937</v>
      </c>
      <c r="GQ6" s="10">
        <f t="shared" ref="GQ6:GQ27" si="51">(GO6-GC6)/GC6</f>
        <v>0.42102559519407173</v>
      </c>
      <c r="GR6" s="10"/>
      <c r="GS6" s="496">
        <f t="shared" si="8"/>
        <v>0.71427314314950685</v>
      </c>
      <c r="GT6" s="497">
        <f t="shared" si="9"/>
        <v>0.64734766584468884</v>
      </c>
      <c r="GU6" s="497">
        <f t="shared" si="10"/>
        <v>0.76837418932553025</v>
      </c>
      <c r="GV6" s="497">
        <f t="shared" si="11"/>
        <v>0.57784572286713165</v>
      </c>
      <c r="GW6" s="497">
        <f t="shared" si="12"/>
        <v>0.71954130925197612</v>
      </c>
      <c r="GX6" s="497">
        <f t="shared" si="13"/>
        <v>0.7284454693428678</v>
      </c>
      <c r="GY6" s="497">
        <f t="shared" si="14"/>
        <v>0.90806082500298058</v>
      </c>
      <c r="GZ6" s="497">
        <f t="shared" si="15"/>
        <v>1.0249859556352805</v>
      </c>
      <c r="HA6" s="497">
        <f t="shared" si="16"/>
        <v>0.81286302810589328</v>
      </c>
      <c r="HB6" s="497">
        <f t="shared" si="17"/>
        <v>0.84862896802939491</v>
      </c>
      <c r="HC6" s="497">
        <f t="shared" si="18"/>
        <v>0.98169584272923904</v>
      </c>
      <c r="HD6" s="497">
        <f t="shared" si="19"/>
        <v>1.3188437722695081</v>
      </c>
      <c r="HE6" s="497">
        <f t="shared" si="20"/>
        <v>1.2579220421764652</v>
      </c>
      <c r="HF6" s="497">
        <f t="shared" si="21"/>
        <v>1.5488957110729042</v>
      </c>
      <c r="HG6" s="498">
        <f t="shared" si="22"/>
        <v>1.6140248089884051</v>
      </c>
      <c r="HH6" s="10">
        <f t="shared" ref="HH6:HH27" si="52">AVERAGE(GU6:HG6)</f>
        <v>1.0084713572921213</v>
      </c>
      <c r="HI6" s="10">
        <f t="shared" ref="HI6:HI27" si="53">(HG6-GU6)/GU6</f>
        <v>1.1005713510564128</v>
      </c>
      <c r="HJ6" s="10"/>
      <c r="HK6" s="18">
        <f>('Bloom Cleaner Data'!T6+'OPERATING LEASES'!AU6)/('Bloom Cleaner Data'!T6+'OPERATING LEASES'!AU6+'Bloom Cleaner Data'!D6)</f>
        <v>0.42425875843701322</v>
      </c>
      <c r="HL6" s="18">
        <f>('Bloom Cleaner Data'!U6+'OPERATING LEASES'!AV6)/('Bloom Cleaner Data'!U6+'OPERATING LEASES'!AV6+'Bloom Cleaner Data'!E6)</f>
        <v>0.40066820400578501</v>
      </c>
      <c r="HM6" s="18">
        <f>('Bloom Cleaner Data'!V6+'OPERATING LEASES'!AW6)/('Bloom Cleaner Data'!V6+'OPERATING LEASES'!AW6+'Bloom Cleaner Data'!F6)</f>
        <v>0.44187886716513403</v>
      </c>
      <c r="HN6" s="18">
        <f>('Bloom Cleaner Data'!W6+'OPERATING LEASES'!AX6)/('Bloom Cleaner Data'!W6+'OPERATING LEASES'!AX6+'Bloom Cleaner Data'!G6)</f>
        <v>0.37368331958919732</v>
      </c>
      <c r="HO6" s="18">
        <f>('Bloom Cleaner Data'!X6+'OPERATING LEASES'!AY6)/('Bloom Cleaner Data'!X6+'OPERATING LEASES'!AY6+'Bloom Cleaner Data'!H6)</f>
        <v>0.4248586569263863</v>
      </c>
      <c r="HP6" s="18">
        <f>('Bloom Cleaner Data'!Y6+'OPERATING LEASES'!AZ6)/('Bloom Cleaner Data'!Y6+'OPERATING LEASES'!AZ6+'Bloom Cleaner Data'!I6)</f>
        <v>0.42790254930033284</v>
      </c>
      <c r="HQ6" s="18">
        <f>('Bloom Cleaner Data'!Z6+'OPERATING LEASES'!BA6)/('Bloom Cleaner Data'!Z6+'OPERATING LEASES'!BA6+'Bloom Cleaner Data'!J6)</f>
        <v>0.48210950131634289</v>
      </c>
      <c r="HR6" s="18">
        <f>('Bloom Cleaner Data'!AA6+'OPERATING LEASES'!BB6)/('Bloom Cleaner Data'!AA6+'OPERATING LEASES'!BB6+'Bloom Cleaner Data'!K6)</f>
        <v>0.51254771371859198</v>
      </c>
      <c r="HS6" s="18">
        <f>('Bloom Cleaner Data'!AB6+'OPERATING LEASES'!BC6)/('Bloom Cleaner Data'!AB6+'OPERATING LEASES'!BC6+'Bloom Cleaner Data'!L6)</f>
        <v>0.45491433161360073</v>
      </c>
      <c r="HT6" s="18">
        <f>('Bloom Cleaner Data'!AC6+'OPERATING LEASES'!BD6)/('Bloom Cleaner Data'!AC6+'OPERATING LEASES'!BD6+'Bloom Cleaner Data'!M6)</f>
        <v>0.465641871913135</v>
      </c>
      <c r="HU6" s="18">
        <f>('Bloom Cleaner Data'!AD6+'OPERATING LEASES'!BE6)/('Bloom Cleaner Data'!AD6+'OPERATING LEASES'!BE6+'Bloom Cleaner Data'!N6)</f>
        <v>0.50177090554661785</v>
      </c>
      <c r="HV6" s="18">
        <f>('Bloom Cleaner Data'!AE6+'OPERATING LEASES'!BF6)/('Bloom Cleaner Data'!AE6+'OPERATING LEASES'!BF6+'Bloom Cleaner Data'!O6)</f>
        <v>0.57526092367076309</v>
      </c>
      <c r="HW6" s="18">
        <f>('Bloom Cleaner Data'!AF6+'OPERATING LEASES'!BG6)/('Bloom Cleaner Data'!AF6+'OPERATING LEASES'!BG6+'Bloom Cleaner Data'!P6)</f>
        <v>0.56363961733210066</v>
      </c>
      <c r="HX6" s="18">
        <f>('Bloom Cleaner Data'!AG6+'OPERATING LEASES'!BH6)/('Bloom Cleaner Data'!AG6+'OPERATING LEASES'!BH6+'Bloom Cleaner Data'!Q6)</f>
        <v>0.61341498692103946</v>
      </c>
      <c r="HY6" s="18">
        <f>('Bloom Cleaner Data'!AH6+'OPERATING LEASES'!BI6)/('Bloom Cleaner Data'!AH6+'OPERATING LEASES'!BI6+'Bloom Cleaner Data'!R6)</f>
        <v>0.62319136029119382</v>
      </c>
      <c r="HZ6" s="10">
        <f t="shared" ref="HZ6:HZ27" si="54">AVERAGE(HM6:HY6)</f>
        <v>0.49698573886957192</v>
      </c>
      <c r="IA6" s="10">
        <f t="shared" ref="IA6:IA27" si="55">(HY6-HM6)/HM6</f>
        <v>0.41032171167013903</v>
      </c>
      <c r="IB6" s="10">
        <f t="shared" si="23"/>
        <v>6.4842828807925579E-3</v>
      </c>
      <c r="IC6" s="10">
        <f t="shared" si="24"/>
        <v>1.3219701596443154E-2</v>
      </c>
      <c r="IE6" s="502">
        <f t="shared" ref="IE6:IE27" si="56">HK6/(1-HK6)</f>
        <v>0.73689138072732419</v>
      </c>
      <c r="IF6" s="467">
        <f t="shared" si="25"/>
        <v>0.66852485832347264</v>
      </c>
      <c r="IG6" s="467">
        <f t="shared" si="25"/>
        <v>0.79172574046909439</v>
      </c>
      <c r="IH6" s="467">
        <f t="shared" si="25"/>
        <v>0.59663638423951515</v>
      </c>
      <c r="II6" s="467">
        <f t="shared" si="25"/>
        <v>0.73870303716282781</v>
      </c>
      <c r="IJ6" s="467">
        <f t="shared" si="25"/>
        <v>0.74795395221043892</v>
      </c>
      <c r="IK6" s="467">
        <f t="shared" si="25"/>
        <v>0.93091011042245375</v>
      </c>
      <c r="IL6" s="467">
        <f t="shared" si="25"/>
        <v>1.0514828387176673</v>
      </c>
      <c r="IM6" s="467">
        <f t="shared" si="25"/>
        <v>0.83457400918330871</v>
      </c>
      <c r="IN6" s="467">
        <f t="shared" si="25"/>
        <v>0.87140411540149809</v>
      </c>
      <c r="IO6" s="467">
        <f t="shared" si="25"/>
        <v>1.0071088002139288</v>
      </c>
      <c r="IP6" s="467">
        <f t="shared" si="25"/>
        <v>1.354386624000776</v>
      </c>
      <c r="IQ6" s="467">
        <f t="shared" si="25"/>
        <v>1.2916837543454758</v>
      </c>
      <c r="IR6" s="467">
        <f t="shared" si="25"/>
        <v>1.5867531491598423</v>
      </c>
      <c r="IS6" s="503">
        <f t="shared" si="25"/>
        <v>1.6538669622140025</v>
      </c>
      <c r="IT6" s="10">
        <f t="shared" ref="IT6:IT27" si="57">AVERAGE(IG6:IS6)</f>
        <v>1.035168421364679</v>
      </c>
      <c r="IU6" s="10">
        <f t="shared" ref="IU6:IU27" si="58">(IS6-IG6)/IG6</f>
        <v>1.0889392344804816</v>
      </c>
      <c r="IV6" s="10">
        <f t="shared" ref="IV6:IV27" si="59">IT6-HH6</f>
        <v>2.6697064072557675E-2</v>
      </c>
      <c r="IW6" s="10">
        <f t="shared" ref="IW6:IW27" si="60">IV6/HH6</f>
        <v>2.647280349562214E-2</v>
      </c>
      <c r="IY6" s="15">
        <f>'Bloom Cleaner Data'!T6/'Bloom Cleaner Data'!BU6*'Bloom Cleaner Data'!DA6</f>
        <v>1.7531829219837081</v>
      </c>
      <c r="IZ6" s="15">
        <f>'Bloom Cleaner Data'!U6/'Bloom Cleaner Data'!BV6*'Bloom Cleaner Data'!DB6</f>
        <v>1.6798854707887707</v>
      </c>
      <c r="JA6" s="15">
        <f>'Bloom Cleaner Data'!V6/'Bloom Cleaner Data'!BW6*'Bloom Cleaner Data'!DC6</f>
        <v>1.8072470624583088</v>
      </c>
      <c r="JB6" s="15">
        <f>'Bloom Cleaner Data'!W6/'Bloom Cleaner Data'!BX6*'Bloom Cleaner Data'!DD6</f>
        <v>1.6823953525264612</v>
      </c>
      <c r="JC6" s="15">
        <f>'Bloom Cleaner Data'!X6/'Bloom Cleaner Data'!BY6*'Bloom Cleaner Data'!DE6</f>
        <v>2.0353190767999361</v>
      </c>
      <c r="JD6" s="15">
        <f>'Bloom Cleaner Data'!Y6/'Bloom Cleaner Data'!BZ6*'Bloom Cleaner Data'!DF6</f>
        <v>2.0578503517310196</v>
      </c>
      <c r="JE6" s="15">
        <f>'Bloom Cleaner Data'!Z6/'Bloom Cleaner Data'!CA6*'Bloom Cleaner Data'!DG6</f>
        <v>2.2188515375725837</v>
      </c>
      <c r="JF6" s="15">
        <f>'Bloom Cleaner Data'!AA6/'Bloom Cleaner Data'!CB6*'Bloom Cleaner Data'!DH6</f>
        <v>2.2070767547048278</v>
      </c>
      <c r="JG6" s="15">
        <f>'Bloom Cleaner Data'!AB6/'Bloom Cleaner Data'!CC6*'Bloom Cleaner Data'!DI6</f>
        <v>2.1758344207598848</v>
      </c>
      <c r="JH6" s="15">
        <f>'Bloom Cleaner Data'!AC6/'Bloom Cleaner Data'!CD6*'Bloom Cleaner Data'!DJ6</f>
        <v>2.1979709605856153</v>
      </c>
      <c r="JI6" s="15">
        <f>'Bloom Cleaner Data'!AD6/'Bloom Cleaner Data'!CE6*'Bloom Cleaner Data'!DK6</f>
        <v>2.2839188964065027</v>
      </c>
      <c r="JJ6" s="15">
        <f>'Bloom Cleaner Data'!AE6/'Bloom Cleaner Data'!CF6*'Bloom Cleaner Data'!DL6</f>
        <v>2.1786681555271321</v>
      </c>
      <c r="JK6" s="15">
        <f>'Bloom Cleaner Data'!AF6/'Bloom Cleaner Data'!CG6*'Bloom Cleaner Data'!DM6</f>
        <v>2.195521464503539</v>
      </c>
      <c r="JL6" s="15">
        <f>'Bloom Cleaner Data'!AG6/'Bloom Cleaner Data'!CH6*'Bloom Cleaner Data'!DN6</f>
        <v>2.4521628371844586</v>
      </c>
      <c r="JM6" s="15">
        <f>'Bloom Cleaner Data'!AH6/'Bloom Cleaner Data'!CI6*'Bloom Cleaner Data'!DO6</f>
        <v>2.4877855495308285</v>
      </c>
      <c r="JN6" s="15">
        <f t="shared" ref="JN6:JN25" si="61">AVERAGE(JK6:JM6)</f>
        <v>2.3784899504062751</v>
      </c>
      <c r="JO6" s="15">
        <f t="shared" ref="JO6:JO25" si="62">AVERAGE(JJ6:JM6)</f>
        <v>2.3285345016864896</v>
      </c>
      <c r="JP6" s="15">
        <f t="shared" ref="JP6:JP25" si="63">AVERAGE(JA6:JM6)</f>
        <v>2.1523540323300847</v>
      </c>
      <c r="JQ6" s="18">
        <f t="shared" ref="JQ6:JQ25" si="64">(JM6-JA6)/JA6</f>
        <v>0.37656084838052906</v>
      </c>
      <c r="JR6" s="18"/>
      <c r="JS6" s="2024" t="s">
        <v>278</v>
      </c>
      <c r="JT6" s="526">
        <f>('Bloom Cleaner Data'!T6+'OPERATING LEASES'!AU6)/DD6</f>
        <v>1.7911853058493277</v>
      </c>
      <c r="JU6" s="526">
        <f>('Bloom Cleaner Data'!U6+'OPERATING LEASES'!AV6)/DE6</f>
        <v>1.7186836674076666</v>
      </c>
      <c r="JV6" s="526">
        <f>('Bloom Cleaner Data'!V6+'OPERATING LEASES'!AW6)/DF6</f>
        <v>1.8453738896697416</v>
      </c>
      <c r="JW6" s="526">
        <f>('Bloom Cleaner Data'!W6+'OPERATING LEASES'!AX6)/DG6</f>
        <v>1.7220229820381925</v>
      </c>
      <c r="JX6" s="526">
        <f>('Bloom Cleaner Data'!X6+'OPERATING LEASES'!AY6)/DH6</f>
        <v>2.0722113421567632</v>
      </c>
      <c r="JY6" s="526">
        <f>('Bloom Cleaner Data'!Y6+'OPERATING LEASES'!AZ6)/DI6</f>
        <v>2.0951668585824854</v>
      </c>
      <c r="JZ6" s="526">
        <f>('Bloom Cleaner Data'!Z6+'OPERATING LEASES'!BA6)/DJ6</f>
        <v>2.255278653732411</v>
      </c>
      <c r="KA6" s="526">
        <f>('Bloom Cleaner Data'!AA6+'OPERATING LEASES'!BB6)/DK6</f>
        <v>2.2443973009542271</v>
      </c>
      <c r="KB6" s="526">
        <f>('Bloom Cleaner Data'!AB6+'OPERATING LEASES'!BC6)/DL6</f>
        <v>2.2141194212351629</v>
      </c>
      <c r="KC6" s="526">
        <f>('Bloom Cleaner Data'!AC6+'OPERATING LEASES'!BD6)/DM6</f>
        <v>2.2366266431432265</v>
      </c>
      <c r="KD6" s="526">
        <f>('Bloom Cleaner Data'!AD6+'OPERATING LEASES'!BE6)/DN6</f>
        <v>2.3218862758405252</v>
      </c>
      <c r="KE6" s="526">
        <f>('Bloom Cleaner Data'!AE6+'OPERATING LEASES'!BF6)/DO6</f>
        <v>2.2173195790648483</v>
      </c>
      <c r="KF6" s="526">
        <f>('Bloom Cleaner Data'!AF6+'OPERATING LEASES'!BG6)/DP6</f>
        <v>2.2341589131526653</v>
      </c>
      <c r="KG6" s="526">
        <f>('Bloom Cleaner Data'!AG6+'OPERATING LEASES'!BH6)/DQ6</f>
        <v>2.4891067083299894</v>
      </c>
      <c r="KH6" s="526">
        <f>('Bloom Cleaner Data'!AH6+'OPERATING LEASES'!BI6)/DR6</f>
        <v>2.5252968522290931</v>
      </c>
      <c r="KI6" s="15">
        <f t="shared" ref="KI6:KI25" si="65">AVERAGE(KF6:KH6)</f>
        <v>2.4161874912372494</v>
      </c>
      <c r="KJ6" s="15">
        <f t="shared" ref="KJ6:KJ25" si="66">AVERAGE(KE6:KH6)</f>
        <v>2.366470513194149</v>
      </c>
      <c r="KK6" s="15">
        <f t="shared" ref="KK6:KK25" si="67">AVERAGE(JV6:KH6)</f>
        <v>2.1902281092407181</v>
      </c>
      <c r="KL6" s="18">
        <f t="shared" ref="KL6:KL25" si="68">(KH6-JV6)/JV6</f>
        <v>0.36844726500440206</v>
      </c>
      <c r="KM6" s="15">
        <f t="shared" ref="KM6:KM27" si="69">KK6-JP6</f>
        <v>3.7874076910633381E-2</v>
      </c>
      <c r="KN6" s="18"/>
      <c r="KO6" s="15">
        <f t="shared" ref="KO6:KO27" si="70">$KO$1*JT6+(1-$KO$1)*IY6</f>
        <v>1.7911853058493277</v>
      </c>
      <c r="KP6" s="15">
        <f t="shared" ref="KP6:KP20" si="71">$KO$1*JU6+(1-$KO$1)*IZ6</f>
        <v>1.7186836674076666</v>
      </c>
      <c r="KQ6" s="15">
        <f t="shared" ref="KQ6:KQ20" si="72">$KO$1*JV6+(1-$KO$1)*JA6</f>
        <v>1.8453738896697416</v>
      </c>
      <c r="KR6" s="15">
        <f t="shared" ref="KR6:KR20" si="73">$KO$1*JW6+(1-$KO$1)*JB6</f>
        <v>1.7220229820381925</v>
      </c>
      <c r="KS6" s="15">
        <f t="shared" ref="KS6:KS20" si="74">$KO$1*JX6+(1-$KO$1)*JC6</f>
        <v>2.0722113421567632</v>
      </c>
      <c r="KT6" s="15">
        <f t="shared" ref="KT6:KT20" si="75">$KO$1*JY6+(1-$KO$1)*JD6</f>
        <v>2.0951668585824854</v>
      </c>
      <c r="KU6" s="15">
        <f t="shared" ref="KU6:KU20" si="76">$KO$1*JZ6+(1-$KO$1)*JE6</f>
        <v>2.255278653732411</v>
      </c>
      <c r="KV6" s="15">
        <f t="shared" ref="KV6:KV20" si="77">$KO$1*KA6+(1-$KO$1)*JF6</f>
        <v>2.2443973009542271</v>
      </c>
      <c r="KW6" s="15">
        <f t="shared" ref="KW6:KW20" si="78">$KO$1*KB6+(1-$KO$1)*JG6</f>
        <v>2.2141194212351629</v>
      </c>
      <c r="KX6" s="15">
        <f t="shared" ref="KX6:KX20" si="79">$KO$1*KC6+(1-$KO$1)*JH6</f>
        <v>2.2366266431432265</v>
      </c>
      <c r="KY6" s="15">
        <f t="shared" ref="KY6:KY20" si="80">$KO$1*KD6+(1-$KO$1)*JI6</f>
        <v>2.3218862758405252</v>
      </c>
      <c r="KZ6" s="15">
        <f t="shared" ref="KZ6:KZ20" si="81">$KO$1*KE6+(1-$KO$1)*JJ6</f>
        <v>2.2173195790648483</v>
      </c>
      <c r="LA6" s="15">
        <f t="shared" ref="LA6:LA20" si="82">$KO$1*KF6+(1-$KO$1)*JK6</f>
        <v>2.2341589131526653</v>
      </c>
      <c r="LB6" s="15">
        <f t="shared" ref="LB6:LB20" si="83">$KO$1*KG6+(1-$KO$1)*JL6</f>
        <v>2.4891067083299894</v>
      </c>
      <c r="LC6" s="15">
        <f t="shared" ref="LC6:LC20" si="84">$KO$1*KH6+(1-$KO$1)*JM6</f>
        <v>2.5252968522290931</v>
      </c>
      <c r="LD6" s="15">
        <f t="shared" ref="LD6:LD25" si="85">AVERAGE(LA6:LC6)</f>
        <v>2.4161874912372494</v>
      </c>
      <c r="LE6" s="15">
        <f t="shared" ref="LE6:LE25" si="86">AVERAGE(KZ6:LC6)</f>
        <v>2.366470513194149</v>
      </c>
      <c r="LF6" s="526">
        <f t="shared" ref="LF6:LF25" si="87">AVERAGE(KQ6:LC6)</f>
        <v>2.1902281092407181</v>
      </c>
      <c r="LG6" s="10">
        <f t="shared" ref="LG6:LG27" si="88">(LC6-KQ6)/KQ6</f>
        <v>0.36844726500440206</v>
      </c>
      <c r="LH6" s="18"/>
      <c r="LI6" s="15">
        <f>('Bloom Cleaner Data'!T6+'Bloom Cleaner Data'!EY6)/'Bloom Cleaner Data'!GV6</f>
        <v>2.1601120338759841</v>
      </c>
      <c r="LJ6" s="15">
        <f>('Bloom Cleaner Data'!U6+'Bloom Cleaner Data'!EZ6)/'Bloom Cleaner Data'!GW6</f>
        <v>1.8111513090397344</v>
      </c>
      <c r="LK6" s="15">
        <f>('Bloom Cleaner Data'!V6+'Bloom Cleaner Data'!FA6)/'Bloom Cleaner Data'!GX6</f>
        <v>1.9080698528021234</v>
      </c>
      <c r="LL6" s="15">
        <f>('Bloom Cleaner Data'!W6+'Bloom Cleaner Data'!FB6)/'Bloom Cleaner Data'!GY6</f>
        <v>2.1748444437770784</v>
      </c>
      <c r="LM6" s="15">
        <f>('Bloom Cleaner Data'!X6+'Bloom Cleaner Data'!FC6)/'Bloom Cleaner Data'!GZ6</f>
        <v>2.1083446523873861</v>
      </c>
      <c r="LN6" s="15">
        <f>('Bloom Cleaner Data'!Y6+'Bloom Cleaner Data'!FD6)/'Bloom Cleaner Data'!HA6</f>
        <v>2.2764389643855862</v>
      </c>
      <c r="LO6" s="15">
        <f>('Bloom Cleaner Data'!Z6+'Bloom Cleaner Data'!FE6)/'Bloom Cleaner Data'!HB6</f>
        <v>2.3245081469115414</v>
      </c>
      <c r="LP6" s="15">
        <f>('Bloom Cleaner Data'!AA6+'Bloom Cleaner Data'!FF6)/'Bloom Cleaner Data'!HC6</f>
        <v>2.4116711007561449</v>
      </c>
      <c r="LQ6" s="15">
        <f>('Bloom Cleaner Data'!AB6+'Bloom Cleaner Data'!FG6)/'Bloom Cleaner Data'!HD6</f>
        <v>2.4769734023599832</v>
      </c>
      <c r="LR6" s="15">
        <f>('Bloom Cleaner Data'!AC6+'Bloom Cleaner Data'!FH6)/'Bloom Cleaner Data'!HE6</f>
        <v>2.6168555010234895</v>
      </c>
      <c r="LS6" s="15">
        <f>('Bloom Cleaner Data'!AD6+'Bloom Cleaner Data'!FI6)/'Bloom Cleaner Data'!HF6</f>
        <v>2.4916464353083811</v>
      </c>
      <c r="LT6" s="15">
        <f>('Bloom Cleaner Data'!AE6+'Bloom Cleaner Data'!FJ6)/'Bloom Cleaner Data'!HG6</f>
        <v>2.5222790480395574</v>
      </c>
      <c r="LU6" s="15">
        <f>('Bloom Cleaner Data'!AF6+'Bloom Cleaner Data'!FK6)/'Bloom Cleaner Data'!HH6</f>
        <v>2.6082829708680846</v>
      </c>
      <c r="LV6" s="15">
        <f>('Bloom Cleaner Data'!AG6+'Bloom Cleaner Data'!FL6)/'Bloom Cleaner Data'!HI6</f>
        <v>2.7460170614751584</v>
      </c>
      <c r="LW6" s="15">
        <f>('Bloom Cleaner Data'!AH6+'Bloom Cleaner Data'!FM6)/'Bloom Cleaner Data'!HJ6</f>
        <v>2.8678559414520133</v>
      </c>
      <c r="LX6" s="15">
        <f t="shared" ref="LX6:LX27" si="89">LW6-JM6</f>
        <v>0.38007039192118475</v>
      </c>
      <c r="LY6" s="15">
        <f t="shared" ref="LY6:LY25" si="90">AVERAGE(LU6:LW6)</f>
        <v>2.7407186579317524</v>
      </c>
      <c r="LZ6" s="15">
        <f t="shared" si="27"/>
        <v>0.36222870752547731</v>
      </c>
      <c r="MA6" s="15">
        <f t="shared" ref="MA6:MA25" si="91">AVERAGE(LT6:LW6)</f>
        <v>2.6861087554587035</v>
      </c>
      <c r="MB6" s="15">
        <f t="shared" ref="MB6:MB25" si="92">AVERAGE(LK6:LW6)</f>
        <v>2.4256759631958866</v>
      </c>
      <c r="MC6" s="18">
        <f t="shared" ref="MC6:MC25" si="93">(LW6-LK6)/LK6</f>
        <v>0.50301412563087367</v>
      </c>
      <c r="MD6" s="15">
        <f t="shared" si="28"/>
        <v>0.27332193086580192</v>
      </c>
      <c r="ME6" s="18"/>
      <c r="MF6" s="2024" t="s">
        <v>278</v>
      </c>
      <c r="MG6" s="15">
        <f>JT6+'Bloom Cleaner Data'!EY6/CALCULATIONS!DD6</f>
        <v>2.1941740268158516</v>
      </c>
      <c r="MH6" s="15">
        <f>JU6+'Bloom Cleaner Data'!EZ6/CALCULATIONS!DE6</f>
        <v>1.8487269782805982</v>
      </c>
      <c r="MI6" s="15">
        <f>JV6+'Bloom Cleaner Data'!FA6/CALCULATIONS!DF6</f>
        <v>1.9452872486354573</v>
      </c>
      <c r="MJ6" s="15">
        <f>JW6+'Bloom Cleaner Data'!FB6/CALCULATIONS!DG6</f>
        <v>2.2101966979237502</v>
      </c>
      <c r="MK6" s="15">
        <f>JX6+'Bloom Cleaner Data'!FC6/CALCULATIONS!DH6</f>
        <v>2.1446319856590899</v>
      </c>
      <c r="ML6" s="15">
        <f>JY6+'Bloom Cleaner Data'!FD6/CALCULATIONS!DI6</f>
        <v>2.3119145823128351</v>
      </c>
      <c r="MM6" s="15">
        <f>JZ6+'Bloom Cleaner Data'!FE6/CALCULATIONS!DJ6</f>
        <v>2.3600339108063326</v>
      </c>
      <c r="MN6" s="15">
        <f>KA6+'Bloom Cleaner Data'!FF6/CALCULATIONS!DK6</f>
        <v>2.4472083701783536</v>
      </c>
      <c r="MO6" s="15">
        <f>KB6+'Bloom Cleaner Data'!FG6/CALCULATIONS!DL6</f>
        <v>2.5125853015659665</v>
      </c>
      <c r="MP6" s="15">
        <f>KC6+'Bloom Cleaner Data'!FH6/CALCULATIONS!DM6</f>
        <v>2.6517375283843583</v>
      </c>
      <c r="MQ6" s="15">
        <f>KD6+'Bloom Cleaner Data'!FI6/CALCULATIONS!DN6</f>
        <v>2.5277381870363436</v>
      </c>
      <c r="MR6" s="15">
        <f>KE6+'Bloom Cleaner Data'!FJ6/CALCULATIONS!DO6</f>
        <v>2.5578491457199326</v>
      </c>
      <c r="MS6" s="15">
        <f>KF6+'Bloom Cleaner Data'!FK6/CALCULATIONS!DP6</f>
        <v>2.6432058001804895</v>
      </c>
      <c r="MT6" s="15">
        <f>KG6+'Bloom Cleaner Data'!FL6/CALCULATIONS!DQ6</f>
        <v>2.780271565410505</v>
      </c>
      <c r="MU6" s="15">
        <f>KH6+'Bloom Cleaner Data'!FM6/CALCULATIONS!DR6</f>
        <v>2.9018039513877327</v>
      </c>
      <c r="MV6" s="15">
        <f t="shared" si="29"/>
        <v>0.37650709915863967</v>
      </c>
      <c r="MW6" s="15">
        <f t="shared" ref="MW6:MW25" si="94">AVERAGE(MS6:MU6)</f>
        <v>2.7750937723262421</v>
      </c>
      <c r="MX6" s="15">
        <f t="shared" si="30"/>
        <v>0.3589062810889927</v>
      </c>
      <c r="MY6" s="15">
        <f t="shared" ref="MY6:MY25" si="95">AVERAGE(MR6:MU6)</f>
        <v>2.7207826156746648</v>
      </c>
      <c r="MZ6" s="15">
        <f t="shared" ref="MZ6:MZ25" si="96">AVERAGE(MI6:MU6)</f>
        <v>2.4611126365539344</v>
      </c>
      <c r="NA6" s="18">
        <f t="shared" ref="NA6:NA25" si="97">(MU6-MI6)/MI6</f>
        <v>0.4917097479681905</v>
      </c>
      <c r="NB6" s="15">
        <f t="shared" si="31"/>
        <v>0.27088452731321633</v>
      </c>
      <c r="NC6" s="15"/>
      <c r="ND6" s="13">
        <f>'Bloom Cleaner Data'!GF6+('Bloom Cleaner Data'!T6+'Bloom Cleaner Data'!EY6)+'Bloom Cleaner Data'!CK6</f>
        <v>5492.2330000000002</v>
      </c>
      <c r="NE6" s="13">
        <f>'Bloom Cleaner Data'!GG6+('Bloom Cleaner Data'!U6+'Bloom Cleaner Data'!EZ6)+'Bloom Cleaner Data'!CL6</f>
        <v>4909.7</v>
      </c>
      <c r="NF6" s="13">
        <f>'Bloom Cleaner Data'!GH6+('Bloom Cleaner Data'!V6+'Bloom Cleaner Data'!FA6)+'Bloom Cleaner Data'!CM6</f>
        <v>4784.8999999999996</v>
      </c>
      <c r="NG6" s="13">
        <f>'Bloom Cleaner Data'!GI6+('Bloom Cleaner Data'!W6+'Bloom Cleaner Data'!FB6)+'Bloom Cleaner Data'!CN6</f>
        <v>5169</v>
      </c>
      <c r="NH6" s="13">
        <f>'Bloom Cleaner Data'!GJ6+('Bloom Cleaner Data'!X6+'Bloom Cleaner Data'!FC6)+'Bloom Cleaner Data'!CO6</f>
        <v>4949.6880000000001</v>
      </c>
      <c r="NI6" s="13">
        <f>'Bloom Cleaner Data'!GK6+('Bloom Cleaner Data'!Y6+'Bloom Cleaner Data'!FD6)+'Bloom Cleaner Data'!CP6</f>
        <v>5040.1000000000004</v>
      </c>
      <c r="NJ6" s="13">
        <f>'Bloom Cleaner Data'!GL6+('Bloom Cleaner Data'!Z6+'Bloom Cleaner Data'!FE6)+'Bloom Cleaner Data'!CQ6</f>
        <v>4462</v>
      </c>
      <c r="NK6" s="13">
        <f>'Bloom Cleaner Data'!GM6+('Bloom Cleaner Data'!AA6+'Bloom Cleaner Data'!FF6)+'Bloom Cleaner Data'!CR6</f>
        <v>4526.2999999999993</v>
      </c>
      <c r="NL6" s="13">
        <f>'Bloom Cleaner Data'!GN6+('Bloom Cleaner Data'!AB6+'Bloom Cleaner Data'!FG6)+'Bloom Cleaner Data'!CS6</f>
        <v>4667.3099999999995</v>
      </c>
      <c r="NM6" s="13">
        <f>'Bloom Cleaner Data'!GO6+('Bloom Cleaner Data'!AC6+'Bloom Cleaner Data'!FH6)+'Bloom Cleaner Data'!CT6</f>
        <v>4836</v>
      </c>
      <c r="NN6" s="13">
        <f>'Bloom Cleaner Data'!GP6+('Bloom Cleaner Data'!AD6+'Bloom Cleaner Data'!FI6)+'Bloom Cleaner Data'!CU6</f>
        <v>4493.7</v>
      </c>
      <c r="NO6" s="13">
        <f>'Bloom Cleaner Data'!GQ6+('Bloom Cleaner Data'!AE6+'Bloom Cleaner Data'!FJ6)+'Bloom Cleaner Data'!CV6</f>
        <v>4632.3000000000011</v>
      </c>
      <c r="NP6" s="13">
        <f>'Bloom Cleaner Data'!GR6+('Bloom Cleaner Data'!AF6+'Bloom Cleaner Data'!FK6)+'Bloom Cleaner Data'!CW6</f>
        <v>4633.4830000000002</v>
      </c>
      <c r="NQ6" s="13">
        <f>'Bloom Cleaner Data'!GS6+('Bloom Cleaner Data'!AG6+'Bloom Cleaner Data'!FL6)+'Bloom Cleaner Data'!CX6</f>
        <v>4845.8999999999996</v>
      </c>
      <c r="NR6" s="13">
        <f>'Bloom Cleaner Data'!GT6+('Bloom Cleaner Data'!AH6+'Bloom Cleaner Data'!FM6)+'Bloom Cleaner Data'!CY6</f>
        <v>4943.8999999999996</v>
      </c>
      <c r="NS6" s="168"/>
      <c r="NT6" s="2024" t="s">
        <v>278</v>
      </c>
      <c r="NU6" s="998">
        <f>('Bloom Cleaner Data'!T6+'Bloom Cleaner Data'!EY6+'OPERATING LEASES'!BL6)/CALCULATIONS!ND6</f>
        <v>0.70880207428511188</v>
      </c>
      <c r="NV6" s="998">
        <f>('Bloom Cleaner Data'!U6+'Bloom Cleaner Data'!EZ6+'OPERATING LEASES'!BM6)/CALCULATIONS!NE6</f>
        <v>0.65451937254676595</v>
      </c>
      <c r="NW6" s="998">
        <f>('Bloom Cleaner Data'!V6+'Bloom Cleaner Data'!FA6+'OPERATING LEASES'!BN6)/CALCULATIONS!NF6</f>
        <v>0.68869681371158686</v>
      </c>
      <c r="NX6" s="998">
        <f>('Bloom Cleaner Data'!W6+'Bloom Cleaner Data'!FB6+'OPERATING LEASES'!BO6)/CALCULATIONS!NG6</f>
        <v>0.70891797339220086</v>
      </c>
      <c r="NY6" s="998">
        <f>('Bloom Cleaner Data'!X6+'Bloom Cleaner Data'!FC6+'OPERATING LEASES'!BP6)/CALCULATIONS!NH6</f>
        <v>0.70387580489921797</v>
      </c>
      <c r="NZ6" s="998">
        <f>('Bloom Cleaner Data'!Y6+'Bloom Cleaner Data'!FD6+'OPERATING LEASES'!BQ6)/CALCULATIONS!NI6</f>
        <v>0.73294801938453602</v>
      </c>
      <c r="OA6" s="998">
        <f>('Bloom Cleaner Data'!Z6+'Bloom Cleaner Data'!FE6+'OPERATING LEASES'!BR6)/CALCULATIONS!NJ6</f>
        <v>0.83339623487225456</v>
      </c>
      <c r="OB6" s="998">
        <f>('Bloom Cleaner Data'!AA6+'Bloom Cleaner Data'!FF6+'OPERATING LEASES'!BS6)/CALCULATIONS!NK6</f>
        <v>0.83299752281112616</v>
      </c>
      <c r="OC6" s="998">
        <f>('Bloom Cleaner Data'!AB6+'Bloom Cleaner Data'!FG6+'OPERATING LEASES'!BT6)/CALCULATIONS!NL6</f>
        <v>0.81351900238038621</v>
      </c>
      <c r="OD6" s="998">
        <f>('Bloom Cleaner Data'!AC6+'Bloom Cleaner Data'!FH6+'OPERATING LEASES'!BU6)/CALCULATIONS!NM6</f>
        <v>0.8101869055004135</v>
      </c>
      <c r="OE6" s="998">
        <f>('Bloom Cleaner Data'!AD6+'Bloom Cleaner Data'!FI6+'OPERATING LEASES'!BV6)/CALCULATIONS!NN6</f>
        <v>0.82138290829383354</v>
      </c>
      <c r="OF6" s="998">
        <f>('Bloom Cleaner Data'!AE6+'Bloom Cleaner Data'!FJ6+'OPERATING LEASES'!BW6)/CALCULATIONS!NO6</f>
        <v>0.80517947347969676</v>
      </c>
      <c r="OG6" s="998">
        <f>('Bloom Cleaner Data'!AF6+'Bloom Cleaner Data'!FK6+'OPERATING LEASES'!BX6)/CALCULATIONS!NP6</f>
        <v>0.82216798356657406</v>
      </c>
      <c r="OH6" s="998">
        <f>('Bloom Cleaner Data'!AG6+'Bloom Cleaner Data'!FL6+'OPERATING LEASES'!BY6)/CALCULATIONS!NQ6</f>
        <v>0.81361921934006076</v>
      </c>
      <c r="OI6" s="998">
        <f>('Bloom Cleaner Data'!AH6+'Bloom Cleaner Data'!FM6+'OPERATING LEASES'!BZ6)/CALCULATIONS!NR6</f>
        <v>0.81280312607455663</v>
      </c>
      <c r="OJ6" s="18">
        <f t="shared" ref="OJ6:OJ25" si="98">AVERAGE(OG6:OI6)</f>
        <v>0.81619677632706378</v>
      </c>
      <c r="OK6" s="18">
        <f t="shared" ref="OK6:OK25" si="99">AVERAGE(OF6:OI6)</f>
        <v>0.81344245061522213</v>
      </c>
      <c r="OL6" s="18">
        <f t="shared" ref="OL6:OL25" si="100">AVERAGE(NW6:OI6)</f>
        <v>0.78459161443895709</v>
      </c>
      <c r="OM6" s="10">
        <f t="shared" ref="OM6:OM27" si="101">(OI6-NW6)/NW6</f>
        <v>0.18020456882053054</v>
      </c>
      <c r="ON6" s="10"/>
      <c r="OO6" s="2710">
        <v>1</v>
      </c>
      <c r="OP6" s="526">
        <f>'Bloom Cleaner Data'!D6/'Bloom Cleaner Data'!GF6</f>
        <v>2.7280750935788953</v>
      </c>
      <c r="OQ6" s="526">
        <f>'Bloom Cleaner Data'!E6/'Bloom Cleaner Data'!GG6</f>
        <v>2.6786766666666666</v>
      </c>
      <c r="OR6" s="526">
        <f>'Bloom Cleaner Data'!F6/'Bloom Cleaner Data'!GH6</f>
        <v>2.6905509783042727</v>
      </c>
      <c r="OS6" s="526">
        <f>'Bloom Cleaner Data'!G6/'Bloom Cleaner Data'!GI6</f>
        <v>3.2216182249769223</v>
      </c>
      <c r="OT6" s="526">
        <f>'Bloom Cleaner Data'!H6/'Bloom Cleaner Data'!GJ6</f>
        <v>3.1523421974710972</v>
      </c>
      <c r="OU6" s="526">
        <f>'Bloom Cleaner Data'!I6/'Bloom Cleaner Data'!GK6</f>
        <v>3.3644642357274401</v>
      </c>
      <c r="OV6" s="526">
        <f>'Bloom Cleaner Data'!J6/'Bloom Cleaner Data'!GL6</f>
        <v>5.1597282723900371</v>
      </c>
      <c r="OW6" s="526">
        <f>'Bloom Cleaner Data'!K6/'Bloom Cleaner Data'!GM6</f>
        <v>4.3702831270358304</v>
      </c>
      <c r="OX6" s="526">
        <f>'Bloom Cleaner Data'!L6/'Bloom Cleaner Data'!GN6</f>
        <v>4.6295545288808873</v>
      </c>
      <c r="OY6" s="526">
        <f>'Bloom Cleaner Data'!M6/'Bloom Cleaner Data'!GO6</f>
        <v>4.1526634429400389</v>
      </c>
      <c r="OZ6" s="526">
        <f>'Bloom Cleaner Data'!N6/'Bloom Cleaner Data'!GP6</f>
        <v>4.2128006379585328</v>
      </c>
      <c r="PA6" s="526">
        <f>'Bloom Cleaner Data'!O6/'Bloom Cleaner Data'!GQ6</f>
        <v>2.6608021425448185</v>
      </c>
      <c r="PB6" s="526">
        <f>'Bloom Cleaner Data'!P6/'Bloom Cleaner Data'!GR6</f>
        <v>3.0381227224399536</v>
      </c>
      <c r="PC6" s="526">
        <f>'Bloom Cleaner Data'!Q6/'Bloom Cleaner Data'!GS6</f>
        <v>2.4751283732109695</v>
      </c>
      <c r="PD6" s="526">
        <f>'Bloom Cleaner Data'!R6/'Bloom Cleaner Data'!GT6</f>
        <v>2.2961398399999999</v>
      </c>
      <c r="PE6" s="526">
        <f t="shared" ref="PE6:PE25" si="102">AVERAGE(OR6:PD6)</f>
        <v>3.4941691326062152</v>
      </c>
      <c r="PF6" s="10">
        <f t="shared" ref="PF6:PF27" si="103">(PD6-OR6)/OR6</f>
        <v>-0.14659121551112608</v>
      </c>
      <c r="PG6" s="526">
        <f t="shared" ref="PG6:PG27" si="104">AVERAGE(OP6,OT6,OX6,PB6)</f>
        <v>3.3870236355927084</v>
      </c>
      <c r="PH6" s="18"/>
      <c r="PI6" s="2710">
        <v>1</v>
      </c>
      <c r="PJ6" s="526">
        <f>CALCULATIONS!DD6/'Bloom Cleaner Data'!GF6</f>
        <v>1.122326660379761</v>
      </c>
      <c r="PK6" s="526">
        <f>CALCULATIONS!DE6/'Bloom Cleaner Data'!GG6</f>
        <v>1.0419380675088257</v>
      </c>
      <c r="PL6" s="526">
        <f>CALCULATIONS!DF6/'Bloom Cleaner Data'!GH6</f>
        <v>1.1543343479022696</v>
      </c>
      <c r="PM6" s="526">
        <f>CALCULATIONS!DG6/'Bloom Cleaner Data'!GI6</f>
        <v>1.1162073150007039</v>
      </c>
      <c r="PN6" s="526">
        <f>CALCULATIONS!DH6/'Bloom Cleaner Data'!GJ6</f>
        <v>1.1237486775961674</v>
      </c>
      <c r="PO6" s="526">
        <f>CALCULATIONS!DI6/'Bloom Cleaner Data'!GK6</f>
        <v>1.2010806260488305</v>
      </c>
      <c r="PP6" s="526">
        <f>CALCULATIONS!DJ6/'Bloom Cleaner Data'!GL6</f>
        <v>2.1297781575022929</v>
      </c>
      <c r="PQ6" s="526">
        <f>CALCULATIONS!DK6/'Bloom Cleaner Data'!GM6</f>
        <v>2.0474439647837008</v>
      </c>
      <c r="PR6" s="526">
        <f>CALCULATIONS!DL6/'Bloom Cleaner Data'!GN6</f>
        <v>1.7450304833808234</v>
      </c>
      <c r="PS6" s="526">
        <f>CALCULATIONS!DM6/'Bloom Cleaner Data'!GO6</f>
        <v>1.6179043673421796</v>
      </c>
      <c r="PT6" s="526">
        <f>CALCULATIONS!DN6/'Bloom Cleaner Data'!GP6</f>
        <v>1.8272852724016433</v>
      </c>
      <c r="PU6" s="526">
        <f>CALCULATIONS!DO6/'Bloom Cleaner Data'!GQ6</f>
        <v>1.6252753391981447</v>
      </c>
      <c r="PV6" s="526">
        <f>CALCULATIONS!DP6/'Bloom Cleaner Data'!GR6</f>
        <v>1.756497150306058</v>
      </c>
      <c r="PW6" s="526">
        <f>CALCULATIONS!DQ6/'Bloom Cleaner Data'!GS6</f>
        <v>1.5778422546626765</v>
      </c>
      <c r="PX6" s="526">
        <f>CALCULATIONS!DR6/'Bloom Cleaner Data'!GT6</f>
        <v>1.5037874928039701</v>
      </c>
      <c r="PY6" s="526">
        <f t="shared" ref="PY6:PY25" si="105">AVERAGE(PL6:PX6)</f>
        <v>1.5712473422253432</v>
      </c>
      <c r="PZ6" s="526">
        <f t="shared" ref="PZ6:PZ27" si="106">AVERAGE(PP6:PX6)</f>
        <v>1.75898272026461</v>
      </c>
      <c r="QA6" s="18"/>
      <c r="QC6" s="15">
        <f>'Bloom Cleaner Data'!HZ6</f>
        <v>4.8882000000000003</v>
      </c>
      <c r="QD6" s="15">
        <f>AVERAGE('Bloom Cleaner Data'!HN6:HZ6)</f>
        <v>7.1861692307692318</v>
      </c>
      <c r="QE6" s="504">
        <f>('Bloom Cleaner Data'!HZ6-'Bloom Cleaner Data'!HN6)/'Bloom Cleaner Data'!HN6</f>
        <v>-0.43034611350658425</v>
      </c>
      <c r="QF6" s="15">
        <f>'Bloom Cleaner Data'!HZ6-'Bloom Cleaner Data'!HL6</f>
        <v>-2.6042999999999994</v>
      </c>
    </row>
    <row r="7" spans="1:450" s="727" customFormat="1">
      <c r="A7" s="725" t="s">
        <v>323</v>
      </c>
      <c r="B7" s="1476" t="s">
        <v>37</v>
      </c>
      <c r="C7" s="1208" t="s">
        <v>1105</v>
      </c>
      <c r="D7" s="728"/>
      <c r="E7" s="729">
        <f>'Bloom Cleaner Data'!D7</f>
        <v>8197.4082999999991</v>
      </c>
      <c r="F7" s="728"/>
      <c r="G7" s="729">
        <f>'Bloom Cleaner Data'!F7</f>
        <v>8743.0166000000008</v>
      </c>
      <c r="H7" s="729">
        <f>'Bloom Cleaner Data'!H7</f>
        <v>8077.2514000000001</v>
      </c>
      <c r="I7" s="729">
        <f>'Bloom Cleaner Data'!J7</f>
        <v>8313.7248999999993</v>
      </c>
      <c r="J7" s="729">
        <f>'Bloom Cleaner Data'!L7</f>
        <v>7699.8073999999997</v>
      </c>
      <c r="K7" s="729">
        <f>'Bloom Cleaner Data'!N7</f>
        <v>7590.3544000000002</v>
      </c>
      <c r="L7" s="729">
        <f>'Bloom Cleaner Data'!P7</f>
        <v>7068.3325999999997</v>
      </c>
      <c r="M7" s="729">
        <f>'Bloom Cleaner Data'!R7</f>
        <v>5825.8631999999998</v>
      </c>
      <c r="N7" s="729">
        <f t="shared" si="0"/>
        <v>7616.907214285714</v>
      </c>
      <c r="O7" s="729">
        <f t="shared" si="32"/>
        <v>6828.183399999999</v>
      </c>
      <c r="P7" s="730">
        <f t="shared" si="1"/>
        <v>-0.33365525120929096</v>
      </c>
      <c r="Q7" s="1163">
        <f>P7</f>
        <v>-0.33365525120929096</v>
      </c>
      <c r="R7" s="730">
        <f t="shared" si="33"/>
        <v>-0.23187967230365203</v>
      </c>
      <c r="S7" s="1364" t="s">
        <v>37</v>
      </c>
      <c r="T7" s="1323">
        <f>'Bloom Cleaner Data'!D7/'Bloom Cleaner Data'!$F7</f>
        <v>0.9375949600736202</v>
      </c>
      <c r="U7" s="1323">
        <f>'Bloom Cleaner Data'!E7/'Bloom Cleaner Data'!$F7</f>
        <v>1.0596053311851197</v>
      </c>
      <c r="V7" s="1323">
        <f>'Bloom Cleaner Data'!F7/'Bloom Cleaner Data'!$F7</f>
        <v>1</v>
      </c>
      <c r="W7" s="1323">
        <f>'Bloom Cleaner Data'!G7/'Bloom Cleaner Data'!$F7</f>
        <v>1.1059346610413616</v>
      </c>
      <c r="X7" s="1323">
        <f>'Bloom Cleaner Data'!H7/'Bloom Cleaner Data'!$F7</f>
        <v>0.92385177445505473</v>
      </c>
      <c r="Y7" s="1323">
        <f>'Bloom Cleaner Data'!I7/'Bloom Cleaner Data'!$F7</f>
        <v>1.0051339717232151</v>
      </c>
      <c r="Z7" s="1323">
        <f>'Bloom Cleaner Data'!J7/'Bloom Cleaner Data'!$F7</f>
        <v>0.95089890370332808</v>
      </c>
      <c r="AA7" s="1323">
        <f>'Bloom Cleaner Data'!K7/'Bloom Cleaner Data'!$F7</f>
        <v>0.87608737926907276</v>
      </c>
      <c r="AB7" s="1323">
        <f>'Bloom Cleaner Data'!L7/'Bloom Cleaner Data'!$F7</f>
        <v>0.88068086248400801</v>
      </c>
      <c r="AC7" s="1323">
        <f>'Bloom Cleaner Data'!M7/'Bloom Cleaner Data'!$F7</f>
        <v>0.93188545472966378</v>
      </c>
      <c r="AD7" s="1323">
        <f>'Bloom Cleaner Data'!N7/'Bloom Cleaner Data'!$F7</f>
        <v>0.86816195682391817</v>
      </c>
      <c r="AE7" s="1323">
        <f>'Bloom Cleaner Data'!O7/'Bloom Cleaner Data'!$F7</f>
        <v>0.91816135863221393</v>
      </c>
      <c r="AF7" s="1323">
        <f>'Bloom Cleaner Data'!P7/'Bloom Cleaner Data'!$F7</f>
        <v>0.80845466998198301</v>
      </c>
      <c r="AG7" s="1323">
        <f>'Bloom Cleaner Data'!Q7/'Bloom Cleaner Data'!$F7</f>
        <v>0.74979956002828585</v>
      </c>
      <c r="AH7" s="1323">
        <f>'Bloom Cleaner Data'!R7/'Bloom Cleaner Data'!$F7</f>
        <v>0.66634474879070904</v>
      </c>
      <c r="AI7" s="729"/>
      <c r="AJ7" s="729">
        <f>AVERAGE('Bloom Cleaner Data'!BW7:CI7)</f>
        <v>9713.3542384615375</v>
      </c>
      <c r="AK7" s="731">
        <f>('Bloom Cleaner Data'!CI7-'Bloom Cleaner Data'!BW7)/'Bloom Cleaner Data'!BW7</f>
        <v>-0.24787711680043312</v>
      </c>
      <c r="AL7" s="731">
        <f>('Bloom Cleaner Data'!CI7+'Bloom Cleaner Data'!CH7-'Bloom Cleaner Data'!BW7-'Bloom Cleaner Data'!BV7)/('Bloom Cleaner Data'!BW7+'Bloom Cleaner Data'!BV7)</f>
        <v>-0.24170472635175672</v>
      </c>
      <c r="AM7" s="729"/>
      <c r="AN7" s="729">
        <f>'Bloom Cleaner Data'!BW7</f>
        <v>10764.016600000001</v>
      </c>
      <c r="AO7" s="729">
        <f>'Bloom Cleaner Data'!BY7</f>
        <v>9874.2513999999992</v>
      </c>
      <c r="AP7" s="729">
        <f>'Bloom Cleaner Data'!CA7</f>
        <v>10268.724899999999</v>
      </c>
      <c r="AQ7" s="729">
        <f>'Bloom Cleaner Data'!CC7</f>
        <v>9540.8073999999997</v>
      </c>
      <c r="AR7" s="729">
        <f>'Bloom Cleaner Data'!CE7</f>
        <v>9669.3544000000002</v>
      </c>
      <c r="AS7" s="729">
        <f>'Bloom Cleaner Data'!CG7</f>
        <v>8971.3325999999997</v>
      </c>
      <c r="AT7" s="729">
        <f>'Bloom Cleaner Data'!CI7</f>
        <v>8095.8631999999998</v>
      </c>
      <c r="AU7" s="729">
        <f t="shared" si="2"/>
        <v>9597.764357142858</v>
      </c>
      <c r="AV7" s="730">
        <f t="shared" si="3"/>
        <v>-0.24787711680043312</v>
      </c>
      <c r="AW7" s="730"/>
      <c r="AX7" s="729">
        <f>'Bloom Cleaner Data'!T7+'OPERATING LEASES'!AU7</f>
        <v>2051.3840034037871</v>
      </c>
      <c r="AY7" s="729">
        <f>'Bloom Cleaner Data'!U7+'OPERATING LEASES'!AV7</f>
        <v>1717.2221080296447</v>
      </c>
      <c r="AZ7" s="729">
        <f>'Bloom Cleaner Data'!V7+'OPERATING LEASES'!AW7</f>
        <v>2073.0602126555027</v>
      </c>
      <c r="BA7" s="729">
        <f>'Bloom Cleaner Data'!W7+'OPERATING LEASES'!AX7</f>
        <v>1801.8983172813605</v>
      </c>
      <c r="BB7" s="729">
        <f>'Bloom Cleaner Data'!X7+'OPERATING LEASES'!AY7</f>
        <v>1837.7364219072183</v>
      </c>
      <c r="BC7" s="729">
        <f>'Bloom Cleaner Data'!Y7+'OPERATING LEASES'!AZ7</f>
        <v>1563.9459480636826</v>
      </c>
      <c r="BD7" s="729">
        <f>'Bloom Cleaner Data'!Z7+'OPERATING LEASES'!BA7</f>
        <v>1991.155474220147</v>
      </c>
      <c r="BE7" s="729">
        <f>'Bloom Cleaner Data'!AA7+'OPERATING LEASES'!BB7</f>
        <v>1724.3650003766115</v>
      </c>
      <c r="BF7" s="729">
        <f>'Bloom Cleaner Data'!AB7+'OPERATING LEASES'!BC7</f>
        <v>1892.5745265330761</v>
      </c>
      <c r="BG7" s="729">
        <f>'Bloom Cleaner Data'!AC7+'OPERATING LEASES'!BD7</f>
        <v>1672.0602126555027</v>
      </c>
      <c r="BH7" s="729">
        <f>'Bloom Cleaner Data'!AD7+'OPERATING LEASES'!BE7</f>
        <v>2117.5458987779293</v>
      </c>
      <c r="BI7" s="729">
        <f>'Bloom Cleaner Data'!AE7+'OPERATING LEASES'!BF7</f>
        <v>1867.0315849003557</v>
      </c>
      <c r="BJ7" s="729">
        <f>'Bloom Cleaner Data'!AF7+'OPERATING LEASES'!BG7</f>
        <v>1957.5172710227823</v>
      </c>
      <c r="BK7" s="729">
        <f>'Bloom Cleaner Data'!AG7+'OPERATING LEASES'!BH7</f>
        <v>1852.5172710227823</v>
      </c>
      <c r="BL7" s="729">
        <f>'Bloom Cleaner Data'!AH7+'OPERATING LEASES'!BI7</f>
        <v>2351.5172710227826</v>
      </c>
      <c r="BM7" s="1168">
        <f t="shared" si="34"/>
        <v>1900.2250315722872</v>
      </c>
      <c r="BN7" s="730">
        <f t="shared" si="35"/>
        <v>0.13432174167801333</v>
      </c>
      <c r="BO7" s="730"/>
      <c r="BP7" s="729">
        <f>'Bloom Cleaner Data'!BU7+'OPERATING LEASES'!AU7</f>
        <v>10255.792303403787</v>
      </c>
      <c r="BQ7" s="729">
        <f>'Bloom Cleaner Data'!BV7+'OPERATING LEASES'!AV7</f>
        <v>11208.369108029645</v>
      </c>
      <c r="BR7" s="729">
        <f>'Bloom Cleaner Data'!BW7+'OPERATING LEASES'!AW7</f>
        <v>11038.076812655503</v>
      </c>
      <c r="BS7" s="729">
        <f>'Bloom Cleaner Data'!BX7+'OPERATING LEASES'!AX7</f>
        <v>11700.10341728136</v>
      </c>
      <c r="BT7" s="729">
        <f>'Bloom Cleaner Data'!BY7+'OPERATING LEASES'!AY7</f>
        <v>10149.987821907218</v>
      </c>
      <c r="BU7" s="729">
        <f>'Bloom Cleaner Data'!BZ7+'OPERATING LEASES'!AZ7</f>
        <v>10587.848948063684</v>
      </c>
      <c r="BV7" s="729">
        <f>'Bloom Cleaner Data'!CA7+'OPERATING LEASES'!BA7</f>
        <v>10544.880374220147</v>
      </c>
      <c r="BW7" s="729">
        <f>'Bloom Cleaner Data'!CB7+'OPERATING LEASES'!BB7</f>
        <v>9632.0115003766114</v>
      </c>
      <c r="BX7" s="729">
        <f>'Bloom Cleaner Data'!CC7+'OPERATING LEASES'!BC7</f>
        <v>9817.3819265330749</v>
      </c>
      <c r="BY7" s="729">
        <f>'Bloom Cleaner Data'!CD7+'OPERATING LEASES'!BD7</f>
        <v>10047.550212655502</v>
      </c>
      <c r="BZ7" s="729">
        <f>'Bloom Cleaner Data'!CE7+'OPERATING LEASES'!BE7</f>
        <v>9940.9002987779295</v>
      </c>
      <c r="CA7" s="729">
        <f>'Bloom Cleaner Data'!CF7+'OPERATING LEASES'!BF7</f>
        <v>10133.531584900356</v>
      </c>
      <c r="CB7" s="729">
        <f>'Bloom Cleaner Data'!CG7+'OPERATING LEASES'!BG7</f>
        <v>9237.8498710227814</v>
      </c>
      <c r="CC7" s="729">
        <f>'Bloom Cleaner Data'!CH7+'OPERATING LEASES'!BH7</f>
        <v>8625.0272710227819</v>
      </c>
      <c r="CD7" s="729">
        <f>'Bloom Cleaner Data'!CI7+'OPERATING LEASES'!BI7</f>
        <v>8362.3804710227814</v>
      </c>
      <c r="CE7" s="1168">
        <f t="shared" si="36"/>
        <v>9985.9638854184414</v>
      </c>
      <c r="CF7" s="730">
        <f t="shared" si="37"/>
        <v>-0.24240602661551977</v>
      </c>
      <c r="CG7" s="731">
        <f t="shared" si="4"/>
        <v>2.8065448892769039E-2</v>
      </c>
      <c r="CH7" s="729"/>
      <c r="CI7" s="731">
        <f>$CI$1*BP7/('Bloom Cleaner Data'!D7+'Bloom Cleaner Data'!T7+'OPERATING LEASES'!AU7)+(1-$CI$1)*'Bloom Cleaner Data'!BU7/('Bloom Cleaner Data'!D7+'Bloom Cleaner Data'!T7)-1</f>
        <v>6.8300730396053666E-4</v>
      </c>
      <c r="CJ7" s="731">
        <f>$CI$1*BQ7/('Bloom Cleaner Data'!E7+'Bloom Cleaner Data'!U7+'OPERATING LEASES'!AV7)+(1-$CI$1)*'Bloom Cleaner Data'!BV7/('Bloom Cleaner Data'!E7+'Bloom Cleaner Data'!U7)-1</f>
        <v>2.0671375105132839E-2</v>
      </c>
      <c r="CK7" s="731">
        <f>$CI$1*BR7/('Bloom Cleaner Data'!F7+'Bloom Cleaner Data'!V7+'OPERATING LEASES'!AW7)+(1-$CI$1)*'Bloom Cleaner Data'!BW7/('Bloom Cleaner Data'!F7+'Bloom Cleaner Data'!V7)-1</f>
        <v>2.0525002165318051E-2</v>
      </c>
      <c r="CL7" s="731">
        <f>$CI$1*BS7/('Bloom Cleaner Data'!G7+'Bloom Cleaner Data'!W7+'OPERATING LEASES'!AX7)+(1-$CI$1)*'Bloom Cleaner Data'!BX7/('Bloom Cleaner Data'!G7+'Bloom Cleaner Data'!W7)-1</f>
        <v>1.9963205950615848E-2</v>
      </c>
      <c r="CM7" s="731">
        <f>$CI$1*BT7/('Bloom Cleaner Data'!H7+'Bloom Cleaner Data'!X7+'OPERATING LEASES'!AY7)+(1-$CI$1)*'Bloom Cleaner Data'!BY7/('Bloom Cleaner Data'!H7+'Bloom Cleaner Data'!X7)-1</f>
        <v>2.3701491542003073E-2</v>
      </c>
      <c r="CN7" s="731">
        <f>$CI$1*BU7/('Bloom Cleaner Data'!I7+'Bloom Cleaner Data'!Y7+'OPERATING LEASES'!AZ7)+(1-$CI$1)*'Bloom Cleaner Data'!BZ7/('Bloom Cleaner Data'!I7+'Bloom Cleaner Data'!Y7)-1</f>
        <v>2.2797859704487333E-2</v>
      </c>
      <c r="CO7" s="731">
        <f>$CI$1*BV7/('Bloom Cleaner Data'!J7+'Bloom Cleaner Data'!Z7+'OPERATING LEASES'!BA7)+(1-$CI$1)*'Bloom Cleaner Data'!CA7/('Bloom Cleaner Data'!J7+'Bloom Cleaner Data'!Z7)-1</f>
        <v>2.3289935572703202E-2</v>
      </c>
      <c r="CP7" s="731">
        <f>$CI$1*BW7/('Bloom Cleaner Data'!K7+'Bloom Cleaner Data'!AA7+'OPERATING LEASES'!BB7)+(1-$CI$1)*'Bloom Cleaner Data'!CB7/('Bloom Cleaner Data'!K7+'Bloom Cleaner Data'!AA7)-1</f>
        <v>2.6427930101113661E-2</v>
      </c>
      <c r="CQ7" s="731">
        <f>$CI$1*BX7/('Bloom Cleaner Data'!L7+'Bloom Cleaner Data'!AB7+'OPERATING LEASES'!BC7)+(1-$CI$1)*'Bloom Cleaner Data'!CC7/('Bloom Cleaner Data'!L7+'Bloom Cleaner Data'!AB7)-1</f>
        <v>2.3456113582971172E-2</v>
      </c>
      <c r="CR7" s="731">
        <f>$CI$1*BY7/('Bloom Cleaner Data'!M7+'Bloom Cleaner Data'!AC7+'OPERATING LEASES'!BD7)+(1-$CI$1)*'Bloom Cleaner Data'!CD7/('Bloom Cleaner Data'!M7+'Bloom Cleaner Data'!AC7)-1</f>
        <v>2.3218986110601358E-2</v>
      </c>
      <c r="CS7" s="731">
        <f>$CI$1*BZ7/('Bloom Cleaner Data'!N7+'Bloom Cleaner Data'!AD7+'OPERATING LEASES'!BE7)+(1-$CI$1)*'Bloom Cleaner Data'!CE7/('Bloom Cleaner Data'!N7+'Bloom Cleaner Data'!AD7)-1</f>
        <v>2.400107055377676E-2</v>
      </c>
      <c r="CT7" s="731">
        <f>$CI$1*CA7/('Bloom Cleaner Data'!O7+'Bloom Cleaner Data'!AE7+'OPERATING LEASES'!BF7)+(1-$CI$1)*'Bloom Cleaner Data'!CF7/('Bloom Cleaner Data'!O7+'Bloom Cleaner Data'!AE7)-1</f>
        <v>2.4154756387329002E-2</v>
      </c>
      <c r="CU7" s="731">
        <f>$CI$1*CB7/('Bloom Cleaner Data'!P7+'Bloom Cleaner Data'!AF7+'OPERATING LEASES'!BG7)+(1-$CI$1)*'Bloom Cleaner Data'!CG7/('Bloom Cleaner Data'!P7+'Bloom Cleaner Data'!AF7)-1</f>
        <v>2.3488092869860422E-2</v>
      </c>
      <c r="CV7" s="731">
        <f>$CI$1*CC7/('Bloom Cleaner Data'!Q7+'Bloom Cleaner Data'!AG7+'OPERATING LEASES'!BH7)+(1-$CI$1)*'Bloom Cleaner Data'!CH7/('Bloom Cleaner Data'!Q7+'Bloom Cleaner Data'!AG7)-1</f>
        <v>2.5808669858607969E-2</v>
      </c>
      <c r="CW7" s="731">
        <f>$CI$1*CD7/('Bloom Cleaner Data'!R7+'Bloom Cleaner Data'!AH7+'OPERATING LEASES'!BI7)+(1-$CI$1)*'Bloom Cleaner Data'!CI7/('Bloom Cleaner Data'!R7+'Bloom Cleaner Data'!AH7)-1</f>
        <v>2.2623381736432746E-2</v>
      </c>
      <c r="CX7" s="731">
        <f t="shared" si="38"/>
        <v>2.3342807395063121E-2</v>
      </c>
      <c r="CY7" s="729"/>
      <c r="CZ7" s="3113">
        <f>AVERAGE('Bloom Cleaner Data'!GX7:HJ7)</f>
        <v>2050.4550648632621</v>
      </c>
      <c r="DA7" s="3114">
        <f>('Bloom Cleaner Data'!HJ7-'Bloom Cleaner Data'!GX7)/'Bloom Cleaner Data'!GX7</f>
        <v>-0.37043092672187389</v>
      </c>
      <c r="DB7" s="3114">
        <f>('Bloom Cleaner Data'!HJ7+'Bloom Cleaner Data'!HI7-'Bloom Cleaner Data'!GX7-'Bloom Cleaner Data'!GW7)/('Bloom Cleaner Data'!GX7+'Bloom Cleaner Data'!GW7)</f>
        <v>-0.36858359461916135</v>
      </c>
      <c r="DC7" s="729"/>
      <c r="DD7" s="729">
        <f>'Bloom Cleaner Data'!GV7+'OPERATING LEASES'!BL7</f>
        <v>2391.4379200767758</v>
      </c>
      <c r="DE7" s="729">
        <f>'Bloom Cleaner Data'!GW7+'OPERATING LEASES'!BM7</f>
        <v>2829.0704476083183</v>
      </c>
      <c r="DF7" s="729">
        <f>'Bloom Cleaner Data'!GX7+'OPERATING LEASES'!BN7</f>
        <v>2829.7837740153523</v>
      </c>
      <c r="DG7" s="729">
        <f>'Bloom Cleaner Data'!GY7+'OPERATING LEASES'!BO7</f>
        <v>2825.4209079592029</v>
      </c>
      <c r="DH7" s="729">
        <f>'Bloom Cleaner Data'!GZ7+'OPERATING LEASES'!BP7</f>
        <v>2461.1067170306101</v>
      </c>
      <c r="DI7" s="729">
        <f>'Bloom Cleaner Data'!HA7+'OPERATING LEASES'!BQ7</f>
        <v>2010.1663891991752</v>
      </c>
      <c r="DJ7" s="729">
        <f>'Bloom Cleaner Data'!HB7+'OPERATING LEASES'!BR7</f>
        <v>2019.1755381392661</v>
      </c>
      <c r="DK7" s="729">
        <f>'Bloom Cleaner Data'!HC7+'OPERATING LEASES'!BS7</f>
        <v>1999.2042884872967</v>
      </c>
      <c r="DL7" s="729">
        <f>'Bloom Cleaner Data'!HD7+'OPERATING LEASES'!BT7</f>
        <v>1952.2397448223369</v>
      </c>
      <c r="DM7" s="729">
        <f>'Bloom Cleaner Data'!HE7+'OPERATING LEASES'!BU7</f>
        <v>1941.8883820897845</v>
      </c>
      <c r="DN7" s="729">
        <f>'Bloom Cleaner Data'!HF7+'OPERATING LEASES'!BV7</f>
        <v>1866.4913132152435</v>
      </c>
      <c r="DO7" s="729">
        <f>'Bloom Cleaner Data'!HG7+'OPERATING LEASES'!BW7</f>
        <v>1854.1191154836338</v>
      </c>
      <c r="DP7" s="729">
        <f>'Bloom Cleaner Data'!HH7+'OPERATING LEASES'!BX7</f>
        <v>1832.7614120115918</v>
      </c>
      <c r="DQ7" s="729">
        <f>'Bloom Cleaner Data'!HI7+'OPERATING LEASES'!BY7</f>
        <v>1802.7396015692559</v>
      </c>
      <c r="DR7" s="729">
        <f>'Bloom Cleaner Data'!HJ7+'OPERATING LEASES'!BZ7</f>
        <v>1793.7338377710855</v>
      </c>
      <c r="DS7" s="1168">
        <f t="shared" si="39"/>
        <v>2091.448540137987</v>
      </c>
      <c r="DT7" s="730">
        <f t="shared" si="40"/>
        <v>-0.36612335746563157</v>
      </c>
      <c r="DU7" s="731">
        <f t="shared" si="41"/>
        <v>1.9992379241658063E-2</v>
      </c>
      <c r="DV7" s="741"/>
      <c r="DW7" s="732">
        <f>'Bloom Cleaner Data'!DT7</f>
        <v>1.7244000000000002</v>
      </c>
      <c r="DX7" s="732">
        <f>'Bloom Cleaner Data'!DX7</f>
        <v>1.5928</v>
      </c>
      <c r="DY7" s="732">
        <f>'Bloom Cleaner Data'!EB7</f>
        <v>1.5194000000000001</v>
      </c>
      <c r="DZ7" s="732">
        <f>'Bloom Cleaner Data'!EF7</f>
        <v>1.2703</v>
      </c>
      <c r="EA7" s="732">
        <f>AVERAGE('Bloom Cleaner Data'!DT7:EF7)</f>
        <v>1.5174769230769232</v>
      </c>
      <c r="EB7" s="731">
        <f t="shared" si="5"/>
        <v>-0.26333797262816061</v>
      </c>
      <c r="EC7" s="729"/>
      <c r="ED7" s="732">
        <f>'Bloom Cleaner Data'!DC7</f>
        <v>3.8635999999999999</v>
      </c>
      <c r="EE7" s="732">
        <f>'Bloom Cleaner Data'!DG7</f>
        <v>5.1914999999999996</v>
      </c>
      <c r="EF7" s="732">
        <f>'Bloom Cleaner Data'!DK7</f>
        <v>5.2953999999999999</v>
      </c>
      <c r="EG7" s="732">
        <f>'Bloom Cleaner Data'!DO7</f>
        <v>4.6157000000000004</v>
      </c>
      <c r="EH7" s="732">
        <f>AVERAGE('Bloom Cleaner Data'!DC7:DO7)</f>
        <v>4.8064307692307704</v>
      </c>
      <c r="EI7" s="733">
        <f t="shared" si="42"/>
        <v>4.7415500000000002</v>
      </c>
      <c r="EJ7" s="733">
        <f t="shared" si="6"/>
        <v>6.4880769230770241E-2</v>
      </c>
      <c r="EK7" s="731">
        <f t="shared" si="43"/>
        <v>0.19466300859302216</v>
      </c>
      <c r="EL7" s="731"/>
      <c r="EM7" s="732">
        <f>('Bloom Cleaner Data'!BU7+'OPERATING LEASES'!AU7)/DD7</f>
        <v>4.2885463249133933</v>
      </c>
      <c r="EN7" s="732">
        <f>('Bloom Cleaner Data'!BV7+'OPERATING LEASES'!AV7)/DE7</f>
        <v>3.9618557811118289</v>
      </c>
      <c r="EO7" s="732">
        <f>('Bloom Cleaner Data'!BW7+'OPERATING LEASES'!AW7)/DF7</f>
        <v>3.9006785302867524</v>
      </c>
      <c r="EP7" s="732">
        <f>('Bloom Cleaner Data'!BX7+'OPERATING LEASES'!AX7)/DG7</f>
        <v>4.1410125423515485</v>
      </c>
      <c r="EQ7" s="732">
        <f>('Bloom Cleaner Data'!BY7+'OPERATING LEASES'!AY7)/DH7</f>
        <v>4.1241559139513644</v>
      </c>
      <c r="ER7" s="732">
        <f>('Bloom Cleaner Data'!BZ7+'OPERATING LEASES'!AZ7)/DI7</f>
        <v>5.2671505229384259</v>
      </c>
      <c r="ES7" s="732">
        <f>('Bloom Cleaner Data'!CA7+'OPERATING LEASES'!BA7)/DJ7</f>
        <v>5.2223693161108651</v>
      </c>
      <c r="ET7" s="732">
        <f>('Bloom Cleaner Data'!CB7+'OPERATING LEASES'!BB7)/DK7</f>
        <v>4.8179225884237669</v>
      </c>
      <c r="EU7" s="732">
        <f>('Bloom Cleaner Data'!CC7+'OPERATING LEASES'!BC7)/DL7</f>
        <v>5.0287788436693788</v>
      </c>
      <c r="EV7" s="732">
        <f>('Bloom Cleaner Data'!CD7+'OPERATING LEASES'!BD7)/DM7</f>
        <v>5.1741131495120847</v>
      </c>
      <c r="EW7" s="732">
        <f>('Bloom Cleaner Data'!CE7+'OPERATING LEASES'!BE7)/DN7</f>
        <v>5.3259826222569435</v>
      </c>
      <c r="EX7" s="732">
        <f>('Bloom Cleaner Data'!CF7+'OPERATING LEASES'!BF7)/DO7</f>
        <v>5.4654156252831125</v>
      </c>
      <c r="EY7" s="732">
        <f>('Bloom Cleaner Data'!CG7+'OPERATING LEASES'!BG7)/DP7</f>
        <v>5.0403995907375387</v>
      </c>
      <c r="EZ7" s="732">
        <f>('Bloom Cleaner Data'!CH7+'OPERATING LEASES'!BH7)/DQ7</f>
        <v>4.7843999563302617</v>
      </c>
      <c r="FA7" s="732">
        <f>('Bloom Cleaner Data'!CI7+'OPERATING LEASES'!BI7)/DR7</f>
        <v>4.6619962755533297</v>
      </c>
      <c r="FB7" s="734">
        <f t="shared" si="44"/>
        <v>4.8426442674927213</v>
      </c>
      <c r="FC7" s="730">
        <f t="shared" si="45"/>
        <v>0.1951757211867983</v>
      </c>
      <c r="FD7" s="732">
        <f t="shared" si="7"/>
        <v>3.6213498261950861E-2</v>
      </c>
      <c r="FE7" s="732">
        <f t="shared" si="46"/>
        <v>5.0788528490815699</v>
      </c>
      <c r="FF7" s="729"/>
      <c r="FG7" s="732">
        <f>$FG$1*EM7+(1-$FG$1)*'Bloom Cleaner Data'!DA7</f>
        <v>4.2885463249133933</v>
      </c>
      <c r="FH7" s="732">
        <f>$FG$1*EN7+(1-$FG$1)*'Bloom Cleaner Data'!DB7</f>
        <v>3.9618557811118289</v>
      </c>
      <c r="FI7" s="732">
        <f>$FG$1*EO7+(1-$FG$1)*'Bloom Cleaner Data'!DC7</f>
        <v>3.9006785302867524</v>
      </c>
      <c r="FJ7" s="732">
        <f>$FG$1*EP7+(1-$FG$1)*'Bloom Cleaner Data'!DD7</f>
        <v>4.1410125423515485</v>
      </c>
      <c r="FK7" s="732">
        <f>$FG$1*EQ7+(1-$FG$1)*'Bloom Cleaner Data'!DE7</f>
        <v>4.1241559139513644</v>
      </c>
      <c r="FL7" s="732">
        <f>$FG$1*ER7+(1-$FG$1)*'Bloom Cleaner Data'!DF7</f>
        <v>5.2671505229384259</v>
      </c>
      <c r="FM7" s="732">
        <f>$FG$1*ES7+(1-$FG$1)*'Bloom Cleaner Data'!DG7</f>
        <v>5.2223693161108651</v>
      </c>
      <c r="FN7" s="732">
        <f>$FG$1*ET7+(1-$FG$1)*'Bloom Cleaner Data'!DH7</f>
        <v>4.8179225884237669</v>
      </c>
      <c r="FO7" s="732">
        <f>$FG$1*EU7+(1-$FG$1)*'Bloom Cleaner Data'!DI7</f>
        <v>5.0287788436693788</v>
      </c>
      <c r="FP7" s="732">
        <f>$FG$1*EV7+(1-$FG$1)*'Bloom Cleaner Data'!DJ7</f>
        <v>5.1741131495120847</v>
      </c>
      <c r="FQ7" s="732">
        <f>$FG$1*EW7+(1-$FG$1)*'Bloom Cleaner Data'!DK7</f>
        <v>5.3259826222569435</v>
      </c>
      <c r="FR7" s="732">
        <f>$FG$1*EX7+(1-$FG$1)*'Bloom Cleaner Data'!DL7</f>
        <v>5.4654156252831125</v>
      </c>
      <c r="FS7" s="732">
        <f>$FG$1*EY7+(1-$FG$1)*'Bloom Cleaner Data'!DM7</f>
        <v>5.0403995907375387</v>
      </c>
      <c r="FT7" s="732">
        <f>$FG$1*EZ7+(1-$FG$1)*'Bloom Cleaner Data'!DN7</f>
        <v>4.7843999563302617</v>
      </c>
      <c r="FU7" s="732">
        <f>$FG$1*FA7+(1-$FG$1)*'Bloom Cleaner Data'!DO7</f>
        <v>4.6619962755533297</v>
      </c>
      <c r="FV7" s="734">
        <f t="shared" si="47"/>
        <v>4.8426442674927213</v>
      </c>
      <c r="FW7" s="730">
        <f t="shared" si="48"/>
        <v>0.1951757211867983</v>
      </c>
      <c r="FX7" s="734">
        <f t="shared" si="49"/>
        <v>5.0788528490815699</v>
      </c>
      <c r="FY7" s="2805"/>
      <c r="FZ7" s="2805"/>
      <c r="GA7" s="730">
        <f>'Bloom Cleaner Data'!T7/('Bloom Cleaner Data'!T7+'Bloom Cleaner Data'!D7)</f>
        <v>0.17832068881944219</v>
      </c>
      <c r="GB7" s="730">
        <f>'Bloom Cleaner Data'!U7/('Bloom Cleaner Data'!U7+'Bloom Cleaner Data'!E7)</f>
        <v>0.13485059553254169</v>
      </c>
      <c r="GC7" s="730">
        <f>'Bloom Cleaner Data'!V7/('Bloom Cleaner Data'!V7+'Bloom Cleaner Data'!F7)</f>
        <v>0.17065046169629441</v>
      </c>
      <c r="GD7" s="730">
        <f>'Bloom Cleaner Data'!W7/('Bloom Cleaner Data'!W7+'Bloom Cleaner Data'!G7)</f>
        <v>0.13638549726103177</v>
      </c>
      <c r="GE7" s="730">
        <f>'Bloom Cleaner Data'!X7/('Bloom Cleaner Data'!X7+'Bloom Cleaner Data'!H7)</f>
        <v>0.1620457787831947</v>
      </c>
      <c r="GF7" s="730">
        <f>'Bloom Cleaner Data'!Y7/('Bloom Cleaner Data'!Y7+'Bloom Cleaner Data'!I7)</f>
        <v>0.12782973397024563</v>
      </c>
      <c r="GG7" s="730">
        <f>'Bloom Cleaner Data'!Z7/('Bloom Cleaner Data'!Z7+'Bloom Cleaner Data'!J7)</f>
        <v>0.17100877899243205</v>
      </c>
      <c r="GH7" s="730">
        <f>'Bloom Cleaner Data'!AA7/('Bloom Cleaner Data'!AA7+'Bloom Cleaner Data'!K7)</f>
        <v>0.15898728612271021</v>
      </c>
      <c r="GI7" s="730">
        <f>'Bloom Cleaner Data'!AB7/('Bloom Cleaner Data'!AB7+'Bloom Cleaner Data'!L7)</f>
        <v>0.17346859274913734</v>
      </c>
      <c r="GJ7" s="730">
        <f>'Bloom Cleaner Data'!AC7/('Bloom Cleaner Data'!AC7+'Bloom Cleaner Data'!M7)</f>
        <v>0.1464565988754899</v>
      </c>
      <c r="GK7" s="730">
        <f>'Bloom Cleaner Data'!AD7/('Bloom Cleaner Data'!AD7+'Bloom Cleaner Data'!N7)</f>
        <v>0.19562639571909254</v>
      </c>
      <c r="GL7" s="730">
        <f>'Bloom Cleaner Data'!AE7/('Bloom Cleaner Data'!AE7+'Bloom Cleaner Data'!O7)</f>
        <v>0.16601734974806504</v>
      </c>
      <c r="GM7" s="730">
        <f>'Bloom Cleaner Data'!AF7/('Bloom Cleaner Data'!AF7+'Bloom Cleaner Data'!P7)</f>
        <v>0.19305123771644428</v>
      </c>
      <c r="GN7" s="730">
        <f>'Bloom Cleaner Data'!AG7/('Bloom Cleaner Data'!AG7+'Bloom Cleaner Data'!Q7)</f>
        <v>0.19480415795104347</v>
      </c>
      <c r="GO7" s="730">
        <f>'Bloom Cleaner Data'!AH7/('Bloom Cleaner Data'!AH7+'Bloom Cleaner Data'!R7)</f>
        <v>0.26356163003804695</v>
      </c>
      <c r="GP7" s="730">
        <f t="shared" si="50"/>
        <v>0.17383796150947908</v>
      </c>
      <c r="GQ7" s="730">
        <f t="shared" si="51"/>
        <v>0.54445307336528614</v>
      </c>
      <c r="GR7" s="730"/>
      <c r="GS7" s="735">
        <f t="shared" si="8"/>
        <v>0.21701981100538817</v>
      </c>
      <c r="GT7" s="736">
        <f t="shared" si="9"/>
        <v>0.15586972011562419</v>
      </c>
      <c r="GU7" s="736">
        <f t="shared" si="10"/>
        <v>0.20576422101268799</v>
      </c>
      <c r="GV7" s="736">
        <f t="shared" si="11"/>
        <v>0.15792404693122084</v>
      </c>
      <c r="GW7" s="736">
        <f t="shared" si="12"/>
        <v>0.19338261527925202</v>
      </c>
      <c r="GX7" s="736">
        <f t="shared" si="13"/>
        <v>0.14656511342922196</v>
      </c>
      <c r="GY7" s="736">
        <f t="shared" si="14"/>
        <v>0.20628539200280735</v>
      </c>
      <c r="GZ7" s="736">
        <f t="shared" si="15"/>
        <v>0.18904266665570013</v>
      </c>
      <c r="HA7" s="736">
        <f t="shared" si="16"/>
        <v>0.20987537948027113</v>
      </c>
      <c r="HB7" s="736">
        <f t="shared" si="17"/>
        <v>0.17158658678930566</v>
      </c>
      <c r="HC7" s="736">
        <f t="shared" si="18"/>
        <v>0.24320340035769611</v>
      </c>
      <c r="HD7" s="736">
        <f t="shared" si="19"/>
        <v>0.19906571161631889</v>
      </c>
      <c r="HE7" s="736">
        <f t="shared" si="20"/>
        <v>0.23923605405891624</v>
      </c>
      <c r="HF7" s="736">
        <f t="shared" si="21"/>
        <v>0.24193388462529991</v>
      </c>
      <c r="HG7" s="737">
        <f t="shared" si="22"/>
        <v>0.35788687932116231</v>
      </c>
      <c r="HH7" s="730">
        <f t="shared" si="52"/>
        <v>0.21244245781229701</v>
      </c>
      <c r="HI7" s="730">
        <f t="shared" si="53"/>
        <v>0.73930568472880431</v>
      </c>
      <c r="HJ7" s="730"/>
      <c r="HK7" s="731">
        <f>('Bloom Cleaner Data'!T7+'OPERATING LEASES'!AU7)/('Bloom Cleaner Data'!T7+'OPERATING LEASES'!AU7+'Bloom Cleaner Data'!D7)</f>
        <v>0.20015860822181847</v>
      </c>
      <c r="HL7" s="731">
        <f>('Bloom Cleaner Data'!U7+'OPERATING LEASES'!AV7)/('Bloom Cleaner Data'!U7+'OPERATING LEASES'!AV7+'Bloom Cleaner Data'!E7)</f>
        <v>0.15637595741809657</v>
      </c>
      <c r="HM7" s="731">
        <f>('Bloom Cleaner Data'!V7+'OPERATING LEASES'!AW7)/('Bloom Cleaner Data'!V7+'OPERATING LEASES'!AW7+'Bloom Cleaner Data'!F7)</f>
        <v>0.19166470879994948</v>
      </c>
      <c r="HN7" s="731">
        <f>('Bloom Cleaner Data'!W7+'OPERATING LEASES'!AX7)/('Bloom Cleaner Data'!W7+'OPERATING LEASES'!AX7+'Bloom Cleaner Data'!G7)</f>
        <v>0.15708151620068025</v>
      </c>
      <c r="HO7" s="731">
        <f>('Bloom Cleaner Data'!X7+'OPERATING LEASES'!AY7)/('Bloom Cleaner Data'!X7+'OPERATING LEASES'!AY7+'Bloom Cleaner Data'!H7)</f>
        <v>0.18534933727772515</v>
      </c>
      <c r="HP7" s="731">
        <f>('Bloom Cleaner Data'!Y7+'OPERATING LEASES'!AZ7)/('Bloom Cleaner Data'!Y7+'OPERATING LEASES'!AZ7+'Bloom Cleaner Data'!I7)</f>
        <v>0.15107889961592022</v>
      </c>
      <c r="HQ7" s="731">
        <f>('Bloom Cleaner Data'!Z7+'OPERATING LEASES'!BA7)/('Bloom Cleaner Data'!Z7+'OPERATING LEASES'!BA7+'Bloom Cleaner Data'!J7)</f>
        <v>0.19322451129092647</v>
      </c>
      <c r="HR7" s="731">
        <f>('Bloom Cleaner Data'!AA7+'OPERATING LEASES'!BB7)/('Bloom Cleaner Data'!AA7+'OPERATING LEASES'!BB7+'Bloom Cleaner Data'!K7)</f>
        <v>0.18375563588209659</v>
      </c>
      <c r="HS7" s="731">
        <f>('Bloom Cleaner Data'!AB7+'OPERATING LEASES'!BC7)/('Bloom Cleaner Data'!AB7+'OPERATING LEASES'!BC7+'Bloom Cleaner Data'!L7)</f>
        <v>0.19729974692710131</v>
      </c>
      <c r="HT7" s="731">
        <f>('Bloom Cleaner Data'!AC7+'OPERATING LEASES'!BD7)/('Bloom Cleaner Data'!AC7+'OPERATING LEASES'!BD7+'Bloom Cleaner Data'!M7)</f>
        <v>0.17027869672691731</v>
      </c>
      <c r="HU7" s="731">
        <f>('Bloom Cleaner Data'!AD7+'OPERATING LEASES'!BE7)/('Bloom Cleaner Data'!AD7+'OPERATING LEASES'!BE7+'Bloom Cleaner Data'!N7)</f>
        <v>0.21812604513918368</v>
      </c>
      <c r="HV7" s="731">
        <f>('Bloom Cleaner Data'!AE7+'OPERATING LEASES'!BF7)/('Bloom Cleaner Data'!AE7+'OPERATING LEASES'!BF7+'Bloom Cleaner Data'!O7)</f>
        <v>0.18869327657203672</v>
      </c>
      <c r="HW7" s="731">
        <f>('Bloom Cleaner Data'!AF7+'OPERATING LEASES'!BG7)/('Bloom Cleaner Data'!AF7+'OPERATING LEASES'!BG7+'Bloom Cleaner Data'!P7)</f>
        <v>0.21687899743461636</v>
      </c>
      <c r="HX7" s="731">
        <f>('Bloom Cleaner Data'!AG7+'OPERATING LEASES'!BH7)/('Bloom Cleaner Data'!AG7+'OPERATING LEASES'!BH7+'Bloom Cleaner Data'!Q7)</f>
        <v>0.2203272196092004</v>
      </c>
      <c r="HY7" s="731">
        <f>('Bloom Cleaner Data'!AH7+'OPERATING LEASES'!BI7)/('Bloom Cleaner Data'!AH7+'OPERATING LEASES'!BI7+'Bloom Cleaner Data'!R7)</f>
        <v>0.28756363720088318</v>
      </c>
      <c r="HZ7" s="730">
        <f t="shared" si="54"/>
        <v>0.19702478682132593</v>
      </c>
      <c r="IA7" s="730">
        <f t="shared" si="55"/>
        <v>0.50034734616182497</v>
      </c>
      <c r="IB7" s="730">
        <f t="shared" si="23"/>
        <v>2.3186825311846848E-2</v>
      </c>
      <c r="IC7" s="730">
        <f t="shared" si="24"/>
        <v>0.13338182932260462</v>
      </c>
      <c r="IE7" s="735">
        <f t="shared" si="56"/>
        <v>0.25024787449025654</v>
      </c>
      <c r="IF7" s="736">
        <f t="shared" si="25"/>
        <v>0.18536213944248128</v>
      </c>
      <c r="IG7" s="736">
        <f t="shared" si="25"/>
        <v>0.2371104056528387</v>
      </c>
      <c r="IH7" s="736">
        <f t="shared" si="25"/>
        <v>0.18635433819491123</v>
      </c>
      <c r="II7" s="736">
        <f t="shared" si="25"/>
        <v>0.22752002270317084</v>
      </c>
      <c r="IJ7" s="736">
        <f t="shared" si="25"/>
        <v>0.17796577272913486</v>
      </c>
      <c r="IK7" s="736">
        <f t="shared" si="25"/>
        <v>0.23950220847699055</v>
      </c>
      <c r="IL7" s="736">
        <f t="shared" si="25"/>
        <v>0.22512331350756351</v>
      </c>
      <c r="IM7" s="736">
        <f t="shared" si="25"/>
        <v>0.24579504761808413</v>
      </c>
      <c r="IN7" s="736">
        <f t="shared" si="25"/>
        <v>0.205223966234448</v>
      </c>
      <c r="IO7" s="736">
        <f t="shared" si="25"/>
        <v>0.27897852816700225</v>
      </c>
      <c r="IP7" s="736">
        <f t="shared" si="25"/>
        <v>0.23257945623174781</v>
      </c>
      <c r="IQ7" s="736">
        <f t="shared" si="25"/>
        <v>0.27694187325350006</v>
      </c>
      <c r="IR7" s="736">
        <f t="shared" si="25"/>
        <v>0.28258934408196806</v>
      </c>
      <c r="IS7" s="737">
        <f t="shared" si="25"/>
        <v>0.40363413803173109</v>
      </c>
      <c r="IT7" s="730">
        <f t="shared" si="57"/>
        <v>0.24763987806793006</v>
      </c>
      <c r="IU7" s="730">
        <f t="shared" si="58"/>
        <v>0.70230461594631732</v>
      </c>
      <c r="IV7" s="730">
        <f t="shared" si="59"/>
        <v>3.519742025563305E-2</v>
      </c>
      <c r="IW7" s="730">
        <f t="shared" si="60"/>
        <v>0.16567978274254216</v>
      </c>
      <c r="IY7" s="732">
        <f>'Bloom Cleaner Data'!T7/'Bloom Cleaner Data'!BU7*'Bloom Cleaner Data'!DA7</f>
        <v>0.75863237006944817</v>
      </c>
      <c r="IZ7" s="732">
        <f>'Bloom Cleaner Data'!U7/'Bloom Cleaner Data'!BV7*'Bloom Cleaner Data'!DB7</f>
        <v>0.5186841658370025</v>
      </c>
      <c r="JA7" s="732">
        <f>'Bloom Cleaner Data'!V7/'Bloom Cleaner Data'!BW7*'Bloom Cleaner Data'!DC7</f>
        <v>0.64572702349790123</v>
      </c>
      <c r="JB7" s="732">
        <f>'Bloom Cleaner Data'!W7/'Bloom Cleaner Data'!BX7*'Bloom Cleaner Data'!DD7</f>
        <v>0.54869437748649275</v>
      </c>
      <c r="JC7" s="732">
        <f>'Bloom Cleaner Data'!X7/'Bloom Cleaner Data'!BY7*'Bloom Cleaner Data'!DE7</f>
        <v>0.64545942186564143</v>
      </c>
      <c r="JD7" s="732">
        <f>'Bloom Cleaner Data'!Y7/'Bloom Cleaner Data'!BZ7*'Bloom Cleaner Data'!DF7</f>
        <v>0.65413578851546605</v>
      </c>
      <c r="JE7" s="732">
        <f>'Bloom Cleaner Data'!Z7/'Bloom Cleaner Data'!CA7*'Bloom Cleaner Data'!DG7</f>
        <v>0.86704265492592947</v>
      </c>
      <c r="JF7" s="732">
        <f>'Bloom Cleaner Data'!AA7/'Bloom Cleaner Data'!CB7*'Bloom Cleaner Data'!DH7</f>
        <v>0.73953559489448417</v>
      </c>
      <c r="JG7" s="732">
        <f>'Bloom Cleaner Data'!AB7/'Bloom Cleaner Data'!CC7*'Bloom Cleaner Data'!DI7</f>
        <v>0.84563509792682756</v>
      </c>
      <c r="JH7" s="732">
        <f>'Bloom Cleaner Data'!AC7/'Bloom Cleaner Data'!CD7*'Bloom Cleaner Data'!DJ7</f>
        <v>0.73539724295006181</v>
      </c>
      <c r="JI7" s="732">
        <f>'Bloom Cleaner Data'!AD7/'Bloom Cleaner Data'!CE7*'Bloom Cleaner Data'!DK7</f>
        <v>1.0109577119233524</v>
      </c>
      <c r="JJ7" s="732">
        <f>'Bloom Cleaner Data'!AE7/'Bloom Cleaner Data'!CF7*'Bloom Cleaner Data'!DL7</f>
        <v>0.88092898778447959</v>
      </c>
      <c r="JK7" s="732">
        <f>'Bloom Cleaner Data'!AF7/'Bloom Cleaner Data'!CG7*'Bloom Cleaner Data'!DM7</f>
        <v>0.94310609997894845</v>
      </c>
      <c r="JL7" s="732">
        <f>'Bloom Cleaner Data'!AG7/'Bloom Cleaner Data'!CH7*'Bloom Cleaner Data'!DN7</f>
        <v>0.89960825553836754</v>
      </c>
      <c r="JM7" s="732">
        <f>'Bloom Cleaner Data'!AH7/'Bloom Cleaner Data'!CI7*'Bloom Cleaner Data'!DO7</f>
        <v>1.1887224700140686</v>
      </c>
      <c r="JN7" s="732">
        <f t="shared" si="61"/>
        <v>1.0104789418437949</v>
      </c>
      <c r="JO7" s="732">
        <f t="shared" si="62"/>
        <v>0.97809145332896597</v>
      </c>
      <c r="JP7" s="732">
        <f t="shared" si="63"/>
        <v>0.81576544056169398</v>
      </c>
      <c r="JQ7" s="731">
        <f t="shared" si="64"/>
        <v>0.84090556342951661</v>
      </c>
      <c r="JR7" s="731"/>
      <c r="JS7" s="2025" t="s">
        <v>37</v>
      </c>
      <c r="JT7" s="734">
        <f>('Bloom Cleaner Data'!T7+'OPERATING LEASES'!AU7)/DD7</f>
        <v>0.85780357758060832</v>
      </c>
      <c r="JU7" s="734">
        <f>('Bloom Cleaner Data'!U7+'OPERATING LEASES'!AV7)/DE7</f>
        <v>0.60699163906695064</v>
      </c>
      <c r="JV7" s="734">
        <f>('Bloom Cleaner Data'!V7+'OPERATING LEASES'!AW7)/DF7</f>
        <v>0.73258608367589573</v>
      </c>
      <c r="JW7" s="734">
        <f>('Bloom Cleaner Data'!W7+'OPERATING LEASES'!AX7)/DG7</f>
        <v>0.63774509214022523</v>
      </c>
      <c r="JX7" s="734">
        <f>('Bloom Cleaner Data'!X7+'OPERATING LEASES'!AY7)/DH7</f>
        <v>0.74671139174513146</v>
      </c>
      <c r="JY7" s="734">
        <f>('Bloom Cleaner Data'!Y7+'OPERATING LEASES'!AZ7)/DI7</f>
        <v>0.7780181563411469</v>
      </c>
      <c r="JZ7" s="734">
        <f>('Bloom Cleaner Data'!Z7+'OPERATING LEASES'!BA7)/DJ7</f>
        <v>0.98612301734551489</v>
      </c>
      <c r="KA7" s="734">
        <f>('Bloom Cleaner Data'!AA7+'OPERATING LEASES'!BB7)/DK7</f>
        <v>0.8625256609875307</v>
      </c>
      <c r="KB7" s="734">
        <f>('Bloom Cleaner Data'!AB7+'OPERATING LEASES'!BC7)/DL7</f>
        <v>0.96943755578816437</v>
      </c>
      <c r="KC7" s="734">
        <f>('Bloom Cleaner Data'!AC7+'OPERATING LEASES'!BD7)/DM7</f>
        <v>0.86104856905117111</v>
      </c>
      <c r="KD7" s="734">
        <f>('Bloom Cleaner Data'!AD7+'OPERATING LEASES'!BE7)/DN7</f>
        <v>1.1345061634014335</v>
      </c>
      <c r="KE7" s="734">
        <f>('Bloom Cleaner Data'!AE7+'OPERATING LEASES'!BF7)/DO7</f>
        <v>1.00696420705061</v>
      </c>
      <c r="KF7" s="734">
        <f>('Bloom Cleaner Data'!AF7+'OPERATING LEASES'!BG7)/DP7</f>
        <v>1.0680698852526918</v>
      </c>
      <c r="KG7" s="734">
        <f>('Bloom Cleaner Data'!AG7+'OPERATING LEASES'!BH7)/DQ7</f>
        <v>1.0276122349618302</v>
      </c>
      <c r="KH7" s="734">
        <f>('Bloom Cleaner Data'!AH7+'OPERATING LEASES'!BI7)/DR7</f>
        <v>1.3109622071604587</v>
      </c>
      <c r="KI7" s="732">
        <f t="shared" si="65"/>
        <v>1.1355481091249935</v>
      </c>
      <c r="KJ7" s="732">
        <f t="shared" si="66"/>
        <v>1.1034021336063975</v>
      </c>
      <c r="KK7" s="732">
        <f t="shared" si="67"/>
        <v>0.93248540191552354</v>
      </c>
      <c r="KL7" s="731">
        <f t="shared" si="68"/>
        <v>0.78949919521054279</v>
      </c>
      <c r="KM7" s="732">
        <f t="shared" si="69"/>
        <v>0.11671996135382956</v>
      </c>
      <c r="KN7" s="731"/>
      <c r="KO7" s="732">
        <f t="shared" si="70"/>
        <v>0.85780357758060832</v>
      </c>
      <c r="KP7" s="732">
        <f t="shared" si="71"/>
        <v>0.60699163906695064</v>
      </c>
      <c r="KQ7" s="732">
        <f t="shared" si="72"/>
        <v>0.73258608367589573</v>
      </c>
      <c r="KR7" s="732">
        <f t="shared" si="73"/>
        <v>0.63774509214022523</v>
      </c>
      <c r="KS7" s="732">
        <f t="shared" si="74"/>
        <v>0.74671139174513146</v>
      </c>
      <c r="KT7" s="732">
        <f t="shared" si="75"/>
        <v>0.7780181563411469</v>
      </c>
      <c r="KU7" s="732">
        <f t="shared" si="76"/>
        <v>0.98612301734551489</v>
      </c>
      <c r="KV7" s="732">
        <f t="shared" si="77"/>
        <v>0.8625256609875307</v>
      </c>
      <c r="KW7" s="732">
        <f t="shared" si="78"/>
        <v>0.96943755578816437</v>
      </c>
      <c r="KX7" s="732">
        <f t="shared" si="79"/>
        <v>0.86104856905117111</v>
      </c>
      <c r="KY7" s="732">
        <f t="shared" si="80"/>
        <v>1.1345061634014335</v>
      </c>
      <c r="KZ7" s="732">
        <f t="shared" si="81"/>
        <v>1.00696420705061</v>
      </c>
      <c r="LA7" s="732">
        <f t="shared" si="82"/>
        <v>1.0680698852526918</v>
      </c>
      <c r="LB7" s="732">
        <f t="shared" si="83"/>
        <v>1.0276122349618302</v>
      </c>
      <c r="LC7" s="732">
        <f t="shared" si="84"/>
        <v>1.3109622071604587</v>
      </c>
      <c r="LD7" s="732">
        <f t="shared" si="85"/>
        <v>1.1355481091249935</v>
      </c>
      <c r="LE7" s="732">
        <f t="shared" si="86"/>
        <v>1.1034021336063975</v>
      </c>
      <c r="LF7" s="734">
        <f t="shared" si="87"/>
        <v>0.93248540191552354</v>
      </c>
      <c r="LG7" s="730">
        <f t="shared" si="88"/>
        <v>0.78949919521054279</v>
      </c>
      <c r="LH7" s="731"/>
      <c r="LI7" s="732">
        <f>('Bloom Cleaner Data'!T7+'Bloom Cleaner Data'!EY7)/'Bloom Cleaner Data'!GV7</f>
        <v>0.9002096308131563</v>
      </c>
      <c r="LJ7" s="732">
        <f>('Bloom Cleaner Data'!U7+'Bloom Cleaner Data'!EZ7)/'Bloom Cleaner Data'!GW7</f>
        <v>0.74821268520670092</v>
      </c>
      <c r="LK7" s="732">
        <f>('Bloom Cleaner Data'!V7+'Bloom Cleaner Data'!FA7)/'Bloom Cleaner Data'!GX7</f>
        <v>0.77386740559281553</v>
      </c>
      <c r="LL7" s="732">
        <f>('Bloom Cleaner Data'!W7+'Bloom Cleaner Data'!FB7)/'Bloom Cleaner Data'!GY7</f>
        <v>0.76968130751543373</v>
      </c>
      <c r="LM7" s="732">
        <f>('Bloom Cleaner Data'!X7+'Bloom Cleaner Data'!FC7)/'Bloom Cleaner Data'!GZ7</f>
        <v>0.88678355910606055</v>
      </c>
      <c r="LN7" s="732">
        <f>('Bloom Cleaner Data'!Y7+'Bloom Cleaner Data'!FD7)/'Bloom Cleaner Data'!HA7</f>
        <v>1.1218835068561059</v>
      </c>
      <c r="LO7" s="732">
        <f>('Bloom Cleaner Data'!Z7+'Bloom Cleaner Data'!FE7)/'Bloom Cleaner Data'!HB7</f>
        <v>1.1172969489132969</v>
      </c>
      <c r="LP7" s="732">
        <f>('Bloom Cleaner Data'!AA7+'Bloom Cleaner Data'!FF7)/'Bloom Cleaner Data'!HC7</f>
        <v>1.1557797315236311</v>
      </c>
      <c r="LQ7" s="732">
        <f>('Bloom Cleaner Data'!AB7+'Bloom Cleaner Data'!FG7)/'Bloom Cleaner Data'!HD7</f>
        <v>1.0130875925658032</v>
      </c>
      <c r="LR7" s="732">
        <f>('Bloom Cleaner Data'!AC7+'Bloom Cleaner Data'!FH7)/'Bloom Cleaner Data'!HE7</f>
        <v>1.0063053832356712</v>
      </c>
      <c r="LS7" s="732">
        <f>('Bloom Cleaner Data'!AD7+'Bloom Cleaner Data'!FI7)/'Bloom Cleaner Data'!HF7</f>
        <v>1.1538937697846714</v>
      </c>
      <c r="LT7" s="732">
        <f>('Bloom Cleaner Data'!AE7+'Bloom Cleaner Data'!FJ7)/'Bloom Cleaner Data'!HG7</f>
        <v>1.0821424299254903</v>
      </c>
      <c r="LU7" s="732">
        <f>('Bloom Cleaner Data'!AF7+'Bloom Cleaner Data'!FK7)/'Bloom Cleaner Data'!HH7</f>
        <v>1.0557657287168241</v>
      </c>
      <c r="LV7" s="732">
        <f>('Bloom Cleaner Data'!AG7+'Bloom Cleaner Data'!FL7)/'Bloom Cleaner Data'!HI7</f>
        <v>1.1066429423425947</v>
      </c>
      <c r="LW7" s="732">
        <f>('Bloom Cleaner Data'!AH7+'Bloom Cleaner Data'!FM7)/'Bloom Cleaner Data'!HJ7</f>
        <v>1.3135810891666253</v>
      </c>
      <c r="LX7" s="732">
        <f t="shared" si="89"/>
        <v>0.12485861915255669</v>
      </c>
      <c r="LY7" s="732">
        <f t="shared" si="90"/>
        <v>1.1586632534086814</v>
      </c>
      <c r="LZ7" s="732">
        <f t="shared" si="27"/>
        <v>0.14818431156488643</v>
      </c>
      <c r="MA7" s="732">
        <f t="shared" si="91"/>
        <v>1.1395330475378835</v>
      </c>
      <c r="MB7" s="732">
        <f t="shared" si="92"/>
        <v>1.0428239534803863</v>
      </c>
      <c r="MC7" s="731">
        <f t="shared" si="93"/>
        <v>0.6974239768637962</v>
      </c>
      <c r="MD7" s="732">
        <f t="shared" si="28"/>
        <v>0.22705851291869228</v>
      </c>
      <c r="ME7" s="731"/>
      <c r="MF7" s="2025" t="s">
        <v>37</v>
      </c>
      <c r="MG7" s="732">
        <f>JT7+'Bloom Cleaner Data'!EY7/CALCULATIONS!DD7</f>
        <v>0.9966321865997968</v>
      </c>
      <c r="MH7" s="732">
        <f>JU7+'Bloom Cleaner Data'!EZ7/CALCULATIONS!DE7</f>
        <v>0.8328608819273422</v>
      </c>
      <c r="MI7" s="732">
        <f>JV7+'Bloom Cleaner Data'!FA7/CALCULATIONS!DF7</f>
        <v>0.85874413266825078</v>
      </c>
      <c r="MJ7" s="732">
        <f>JW7+'Bloom Cleaner Data'!FB7/CALCULATIONS!DG7</f>
        <v>0.85541177616154984</v>
      </c>
      <c r="MK7" s="732">
        <f>JX7+'Bloom Cleaner Data'!FC7/CALCULATIONS!DH7</f>
        <v>0.98400301179507843</v>
      </c>
      <c r="ML7" s="732">
        <f>JY7+'Bloom Cleaner Data'!FD7/CALCULATIONS!DI7</f>
        <v>1.2361891838484342</v>
      </c>
      <c r="MM7" s="732">
        <f>JZ7+'Bloom Cleaner Data'!FE7/CALCULATIONS!DJ7</f>
        <v>1.231272579951725</v>
      </c>
      <c r="MN7" s="732">
        <f>KA7+'Bloom Cleaner Data'!FF7/CALCULATIONS!DK7</f>
        <v>1.2701878517367673</v>
      </c>
      <c r="MO7" s="732">
        <f>KB7+'Bloom Cleaner Data'!FG7/CALCULATIONS!DL7</f>
        <v>1.1333518500487403</v>
      </c>
      <c r="MP7" s="732">
        <f>KC7+'Bloom Cleaner Data'!FH7/CALCULATIONS!DM7</f>
        <v>1.1262543371838261</v>
      </c>
      <c r="MQ7" s="732">
        <f>KD7+'Bloom Cleaner Data'!FI7/CALCULATIONS!DN7</f>
        <v>1.2743407279408194</v>
      </c>
      <c r="MR7" s="732">
        <f>KE7+'Bloom Cleaner Data'!FJ7/CALCULATIONS!DO7</f>
        <v>1.2038231881979957</v>
      </c>
      <c r="MS7" s="732">
        <f>KF7+'Bloom Cleaner Data'!FK7/CALCULATIONS!DP7</f>
        <v>1.1782860861592188</v>
      </c>
      <c r="MT7" s="732">
        <f>KG7+'Bloom Cleaner Data'!FL7/CALCULATIONS!DQ7</f>
        <v>1.2300818538032166</v>
      </c>
      <c r="MU7" s="732">
        <f>KH7+'Bloom Cleaner Data'!FM7/CALCULATIONS!DR7</f>
        <v>1.4330538995779536</v>
      </c>
      <c r="MV7" s="732">
        <f t="shared" si="29"/>
        <v>0.12209169241749485</v>
      </c>
      <c r="MW7" s="732">
        <f t="shared" si="94"/>
        <v>1.2804739465134629</v>
      </c>
      <c r="MX7" s="732">
        <f t="shared" si="30"/>
        <v>0.14492583738846943</v>
      </c>
      <c r="MY7" s="732">
        <f t="shared" si="95"/>
        <v>1.2613112569345961</v>
      </c>
      <c r="MZ7" s="732">
        <f t="shared" si="96"/>
        <v>1.1550000368518134</v>
      </c>
      <c r="NA7" s="731">
        <f t="shared" si="97"/>
        <v>0.66877867930839141</v>
      </c>
      <c r="NB7" s="732">
        <f t="shared" si="31"/>
        <v>0.22251463493628987</v>
      </c>
      <c r="NC7" s="732"/>
      <c r="ND7" s="729">
        <f>'Bloom Cleaner Data'!GF7+('Bloom Cleaner Data'!T7+'Bloom Cleaner Data'!EY7)+'Bloom Cleaner Data'!CK7</f>
        <v>4642</v>
      </c>
      <c r="NE7" s="729">
        <f>'Bloom Cleaner Data'!GG7+('Bloom Cleaner Data'!U7+'Bloom Cleaner Data'!EZ7)+'Bloom Cleaner Data'!CL7</f>
        <v>5701</v>
      </c>
      <c r="NF7" s="729">
        <f>'Bloom Cleaner Data'!GH7+('Bloom Cleaner Data'!V7+'Bloom Cleaner Data'!FA7)+'Bloom Cleaner Data'!CM7</f>
        <v>5438</v>
      </c>
      <c r="NG7" s="729">
        <f>'Bloom Cleaner Data'!GI7+('Bloom Cleaner Data'!W7+'Bloom Cleaner Data'!FB7)+'Bloom Cleaner Data'!CN7</f>
        <v>5638</v>
      </c>
      <c r="NH7" s="729">
        <f>'Bloom Cleaner Data'!GJ7+('Bloom Cleaner Data'!X7+'Bloom Cleaner Data'!FC7)+'Bloom Cleaner Data'!CO7</f>
        <v>5722.9999999999991</v>
      </c>
      <c r="NI7" s="729">
        <f>'Bloom Cleaner Data'!GK7+('Bloom Cleaner Data'!Y7+'Bloom Cleaner Data'!FD7)+'Bloom Cleaner Data'!CP7</f>
        <v>5983</v>
      </c>
      <c r="NJ7" s="729">
        <f>'Bloom Cleaner Data'!GL7+('Bloom Cleaner Data'!Z7+'Bloom Cleaner Data'!FE7)+'Bloom Cleaner Data'!CQ7</f>
        <v>5624</v>
      </c>
      <c r="NK7" s="729">
        <f>'Bloom Cleaner Data'!GM7+('Bloom Cleaner Data'!AA7+'Bloom Cleaner Data'!FF7)+'Bloom Cleaner Data'!CR7</f>
        <v>5822.0000000000009</v>
      </c>
      <c r="NL7" s="729">
        <f>'Bloom Cleaner Data'!GN7+('Bloom Cleaner Data'!AB7+'Bloom Cleaner Data'!FG7)+'Bloom Cleaner Data'!CS7</f>
        <v>5463</v>
      </c>
      <c r="NM7" s="729">
        <f>'Bloom Cleaner Data'!GO7+('Bloom Cleaner Data'!AC7+'Bloom Cleaner Data'!FH7)+'Bloom Cleaner Data'!CT7</f>
        <v>5651</v>
      </c>
      <c r="NN7" s="729">
        <f>'Bloom Cleaner Data'!GP7+('Bloom Cleaner Data'!AD7+'Bloom Cleaner Data'!FI7)+'Bloom Cleaner Data'!CU7</f>
        <v>5488</v>
      </c>
      <c r="NO7" s="729">
        <f>'Bloom Cleaner Data'!GQ7+('Bloom Cleaner Data'!AE7+'Bloom Cleaner Data'!FJ7)+'Bloom Cleaner Data'!CV7</f>
        <v>5546</v>
      </c>
      <c r="NP7" s="729">
        <f>'Bloom Cleaner Data'!GR7+('Bloom Cleaner Data'!AF7+'Bloom Cleaner Data'!FK7)+'Bloom Cleaner Data'!CW7</f>
        <v>5332</v>
      </c>
      <c r="NQ7" s="729">
        <f>'Bloom Cleaner Data'!GS7+('Bloom Cleaner Data'!AG7+'Bloom Cleaner Data'!FL7)+'Bloom Cleaner Data'!CX7</f>
        <v>5443</v>
      </c>
      <c r="NR7" s="729">
        <f>'Bloom Cleaner Data'!GT7+('Bloom Cleaner Data'!AH7+'Bloom Cleaner Data'!FM7)+'Bloom Cleaner Data'!CY7</f>
        <v>5355</v>
      </c>
      <c r="NS7" s="742"/>
      <c r="NT7" s="2025" t="s">
        <v>37</v>
      </c>
      <c r="NU7" s="1303">
        <f>('Bloom Cleaner Data'!T7+'Bloom Cleaner Data'!EY7+'OPERATING LEASES'!BL7)/CALCULATIONS!ND7</f>
        <v>0.46476272542623254</v>
      </c>
      <c r="NV7" s="1303">
        <f>('Bloom Cleaner Data'!U7+'Bloom Cleaner Data'!EZ7+'OPERATING LEASES'!BM7)/CALCULATIONS!NE7</f>
        <v>0.37328585837071188</v>
      </c>
      <c r="NW7" s="1303">
        <f>('Bloom Cleaner Data'!V7+'Bloom Cleaner Data'!FA7+'OPERATING LEASES'!BN7)/CALCULATIONS!NF7</f>
        <v>0.40451945305521991</v>
      </c>
      <c r="NX7" s="1303">
        <f>('Bloom Cleaner Data'!W7+'Bloom Cleaner Data'!FB7+'OPERATING LEASES'!BO7)/CALCULATIONS!NG7</f>
        <v>0.38745138220240205</v>
      </c>
      <c r="NY7" s="1303">
        <f>('Bloom Cleaner Data'!X7+'Bloom Cleaner Data'!FC7+'OPERATING LEASES'!BP7)/CALCULATIONS!NH7</f>
        <v>0.38216407478595149</v>
      </c>
      <c r="NZ7" s="1303">
        <f>('Bloom Cleaner Data'!Y7+'Bloom Cleaner Data'!FD7+'OPERATING LEASES'!BQ7)/CALCULATIONS!NI7</f>
        <v>0.37609163463145578</v>
      </c>
      <c r="OA7" s="1303">
        <f>('Bloom Cleaner Data'!Z7+'Bloom Cleaner Data'!FE7+'OPERATING LEASES'!BR7)/CALCULATIONS!NJ7</f>
        <v>0.40028227240398295</v>
      </c>
      <c r="OB7" s="1303">
        <f>('Bloom Cleaner Data'!AA7+'Bloom Cleaner Data'!FF7+'OPERATING LEASES'!BS7)/CALCULATIONS!NK7</f>
        <v>0.39577786843009272</v>
      </c>
      <c r="OC7" s="1303">
        <f>('Bloom Cleaner Data'!AB7+'Bloom Cleaner Data'!FG7+'OPERATING LEASES'!BT7)/CALCULATIONS!NL7</f>
        <v>0.36193483434010615</v>
      </c>
      <c r="OD7" s="1303">
        <f>('Bloom Cleaner Data'!AC7+'Bloom Cleaner Data'!FH7+'OPERATING LEASES'!BU7)/CALCULATIONS!NM7</f>
        <v>0.34575738807290746</v>
      </c>
      <c r="OE7" s="1303">
        <f>('Bloom Cleaner Data'!AD7+'Bloom Cleaner Data'!FI7+'OPERATING LEASES'!BV7)/CALCULATIONS!NN7</f>
        <v>0.39130830903790087</v>
      </c>
      <c r="OF7" s="1303">
        <f>('Bloom Cleaner Data'!AE7+'Bloom Cleaner Data'!FJ7+'OPERATING LEASES'!BW7)/CALCULATIONS!NO7</f>
        <v>0.36118373602596465</v>
      </c>
      <c r="OG7" s="1303">
        <f>('Bloom Cleaner Data'!AF7+'Bloom Cleaner Data'!FK7+'OPERATING LEASES'!BX7)/CALCULATIONS!NP7</f>
        <v>0.3624812453113278</v>
      </c>
      <c r="OH7" s="1303">
        <f>('Bloom Cleaner Data'!AG7+'Bloom Cleaner Data'!FL7+'OPERATING LEASES'!BY7)/CALCULATIONS!NQ7</f>
        <v>0.36574499356972257</v>
      </c>
      <c r="OI7" s="1303">
        <f>('Bloom Cleaner Data'!AH7+'Bloom Cleaner Data'!FM7+'OPERATING LEASES'!BZ7)/CALCULATIONS!NR7</f>
        <v>0.4376750700280112</v>
      </c>
      <c r="OJ7" s="731">
        <f t="shared" si="98"/>
        <v>0.38863376963635382</v>
      </c>
      <c r="OK7" s="731">
        <f t="shared" si="99"/>
        <v>0.38177126123375654</v>
      </c>
      <c r="OL7" s="731">
        <f t="shared" si="100"/>
        <v>0.38249017399192664</v>
      </c>
      <c r="OM7" s="730">
        <f t="shared" si="101"/>
        <v>8.1962972911132914E-2</v>
      </c>
      <c r="ON7" s="730"/>
      <c r="OO7" s="2805"/>
      <c r="OP7" s="734">
        <f>'Bloom Cleaner Data'!D7/'Bloom Cleaner Data'!GF7</f>
        <v>3.2477845879556257</v>
      </c>
      <c r="OQ7" s="734">
        <f>'Bloom Cleaner Data'!E7/'Bloom Cleaner Data'!GG7</f>
        <v>2.7319808316130936</v>
      </c>
      <c r="OR7" s="734">
        <f>'Bloom Cleaner Data'!F7/'Bloom Cleaner Data'!GH7</f>
        <v>2.8571949673202619</v>
      </c>
      <c r="OS7" s="734">
        <f>'Bloom Cleaner Data'!G7/'Bloom Cleaner Data'!GI7</f>
        <v>2.9596587389041931</v>
      </c>
      <c r="OT7" s="734">
        <f>'Bloom Cleaner Data'!H7/'Bloom Cleaner Data'!GJ7</f>
        <v>2.4168915020945541</v>
      </c>
      <c r="OU7" s="734">
        <f>'Bloom Cleaner Data'!I7/'Bloom Cleaner Data'!GK7</f>
        <v>2.483861786319955</v>
      </c>
      <c r="OV7" s="734">
        <f>'Bloom Cleaner Data'!J7/'Bloom Cleaner Data'!GL7</f>
        <v>2.6193210144927535</v>
      </c>
      <c r="OW7" s="734">
        <f>'Bloom Cleaner Data'!K7/'Bloom Cleaner Data'!GM7</f>
        <v>2.3133936877076411</v>
      </c>
      <c r="OX7" s="734">
        <f>'Bloom Cleaner Data'!L7/'Bloom Cleaner Data'!GN7</f>
        <v>2.3318617201695941</v>
      </c>
      <c r="OY7" s="734">
        <f>'Bloom Cleaner Data'!M7/'Bloom Cleaner Data'!GO7</f>
        <v>2.3212222222222221</v>
      </c>
      <c r="OZ7" s="734">
        <f>'Bloom Cleaner Data'!N7/'Bloom Cleaner Data'!GP7</f>
        <v>2.4111672172808132</v>
      </c>
      <c r="PA7" s="734">
        <f>'Bloom Cleaner Data'!O7/'Bloom Cleaner Data'!GQ7</f>
        <v>2.4005681818181817</v>
      </c>
      <c r="PB7" s="734">
        <f>'Bloom Cleaner Data'!P7/'Bloom Cleaner Data'!GR7</f>
        <v>2.190372668112798</v>
      </c>
      <c r="PC7" s="734">
        <f>'Bloom Cleaner Data'!Q7/'Bloom Cleaner Data'!GS7</f>
        <v>2.0016824427480917</v>
      </c>
      <c r="PD7" s="734">
        <f>'Bloom Cleaner Data'!R7/'Bloom Cleaner Data'!GT7</f>
        <v>2.0327505931612002</v>
      </c>
      <c r="PE7" s="734">
        <f t="shared" si="102"/>
        <v>2.4107651340270966</v>
      </c>
      <c r="PF7" s="730">
        <f t="shared" si="103"/>
        <v>-0.28855026821368823</v>
      </c>
      <c r="PG7" s="734">
        <f t="shared" si="104"/>
        <v>2.5467276195831428</v>
      </c>
      <c r="PH7" s="731"/>
      <c r="PI7" s="2805"/>
      <c r="PJ7" s="734">
        <f>CALCULATIONS!DD7/'Bloom Cleaner Data'!GF7</f>
        <v>0.9474793661159967</v>
      </c>
      <c r="PK7" s="734">
        <f>CALCULATIONS!DE7/'Bloom Cleaner Data'!GG7</f>
        <v>0.83428795270077216</v>
      </c>
      <c r="PL7" s="734">
        <f>CALCULATIONS!DF7/'Bloom Cleaner Data'!GH7</f>
        <v>0.92476593922070338</v>
      </c>
      <c r="PM7" s="734">
        <f>CALCULATIONS!DG7/'Bloom Cleaner Data'!GI7</f>
        <v>0.86483651911821335</v>
      </c>
      <c r="PN7" s="734">
        <f>CALCULATIONS!DH7/'Bloom Cleaner Data'!GJ7</f>
        <v>0.73641733005105026</v>
      </c>
      <c r="PO7" s="734">
        <f>CALCULATIONS!DI7/'Bloom Cleaner Data'!GK7</f>
        <v>0.56816460972277427</v>
      </c>
      <c r="PP7" s="734">
        <f>CALCULATIONS!DJ7/'Bloom Cleaner Data'!GL7</f>
        <v>0.63616116513524457</v>
      </c>
      <c r="PQ7" s="734">
        <f>CALCULATIONS!DK7/'Bloom Cleaner Data'!GM7</f>
        <v>0.60380679205294374</v>
      </c>
      <c r="PR7" s="734">
        <f>CALCULATIONS!DL7/'Bloom Cleaner Data'!GN7</f>
        <v>0.59122948056400271</v>
      </c>
      <c r="PS7" s="734">
        <f>CALCULATIONS!DM7/'Bloom Cleaner Data'!GO7</f>
        <v>0.5532445533019329</v>
      </c>
      <c r="PT7" s="734">
        <f>CALCULATIONS!DN7/'Bloom Cleaner Data'!GP7</f>
        <v>0.59291337776850173</v>
      </c>
      <c r="PU7" s="734">
        <f>CALCULATIONS!DO7/'Bloom Cleaner Data'!GQ7</f>
        <v>0.55446145797955559</v>
      </c>
      <c r="PV7" s="734">
        <f>CALCULATIONS!DP7/'Bloom Cleaner Data'!GR7</f>
        <v>0.56794589774142912</v>
      </c>
      <c r="PW7" s="734">
        <f>CALCULATIONS!DQ7/'Bloom Cleaner Data'!GS7</f>
        <v>0.55045484017381863</v>
      </c>
      <c r="PX7" s="734">
        <f>CALCULATIONS!DR7/'Bloom Cleaner Data'!GT7</f>
        <v>0.62586665658446805</v>
      </c>
      <c r="PY7" s="734">
        <f t="shared" si="105"/>
        <v>0.64386681687804925</v>
      </c>
      <c r="PZ7" s="734">
        <f t="shared" si="106"/>
        <v>0.58623158014465515</v>
      </c>
      <c r="QA7" s="731"/>
      <c r="QC7" s="732">
        <f>'Bloom Cleaner Data'!HZ7</f>
        <v>6.0462999999999996</v>
      </c>
      <c r="QD7" s="732">
        <f>AVERAGE('Bloom Cleaner Data'!HN7:HZ7)</f>
        <v>7.5698307692307685</v>
      </c>
      <c r="QE7" s="738">
        <f>('Bloom Cleaner Data'!HZ7-'Bloom Cleaner Data'!HN7)/'Bloom Cleaner Data'!HN7</f>
        <v>-0.17463415965927709</v>
      </c>
      <c r="QF7" s="732">
        <f>'Bloom Cleaner Data'!HZ7-'Bloom Cleaner Data'!HL7</f>
        <v>-0.6142000000000003</v>
      </c>
      <c r="QH7" s="2386"/>
    </row>
    <row r="8" spans="1:450" s="727" customFormat="1">
      <c r="A8" s="725" t="s">
        <v>323</v>
      </c>
      <c r="B8" s="1476" t="s">
        <v>36</v>
      </c>
      <c r="C8" s="1208" t="s">
        <v>1101</v>
      </c>
      <c r="D8" s="728"/>
      <c r="E8" s="729">
        <f>'Bloom Cleaner Data'!D8</f>
        <v>2874.3904000000002</v>
      </c>
      <c r="F8" s="728"/>
      <c r="G8" s="729">
        <f>'Bloom Cleaner Data'!F8</f>
        <v>2618.6714999999999</v>
      </c>
      <c r="H8" s="729">
        <f>'Bloom Cleaner Data'!H8</f>
        <v>2911.2991999999999</v>
      </c>
      <c r="I8" s="729">
        <f>'Bloom Cleaner Data'!J8</f>
        <v>3143.5549999999998</v>
      </c>
      <c r="J8" s="729">
        <f>'Bloom Cleaner Data'!L8</f>
        <v>2429.9836</v>
      </c>
      <c r="K8" s="729">
        <f>'Bloom Cleaner Data'!N8</f>
        <v>1622.7898</v>
      </c>
      <c r="L8" s="729">
        <f>'Bloom Cleaner Data'!P8</f>
        <v>1163.6795</v>
      </c>
      <c r="M8" s="729">
        <f>'Bloom Cleaner Data'!R8</f>
        <v>960.23059999999998</v>
      </c>
      <c r="N8" s="729">
        <f t="shared" si="0"/>
        <v>2121.4584571428572</v>
      </c>
      <c r="O8" s="729">
        <f t="shared" si="32"/>
        <v>1248.8999666666666</v>
      </c>
      <c r="P8" s="730">
        <f t="shared" si="1"/>
        <v>-0.63331383871554725</v>
      </c>
      <c r="Q8" s="1163">
        <f>P8</f>
        <v>-0.63331383871554725</v>
      </c>
      <c r="R8" s="730">
        <f t="shared" si="33"/>
        <v>-0.53153825980990832</v>
      </c>
      <c r="S8" s="1364" t="s">
        <v>36</v>
      </c>
      <c r="T8" s="1323">
        <f>'Bloom Cleaner Data'!D8/'Bloom Cleaner Data'!$F8</f>
        <v>1.0976521491909161</v>
      </c>
      <c r="U8" s="1323">
        <f>'Bloom Cleaner Data'!E8/'Bloom Cleaner Data'!$F8</f>
        <v>1.0488260745954583</v>
      </c>
      <c r="V8" s="1323">
        <f>'Bloom Cleaner Data'!F8/'Bloom Cleaner Data'!$F8</f>
        <v>1</v>
      </c>
      <c r="W8" s="1323">
        <f>'Bloom Cleaner Data'!G8/'Bloom Cleaner Data'!$F8</f>
        <v>1.0558733120973747</v>
      </c>
      <c r="X8" s="1323">
        <f>'Bloom Cleaner Data'!H8/'Bloom Cleaner Data'!$F8</f>
        <v>1.1117466241947491</v>
      </c>
      <c r="Y8" s="1323">
        <f>'Bloom Cleaner Data'!I8/'Bloom Cleaner Data'!$F8</f>
        <v>1.1560927363359628</v>
      </c>
      <c r="Z8" s="1323">
        <f>'Bloom Cleaner Data'!J8/'Bloom Cleaner Data'!$F8</f>
        <v>1.2004388484771762</v>
      </c>
      <c r="AA8" s="1323">
        <f>'Bloom Cleaner Data'!K8/'Bloom Cleaner Data'!$F8</f>
        <v>1.0641920149205428</v>
      </c>
      <c r="AB8" s="1323">
        <f>'Bloom Cleaner Data'!L8/'Bloom Cleaner Data'!$F8</f>
        <v>0.92794518136390913</v>
      </c>
      <c r="AC8" s="1323">
        <f>'Bloom Cleaner Data'!M8/'Bloom Cleaner Data'!$F8</f>
        <v>0.77382241338785718</v>
      </c>
      <c r="AD8" s="1323">
        <f>'Bloom Cleaner Data'!N8/'Bloom Cleaner Data'!$F8</f>
        <v>0.61969964541180522</v>
      </c>
      <c r="AE8" s="1323">
        <f>'Bloom Cleaner Data'!O8/'Bloom Cleaner Data'!$F8</f>
        <v>0.53203872650693296</v>
      </c>
      <c r="AF8" s="1323">
        <f>'Bloom Cleaner Data'!P8/'Bloom Cleaner Data'!$F8</f>
        <v>0.4443778076020608</v>
      </c>
      <c r="AG8" s="1323">
        <f>'Bloom Cleaner Data'!Q8/'Bloom Cleaner Data'!$F8</f>
        <v>0.40553198444325683</v>
      </c>
      <c r="AH8" s="1323">
        <f>'Bloom Cleaner Data'!R8/'Bloom Cleaner Data'!$F8</f>
        <v>0.36668616128445281</v>
      </c>
      <c r="AI8" s="729"/>
      <c r="AJ8" s="729">
        <f>AVERAGE('Bloom Cleaner Data'!BW8:CI8)</f>
        <v>2503.091180769231</v>
      </c>
      <c r="AK8" s="731">
        <f>('Bloom Cleaner Data'!CI8-'Bloom Cleaner Data'!BW8)/'Bloom Cleaner Data'!BW8</f>
        <v>-0.51288558222765523</v>
      </c>
      <c r="AL8" s="731">
        <f>('Bloom Cleaner Data'!CI8+'Bloom Cleaner Data'!CH8-'Bloom Cleaner Data'!BW8-'Bloom Cleaner Data'!BV8)/('Bloom Cleaner Data'!BW8+'Bloom Cleaner Data'!BV8)</f>
        <v>-0.51144797283872656</v>
      </c>
      <c r="AM8" s="729"/>
      <c r="AN8" s="729">
        <f>'Bloom Cleaner Data'!BW8</f>
        <v>2941.6714999999999</v>
      </c>
      <c r="AO8" s="729">
        <f>'Bloom Cleaner Data'!BY8</f>
        <v>3199.1442000000002</v>
      </c>
      <c r="AP8" s="729">
        <f>'Bloom Cleaner Data'!CA8</f>
        <v>3465.9549999999999</v>
      </c>
      <c r="AQ8" s="729">
        <f>'Bloom Cleaner Data'!CC8</f>
        <v>2734.5086000000001</v>
      </c>
      <c r="AR8" s="729">
        <f>'Bloom Cleaner Data'!CE8</f>
        <v>2031.8897999999999</v>
      </c>
      <c r="AS8" s="729">
        <f>'Bloom Cleaner Data'!CG8</f>
        <v>1557.6434999999999</v>
      </c>
      <c r="AT8" s="729">
        <f>'Bloom Cleaner Data'!CI8</f>
        <v>1432.9305999999999</v>
      </c>
      <c r="AU8" s="729">
        <f t="shared" si="2"/>
        <v>2480.5347428571436</v>
      </c>
      <c r="AV8" s="730">
        <f t="shared" si="3"/>
        <v>-0.51288558222765523</v>
      </c>
      <c r="AW8" s="730"/>
      <c r="AX8" s="729">
        <f>'Bloom Cleaner Data'!T8+'OPERATING LEASES'!AU8</f>
        <v>621.68373061864008</v>
      </c>
      <c r="AY8" s="729">
        <f>'Bloom Cleaner Data'!U8+'OPERATING LEASES'!AV8</f>
        <v>649.83847863794358</v>
      </c>
      <c r="AZ8" s="729">
        <f>'Bloom Cleaner Data'!V8+'OPERATING LEASES'!AW8</f>
        <v>677.99322665724708</v>
      </c>
      <c r="BA8" s="729">
        <f>'Bloom Cleaner Data'!W8+'OPERATING LEASES'!AX8</f>
        <v>671.03397467655054</v>
      </c>
      <c r="BB8" s="729">
        <f>'Bloom Cleaner Data'!X8+'OPERATING LEASES'!AY8</f>
        <v>664.07472269585412</v>
      </c>
      <c r="BC8" s="729">
        <f>'Bloom Cleaner Data'!Y8+'OPERATING LEASES'!AZ8</f>
        <v>675.92027670459106</v>
      </c>
      <c r="BD8" s="729">
        <f>'Bloom Cleaner Data'!Z8+'OPERATING LEASES'!BA8</f>
        <v>687.76583071332789</v>
      </c>
      <c r="BE8" s="729">
        <f>'Bloom Cleaner Data'!AA8+'OPERATING LEASES'!BB8</f>
        <v>673.39638472206479</v>
      </c>
      <c r="BF8" s="729">
        <f>'Bloom Cleaner Data'!AB8+'OPERATING LEASES'!BC8</f>
        <v>659.0269387308017</v>
      </c>
      <c r="BG8" s="729">
        <f>'Bloom Cleaner Data'!AC8+'OPERATING LEASES'!BD8</f>
        <v>705.8934085802116</v>
      </c>
      <c r="BH8" s="729">
        <f>'Bloom Cleaner Data'!AD8+'OPERATING LEASES'!BE8</f>
        <v>752.75987842962149</v>
      </c>
      <c r="BI8" s="729">
        <f>'Bloom Cleaner Data'!AE8+'OPERATING LEASES'!BF8</f>
        <v>739.77084827903127</v>
      </c>
      <c r="BJ8" s="729">
        <f>'Bloom Cleaner Data'!AF8+'OPERATING LEASES'!BG8</f>
        <v>726.78181812844105</v>
      </c>
      <c r="BK8" s="729">
        <f>'Bloom Cleaner Data'!AG8+'OPERATING LEASES'!BH8</f>
        <v>766.1498181284411</v>
      </c>
      <c r="BL8" s="729">
        <f>'Bloom Cleaner Data'!AH8+'OPERATING LEASES'!BI8</f>
        <v>805.51781812844115</v>
      </c>
      <c r="BM8" s="1168">
        <f t="shared" si="34"/>
        <v>708.16038035189422</v>
      </c>
      <c r="BN8" s="730">
        <f t="shared" si="35"/>
        <v>0.18809124701722557</v>
      </c>
      <c r="BO8" s="730"/>
      <c r="BP8" s="729">
        <f>'Bloom Cleaner Data'!BU8+'OPERATING LEASES'!AU8</f>
        <v>3496.0741306186401</v>
      </c>
      <c r="BQ8" s="729">
        <f>'Bloom Cleaner Data'!BV8+'OPERATING LEASES'!AV8</f>
        <v>3396.3694286379437</v>
      </c>
      <c r="BR8" s="729">
        <f>'Bloom Cleaner Data'!BW8+'OPERATING LEASES'!AW8</f>
        <v>3296.6647266572472</v>
      </c>
      <c r="BS8" s="729">
        <f>'Bloom Cleaner Data'!BX8+'OPERATING LEASES'!AX8</f>
        <v>3436.0193246765507</v>
      </c>
      <c r="BT8" s="729">
        <f>'Bloom Cleaner Data'!BY8+'OPERATING LEASES'!AY8</f>
        <v>3575.3739226958542</v>
      </c>
      <c r="BU8" s="729">
        <f>'Bloom Cleaner Data'!BZ8+'OPERATING LEASES'!AZ8</f>
        <v>3703.3473767045912</v>
      </c>
      <c r="BV8" s="729">
        <f>'Bloom Cleaner Data'!CA8+'OPERATING LEASES'!BA8</f>
        <v>3831.3208307133277</v>
      </c>
      <c r="BW8" s="729">
        <f>'Bloom Cleaner Data'!CB8+'OPERATING LEASES'!BB8</f>
        <v>3460.1656847220647</v>
      </c>
      <c r="BX8" s="729">
        <f>'Bloom Cleaner Data'!CC8+'OPERATING LEASES'!BC8</f>
        <v>3089.0105387308017</v>
      </c>
      <c r="BY8" s="729">
        <f>'Bloom Cleaner Data'!CD8+'OPERATING LEASES'!BD8</f>
        <v>2732.2801085802116</v>
      </c>
      <c r="BZ8" s="729">
        <f>'Bloom Cleaner Data'!CE8+'OPERATING LEASES'!BE8</f>
        <v>2375.5496784296215</v>
      </c>
      <c r="CA8" s="729">
        <f>'Bloom Cleaner Data'!CF8+'OPERATING LEASES'!BF8</f>
        <v>2133.0054982790311</v>
      </c>
      <c r="CB8" s="729">
        <f>'Bloom Cleaner Data'!CG8+'OPERATING LEASES'!BG8</f>
        <v>1890.461318128441</v>
      </c>
      <c r="CC8" s="729">
        <f>'Bloom Cleaner Data'!CH8+'OPERATING LEASES'!BH8</f>
        <v>1828.104868128441</v>
      </c>
      <c r="CD8" s="729">
        <f>'Bloom Cleaner Data'!CI8+'OPERATING LEASES'!BI8</f>
        <v>1765.748418128441</v>
      </c>
      <c r="CE8" s="1168">
        <f t="shared" si="36"/>
        <v>2855.1578688134332</v>
      </c>
      <c r="CF8" s="730">
        <f t="shared" si="37"/>
        <v>-0.46438338001120455</v>
      </c>
      <c r="CG8" s="731">
        <f t="shared" si="4"/>
        <v>0.14065276197250146</v>
      </c>
      <c r="CH8" s="729"/>
      <c r="CI8" s="731">
        <f>$CI$1*BP8/('Bloom Cleaner Data'!D8+'Bloom Cleaner Data'!T8+'OPERATING LEASES'!AU8)+(1-$CI$1)*'Bloom Cleaner Data'!BU8/('Bloom Cleaner Data'!D8+'Bloom Cleaner Data'!T8)-1</f>
        <v>0</v>
      </c>
      <c r="CJ8" s="731">
        <f>$CI$1*BQ8/('Bloom Cleaner Data'!E8+'Bloom Cleaner Data'!U8+'OPERATING LEASES'!AV8)+(1-$CI$1)*'Bloom Cleaner Data'!BV8/('Bloom Cleaner Data'!E8+'Bloom Cleaner Data'!U8)-1</f>
        <v>0</v>
      </c>
      <c r="CK8" s="731">
        <f>$CI$1*BR8/('Bloom Cleaner Data'!F8+'Bloom Cleaner Data'!V8+'OPERATING LEASES'!AW8)+(1-$CI$1)*'Bloom Cleaner Data'!BW8/('Bloom Cleaner Data'!F8+'Bloom Cleaner Data'!V8)-1</f>
        <v>0</v>
      </c>
      <c r="CL8" s="731">
        <f>$CI$1*BS8/('Bloom Cleaner Data'!G8+'Bloom Cleaner Data'!W8+'OPERATING LEASES'!AX8)+(1-$CI$1)*'Bloom Cleaner Data'!BX8/('Bloom Cleaner Data'!G8+'Bloom Cleaner Data'!W8)-1</f>
        <v>0</v>
      </c>
      <c r="CM8" s="731">
        <f>$CI$1*BT8/('Bloom Cleaner Data'!H8+'Bloom Cleaner Data'!X8+'OPERATING LEASES'!AY8)+(1-$CI$1)*'Bloom Cleaner Data'!BY8/('Bloom Cleaner Data'!H8+'Bloom Cleaner Data'!X8)-1</f>
        <v>0</v>
      </c>
      <c r="CN8" s="731">
        <f>$CI$1*BU8/('Bloom Cleaner Data'!I8+'Bloom Cleaner Data'!Y8+'OPERATING LEASES'!AZ8)+(1-$CI$1)*'Bloom Cleaner Data'!BZ8/('Bloom Cleaner Data'!I8+'Bloom Cleaner Data'!Y8)-1</f>
        <v>0</v>
      </c>
      <c r="CO8" s="731">
        <f>$CI$1*BV8/('Bloom Cleaner Data'!J8+'Bloom Cleaner Data'!Z8+'OPERATING LEASES'!BA8)+(1-$CI$1)*'Bloom Cleaner Data'!CA8/('Bloom Cleaner Data'!J8+'Bloom Cleaner Data'!Z8)-1</f>
        <v>0</v>
      </c>
      <c r="CP8" s="731">
        <f>$CI$1*BW8/('Bloom Cleaner Data'!K8+'Bloom Cleaner Data'!AA8+'OPERATING LEASES'!BB8)+(1-$CI$1)*'Bloom Cleaner Data'!CB8/('Bloom Cleaner Data'!K8+'Bloom Cleaner Data'!AA8)-1</f>
        <v>0</v>
      </c>
      <c r="CQ8" s="731">
        <f>$CI$1*BX8/('Bloom Cleaner Data'!L8+'Bloom Cleaner Data'!AB8+'OPERATING LEASES'!BC8)+(1-$CI$1)*'Bloom Cleaner Data'!CC8/('Bloom Cleaner Data'!L8+'Bloom Cleaner Data'!AB8)-1</f>
        <v>0</v>
      </c>
      <c r="CR8" s="731">
        <f>$CI$1*BY8/('Bloom Cleaner Data'!M8+'Bloom Cleaner Data'!AC8+'OPERATING LEASES'!BD8)+(1-$CI$1)*'Bloom Cleaner Data'!CD8/('Bloom Cleaner Data'!M8+'Bloom Cleaner Data'!AC8)-1</f>
        <v>0</v>
      </c>
      <c r="CS8" s="731">
        <f>$CI$1*BZ8/('Bloom Cleaner Data'!N8+'Bloom Cleaner Data'!AD8+'OPERATING LEASES'!BE8)+(1-$CI$1)*'Bloom Cleaner Data'!CE8/('Bloom Cleaner Data'!N8+'Bloom Cleaner Data'!AD8)-1</f>
        <v>0</v>
      </c>
      <c r="CT8" s="731">
        <f>$CI$1*CA8/('Bloom Cleaner Data'!O8+'Bloom Cleaner Data'!AE8+'OPERATING LEASES'!BF8)+(1-$CI$1)*'Bloom Cleaner Data'!CF8/('Bloom Cleaner Data'!O8+'Bloom Cleaner Data'!AE8)-1</f>
        <v>0</v>
      </c>
      <c r="CU8" s="731">
        <f>$CI$1*CB8/('Bloom Cleaner Data'!P8+'Bloom Cleaner Data'!AF8+'OPERATING LEASES'!BG8)+(1-$CI$1)*'Bloom Cleaner Data'!CG8/('Bloom Cleaner Data'!P8+'Bloom Cleaner Data'!AF8)-1</f>
        <v>0</v>
      </c>
      <c r="CV8" s="731">
        <f>$CI$1*CC8/('Bloom Cleaner Data'!Q8+'Bloom Cleaner Data'!AG8+'OPERATING LEASES'!BH8)+(1-$CI$1)*'Bloom Cleaner Data'!CH8/('Bloom Cleaner Data'!Q8+'Bloom Cleaner Data'!AG8)-1</f>
        <v>0</v>
      </c>
      <c r="CW8" s="731">
        <f>$CI$1*CD8/('Bloom Cleaner Data'!R8+'Bloom Cleaner Data'!AH8+'OPERATING LEASES'!BI8)+(1-$CI$1)*'Bloom Cleaner Data'!CI8/('Bloom Cleaner Data'!R8+'Bloom Cleaner Data'!AH8)-1</f>
        <v>0</v>
      </c>
      <c r="CX8" s="731">
        <f t="shared" si="38"/>
        <v>0</v>
      </c>
      <c r="CY8" s="729"/>
      <c r="CZ8" s="3113">
        <f>AVERAGE('Bloom Cleaner Data'!GX8:HJ8)</f>
        <v>517.93876086341709</v>
      </c>
      <c r="DA8" s="3114">
        <f>('Bloom Cleaner Data'!HJ8-'Bloom Cleaner Data'!GX8)/'Bloom Cleaner Data'!GX8</f>
        <v>-0.25438426261348018</v>
      </c>
      <c r="DB8" s="3114">
        <f>('Bloom Cleaner Data'!HJ8+'Bloom Cleaner Data'!HI8-'Bloom Cleaner Data'!GX8-'Bloom Cleaner Data'!GW8)/('Bloom Cleaner Data'!GX8+'Bloom Cleaner Data'!GW8)</f>
        <v>-0.22405114665014861</v>
      </c>
      <c r="DC8" s="729"/>
      <c r="DD8" s="729">
        <f>'Bloom Cleaner Data'!GV8+'OPERATING LEASES'!BL8</f>
        <v>627.07190221074711</v>
      </c>
      <c r="DE8" s="729">
        <f>'Bloom Cleaner Data'!GW8+'OPERATING LEASES'!BM8</f>
        <v>628.4064756666636</v>
      </c>
      <c r="DF8" s="729">
        <f>'Bloom Cleaner Data'!GX8+'OPERATING LEASES'!BN8</f>
        <v>629.86588020934289</v>
      </c>
      <c r="DG8" s="729">
        <f>'Bloom Cleaner Data'!GY8+'OPERATING LEASES'!BO8</f>
        <v>618.24836257336551</v>
      </c>
      <c r="DH8" s="729">
        <f>'Bloom Cleaner Data'!GZ8+'OPERATING LEASES'!BP8</f>
        <v>607.94522716748145</v>
      </c>
      <c r="DI8" s="729">
        <f>'Bloom Cleaner Data'!HA8+'OPERATING LEASES'!BQ8</f>
        <v>601.36683478611531</v>
      </c>
      <c r="DJ8" s="729">
        <f>'Bloom Cleaner Data'!HB8+'OPERATING LEASES'!BR8</f>
        <v>595.33393222442896</v>
      </c>
      <c r="DK8" s="729">
        <f>'Bloom Cleaner Data'!HC8+'OPERATING LEASES'!BS8</f>
        <v>591.05359959149905</v>
      </c>
      <c r="DL8" s="729">
        <f>'Bloom Cleaner Data'!HD8+'OPERATING LEASES'!BT8</f>
        <v>585.91934928081264</v>
      </c>
      <c r="DM8" s="729">
        <f>'Bloom Cleaner Data'!HE8+'OPERATING LEASES'!BU8</f>
        <v>576.62650703586962</v>
      </c>
      <c r="DN8" s="729">
        <f>'Bloom Cleaner Data'!HF8+'OPERATING LEASES'!BV8</f>
        <v>564.66456917209621</v>
      </c>
      <c r="DO8" s="729">
        <f>'Bloom Cleaner Data'!HG8+'OPERATING LEASES'!BW8</f>
        <v>557.81172553257954</v>
      </c>
      <c r="DP8" s="729">
        <f>'Bloom Cleaner Data'!HH8+'OPERATING LEASES'!BX8</f>
        <v>549.18446869449372</v>
      </c>
      <c r="DQ8" s="729">
        <f>'Bloom Cleaner Data'!HI8+'OPERATING LEASES'!BY8</f>
        <v>513.58562708486636</v>
      </c>
      <c r="DR8" s="729">
        <f>'Bloom Cleaner Data'!HJ8+'OPERATING LEASES'!BZ8</f>
        <v>480.28512037146925</v>
      </c>
      <c r="DS8" s="1168">
        <f t="shared" si="39"/>
        <v>574.76086182495533</v>
      </c>
      <c r="DT8" s="730">
        <f t="shared" si="40"/>
        <v>-0.23748033436603808</v>
      </c>
      <c r="DU8" s="731">
        <f t="shared" si="41"/>
        <v>0.1097081455475824</v>
      </c>
      <c r="DV8" s="741"/>
      <c r="DW8" s="732">
        <f>'Bloom Cleaner Data'!DT8</f>
        <v>1.8109999999999999</v>
      </c>
      <c r="DX8" s="732">
        <f>'Bloom Cleaner Data'!DX8</f>
        <v>2.0808</v>
      </c>
      <c r="DY8" s="732">
        <f>'Bloom Cleaner Data'!EB8</f>
        <v>1.2387999999999999</v>
      </c>
      <c r="DZ8" s="732">
        <f>'Bloom Cleaner Data'!EF8</f>
        <v>0.89280000000000004</v>
      </c>
      <c r="EA8" s="732">
        <f>AVERAGE('Bloom Cleaner Data'!DT8:EF8)</f>
        <v>1.5173461538461537</v>
      </c>
      <c r="EB8" s="731">
        <f t="shared" si="5"/>
        <v>-0.50701270016565425</v>
      </c>
      <c r="EC8" s="729"/>
      <c r="ED8" s="732">
        <f>'Bloom Cleaner Data'!DC8</f>
        <v>5.1589999999999998</v>
      </c>
      <c r="EE8" s="732">
        <f>'Bloom Cleaner Data'!DG8</f>
        <v>6.4447999999999999</v>
      </c>
      <c r="EF8" s="732">
        <f>'Bloom Cleaner Data'!DK8</f>
        <v>3.9904999999999999</v>
      </c>
      <c r="EG8" s="732">
        <f>'Bloom Cleaner Data'!DO8</f>
        <v>3.3704000000000001</v>
      </c>
      <c r="EH8" s="732">
        <f>AVERAGE('Bloom Cleaner Data'!DC8:DO8)</f>
        <v>4.7652692307692304</v>
      </c>
      <c r="EI8" s="733">
        <f t="shared" si="42"/>
        <v>4.7411750000000001</v>
      </c>
      <c r="EJ8" s="733">
        <f t="shared" si="6"/>
        <v>2.4094230769230229E-2</v>
      </c>
      <c r="EK8" s="731">
        <f t="shared" si="43"/>
        <v>-0.34669509594882725</v>
      </c>
      <c r="EL8" s="731"/>
      <c r="EM8" s="732">
        <f>('Bloom Cleaner Data'!BU8+'OPERATING LEASES'!AU8)/DD8</f>
        <v>5.5752364574033733</v>
      </c>
      <c r="EN8" s="732">
        <f>('Bloom Cleaner Data'!BV8+'OPERATING LEASES'!AV8)/DE8</f>
        <v>5.4047333376614315</v>
      </c>
      <c r="EO8" s="732">
        <f>('Bloom Cleaner Data'!BW8+'OPERATING LEASES'!AW8)/DF8</f>
        <v>5.2339153941178145</v>
      </c>
      <c r="EP8" s="732">
        <f>('Bloom Cleaner Data'!BX8+'OPERATING LEASES'!AX8)/DG8</f>
        <v>5.5576682975344065</v>
      </c>
      <c r="EQ8" s="732">
        <f>('Bloom Cleaner Data'!BY8+'OPERATING LEASES'!AY8)/DH8</f>
        <v>5.8810790231121963</v>
      </c>
      <c r="ER8" s="732">
        <f>('Bloom Cleaner Data'!BZ8+'OPERATING LEASES'!AZ8)/DI8</f>
        <v>6.1582168528162011</v>
      </c>
      <c r="ES8" s="732">
        <f>('Bloom Cleaner Data'!CA8+'OPERATING LEASES'!BA8)/DJ8</f>
        <v>6.4355828272677673</v>
      </c>
      <c r="ET8" s="732">
        <f>('Bloom Cleaner Data'!CB8+'OPERATING LEASES'!BB8)/DK8</f>
        <v>5.8542333336833154</v>
      </c>
      <c r="EU8" s="732">
        <f>('Bloom Cleaner Data'!CC8+'OPERATING LEASES'!BC8)/DL8</f>
        <v>5.2720746336887681</v>
      </c>
      <c r="EV8" s="732">
        <f>('Bloom Cleaner Data'!CD8+'OPERATING LEASES'!BD8)/DM8</f>
        <v>4.7383879777317404</v>
      </c>
      <c r="EW8" s="732">
        <f>('Bloom Cleaner Data'!CE8+'OPERATING LEASES'!BE8)/DN8</f>
        <v>4.207010335202404</v>
      </c>
      <c r="EX8" s="732">
        <f>('Bloom Cleaner Data'!CF8+'OPERATING LEASES'!BF8)/DO8</f>
        <v>3.8238807121569747</v>
      </c>
      <c r="EY8" s="732">
        <f>('Bloom Cleaner Data'!CG8+'OPERATING LEASES'!BG8)/DP8</f>
        <v>3.442306594398771</v>
      </c>
      <c r="EZ8" s="732">
        <f>('Bloom Cleaner Data'!CH8+'OPERATING LEASES'!BH8)/DQ8</f>
        <v>3.5594938248269159</v>
      </c>
      <c r="FA8" s="732">
        <f>('Bloom Cleaner Data'!CI8+'OPERATING LEASES'!BI8)/DR8</f>
        <v>3.6764587184436395</v>
      </c>
      <c r="FB8" s="734">
        <f t="shared" si="44"/>
        <v>4.9107929634600707</v>
      </c>
      <c r="FC8" s="730">
        <f t="shared" si="45"/>
        <v>-0.2975700901517318</v>
      </c>
      <c r="FD8" s="732">
        <f t="shared" si="7"/>
        <v>0.14552373269084029</v>
      </c>
      <c r="FE8" s="732">
        <f t="shared" si="46"/>
        <v>4.7167645810216499</v>
      </c>
      <c r="FF8" s="729"/>
      <c r="FG8" s="732">
        <f>$FG$1*EM8+(1-$FG$1)*'Bloom Cleaner Data'!DA8</f>
        <v>5.5752364574033733</v>
      </c>
      <c r="FH8" s="732">
        <f>$FG$1*EN8+(1-$FG$1)*'Bloom Cleaner Data'!DB8</f>
        <v>5.4047333376614315</v>
      </c>
      <c r="FI8" s="732">
        <f>$FG$1*EO8+(1-$FG$1)*'Bloom Cleaner Data'!DC8</f>
        <v>5.2339153941178145</v>
      </c>
      <c r="FJ8" s="732">
        <f>$FG$1*EP8+(1-$FG$1)*'Bloom Cleaner Data'!DD8</f>
        <v>5.5576682975344065</v>
      </c>
      <c r="FK8" s="732">
        <f>$FG$1*EQ8+(1-$FG$1)*'Bloom Cleaner Data'!DE8</f>
        <v>5.8810790231121963</v>
      </c>
      <c r="FL8" s="732">
        <f>$FG$1*ER8+(1-$FG$1)*'Bloom Cleaner Data'!DF8</f>
        <v>6.1582168528162011</v>
      </c>
      <c r="FM8" s="732">
        <f>$FG$1*ES8+(1-$FG$1)*'Bloom Cleaner Data'!DG8</f>
        <v>6.4355828272677673</v>
      </c>
      <c r="FN8" s="732">
        <f>$FG$1*ET8+(1-$FG$1)*'Bloom Cleaner Data'!DH8</f>
        <v>5.8542333336833154</v>
      </c>
      <c r="FO8" s="732">
        <f>$FG$1*EU8+(1-$FG$1)*'Bloom Cleaner Data'!DI8</f>
        <v>5.2720746336887681</v>
      </c>
      <c r="FP8" s="732">
        <f>$FG$1*EV8+(1-$FG$1)*'Bloom Cleaner Data'!DJ8</f>
        <v>4.7383879777317404</v>
      </c>
      <c r="FQ8" s="732">
        <f>$FG$1*EW8+(1-$FG$1)*'Bloom Cleaner Data'!DK8</f>
        <v>4.207010335202404</v>
      </c>
      <c r="FR8" s="732">
        <f>$FG$1*EX8+(1-$FG$1)*'Bloom Cleaner Data'!DL8</f>
        <v>3.8238807121569747</v>
      </c>
      <c r="FS8" s="732">
        <f>$FG$1*EY8+(1-$FG$1)*'Bloom Cleaner Data'!DM8</f>
        <v>3.442306594398771</v>
      </c>
      <c r="FT8" s="732">
        <f>$FG$1*EZ8+(1-$FG$1)*'Bloom Cleaner Data'!DN8</f>
        <v>3.5594938248269159</v>
      </c>
      <c r="FU8" s="732">
        <f>$FG$1*FA8+(1-$FG$1)*'Bloom Cleaner Data'!DO8</f>
        <v>3.6764587184436395</v>
      </c>
      <c r="FV8" s="734">
        <f t="shared" si="47"/>
        <v>4.9107929634600707</v>
      </c>
      <c r="FW8" s="730">
        <f t="shared" si="48"/>
        <v>-0.2975700901517318</v>
      </c>
      <c r="FX8" s="734">
        <f t="shared" si="49"/>
        <v>4.7167645810216499</v>
      </c>
      <c r="FY8" s="2805"/>
      <c r="FZ8" s="2805"/>
      <c r="GA8" s="730">
        <f>'Bloom Cleaner Data'!T8/('Bloom Cleaner Data'!T8+'Bloom Cleaner Data'!D8)</f>
        <v>9.10493677832592E-2</v>
      </c>
      <c r="GB8" s="730">
        <f>'Bloom Cleaner Data'!U8/('Bloom Cleaner Data'!U8+'Bloom Cleaner Data'!E8)</f>
        <v>0.1000865188336106</v>
      </c>
      <c r="GC8" s="730">
        <f>'Bloom Cleaner Data'!V8/('Bloom Cleaner Data'!V8+'Bloom Cleaner Data'!F8)</f>
        <v>0.10980151930628557</v>
      </c>
      <c r="GD8" s="730">
        <f>'Bloom Cleaner Data'!W8/('Bloom Cleaner Data'!W8+'Bloom Cleaner Data'!G8)</f>
        <v>9.9472941355331676E-2</v>
      </c>
      <c r="GE8" s="730">
        <f>'Bloom Cleaner Data'!X8/('Bloom Cleaner Data'!X8+'Bloom Cleaner Data'!H8)</f>
        <v>8.9975625356306238E-2</v>
      </c>
      <c r="GF8" s="730">
        <f>'Bloom Cleaner Data'!Y8/('Bloom Cleaner Data'!Y8+'Bloom Cleaner Data'!I8)</f>
        <v>9.1558277182131068E-2</v>
      </c>
      <c r="GG8" s="730">
        <f>'Bloom Cleaner Data'!Z8/('Bloom Cleaner Data'!Z8+'Bloom Cleaner Data'!J8)</f>
        <v>9.3019095747059605E-2</v>
      </c>
      <c r="GH8" s="730">
        <f>'Bloom Cleaner Data'!AA8/('Bloom Cleaner Data'!AA8+'Bloom Cleaner Data'!K8)</f>
        <v>0.10110937511188679</v>
      </c>
      <c r="GI8" s="730">
        <f>'Bloom Cleaner Data'!AB8/('Bloom Cleaner Data'!AB8+'Bloom Cleaner Data'!L8)</f>
        <v>0.11136370169031466</v>
      </c>
      <c r="GJ8" s="730">
        <f>'Bloom Cleaner Data'!AC8/('Bloom Cleaner Data'!AC8+'Bloom Cleaner Data'!M8)</f>
        <v>0.14971996465926976</v>
      </c>
      <c r="GK8" s="730">
        <f>'Bloom Cleaner Data'!AD8/('Bloom Cleaner Data'!AD8+'Bloom Cleaner Data'!N8)</f>
        <v>0.20133965926695435</v>
      </c>
      <c r="GL8" s="730">
        <f>'Bloom Cleaner Data'!AE8/('Bloom Cleaner Data'!AE8+'Bloom Cleaner Data'!O8)</f>
        <v>0.22372379161380118</v>
      </c>
      <c r="GM8" s="730">
        <f>'Bloom Cleaner Data'!AF8/('Bloom Cleaner Data'!AF8+'Bloom Cleaner Data'!P8)</f>
        <v>0.25292308541717023</v>
      </c>
      <c r="GN8" s="730">
        <f>'Bloom Cleaner Data'!AG8/('Bloom Cleaner Data'!AG8+'Bloom Cleaner Data'!Q8)</f>
        <v>0.28979853734438482</v>
      </c>
      <c r="GO8" s="730">
        <f>'Bloom Cleaner Data'!AH8/('Bloom Cleaner Data'!AH8+'Bloom Cleaner Data'!R8)</f>
        <v>0.32988338723452482</v>
      </c>
      <c r="GP8" s="730">
        <f t="shared" si="50"/>
        <v>0.16489915086810925</v>
      </c>
      <c r="GQ8" s="730">
        <f t="shared" si="51"/>
        <v>2.0043608623878186</v>
      </c>
      <c r="GR8" s="730"/>
      <c r="GS8" s="735">
        <f t="shared" si="8"/>
        <v>0.10016976121267313</v>
      </c>
      <c r="GT8" s="736">
        <f t="shared" si="9"/>
        <v>0.11121793475511355</v>
      </c>
      <c r="GU8" s="736">
        <f t="shared" si="10"/>
        <v>0.12334498618860748</v>
      </c>
      <c r="GV8" s="736">
        <f t="shared" si="11"/>
        <v>0.11046080226067022</v>
      </c>
      <c r="GW8" s="736">
        <f t="shared" si="12"/>
        <v>9.887166526889439E-2</v>
      </c>
      <c r="GX8" s="736">
        <f t="shared" si="13"/>
        <v>0.10078607673162469</v>
      </c>
      <c r="GY8" s="736">
        <f t="shared" si="14"/>
        <v>0.10255904541196192</v>
      </c>
      <c r="GZ8" s="736">
        <f t="shared" si="15"/>
        <v>0.1124824003192514</v>
      </c>
      <c r="HA8" s="736">
        <f t="shared" si="16"/>
        <v>0.12531977582070922</v>
      </c>
      <c r="HB8" s="736">
        <f t="shared" si="17"/>
        <v>0.17608312371967302</v>
      </c>
      <c r="HC8" s="736">
        <f t="shared" si="18"/>
        <v>0.25209672873221167</v>
      </c>
      <c r="HD8" s="736">
        <f t="shared" si="19"/>
        <v>0.28820127320261524</v>
      </c>
      <c r="HE8" s="736">
        <f t="shared" si="20"/>
        <v>0.33855026233597824</v>
      </c>
      <c r="HF8" s="736">
        <f t="shared" si="21"/>
        <v>0.40805116939742408</v>
      </c>
      <c r="HG8" s="737">
        <f t="shared" si="22"/>
        <v>0.49227758415530598</v>
      </c>
      <c r="HH8" s="730">
        <f t="shared" si="52"/>
        <v>0.20992960719576367</v>
      </c>
      <c r="HI8" s="730">
        <f t="shared" si="53"/>
        <v>2.9910627854995395</v>
      </c>
      <c r="HJ8" s="730"/>
      <c r="HK8" s="731">
        <f>('Bloom Cleaner Data'!T8+'OPERATING LEASES'!AU8)/('Bloom Cleaner Data'!T8+'OPERATING LEASES'!AU8+'Bloom Cleaner Data'!D8)</f>
        <v>0.17782338342712184</v>
      </c>
      <c r="HL8" s="731">
        <f>('Bloom Cleaner Data'!U8+'OPERATING LEASES'!AV8)/('Bloom Cleaner Data'!U8+'OPERATING LEASES'!AV8+'Bloom Cleaner Data'!E8)</f>
        <v>0.19133327286441576</v>
      </c>
      <c r="HM8" s="731">
        <f>('Bloom Cleaner Data'!V8+'OPERATING LEASES'!AW8)/('Bloom Cleaner Data'!V8+'OPERATING LEASES'!AW8+'Bloom Cleaner Data'!F8)</f>
        <v>0.20566035155923143</v>
      </c>
      <c r="HN8" s="731">
        <f>('Bloom Cleaner Data'!W8+'OPERATING LEASES'!AX8)/('Bloom Cleaner Data'!W8+'OPERATING LEASES'!AX8+'Bloom Cleaner Data'!G8)</f>
        <v>0.19529400485537676</v>
      </c>
      <c r="HO8" s="731">
        <f>('Bloom Cleaner Data'!X8+'OPERATING LEASES'!AY8)/('Bloom Cleaner Data'!X8+'OPERATING LEASES'!AY8+'Bloom Cleaner Data'!H8)</f>
        <v>0.1857357403879977</v>
      </c>
      <c r="HP8" s="731">
        <f>('Bloom Cleaner Data'!Y8+'OPERATING LEASES'!AZ8)/('Bloom Cleaner Data'!Y8+'OPERATING LEASES'!AZ8+'Bloom Cleaner Data'!I8)</f>
        <v>0.18251603426575017</v>
      </c>
      <c r="HQ8" s="731">
        <f>('Bloom Cleaner Data'!Z8+'OPERATING LEASES'!BA8)/('Bloom Cleaner Data'!Z8+'OPERATING LEASES'!BA8+'Bloom Cleaner Data'!J8)</f>
        <v>0.17951141684610042</v>
      </c>
      <c r="HR8" s="731">
        <f>('Bloom Cleaner Data'!AA8+'OPERATING LEASES'!BB8)/('Bloom Cleaner Data'!AA8+'OPERATING LEASES'!BB8+'Bloom Cleaner Data'!K8)</f>
        <v>0.19461391334390823</v>
      </c>
      <c r="HS8" s="731">
        <f>('Bloom Cleaner Data'!AB8+'OPERATING LEASES'!BC8)/('Bloom Cleaner Data'!AB8+'OPERATING LEASES'!BC8+'Bloom Cleaner Data'!L8)</f>
        <v>0.21334564271236822</v>
      </c>
      <c r="HT8" s="731">
        <f>('Bloom Cleaner Data'!AC8+'OPERATING LEASES'!BD8)/('Bloom Cleaner Data'!AC8+'OPERATING LEASES'!BD8+'Bloom Cleaner Data'!M8)</f>
        <v>0.25835323631844559</v>
      </c>
      <c r="HU8" s="731">
        <f>('Bloom Cleaner Data'!AD8+'OPERATING LEASES'!BE8)/('Bloom Cleaner Data'!AD8+'OPERATING LEASES'!BE8+'Bloom Cleaner Data'!N8)</f>
        <v>0.31687818834722925</v>
      </c>
      <c r="HV8" s="731">
        <f>('Bloom Cleaner Data'!AE8+'OPERATING LEASES'!BF8)/('Bloom Cleaner Data'!AE8+'OPERATING LEASES'!BF8+'Bloom Cleaner Data'!O8)</f>
        <v>0.3468208820258078</v>
      </c>
      <c r="HW8" s="731">
        <f>('Bloom Cleaner Data'!AF8+'OPERATING LEASES'!BG8)/('Bloom Cleaner Data'!AF8+'OPERATING LEASES'!BG8+'Bloom Cleaner Data'!P8)</f>
        <v>0.38444680732634928</v>
      </c>
      <c r="HX8" s="731">
        <f>('Bloom Cleaner Data'!AG8+'OPERATING LEASES'!BH8)/('Bloom Cleaner Data'!AG8+'OPERATING LEASES'!BH8+'Bloom Cleaner Data'!Q8)</f>
        <v>0.41909511400886007</v>
      </c>
      <c r="HY8" s="731">
        <f>('Bloom Cleaner Data'!AH8+'OPERATING LEASES'!BI8)/('Bloom Cleaner Data'!AH8+'OPERATING LEASES'!BI8+'Bloom Cleaner Data'!R8)</f>
        <v>0.4561905930983241</v>
      </c>
      <c r="HZ8" s="730">
        <f t="shared" si="54"/>
        <v>0.27218937885351913</v>
      </c>
      <c r="IA8" s="730">
        <f t="shared" si="55"/>
        <v>1.2181747217666232</v>
      </c>
      <c r="IB8" s="730">
        <f t="shared" si="23"/>
        <v>0.10729022798540988</v>
      </c>
      <c r="IC8" s="730">
        <f t="shared" si="24"/>
        <v>0.65064148250965514</v>
      </c>
      <c r="IE8" s="735">
        <f t="shared" si="56"/>
        <v>0.21628367900847431</v>
      </c>
      <c r="IF8" s="736">
        <f t="shared" si="25"/>
        <v>0.23660337002135129</v>
      </c>
      <c r="IG8" s="736">
        <f t="shared" si="25"/>
        <v>0.25890732253253113</v>
      </c>
      <c r="IH8" s="736">
        <f t="shared" si="25"/>
        <v>0.2426898842977778</v>
      </c>
      <c r="II8" s="736">
        <f t="shared" si="25"/>
        <v>0.22810253329367661</v>
      </c>
      <c r="IJ8" s="736">
        <f t="shared" si="25"/>
        <v>0.22326558307699337</v>
      </c>
      <c r="IK8" s="736">
        <f t="shared" si="25"/>
        <v>0.2187860020624191</v>
      </c>
      <c r="IL8" s="736">
        <f t="shared" si="25"/>
        <v>0.24164052069974534</v>
      </c>
      <c r="IM8" s="736">
        <f t="shared" si="25"/>
        <v>0.27120633189903082</v>
      </c>
      <c r="IN8" s="736">
        <f t="shared" si="25"/>
        <v>0.34835079038971756</v>
      </c>
      <c r="IO8" s="736">
        <f t="shared" si="25"/>
        <v>0.46386776551690273</v>
      </c>
      <c r="IP8" s="736">
        <f t="shared" si="25"/>
        <v>0.530973621908579</v>
      </c>
      <c r="IQ8" s="736">
        <f t="shared" si="25"/>
        <v>0.62455497250612479</v>
      </c>
      <c r="IR8" s="736">
        <f t="shared" si="25"/>
        <v>0.72145221036280327</v>
      </c>
      <c r="IS8" s="737">
        <f t="shared" si="25"/>
        <v>0.83887955469075981</v>
      </c>
      <c r="IT8" s="730">
        <f t="shared" si="57"/>
        <v>0.40097516101823544</v>
      </c>
      <c r="IU8" s="730">
        <f t="shared" si="58"/>
        <v>2.2400765898977482</v>
      </c>
      <c r="IV8" s="730">
        <f t="shared" si="59"/>
        <v>0.19104555382247176</v>
      </c>
      <c r="IW8" s="730">
        <f t="shared" si="60"/>
        <v>0.91004578331972896</v>
      </c>
      <c r="IY8" s="732">
        <f>'Bloom Cleaner Data'!T8/'Bloom Cleaner Data'!BU8*'Bloom Cleaner Data'!DA8</f>
        <v>0.50780963893757158</v>
      </c>
      <c r="IZ8" s="732">
        <f>'Bloom Cleaner Data'!U8/'Bloom Cleaner Data'!BV8*'Bloom Cleaner Data'!DB8</f>
        <v>0.53727944607664668</v>
      </c>
      <c r="JA8" s="732">
        <f>'Bloom Cleaner Data'!V8/'Bloom Cleaner Data'!BW8*'Bloom Cleaner Data'!DC8</f>
        <v>0.56646603810112717</v>
      </c>
      <c r="JB8" s="732">
        <f>'Bloom Cleaner Data'!W8/'Bloom Cleaner Data'!BX8*'Bloom Cleaner Data'!DD8</f>
        <v>0.54657894451220868</v>
      </c>
      <c r="JC8" s="732">
        <f>'Bloom Cleaner Data'!X8/'Bloom Cleaner Data'!BY8*'Bloom Cleaner Data'!DE8</f>
        <v>0.52460288363994345</v>
      </c>
      <c r="JD8" s="732">
        <f>'Bloom Cleaner Data'!Y8/'Bloom Cleaner Data'!BZ8*'Bloom Cleaner Data'!DF8</f>
        <v>0.56195265994690669</v>
      </c>
      <c r="JE8" s="732">
        <f>'Bloom Cleaner Data'!Z8/'Bloom Cleaner Data'!CA8*'Bloom Cleaner Data'!DG8</f>
        <v>0.59948946827064975</v>
      </c>
      <c r="JF8" s="732">
        <f>'Bloom Cleaner Data'!AA8/'Bloom Cleaner Data'!CB8*'Bloom Cleaner Data'!DH8</f>
        <v>0.58660626158663365</v>
      </c>
      <c r="JG8" s="732">
        <f>'Bloom Cleaner Data'!AB8/'Bloom Cleaner Data'!CC8*'Bloom Cleaner Data'!DI8</f>
        <v>0.57448079153965725</v>
      </c>
      <c r="JH8" s="732">
        <f>'Bloom Cleaner Data'!AC8/'Bloom Cleaner Data'!CD8*'Bloom Cleaner Data'!DJ8</f>
        <v>0.68490146433206256</v>
      </c>
      <c r="JI8" s="732">
        <f>'Bloom Cleaner Data'!AD8/'Bloom Cleaner Data'!CE8*'Bloom Cleaner Data'!DK8</f>
        <v>0.8034459103047813</v>
      </c>
      <c r="JJ8" s="732">
        <f>'Bloom Cleaner Data'!AE8/'Bloom Cleaner Data'!CF8*'Bloom Cleaner Data'!DL8</f>
        <v>0.79906308031743301</v>
      </c>
      <c r="JK8" s="732">
        <f>'Bloom Cleaner Data'!AF8/'Bloom Cleaner Data'!CG8*'Bloom Cleaner Data'!DM8</f>
        <v>0.79741590370325433</v>
      </c>
      <c r="JL8" s="732">
        <f>'Bloom Cleaner Data'!AG8/'Bloom Cleaner Data'!CH8*'Bloom Cleaner Data'!DN8</f>
        <v>0.94520690940244556</v>
      </c>
      <c r="JM8" s="732">
        <f>'Bloom Cleaner Data'!AH8/'Bloom Cleaner Data'!CI8*'Bloom Cleaner Data'!DO8</f>
        <v>1.1118389683352425</v>
      </c>
      <c r="JN8" s="732">
        <f t="shared" si="61"/>
        <v>0.95148726048031429</v>
      </c>
      <c r="JO8" s="732">
        <f t="shared" si="62"/>
        <v>0.91338121543959394</v>
      </c>
      <c r="JP8" s="732">
        <f t="shared" si="63"/>
        <v>0.70015763723018054</v>
      </c>
      <c r="JQ8" s="731">
        <f t="shared" si="64"/>
        <v>0.96276368493737274</v>
      </c>
      <c r="JR8" s="731"/>
      <c r="JS8" s="2025" t="s">
        <v>36</v>
      </c>
      <c r="JT8" s="734">
        <f>('Bloom Cleaner Data'!T8+'OPERATING LEASES'!AU8)/DD8</f>
        <v>0.99140741026170842</v>
      </c>
      <c r="JU8" s="734">
        <f>('Bloom Cleaner Data'!U8+'OPERATING LEASES'!AV8)/DE8</f>
        <v>1.0341053184541793</v>
      </c>
      <c r="JV8" s="734">
        <f>('Bloom Cleaner Data'!V8+'OPERATING LEASES'!AW8)/DF8</f>
        <v>1.0764088799855431</v>
      </c>
      <c r="JW8" s="734">
        <f>('Bloom Cleaner Data'!W8+'OPERATING LEASES'!AX8)/DG8</f>
        <v>1.0853792994832576</v>
      </c>
      <c r="JX8" s="734">
        <f>('Bloom Cleaner Data'!X8+'OPERATING LEASES'!AY8)/DH8</f>
        <v>1.0923265666380659</v>
      </c>
      <c r="JY8" s="734">
        <f>('Bloom Cleaner Data'!Y8+'OPERATING LEASES'!AZ8)/DI8</f>
        <v>1.1239733181245217</v>
      </c>
      <c r="JZ8" s="734">
        <f>('Bloom Cleaner Data'!Z8+'OPERATING LEASES'!BA8)/DJ8</f>
        <v>1.1552605915532697</v>
      </c>
      <c r="KA8" s="734">
        <f>('Bloom Cleaner Data'!AA8+'OPERATING LEASES'!BB8)/DK8</f>
        <v>1.1393152586964637</v>
      </c>
      <c r="KB8" s="734">
        <f>('Bloom Cleaner Data'!AB8+'OPERATING LEASES'!BC8)/DL8</f>
        <v>1.1247741511519036</v>
      </c>
      <c r="KC8" s="734">
        <f>('Bloom Cleaner Data'!AC8+'OPERATING LEASES'!BD8)/DM8</f>
        <v>1.2241778689794098</v>
      </c>
      <c r="KD8" s="734">
        <f>('Bloom Cleaner Data'!AD8+'OPERATING LEASES'!BE8)/DN8</f>
        <v>1.3331098133770074</v>
      </c>
      <c r="KE8" s="734">
        <f>('Bloom Cleaner Data'!AE8+'OPERATING LEASES'!BF8)/DO8</f>
        <v>1.3262016813517561</v>
      </c>
      <c r="KF8" s="734">
        <f>('Bloom Cleaner Data'!AF8+'OPERATING LEASES'!BG8)/DP8</f>
        <v>1.3233837800550459</v>
      </c>
      <c r="KG8" s="734">
        <f>('Bloom Cleaner Data'!AG8+'OPERATING LEASES'!BH8)/DQ8</f>
        <v>1.4917664703296698</v>
      </c>
      <c r="KH8" s="734">
        <f>('Bloom Cleaner Data'!AH8+'OPERATING LEASES'!BI8)/DR8</f>
        <v>1.6771658832683087</v>
      </c>
      <c r="KI8" s="732">
        <f t="shared" si="65"/>
        <v>1.4974387112176748</v>
      </c>
      <c r="KJ8" s="732">
        <f t="shared" si="66"/>
        <v>1.454629453751195</v>
      </c>
      <c r="KK8" s="732">
        <f t="shared" si="67"/>
        <v>1.2440956586918632</v>
      </c>
      <c r="KL8" s="731">
        <f t="shared" si="68"/>
        <v>0.5581122698382367</v>
      </c>
      <c r="KM8" s="732">
        <f t="shared" si="69"/>
        <v>0.54393802146168269</v>
      </c>
      <c r="KN8" s="731"/>
      <c r="KO8" s="732">
        <f t="shared" si="70"/>
        <v>0.99140741026170842</v>
      </c>
      <c r="KP8" s="732">
        <f t="shared" si="71"/>
        <v>1.0341053184541793</v>
      </c>
      <c r="KQ8" s="732">
        <f t="shared" si="72"/>
        <v>1.0764088799855431</v>
      </c>
      <c r="KR8" s="732">
        <f t="shared" si="73"/>
        <v>1.0853792994832576</v>
      </c>
      <c r="KS8" s="732">
        <f t="shared" si="74"/>
        <v>1.0923265666380659</v>
      </c>
      <c r="KT8" s="732">
        <f t="shared" si="75"/>
        <v>1.1239733181245217</v>
      </c>
      <c r="KU8" s="732">
        <f t="shared" si="76"/>
        <v>1.1552605915532697</v>
      </c>
      <c r="KV8" s="732">
        <f t="shared" si="77"/>
        <v>1.1393152586964637</v>
      </c>
      <c r="KW8" s="732">
        <f t="shared" si="78"/>
        <v>1.1247741511519036</v>
      </c>
      <c r="KX8" s="732">
        <f t="shared" si="79"/>
        <v>1.2241778689794098</v>
      </c>
      <c r="KY8" s="732">
        <f t="shared" si="80"/>
        <v>1.3331098133770074</v>
      </c>
      <c r="KZ8" s="732">
        <f t="shared" si="81"/>
        <v>1.3262016813517561</v>
      </c>
      <c r="LA8" s="732">
        <f t="shared" si="82"/>
        <v>1.3233837800550459</v>
      </c>
      <c r="LB8" s="732">
        <f t="shared" si="83"/>
        <v>1.4917664703296698</v>
      </c>
      <c r="LC8" s="732">
        <f t="shared" si="84"/>
        <v>1.6771658832683087</v>
      </c>
      <c r="LD8" s="732">
        <f t="shared" si="85"/>
        <v>1.4974387112176748</v>
      </c>
      <c r="LE8" s="732">
        <f t="shared" si="86"/>
        <v>1.454629453751195</v>
      </c>
      <c r="LF8" s="734">
        <f t="shared" si="87"/>
        <v>1.2440956586918632</v>
      </c>
      <c r="LG8" s="730">
        <f t="shared" si="88"/>
        <v>0.5581122698382367</v>
      </c>
      <c r="LH8" s="731"/>
      <c r="LI8" s="732">
        <f>('Bloom Cleaner Data'!T8+'Bloom Cleaner Data'!EY8)/'Bloom Cleaner Data'!GV8</f>
        <v>0.52546226156805143</v>
      </c>
      <c r="LJ8" s="732">
        <f>('Bloom Cleaner Data'!U8+'Bloom Cleaner Data'!EZ8)/'Bloom Cleaner Data'!GW8</f>
        <v>0.55100677335766457</v>
      </c>
      <c r="LK8" s="732">
        <f>('Bloom Cleaner Data'!V8+'Bloom Cleaner Data'!FA8)/'Bloom Cleaner Data'!GX8</f>
        <v>0.5762871211146452</v>
      </c>
      <c r="LL8" s="732">
        <f>('Bloom Cleaner Data'!W8+'Bloom Cleaner Data'!FB8)/'Bloom Cleaner Data'!GY8</f>
        <v>0.56318538089329073</v>
      </c>
      <c r="LM8" s="732">
        <f>('Bloom Cleaner Data'!X8+'Bloom Cleaner Data'!FC8)/'Bloom Cleaner Data'!GZ8</f>
        <v>0.5482209029527334</v>
      </c>
      <c r="LN8" s="732">
        <f>('Bloom Cleaner Data'!Y8+'Bloom Cleaner Data'!FD8)/'Bloom Cleaner Data'!HA8</f>
        <v>0.58134513520819009</v>
      </c>
      <c r="LO8" s="732">
        <f>('Bloom Cleaner Data'!Z8+'Bloom Cleaner Data'!FE8)/'Bloom Cleaner Data'!HB8</f>
        <v>0.6145510833233554</v>
      </c>
      <c r="LP8" s="732">
        <f>('Bloom Cleaner Data'!AA8+'Bloom Cleaner Data'!FF8)/'Bloom Cleaner Data'!HC8</f>
        <v>0.60084649876825336</v>
      </c>
      <c r="LQ8" s="732">
        <f>('Bloom Cleaner Data'!AB8+'Bloom Cleaner Data'!FG8)/'Bloom Cleaner Data'!HD8</f>
        <v>0.58791065363626938</v>
      </c>
      <c r="LR8" s="732">
        <f>('Bloom Cleaner Data'!AC8+'Bloom Cleaner Data'!FH8)/'Bloom Cleaner Data'!HE8</f>
        <v>0.69816424707594738</v>
      </c>
      <c r="LS8" s="732">
        <f>('Bloom Cleaner Data'!AD8+'Bloom Cleaner Data'!FI8)/'Bloom Cleaner Data'!HF8</f>
        <v>0.81660427647208034</v>
      </c>
      <c r="LT8" s="732">
        <f>('Bloom Cleaner Data'!AE8+'Bloom Cleaner Data'!FJ8)/'Bloom Cleaner Data'!HG8</f>
        <v>0.8179345904104024</v>
      </c>
      <c r="LU8" s="732">
        <f>('Bloom Cleaner Data'!AF8+'Bloom Cleaner Data'!FK8)/'Bloom Cleaner Data'!HH8</f>
        <v>0.8222433079199446</v>
      </c>
      <c r="LV8" s="732">
        <f>('Bloom Cleaner Data'!AG8+'Bloom Cleaner Data'!FL8)/'Bloom Cleaner Data'!HI8</f>
        <v>0.97134486920086682</v>
      </c>
      <c r="LW8" s="732">
        <f>('Bloom Cleaner Data'!AH8+'Bloom Cleaner Data'!FM8)/'Bloom Cleaner Data'!HJ8</f>
        <v>1.1393585704708937</v>
      </c>
      <c r="LX8" s="732">
        <f t="shared" si="89"/>
        <v>2.7519602135651189E-2</v>
      </c>
      <c r="LY8" s="732">
        <f t="shared" si="90"/>
        <v>0.97764891586390179</v>
      </c>
      <c r="LZ8" s="732">
        <f t="shared" si="27"/>
        <v>2.6161655383587501E-2</v>
      </c>
      <c r="MA8" s="732">
        <f t="shared" si="91"/>
        <v>0.93772033450052683</v>
      </c>
      <c r="MB8" s="732">
        <f t="shared" si="92"/>
        <v>0.71830743364975946</v>
      </c>
      <c r="MC8" s="731">
        <f t="shared" si="93"/>
        <v>0.9770675566498257</v>
      </c>
      <c r="MD8" s="732">
        <f t="shared" si="28"/>
        <v>1.8149796419578923E-2</v>
      </c>
      <c r="ME8" s="731"/>
      <c r="MF8" s="2025" t="s">
        <v>36</v>
      </c>
      <c r="MG8" s="732">
        <f>JT8+'Bloom Cleaner Data'!EY8/CALCULATIONS!DD8</f>
        <v>1.0073688972374655</v>
      </c>
      <c r="MH8" s="732">
        <f>JU8+'Bloom Cleaner Data'!EZ8/CALCULATIONS!DE8</f>
        <v>1.0465248276448196</v>
      </c>
      <c r="MI8" s="732">
        <f>JV8+'Bloom Cleaner Data'!FA8/CALCULATIONS!DF8</f>
        <v>1.0852996616201012</v>
      </c>
      <c r="MJ8" s="732">
        <f>JW8+'Bloom Cleaner Data'!FB8/CALCULATIONS!DG8</f>
        <v>1.1003886396800928</v>
      </c>
      <c r="MK8" s="732">
        <f>JX8+'Bloom Cleaner Data'!FC8/CALCULATIONS!DH8</f>
        <v>1.1136426316730332</v>
      </c>
      <c r="ML8" s="732">
        <f>JY8+'Bloom Cleaner Data'!FD8/CALCULATIONS!DI8</f>
        <v>1.1414825976373253</v>
      </c>
      <c r="MM8" s="732">
        <f>JZ8+'Bloom Cleaner Data'!FE8/CALCULATIONS!DJ8</f>
        <v>1.1688664009344598</v>
      </c>
      <c r="MN8" s="732">
        <f>KA8+'Bloom Cleaner Data'!FF8/CALCULATIONS!DK8</f>
        <v>1.1521897255895834</v>
      </c>
      <c r="MO8" s="732">
        <f>KB8+'Bloom Cleaner Data'!FG8/CALCULATIONS!DL8</f>
        <v>1.1369242875294412</v>
      </c>
      <c r="MP8" s="732">
        <f>KC8+'Bloom Cleaner Data'!FH8/CALCULATIONS!DM8</f>
        <v>1.2361604953687482</v>
      </c>
      <c r="MQ8" s="732">
        <f>KD8+'Bloom Cleaner Data'!FI8/CALCULATIONS!DN8</f>
        <v>1.344975264772025</v>
      </c>
      <c r="MR8" s="732">
        <f>KE8+'Bloom Cleaner Data'!FJ8/CALCULATIONS!DO8</f>
        <v>1.343202041089526</v>
      </c>
      <c r="MS8" s="732">
        <f>KF8+'Bloom Cleaner Data'!FK8/CALCULATIONS!DP8</f>
        <v>1.345718716126997</v>
      </c>
      <c r="MT8" s="732">
        <f>KG8+'Bloom Cleaner Data'!FL8/CALCULATIONS!DQ8</f>
        <v>1.515098509561406</v>
      </c>
      <c r="MU8" s="732">
        <f>KH8+'Bloom Cleaner Data'!FM8/CALCULATIONS!DR8</f>
        <v>1.7015264130947394</v>
      </c>
      <c r="MV8" s="732">
        <f t="shared" si="29"/>
        <v>2.4360529826430666E-2</v>
      </c>
      <c r="MW8" s="732">
        <f t="shared" si="94"/>
        <v>1.5207812129277141</v>
      </c>
      <c r="MX8" s="732">
        <f t="shared" si="30"/>
        <v>2.3342501710039265E-2</v>
      </c>
      <c r="MY8" s="732">
        <f t="shared" si="95"/>
        <v>1.4763864199681669</v>
      </c>
      <c r="MZ8" s="732">
        <f t="shared" si="96"/>
        <v>1.2604211834367289</v>
      </c>
      <c r="NA8" s="731">
        <f t="shared" si="97"/>
        <v>0.56779410633442406</v>
      </c>
      <c r="NB8" s="732">
        <f t="shared" si="31"/>
        <v>1.6325524744865705E-2</v>
      </c>
      <c r="NC8" s="732"/>
      <c r="ND8" s="729">
        <f>'Bloom Cleaner Data'!GF8+('Bloom Cleaner Data'!T8+'Bloom Cleaner Data'!EY8)+'Bloom Cleaner Data'!CK8</f>
        <v>738.76300000000003</v>
      </c>
      <c r="NE8" s="729">
        <f>'Bloom Cleaner Data'!GG8+('Bloom Cleaner Data'!U8+'Bloom Cleaner Data'!EZ8)+'Bloom Cleaner Data'!CL8</f>
        <v>683.68150000000003</v>
      </c>
      <c r="NF8" s="729">
        <f>'Bloom Cleaner Data'!GH8+('Bloom Cleaner Data'!V8+'Bloom Cleaner Data'!FA8)+'Bloom Cleaner Data'!CM8</f>
        <v>628.6</v>
      </c>
      <c r="NG8" s="729">
        <f>'Bloom Cleaner Data'!GI8+('Bloom Cleaner Data'!W8+'Bloom Cleaner Data'!FB8)+'Bloom Cleaner Data'!CN8</f>
        <v>680.28700000000003</v>
      </c>
      <c r="NH8" s="729">
        <f>'Bloom Cleaner Data'!GJ8+('Bloom Cleaner Data'!X8+'Bloom Cleaner Data'!FC8)+'Bloom Cleaner Data'!CO8</f>
        <v>731.97400000000005</v>
      </c>
      <c r="NI8" s="729">
        <f>'Bloom Cleaner Data'!GK8+('Bloom Cleaner Data'!Y8+'Bloom Cleaner Data'!FD8)+'Bloom Cleaner Data'!CP8</f>
        <v>675.83699999999999</v>
      </c>
      <c r="NJ8" s="729">
        <f>'Bloom Cleaner Data'!GL8+('Bloom Cleaner Data'!Z8+'Bloom Cleaner Data'!FE8)+'Bloom Cleaner Data'!CQ8</f>
        <v>619.70000000000005</v>
      </c>
      <c r="NK8" s="729">
        <f>'Bloom Cleaner Data'!GM8+('Bloom Cleaner Data'!AA8+'Bloom Cleaner Data'!FF8)+'Bloom Cleaner Data'!CR8</f>
        <v>662.65800000000002</v>
      </c>
      <c r="NL8" s="729">
        <f>'Bloom Cleaner Data'!GN8+('Bloom Cleaner Data'!AB8+'Bloom Cleaner Data'!FG8)+'Bloom Cleaner Data'!CS8</f>
        <v>705.61599999999999</v>
      </c>
      <c r="NM8" s="729">
        <f>'Bloom Cleaner Data'!GO8+('Bloom Cleaner Data'!AC8+'Bloom Cleaner Data'!FH8)+'Bloom Cleaner Data'!CT8</f>
        <v>693.20799999999997</v>
      </c>
      <c r="NN8" s="729">
        <f>'Bloom Cleaner Data'!GP8+('Bloom Cleaner Data'!AD8+'Bloom Cleaner Data'!FI8)+'Bloom Cleaner Data'!CU8</f>
        <v>680.8</v>
      </c>
      <c r="NO8" s="729">
        <f>'Bloom Cleaner Data'!GQ8+('Bloom Cleaner Data'!AE8+'Bloom Cleaner Data'!FJ8)+'Bloom Cleaner Data'!CV8</f>
        <v>722.41450000000009</v>
      </c>
      <c r="NP8" s="729">
        <f>'Bloom Cleaner Data'!GR8+('Bloom Cleaner Data'!AF8+'Bloom Cleaner Data'!FK8)+'Bloom Cleaner Data'!CW8</f>
        <v>764.029</v>
      </c>
      <c r="NQ8" s="729">
        <f>'Bloom Cleaner Data'!GS8+('Bloom Cleaner Data'!AG8+'Bloom Cleaner Data'!FL8)+'Bloom Cleaner Data'!CX8</f>
        <v>777.7645</v>
      </c>
      <c r="NR8" s="729">
        <f>'Bloom Cleaner Data'!GT8+('Bloom Cleaner Data'!AH8+'Bloom Cleaner Data'!FM8)+'Bloom Cleaner Data'!CY8</f>
        <v>791.5</v>
      </c>
      <c r="NS8" s="742"/>
      <c r="NT8" s="2025" t="s">
        <v>36</v>
      </c>
      <c r="NU8" s="1303">
        <f>('Bloom Cleaner Data'!T8+'Bloom Cleaner Data'!EY8+'OPERATING LEASES'!BL8)/CALCULATIONS!ND8</f>
        <v>0.48460737746746929</v>
      </c>
      <c r="NV8" s="1303">
        <f>('Bloom Cleaner Data'!U8+'Bloom Cleaner Data'!EZ8+'OPERATING LEASES'!BM8)/CALCULATIONS!NE8</f>
        <v>0.54577606677963353</v>
      </c>
      <c r="NW8" s="1303">
        <f>('Bloom Cleaner Data'!V8+'Bloom Cleaner Data'!FA8+'OPERATING LEASES'!BN8)/CALCULATIONS!NF8</f>
        <v>0.61766465160674511</v>
      </c>
      <c r="NX8" s="1303">
        <f>('Bloom Cleaner Data'!W8+'Bloom Cleaner Data'!FB8+'OPERATING LEASES'!BO8)/CALCULATIONS!NG8</f>
        <v>0.55000463039864056</v>
      </c>
      <c r="NY8" s="1303">
        <f>('Bloom Cleaner Data'!X8+'Bloom Cleaner Data'!FC8+'OPERATING LEASES'!BP8)/CALCULATIONS!NH8</f>
        <v>0.49189998551861136</v>
      </c>
      <c r="NZ8" s="1303">
        <f>('Bloom Cleaner Data'!Y8+'Bloom Cleaner Data'!FD8+'OPERATING LEASES'!BQ8)/CALCULATIONS!NI8</f>
        <v>0.55346259527075314</v>
      </c>
      <c r="OA8" s="1303">
        <f>('Bloom Cleaner Data'!Z8+'Bloom Cleaner Data'!FE8+'OPERATING LEASES'!BR8)/CALCULATIONS!NJ8</f>
        <v>0.62617879619170558</v>
      </c>
      <c r="OB8" s="1303">
        <f>('Bloom Cleaner Data'!AA8+'Bloom Cleaner Data'!FF8+'OPERATING LEASES'!BS8)/CALCULATIONS!NK8</f>
        <v>0.57006706325133027</v>
      </c>
      <c r="OC8" s="1303">
        <f>('Bloom Cleaner Data'!AB8+'Bloom Cleaner Data'!FG8+'OPERATING LEASES'!BT8)/CALCULATIONS!NL8</f>
        <v>0.52078751048729055</v>
      </c>
      <c r="OD8" s="1303">
        <f>('Bloom Cleaner Data'!AC8+'Bloom Cleaner Data'!FH8+'OPERATING LEASES'!BU8)/CALCULATIONS!NM8</f>
        <v>0.60498350603282136</v>
      </c>
      <c r="OE8" s="1303">
        <f>('Bloom Cleaner Data'!AD8+'Bloom Cleaner Data'!FI8+'OPERATING LEASES'!BV8)/CALCULATIONS!NN8</f>
        <v>0.69224854950058767</v>
      </c>
      <c r="OF8" s="1303">
        <f>('Bloom Cleaner Data'!AE8+'Bloom Cleaner Data'!FJ8+'OPERATING LEASES'!BW8)/CALCULATIONS!NO8</f>
        <v>0.64550644920609979</v>
      </c>
      <c r="OG8" s="1303">
        <f>('Bloom Cleaner Data'!AF8+'Bloom Cleaner Data'!FK8+'OPERATING LEASES'!BX8)/CALCULATIONS!NP8</f>
        <v>0.60385616907211637</v>
      </c>
      <c r="OH8" s="1303">
        <f>('Bloom Cleaner Data'!AG8+'Bloom Cleaner Data'!FL8+'OPERATING LEASES'!BY8)/CALCULATIONS!NQ8</f>
        <v>0.64344493095274979</v>
      </c>
      <c r="OI8" s="1303">
        <f>('Bloom Cleaner Data'!AH8+'Bloom Cleaner Data'!FM8+'OPERATING LEASES'!BZ8)/CALCULATIONS!NR8</f>
        <v>0.68165966519267218</v>
      </c>
      <c r="OJ8" s="731">
        <f t="shared" si="98"/>
        <v>0.64298692173917937</v>
      </c>
      <c r="OK8" s="731">
        <f t="shared" si="99"/>
        <v>0.64361680360590956</v>
      </c>
      <c r="OL8" s="731">
        <f t="shared" si="100"/>
        <v>0.60013573097554807</v>
      </c>
      <c r="OM8" s="730">
        <f t="shared" si="101"/>
        <v>0.10360802325251314</v>
      </c>
      <c r="ON8" s="730"/>
      <c r="OO8" s="2805"/>
      <c r="OP8" s="734">
        <f>'Bloom Cleaner Data'!D8/'Bloom Cleaner Data'!GF8</f>
        <v>6.5204499724381675</v>
      </c>
      <c r="OQ8" s="734">
        <f>'Bloom Cleaner Data'!E8/'Bloom Cleaner Data'!GG8</f>
        <v>7.4147701150201071</v>
      </c>
      <c r="OR8" s="734">
        <f>'Bloom Cleaner Data'!F8/'Bloom Cleaner Data'!GH8</f>
        <v>8.7289049999999992</v>
      </c>
      <c r="OS8" s="734">
        <f>'Bloom Cleaner Data'!G8/'Bloom Cleaner Data'!GI8</f>
        <v>7.5631805188943737</v>
      </c>
      <c r="OT8" s="734">
        <f>'Bloom Cleaner Data'!H8/'Bloom Cleaner Data'!GJ8</f>
        <v>6.7520912864995237</v>
      </c>
      <c r="OU8" s="734">
        <f>'Bloom Cleaner Data'!I8/'Bloom Cleaner Data'!GK8</f>
        <v>8.4052003831364441</v>
      </c>
      <c r="OV8" s="734">
        <f>'Bloom Cleaner Data'!J8/'Bloom Cleaner Data'!GL8</f>
        <v>10.869830567081605</v>
      </c>
      <c r="OW8" s="734">
        <f>'Bloom Cleaner Data'!K8/'Bloom Cleaner Data'!GM8</f>
        <v>8.1583241116439194</v>
      </c>
      <c r="OX8" s="734">
        <f>'Bloom Cleaner Data'!L8/'Bloom Cleaner Data'!GN8</f>
        <v>6.1679093945762649</v>
      </c>
      <c r="OY8" s="734">
        <f>'Bloom Cleaner Data'!M8/'Bloom Cleaner Data'!GO8</f>
        <v>6.150145074449294</v>
      </c>
      <c r="OZ8" s="734">
        <f>'Bloom Cleaner Data'!N8/'Bloom Cleaner Data'!GP8</f>
        <v>6.1237350943396223</v>
      </c>
      <c r="PA8" s="734">
        <f>'Bloom Cleaner Data'!O8/'Bloom Cleaner Data'!GQ8</f>
        <v>4.4741068948408715</v>
      </c>
      <c r="PB8" s="734">
        <f>'Bloom Cleaner Data'!P8/'Bloom Cleaner Data'!GR8</f>
        <v>3.2523274240565234</v>
      </c>
      <c r="PC8" s="734">
        <f>'Bloom Cleaner Data'!Q8/'Bloom Cleaner Data'!GS8</f>
        <v>3.1943349290644143</v>
      </c>
      <c r="PD8" s="734">
        <f>'Bloom Cleaner Data'!R8/'Bloom Cleaner Data'!GT8</f>
        <v>3.126768479322696</v>
      </c>
      <c r="PE8" s="734">
        <f t="shared" si="102"/>
        <v>6.3820660890696566</v>
      </c>
      <c r="PF8" s="730">
        <f t="shared" si="103"/>
        <v>-0.6417914412721073</v>
      </c>
      <c r="PG8" s="734">
        <f t="shared" si="104"/>
        <v>5.6731945193926201</v>
      </c>
      <c r="PH8" s="731"/>
      <c r="PI8" s="2805"/>
      <c r="PJ8" s="734">
        <f>CALCULATIONS!DD8/'Bloom Cleaner Data'!GF8</f>
        <v>1.4224897799153571</v>
      </c>
      <c r="PK8" s="734">
        <f>CALCULATIONS!DE8/'Bloom Cleaner Data'!GG8</f>
        <v>1.6964999268835061</v>
      </c>
      <c r="PL8" s="734">
        <f>CALCULATIONS!DF8/'Bloom Cleaner Data'!GH8</f>
        <v>2.0995529340311432</v>
      </c>
      <c r="PM8" s="734">
        <f>CALCULATIONS!DG8/'Bloom Cleaner Data'!GI8</f>
        <v>1.6911207040041727</v>
      </c>
      <c r="PN8" s="734">
        <f>CALCULATIONS!DH8/'Bloom Cleaner Data'!GJ8</f>
        <v>1.4099896262900513</v>
      </c>
      <c r="PO8" s="734">
        <f>CALCULATIONS!DI8/'Bloom Cleaner Data'!GK8</f>
        <v>1.669605438277872</v>
      </c>
      <c r="PP8" s="734">
        <f>CALCULATIONS!DJ8/'Bloom Cleaner Data'!GL8</f>
        <v>2.0585543991162827</v>
      </c>
      <c r="PQ8" s="734">
        <f>CALCULATIONS!DK8/'Bloom Cleaner Data'!GM8</f>
        <v>1.7303214990997846</v>
      </c>
      <c r="PR8" s="734">
        <f>CALCULATIONS!DL8/'Bloom Cleaner Data'!GN8</f>
        <v>1.4872106375092968</v>
      </c>
      <c r="PS8" s="734">
        <f>CALCULATIONS!DM8/'Bloom Cleaner Data'!GO8</f>
        <v>1.7500789321423964</v>
      </c>
      <c r="PT8" s="734">
        <f>CALCULATIONS!DN8/'Bloom Cleaner Data'!GP8</f>
        <v>2.1308096949890425</v>
      </c>
      <c r="PU8" s="734">
        <f>CALCULATIONS!DO8/'Bloom Cleaner Data'!GQ8</f>
        <v>1.7913057841537303</v>
      </c>
      <c r="PV8" s="734">
        <f>CALCULATIONS!DP8/'Bloom Cleaner Data'!GR8</f>
        <v>1.534896600310492</v>
      </c>
      <c r="PW8" s="734">
        <f>CALCULATIONS!DQ8/'Bloom Cleaner Data'!GS8</f>
        <v>1.5448530591409113</v>
      </c>
      <c r="PX8" s="734">
        <f>CALCULATIONS!DR8/'Bloom Cleaner Data'!GT8</f>
        <v>1.5639372203564612</v>
      </c>
      <c r="PY8" s="734">
        <f t="shared" si="105"/>
        <v>1.7278643484170493</v>
      </c>
      <c r="PZ8" s="734">
        <f t="shared" si="106"/>
        <v>1.7324408696464886</v>
      </c>
      <c r="QA8" s="731"/>
      <c r="QC8" s="732">
        <f>'Bloom Cleaner Data'!HZ8</f>
        <v>6.2527999999999997</v>
      </c>
      <c r="QD8" s="732">
        <f>AVERAGE('Bloom Cleaner Data'!HN8:HZ8)</f>
        <v>7.6241692307692297</v>
      </c>
      <c r="QE8" s="738">
        <f>('Bloom Cleaner Data'!HZ8-'Bloom Cleaner Data'!HN8)/'Bloom Cleaner Data'!HN8</f>
        <v>-0.15098848577014992</v>
      </c>
      <c r="QF8" s="732">
        <f>'Bloom Cleaner Data'!HZ8-'Bloom Cleaner Data'!HL8</f>
        <v>-0.37890000000000068</v>
      </c>
      <c r="QH8" s="2386"/>
    </row>
    <row r="9" spans="1:450" s="727" customFormat="1">
      <c r="A9" s="725" t="s">
        <v>323</v>
      </c>
      <c r="B9" s="1476" t="s">
        <v>38</v>
      </c>
      <c r="C9" s="1208" t="s">
        <v>1102</v>
      </c>
      <c r="D9" s="728"/>
      <c r="E9" s="729">
        <f>'Bloom Cleaner Data'!D9</f>
        <v>2227.41</v>
      </c>
      <c r="F9" s="728"/>
      <c r="G9" s="729">
        <f>'Bloom Cleaner Data'!F9</f>
        <v>2419.8022999999998</v>
      </c>
      <c r="H9" s="729">
        <f>'Bloom Cleaner Data'!H9</f>
        <v>3314.3786</v>
      </c>
      <c r="I9" s="729">
        <f>'Bloom Cleaner Data'!J9</f>
        <v>3698.5880000000002</v>
      </c>
      <c r="J9" s="729">
        <f>'Bloom Cleaner Data'!L9</f>
        <v>3347.6120999999998</v>
      </c>
      <c r="K9" s="729">
        <f>'Bloom Cleaner Data'!N9</f>
        <v>3918.9821999999999</v>
      </c>
      <c r="L9" s="729">
        <f>'Bloom Cleaner Data'!P9</f>
        <v>4043.0142999999998</v>
      </c>
      <c r="M9" s="729">
        <f>'Bloom Cleaner Data'!R9</f>
        <v>4048.9897999999998</v>
      </c>
      <c r="N9" s="729">
        <f t="shared" si="0"/>
        <v>3541.6238999999996</v>
      </c>
      <c r="O9" s="729">
        <f t="shared" si="32"/>
        <v>4003.6620999999996</v>
      </c>
      <c r="P9" s="730">
        <f t="shared" si="1"/>
        <v>0.67327297771392325</v>
      </c>
      <c r="Q9" s="1163">
        <f>P9</f>
        <v>0.67327297771392325</v>
      </c>
      <c r="R9" s="730">
        <f t="shared" si="33"/>
        <v>0.77504855661956218</v>
      </c>
      <c r="S9" s="1364" t="s">
        <v>38</v>
      </c>
      <c r="T9" s="1323">
        <f>'Bloom Cleaner Data'!D9/'Bloom Cleaner Data'!$F9</f>
        <v>0.92049255428842269</v>
      </c>
      <c r="U9" s="1323">
        <f>'Bloom Cleaner Data'!E9/'Bloom Cleaner Data'!$F9</f>
        <v>1.0324871994707998</v>
      </c>
      <c r="V9" s="1323">
        <f>'Bloom Cleaner Data'!F9/'Bloom Cleaner Data'!$F9</f>
        <v>1</v>
      </c>
      <c r="W9" s="1323">
        <f>'Bloom Cleaner Data'!G9/'Bloom Cleaner Data'!$F9</f>
        <v>1.1389156874509956</v>
      </c>
      <c r="X9" s="1323">
        <f>'Bloom Cleaner Data'!H9/'Bloom Cleaner Data'!$F9</f>
        <v>1.3696898296195521</v>
      </c>
      <c r="Y9" s="1323">
        <f>'Bloom Cleaner Data'!I9/'Bloom Cleaner Data'!$F9</f>
        <v>1.5451635036465585</v>
      </c>
      <c r="Z9" s="1323">
        <f>'Bloom Cleaner Data'!J9/'Bloom Cleaner Data'!$F9</f>
        <v>1.5284670156731401</v>
      </c>
      <c r="AA9" s="1323">
        <f>'Bloom Cleaner Data'!K9/'Bloom Cleaner Data'!$F9</f>
        <v>1.2906282881043631</v>
      </c>
      <c r="AB9" s="1323">
        <f>'Bloom Cleaner Data'!L9/'Bloom Cleaner Data'!$F9</f>
        <v>1.3834238028453811</v>
      </c>
      <c r="AC9" s="1323">
        <f>'Bloom Cleaner Data'!M9/'Bloom Cleaner Data'!$F9</f>
        <v>1.4578695953797549</v>
      </c>
      <c r="AD9" s="1323">
        <f>'Bloom Cleaner Data'!N9/'Bloom Cleaner Data'!$F9</f>
        <v>1.6195464398062602</v>
      </c>
      <c r="AE9" s="1323">
        <f>'Bloom Cleaner Data'!O9/'Bloom Cleaner Data'!$F9</f>
        <v>1.6313402545323641</v>
      </c>
      <c r="AF9" s="1323">
        <f>'Bloom Cleaner Data'!P9/'Bloom Cleaner Data'!$F9</f>
        <v>1.6708035611008387</v>
      </c>
      <c r="AG9" s="1323">
        <f>'Bloom Cleaner Data'!Q9/'Bloom Cleaner Data'!$F9</f>
        <v>1.8130204273299517</v>
      </c>
      <c r="AH9" s="1323">
        <f>'Bloom Cleaner Data'!R9/'Bloom Cleaner Data'!$F9</f>
        <v>1.6732729777139232</v>
      </c>
      <c r="AI9" s="729"/>
      <c r="AJ9" s="729">
        <f>AVERAGE('Bloom Cleaner Data'!BW9:CI9)</f>
        <v>6182.643138461538</v>
      </c>
      <c r="AK9" s="731">
        <f>('Bloom Cleaner Data'!CI9-'Bloom Cleaner Data'!BW9)/'Bloom Cleaner Data'!BW9</f>
        <v>0.74258786035182556</v>
      </c>
      <c r="AL9" s="731">
        <f>('Bloom Cleaner Data'!CI9+'Bloom Cleaner Data'!CH9-'Bloom Cleaner Data'!BW9-'Bloom Cleaner Data'!BV9)/('Bloom Cleaner Data'!BW9+'Bloom Cleaner Data'!BV9)</f>
        <v>0.66504312360335338</v>
      </c>
      <c r="AM9" s="729"/>
      <c r="AN9" s="729">
        <f>'Bloom Cleaner Data'!BW9</f>
        <v>4484.3293000000003</v>
      </c>
      <c r="AO9" s="729">
        <f>'Bloom Cleaner Data'!BY9</f>
        <v>5552.4935999999998</v>
      </c>
      <c r="AP9" s="729">
        <f>'Bloom Cleaner Data'!CA9</f>
        <v>5818.09</v>
      </c>
      <c r="AQ9" s="729">
        <f>'Bloom Cleaner Data'!CC9</f>
        <v>5960.5571</v>
      </c>
      <c r="AR9" s="729">
        <f>'Bloom Cleaner Data'!CE9</f>
        <v>6588.7061999999996</v>
      </c>
      <c r="AS9" s="729">
        <f>'Bloom Cleaner Data'!CG9</f>
        <v>6985.9123</v>
      </c>
      <c r="AT9" s="729">
        <f>'Bloom Cleaner Data'!CI9</f>
        <v>7814.3378000000002</v>
      </c>
      <c r="AU9" s="729">
        <f t="shared" si="2"/>
        <v>6172.0608999999995</v>
      </c>
      <c r="AV9" s="730">
        <f t="shared" si="3"/>
        <v>0.74258786035182556</v>
      </c>
      <c r="AW9" s="730"/>
      <c r="AX9" s="729">
        <f>'Bloom Cleaner Data'!T9+'OPERATING LEASES'!AU9</f>
        <v>2250.8417498458416</v>
      </c>
      <c r="AY9" s="729">
        <f>'Bloom Cleaner Data'!U9+'OPERATING LEASES'!AV9</f>
        <v>2152.6899653770961</v>
      </c>
      <c r="AZ9" s="729">
        <f>'Bloom Cleaner Data'!V9+'OPERATING LEASES'!AW9</f>
        <v>2095.3301809083496</v>
      </c>
      <c r="BA9" s="729">
        <f>'Bloom Cleaner Data'!W9+'OPERATING LEASES'!AX9</f>
        <v>2275.2163964396036</v>
      </c>
      <c r="BB9" s="729">
        <f>'Bloom Cleaner Data'!X9+'OPERATING LEASES'!AY9</f>
        <v>2272.7446119708575</v>
      </c>
      <c r="BC9" s="729">
        <f>'Bloom Cleaner Data'!Y9+'OPERATING LEASES'!AZ9</f>
        <v>2212.7999764372184</v>
      </c>
      <c r="BD9" s="729">
        <f>'Bloom Cleaner Data'!Z9+'OPERATING LEASES'!BA9</f>
        <v>2152.8723409035792</v>
      </c>
      <c r="BE9" s="729">
        <f>'Bloom Cleaner Data'!AA9+'OPERATING LEASES'!BB9</f>
        <v>2719.3407053699398</v>
      </c>
      <c r="BF9" s="729">
        <f>'Bloom Cleaner Data'!AB9+'OPERATING LEASES'!BC9</f>
        <v>2645.047069836301</v>
      </c>
      <c r="BG9" s="729">
        <f>'Bloom Cleaner Data'!AC9+'OPERATING LEASES'!BD9</f>
        <v>2616.3549499474602</v>
      </c>
      <c r="BH9" s="729">
        <f>'Bloom Cleaner Data'!AD9+'OPERATING LEASES'!BE9</f>
        <v>2695.7988300586198</v>
      </c>
      <c r="BI9" s="729">
        <f>'Bloom Cleaner Data'!AE9+'OPERATING LEASES'!BF9</f>
        <v>3056.1427101697791</v>
      </c>
      <c r="BJ9" s="729">
        <f>'Bloom Cleaner Data'!AF9+'OPERATING LEASES'!BG9</f>
        <v>2964.2185902809383</v>
      </c>
      <c r="BK9" s="729">
        <f>'Bloom Cleaner Data'!AG9+'OPERATING LEASES'!BH9</f>
        <v>2982.6865902809382</v>
      </c>
      <c r="BL9" s="729">
        <f>'Bloom Cleaner Data'!AH9+'OPERATING LEASES'!BI9</f>
        <v>3786.7345902809384</v>
      </c>
      <c r="BM9" s="1168">
        <f t="shared" si="34"/>
        <v>2651.9451956065018</v>
      </c>
      <c r="BN9" s="730">
        <f t="shared" si="35"/>
        <v>0.80722571782903718</v>
      </c>
      <c r="BO9" s="730"/>
      <c r="BP9" s="729">
        <f>'Bloom Cleaner Data'!BU9+'OPERATING LEASES'!AU9</f>
        <v>4478.251749845841</v>
      </c>
      <c r="BQ9" s="729">
        <f>'Bloom Cleaner Data'!BV9+'OPERATING LEASES'!AV9</f>
        <v>4651.1048653770958</v>
      </c>
      <c r="BR9" s="729">
        <f>'Bloom Cleaner Data'!BW9+'OPERATING LEASES'!AW9</f>
        <v>4515.1324809083499</v>
      </c>
      <c r="BS9" s="729">
        <f>'Bloom Cleaner Data'!BX9+'OPERATING LEASES'!AX9</f>
        <v>5031.1672964396039</v>
      </c>
      <c r="BT9" s="729">
        <f>'Bloom Cleaner Data'!BY9+'OPERATING LEASES'!AY9</f>
        <v>5587.1232119708575</v>
      </c>
      <c r="BU9" s="729">
        <f>'Bloom Cleaner Data'!BZ9+'OPERATING LEASES'!AZ9</f>
        <v>5951.7901764372191</v>
      </c>
      <c r="BV9" s="729">
        <f>'Bloom Cleaner Data'!CA9+'OPERATING LEASES'!BA9</f>
        <v>5851.460340903579</v>
      </c>
      <c r="BW9" s="729">
        <f>'Bloom Cleaner Data'!CB9+'OPERATING LEASES'!BB9</f>
        <v>5842.4060053699395</v>
      </c>
      <c r="BX9" s="729">
        <f>'Bloom Cleaner Data'!CC9+'OPERATING LEASES'!BC9</f>
        <v>5992.6681698363009</v>
      </c>
      <c r="BY9" s="729">
        <f>'Bloom Cleaner Data'!CD9+'OPERATING LEASES'!BD9</f>
        <v>6147.8111499474608</v>
      </c>
      <c r="BZ9" s="729">
        <f>'Bloom Cleaner Data'!CE9+'OPERATING LEASES'!BE9</f>
        <v>6618.505030058619</v>
      </c>
      <c r="CA9" s="729">
        <f>'Bloom Cleaner Data'!CF9+'OPERATING LEASES'!BF9</f>
        <v>7007.3636101697793</v>
      </c>
      <c r="CB9" s="729">
        <f>'Bloom Cleaner Data'!CG9+'OPERATING LEASES'!BG9</f>
        <v>7013.3988902809388</v>
      </c>
      <c r="CC9" s="729">
        <f>'Bloom Cleaner Data'!CH9+'OPERATING LEASES'!BH9</f>
        <v>7375.9375902809388</v>
      </c>
      <c r="CD9" s="729">
        <f>'Bloom Cleaner Data'!CI9+'OPERATING LEASES'!BI9</f>
        <v>7841.824390280939</v>
      </c>
      <c r="CE9" s="1168">
        <f t="shared" si="36"/>
        <v>6213.5837186834251</v>
      </c>
      <c r="CF9" s="730">
        <f t="shared" si="37"/>
        <v>0.73678722018436293</v>
      </c>
      <c r="CG9" s="731">
        <f t="shared" si="4"/>
        <v>5.0044260244310693E-3</v>
      </c>
      <c r="CH9" s="729"/>
      <c r="CI9" s="731">
        <f>$CI$1*BP9/('Bloom Cleaner Data'!D9+'Bloom Cleaner Data'!T9+'OPERATING LEASES'!AU9)+(1-$CI$1)*'Bloom Cleaner Data'!BU9/('Bloom Cleaner Data'!D9+'Bloom Cleaner Data'!T9)-1</f>
        <v>0</v>
      </c>
      <c r="CJ9" s="731">
        <f>$CI$1*BQ9/('Bloom Cleaner Data'!E9+'Bloom Cleaner Data'!U9+'OPERATING LEASES'!AV9)+(1-$CI$1)*'Bloom Cleaner Data'!BV9/('Bloom Cleaner Data'!E9+'Bloom Cleaner Data'!U9)-1</f>
        <v>0</v>
      </c>
      <c r="CK9" s="731">
        <f>$CI$1*BR9/('Bloom Cleaner Data'!F9+'Bloom Cleaner Data'!V9+'OPERATING LEASES'!AW9)+(1-$CI$1)*'Bloom Cleaner Data'!BW9/('Bloom Cleaner Data'!F9+'Bloom Cleaner Data'!V9)-1</f>
        <v>0</v>
      </c>
      <c r="CL9" s="731">
        <f>$CI$1*BS9/('Bloom Cleaner Data'!G9+'Bloom Cleaner Data'!W9+'OPERATING LEASES'!AX9)+(1-$CI$1)*'Bloom Cleaner Data'!BX9/('Bloom Cleaner Data'!G9+'Bloom Cleaner Data'!W9)-1</f>
        <v>1.9876103429794512E-8</v>
      </c>
      <c r="CM9" s="731">
        <f>$CI$1*BT9/('Bloom Cleaner Data'!H9+'Bloom Cleaner Data'!X9+'OPERATING LEASES'!AY9)+(1-$CI$1)*'Bloom Cleaner Data'!BY9/('Bloom Cleaner Data'!H9+'Bloom Cleaner Data'!X9)-1</f>
        <v>0</v>
      </c>
      <c r="CN9" s="731">
        <f>$CI$1*BU9/('Bloom Cleaner Data'!I9+'Bloom Cleaner Data'!Y9+'OPERATING LEASES'!AZ9)+(1-$CI$1)*'Bloom Cleaner Data'!BZ9/('Bloom Cleaner Data'!I9+'Bloom Cleaner Data'!Y9)-1</f>
        <v>0</v>
      </c>
      <c r="CO9" s="731">
        <f>$CI$1*BV9/('Bloom Cleaner Data'!J9+'Bloom Cleaner Data'!Z9+'OPERATING LEASES'!BA9)+(1-$CI$1)*'Bloom Cleaner Data'!CA9/('Bloom Cleaner Data'!J9+'Bloom Cleaner Data'!Z9)-1</f>
        <v>0</v>
      </c>
      <c r="CP9" s="731">
        <f>$CI$1*BW9/('Bloom Cleaner Data'!K9+'Bloom Cleaner Data'!AA9+'OPERATING LEASES'!BB9)+(1-$CI$1)*'Bloom Cleaner Data'!CB9/('Bloom Cleaner Data'!K9+'Bloom Cleaner Data'!AA9)-1</f>
        <v>0</v>
      </c>
      <c r="CQ9" s="731">
        <f>$CI$1*BX9/('Bloom Cleaner Data'!L9+'Bloom Cleaner Data'!AB9+'OPERATING LEASES'!BC9)+(1-$CI$1)*'Bloom Cleaner Data'!CC9/('Bloom Cleaner Data'!L9+'Bloom Cleaner Data'!AB9)-1</f>
        <v>1.5018374555086922E-6</v>
      </c>
      <c r="CR9" s="731">
        <f>$CI$1*BY9/('Bloom Cleaner Data'!M9+'Bloom Cleaner Data'!AC9+'OPERATING LEASES'!BD9)+(1-$CI$1)*'Bloom Cleaner Data'!CD9/('Bloom Cleaner Data'!M9+'Bloom Cleaner Data'!AC9)-1</f>
        <v>6.0220264733201745E-4</v>
      </c>
      <c r="CS9" s="731">
        <f>$CI$1*BZ9/('Bloom Cleaner Data'!N9+'Bloom Cleaner Data'!AD9+'OPERATING LEASES'!BE9)+(1-$CI$1)*'Bloom Cleaner Data'!CE9/('Bloom Cleaner Data'!N9+'Bloom Cleaner Data'!AD9)-1</f>
        <v>5.6298159879775156E-4</v>
      </c>
      <c r="CT9" s="731">
        <f>$CI$1*CA9/('Bloom Cleaner Data'!O9+'Bloom Cleaner Data'!AE9+'OPERATING LEASES'!BF9)+(1-$CI$1)*'Bloom Cleaner Data'!CF9/('Bloom Cleaner Data'!O9+'Bloom Cleaner Data'!AE9)-1</f>
        <v>5.2829493333006461E-4</v>
      </c>
      <c r="CU9" s="731">
        <f>$CI$1*CB9/('Bloom Cleaner Data'!P9+'Bloom Cleaner Data'!AF9+'OPERATING LEASES'!BG9)+(1-$CI$1)*'Bloom Cleaner Data'!CG9/('Bloom Cleaner Data'!P9+'Bloom Cleaner Data'!AF9)-1</f>
        <v>8.7994791903556191E-4</v>
      </c>
      <c r="CV9" s="731">
        <f>$CI$1*CC9/('Bloom Cleaner Data'!Q9+'Bloom Cleaner Data'!AG9+'OPERATING LEASES'!BH9)+(1-$CI$1)*'Bloom Cleaner Data'!CH9/('Bloom Cleaner Data'!Q9+'Bloom Cleaner Data'!AG9)-1</f>
        <v>8.2769802255144853E-4</v>
      </c>
      <c r="CW9" s="731">
        <f>$CI$1*CD9/('Bloom Cleaner Data'!R9+'Bloom Cleaner Data'!AH9+'OPERATING LEASES'!BI9)+(1-$CI$1)*'Bloom Cleaner Data'!CI9/('Bloom Cleaner Data'!R9+'Bloom Cleaner Data'!AH9)-1</f>
        <v>7.7848577823469434E-4</v>
      </c>
      <c r="CX9" s="731">
        <f t="shared" si="38"/>
        <v>3.2162558560311361E-4</v>
      </c>
      <c r="CY9" s="729"/>
      <c r="CZ9" s="3113">
        <f>AVERAGE('Bloom Cleaner Data'!GX9:HJ9)</f>
        <v>706.53721311602669</v>
      </c>
      <c r="DA9" s="3114">
        <f>('Bloom Cleaner Data'!HJ9-'Bloom Cleaner Data'!GX9)/'Bloom Cleaner Data'!GX9</f>
        <v>0.38080019558250627</v>
      </c>
      <c r="DB9" s="3114">
        <f>('Bloom Cleaner Data'!HJ9+'Bloom Cleaner Data'!HI9-'Bloom Cleaner Data'!GX9-'Bloom Cleaner Data'!GW9)/('Bloom Cleaner Data'!GX9+'Bloom Cleaner Data'!GW9)</f>
        <v>0.3233382549853614</v>
      </c>
      <c r="DC9" s="729"/>
      <c r="DD9" s="729">
        <f>'Bloom Cleaner Data'!GV9+'OPERATING LEASES'!BL9</f>
        <v>606.1291736772522</v>
      </c>
      <c r="DE9" s="729">
        <f>'Bloom Cleaner Data'!GW9+'OPERATING LEASES'!BM9</f>
        <v>619.20144666175645</v>
      </c>
      <c r="DF9" s="729">
        <f>'Bloom Cleaner Data'!GX9+'OPERATING LEASES'!BN9</f>
        <v>629.65582536751924</v>
      </c>
      <c r="DG9" s="729">
        <f>'Bloom Cleaner Data'!GY9+'OPERATING LEASES'!BO9</f>
        <v>652.92886307613674</v>
      </c>
      <c r="DH9" s="729">
        <f>'Bloom Cleaner Data'!GZ9+'OPERATING LEASES'!BP9</f>
        <v>664.63668543109168</v>
      </c>
      <c r="DI9" s="729">
        <f>'Bloom Cleaner Data'!HA9+'OPERATING LEASES'!BQ9</f>
        <v>670.52220781157052</v>
      </c>
      <c r="DJ9" s="729">
        <f>'Bloom Cleaner Data'!HB9+'OPERATING LEASES'!BR9</f>
        <v>682.18919164420026</v>
      </c>
      <c r="DK9" s="729">
        <f>'Bloom Cleaner Data'!HC9+'OPERATING LEASES'!BS9</f>
        <v>660.77131133770069</v>
      </c>
      <c r="DL9" s="729">
        <f>'Bloom Cleaner Data'!HD9+'OPERATING LEASES'!BT9</f>
        <v>684.81802064585952</v>
      </c>
      <c r="DM9" s="729">
        <f>'Bloom Cleaner Data'!HE9+'OPERATING LEASES'!BU9</f>
        <v>705.66781948779317</v>
      </c>
      <c r="DN9" s="729">
        <f>'Bloom Cleaner Data'!HF9+'OPERATING LEASES'!BV9</f>
        <v>720.66604078210469</v>
      </c>
      <c r="DO9" s="729">
        <f>'Bloom Cleaner Data'!HG9+'OPERATING LEASES'!BW9</f>
        <v>767.01131294198535</v>
      </c>
      <c r="DP9" s="729">
        <f>'Bloom Cleaner Data'!HH9+'OPERATING LEASES'!BX9</f>
        <v>773.55612309737478</v>
      </c>
      <c r="DQ9" s="729">
        <f>'Bloom Cleaner Data'!HI9+'OPERATING LEASES'!BY9</f>
        <v>781.15498053643262</v>
      </c>
      <c r="DR9" s="729">
        <f>'Bloom Cleaner Data'!HJ9+'OPERATING LEASES'!BZ9</f>
        <v>866.43607584857841</v>
      </c>
      <c r="DS9" s="1168">
        <f t="shared" si="39"/>
        <v>712.30880446218055</v>
      </c>
      <c r="DT9" s="730">
        <f t="shared" si="40"/>
        <v>0.37604710532592089</v>
      </c>
      <c r="DU9" s="731">
        <f t="shared" si="41"/>
        <v>8.1688426865720535E-3</v>
      </c>
      <c r="DV9" s="741"/>
      <c r="DW9" s="732">
        <f>'Bloom Cleaner Data'!DT9</f>
        <v>3.5629</v>
      </c>
      <c r="DX9" s="732">
        <f>'Bloom Cleaner Data'!DX9</f>
        <v>4.3735999999999997</v>
      </c>
      <c r="DY9" s="732">
        <f>'Bloom Cleaner Data'!EB9</f>
        <v>4.5966000000000005</v>
      </c>
      <c r="DZ9" s="732">
        <f>'Bloom Cleaner Data'!EF9</f>
        <v>4.9602000000000004</v>
      </c>
      <c r="EA9" s="732">
        <f>AVERAGE('Bloom Cleaner Data'!DT9:EF9)</f>
        <v>4.4188461538461548</v>
      </c>
      <c r="EB9" s="731">
        <f t="shared" si="5"/>
        <v>0.39218052709871187</v>
      </c>
      <c r="EC9" s="729"/>
      <c r="ED9" s="732">
        <f>'Bloom Cleaner Data'!DC9</f>
        <v>7.1901000000000002</v>
      </c>
      <c r="EE9" s="732">
        <f>'Bloom Cleaner Data'!DG9</f>
        <v>8.6053999999999995</v>
      </c>
      <c r="EF9" s="732">
        <f>'Bloom Cleaner Data'!DK9</f>
        <v>9.2135999999999996</v>
      </c>
      <c r="EG9" s="732">
        <f>'Bloom Cleaner Data'!DO9</f>
        <v>9.0739999999999998</v>
      </c>
      <c r="EH9" s="732">
        <f>AVERAGE('Bloom Cleaner Data'!DC9:DO9)</f>
        <v>8.7131538461538458</v>
      </c>
      <c r="EI9" s="733">
        <f t="shared" si="42"/>
        <v>8.5207750000000004</v>
      </c>
      <c r="EJ9" s="733">
        <f t="shared" si="6"/>
        <v>0.19237884615384537</v>
      </c>
      <c r="EK9" s="731">
        <f t="shared" si="43"/>
        <v>0.26201304571563672</v>
      </c>
      <c r="EL9" s="731"/>
      <c r="EM9" s="732">
        <f>('Bloom Cleaner Data'!BU9+'OPERATING LEASES'!AU9)/DD9</f>
        <v>7.3882795026632264</v>
      </c>
      <c r="EN9" s="732">
        <f>('Bloom Cleaner Data'!BV9+'OPERATING LEASES'!AV9)/DE9</f>
        <v>7.511456716472753</v>
      </c>
      <c r="EO9" s="732">
        <f>('Bloom Cleaner Data'!BW9+'OPERATING LEASES'!AW9)/DF9</f>
        <v>7.1707944229261198</v>
      </c>
      <c r="EP9" s="732">
        <f>('Bloom Cleaner Data'!BX9+'OPERATING LEASES'!AX9)/DG9</f>
        <v>7.7055366686292892</v>
      </c>
      <c r="EQ9" s="732">
        <f>('Bloom Cleaner Data'!BY9+'OPERATING LEASES'!AY9)/DH9</f>
        <v>8.4062817091520898</v>
      </c>
      <c r="ER9" s="732">
        <f>('Bloom Cleaner Data'!BZ9+'OPERATING LEASES'!AZ9)/DI9</f>
        <v>8.8763505624407077</v>
      </c>
      <c r="ES9" s="732">
        <f>('Bloom Cleaner Data'!CA9+'OPERATING LEASES'!BA9)/DJ9</f>
        <v>8.5774744199633144</v>
      </c>
      <c r="ET9" s="732">
        <f>('Bloom Cleaner Data'!CB9+'OPERATING LEASES'!BB9)/DK9</f>
        <v>8.8417973134188603</v>
      </c>
      <c r="EU9" s="732">
        <f>('Bloom Cleaner Data'!CC9+'OPERATING LEASES'!BC9)/DL9</f>
        <v>8.7507454377216138</v>
      </c>
      <c r="EV9" s="732">
        <f>('Bloom Cleaner Data'!CD9+'OPERATING LEASES'!BD9)/DM9</f>
        <v>8.7120469152324826</v>
      </c>
      <c r="EW9" s="732">
        <f>('Bloom Cleaner Data'!CE9+'OPERATING LEASES'!BE9)/DN9</f>
        <v>9.1838724950545316</v>
      </c>
      <c r="EX9" s="732">
        <f>('Bloom Cleaner Data'!CF9+'OPERATING LEASES'!BF9)/DO9</f>
        <v>9.135932537020869</v>
      </c>
      <c r="EY9" s="732">
        <f>('Bloom Cleaner Data'!CG9+'OPERATING LEASES'!BG9)/DP9</f>
        <v>9.0664383370126806</v>
      </c>
      <c r="EZ9" s="732">
        <f>('Bloom Cleaner Data'!CH9+'OPERATING LEASES'!BH9)/DQ9</f>
        <v>9.4423485403827989</v>
      </c>
      <c r="FA9" s="732">
        <f>('Bloom Cleaner Data'!CI9+'OPERATING LEASES'!BI9)/DR9</f>
        <v>9.0506669895995948</v>
      </c>
      <c r="FB9" s="734">
        <f t="shared" si="44"/>
        <v>8.6861758729657641</v>
      </c>
      <c r="FC9" s="730">
        <f t="shared" si="45"/>
        <v>0.26215680659638446</v>
      </c>
      <c r="FD9" s="732">
        <f t="shared" si="7"/>
        <v>-2.6977973188081705E-2</v>
      </c>
      <c r="FE9" s="732">
        <f t="shared" si="46"/>
        <v>8.9637673547847445</v>
      </c>
      <c r="FF9" s="729"/>
      <c r="FG9" s="732">
        <f>$FG$1*EM9+(1-$FG$1)*'Bloom Cleaner Data'!DA9</f>
        <v>7.3882795026632264</v>
      </c>
      <c r="FH9" s="732">
        <f>$FG$1*EN9+(1-$FG$1)*'Bloom Cleaner Data'!DB9</f>
        <v>7.511456716472753</v>
      </c>
      <c r="FI9" s="732">
        <f>$FG$1*EO9+(1-$FG$1)*'Bloom Cleaner Data'!DC9</f>
        <v>7.1707944229261198</v>
      </c>
      <c r="FJ9" s="732">
        <f>$FG$1*EP9+(1-$FG$1)*'Bloom Cleaner Data'!DD9</f>
        <v>7.7055366686292892</v>
      </c>
      <c r="FK9" s="732">
        <f>$FG$1*EQ9+(1-$FG$1)*'Bloom Cleaner Data'!DE9</f>
        <v>8.4062817091520898</v>
      </c>
      <c r="FL9" s="732">
        <f>$FG$1*ER9+(1-$FG$1)*'Bloom Cleaner Data'!DF9</f>
        <v>8.8763505624407077</v>
      </c>
      <c r="FM9" s="732">
        <f>$FG$1*ES9+(1-$FG$1)*'Bloom Cleaner Data'!DG9</f>
        <v>8.5774744199633144</v>
      </c>
      <c r="FN9" s="732">
        <f>$FG$1*ET9+(1-$FG$1)*'Bloom Cleaner Data'!DH9</f>
        <v>8.8417973134188603</v>
      </c>
      <c r="FO9" s="732">
        <f>$FG$1*EU9+(1-$FG$1)*'Bloom Cleaner Data'!DI9</f>
        <v>8.7507454377216138</v>
      </c>
      <c r="FP9" s="732">
        <f>$FG$1*EV9+(1-$FG$1)*'Bloom Cleaner Data'!DJ9</f>
        <v>8.7120469152324826</v>
      </c>
      <c r="FQ9" s="732">
        <f>$FG$1*EW9+(1-$FG$1)*'Bloom Cleaner Data'!DK9</f>
        <v>9.1838724950545316</v>
      </c>
      <c r="FR9" s="732">
        <f>$FG$1*EX9+(1-$FG$1)*'Bloom Cleaner Data'!DL9</f>
        <v>9.135932537020869</v>
      </c>
      <c r="FS9" s="732">
        <f>$FG$1*EY9+(1-$FG$1)*'Bloom Cleaner Data'!DM9</f>
        <v>9.0664383370126806</v>
      </c>
      <c r="FT9" s="732">
        <f>$FG$1*EZ9+(1-$FG$1)*'Bloom Cleaner Data'!DN9</f>
        <v>9.4423485403827989</v>
      </c>
      <c r="FU9" s="732">
        <f>$FG$1*FA9+(1-$FG$1)*'Bloom Cleaner Data'!DO9</f>
        <v>9.0506669895995948</v>
      </c>
      <c r="FV9" s="734">
        <f t="shared" si="47"/>
        <v>8.6861758729657641</v>
      </c>
      <c r="FW9" s="730">
        <f t="shared" si="48"/>
        <v>0.26215680659638446</v>
      </c>
      <c r="FX9" s="734">
        <f t="shared" si="49"/>
        <v>8.9637673547847445</v>
      </c>
      <c r="FY9" s="2805"/>
      <c r="FZ9" s="2805"/>
      <c r="GA9" s="730">
        <f>'Bloom Cleaner Data'!T9/('Bloom Cleaner Data'!T9+'Bloom Cleaner Data'!D9)</f>
        <v>0.49960179948441735</v>
      </c>
      <c r="GB9" s="730">
        <f>'Bloom Cleaner Data'!U9/('Bloom Cleaner Data'!U9+'Bloom Cleaner Data'!E9)</f>
        <v>0.45947668941139014</v>
      </c>
      <c r="GC9" s="730">
        <f>'Bloom Cleaner Data'!V9/('Bloom Cleaner Data'!V9+'Bloom Cleaner Data'!F9)</f>
        <v>0.46038701930297588</v>
      </c>
      <c r="GD9" s="730">
        <f>'Bloom Cleaner Data'!W9/('Bloom Cleaner Data'!W9+'Bloom Cleaner Data'!G9)</f>
        <v>0.44863900630971493</v>
      </c>
      <c r="GE9" s="730">
        <f>'Bloom Cleaner Data'!X9/('Bloom Cleaner Data'!X9+'Bloom Cleaner Data'!H9)</f>
        <v>0.40308285992441306</v>
      </c>
      <c r="GF9" s="730">
        <f>'Bloom Cleaner Data'!Y9/('Bloom Cleaner Data'!Y9+'Bloom Cleaner Data'!I9)</f>
        <v>0.36817797291968885</v>
      </c>
      <c r="GG9" s="730">
        <f>'Bloom Cleaner Data'!Z9/('Bloom Cleaner Data'!Z9+'Bloom Cleaner Data'!J9)</f>
        <v>0.36429515528291928</v>
      </c>
      <c r="GH9" s="730">
        <f>'Bloom Cleaner Data'!AA9/('Bloom Cleaner Data'!AA9+'Bloom Cleaner Data'!K9)</f>
        <v>0.46243627838595103</v>
      </c>
      <c r="GI9" s="730">
        <f>'Bloom Cleaner Data'!AB9/('Bloom Cleaner Data'!AB9+'Bloom Cleaner Data'!L9)</f>
        <v>0.43837176651590148</v>
      </c>
      <c r="GJ9" s="730">
        <f>'Bloom Cleaner Data'!AC9/('Bloom Cleaner Data'!AC9+'Bloom Cleaner Data'!M9)</f>
        <v>0.42292392267025669</v>
      </c>
      <c r="GK9" s="730">
        <f>'Bloom Cleaner Data'!AD9/('Bloom Cleaner Data'!AD9+'Bloom Cleaner Data'!N9)</f>
        <v>0.40486062361717545</v>
      </c>
      <c r="GL9" s="730">
        <f>'Bloom Cleaner Data'!AE9/('Bloom Cleaner Data'!AE9+'Bloom Cleaner Data'!O9)</f>
        <v>0.43404887862056446</v>
      </c>
      <c r="GM9" s="730">
        <f>'Bloom Cleaner Data'!AF9/('Bloom Cleaner Data'!AF9+'Bloom Cleaner Data'!P9)</f>
        <v>0.42075053644858124</v>
      </c>
      <c r="GN9" s="730">
        <f>'Bloom Cleaner Data'!AG9/('Bloom Cleaner Data'!AG9+'Bloom Cleaner Data'!Q9)</f>
        <v>0.40248688737435734</v>
      </c>
      <c r="GO9" s="730">
        <f>'Bloom Cleaner Data'!AH9/('Bloom Cleaner Data'!AH9+'Bloom Cleaner Data'!R9)</f>
        <v>0.48144640266975475</v>
      </c>
      <c r="GP9" s="730">
        <f t="shared" si="50"/>
        <v>0.42399287000325037</v>
      </c>
      <c r="GQ9" s="730">
        <f t="shared" si="51"/>
        <v>4.5742782667206161E-2</v>
      </c>
      <c r="GR9" s="730"/>
      <c r="GS9" s="735">
        <f t="shared" si="8"/>
        <v>0.99840846543743611</v>
      </c>
      <c r="GT9" s="736">
        <f t="shared" si="9"/>
        <v>0.85005897139022013</v>
      </c>
      <c r="GU9" s="736">
        <f t="shared" si="10"/>
        <v>0.85318003045124824</v>
      </c>
      <c r="GV9" s="736">
        <f t="shared" si="11"/>
        <v>0.81369377131115672</v>
      </c>
      <c r="GW9" s="736">
        <f t="shared" si="12"/>
        <v>0.67527439381849741</v>
      </c>
      <c r="GX9" s="736">
        <f t="shared" si="13"/>
        <v>0.58272418044850716</v>
      </c>
      <c r="GY9" s="736">
        <f t="shared" si="14"/>
        <v>0.57305706934646394</v>
      </c>
      <c r="GZ9" s="736">
        <f t="shared" si="15"/>
        <v>0.86024458086098921</v>
      </c>
      <c r="HA9" s="736">
        <f t="shared" si="16"/>
        <v>0.78053726714633409</v>
      </c>
      <c r="HB9" s="736">
        <f t="shared" si="17"/>
        <v>0.73287377398698939</v>
      </c>
      <c r="HC9" s="736">
        <f t="shared" si="18"/>
        <v>0.68027867031394018</v>
      </c>
      <c r="HD9" s="736">
        <f t="shared" si="19"/>
        <v>0.76693704142263075</v>
      </c>
      <c r="HE9" s="736">
        <f t="shared" si="20"/>
        <v>0.72637190523911832</v>
      </c>
      <c r="HF9" s="736">
        <f t="shared" si="21"/>
        <v>0.67360343876926054</v>
      </c>
      <c r="HG9" s="737">
        <f t="shared" si="22"/>
        <v>0.92844096569470225</v>
      </c>
      <c r="HH9" s="730">
        <f t="shared" si="52"/>
        <v>0.7420936222161415</v>
      </c>
      <c r="HI9" s="730">
        <f t="shared" si="53"/>
        <v>8.8212255980309781E-2</v>
      </c>
      <c r="HJ9" s="730"/>
      <c r="HK9" s="731">
        <f>('Bloom Cleaner Data'!T9+'OPERATING LEASES'!AU9)/('Bloom Cleaner Data'!T9+'OPERATING LEASES'!AU9+'Bloom Cleaner Data'!D9)</f>
        <v>0.50261617157260619</v>
      </c>
      <c r="HL9" s="731">
        <f>('Bloom Cleaner Data'!U9+'OPERATING LEASES'!AV9)/('Bloom Cleaner Data'!U9+'OPERATING LEASES'!AV9+'Bloom Cleaner Data'!E9)</f>
        <v>0.46283410666608638</v>
      </c>
      <c r="HM9" s="731">
        <f>('Bloom Cleaner Data'!V9+'OPERATING LEASES'!AW9)/('Bloom Cleaner Data'!V9+'OPERATING LEASES'!AW9+'Bloom Cleaner Data'!F9)</f>
        <v>0.4640683722500239</v>
      </c>
      <c r="HN9" s="731">
        <f>('Bloom Cleaner Data'!W9+'OPERATING LEASES'!AX9)/('Bloom Cleaner Data'!W9+'OPERATING LEASES'!AX9+'Bloom Cleaner Data'!G9)</f>
        <v>0.45222436615696288</v>
      </c>
      <c r="HO9" s="731">
        <f>('Bloom Cleaner Data'!X9+'OPERATING LEASES'!AY9)/('Bloom Cleaner Data'!X9+'OPERATING LEASES'!AY9+'Bloom Cleaner Data'!H9)</f>
        <v>0.40678261884422395</v>
      </c>
      <c r="HP9" s="731">
        <f>('Bloom Cleaner Data'!Y9+'OPERATING LEASES'!AZ9)/('Bloom Cleaner Data'!Y9+'OPERATING LEASES'!AZ9+'Bloom Cleaner Data'!I9)</f>
        <v>0.37178729606389038</v>
      </c>
      <c r="HQ9" s="731">
        <f>('Bloom Cleaner Data'!Z9+'OPERATING LEASES'!BA9)/('Bloom Cleaner Data'!Z9+'OPERATING LEASES'!BA9+'Bloom Cleaner Data'!J9)</f>
        <v>0.36792052162676608</v>
      </c>
      <c r="HR9" s="731">
        <f>('Bloom Cleaner Data'!AA9+'OPERATING LEASES'!BB9)/('Bloom Cleaner Data'!AA9+'OPERATING LEASES'!BB9+'Bloom Cleaner Data'!K9)</f>
        <v>0.46544877279506219</v>
      </c>
      <c r="HS9" s="731">
        <f>('Bloom Cleaner Data'!AB9+'OPERATING LEASES'!BC9)/('Bloom Cleaner Data'!AB9+'OPERATING LEASES'!BC9+'Bloom Cleaner Data'!L9)</f>
        <v>0.44138119570523726</v>
      </c>
      <c r="HT9" s="731">
        <f>('Bloom Cleaner Data'!AC9+'OPERATING LEASES'!BD9)/('Bloom Cleaner Data'!AC9+'OPERATING LEASES'!BD9+'Bloom Cleaner Data'!M9)</f>
        <v>0.42583131816712549</v>
      </c>
      <c r="HU9" s="731">
        <f>('Bloom Cleaner Data'!AD9+'OPERATING LEASES'!BE9)/('Bloom Cleaner Data'!AD9+'OPERATING LEASES'!BE9+'Bloom Cleaner Data'!N9)</f>
        <v>0.40754165826630995</v>
      </c>
      <c r="HV9" s="731">
        <f>('Bloom Cleaner Data'!AE9+'OPERATING LEASES'!BF9)/('Bloom Cleaner Data'!AE9+'OPERATING LEASES'!BF9+'Bloom Cleaner Data'!O9)</f>
        <v>0.4363634349502537</v>
      </c>
      <c r="HW9" s="731">
        <f>('Bloom Cleaner Data'!AF9+'OPERATING LEASES'!BG9)/('Bloom Cleaner Data'!AF9+'OPERATING LEASES'!BG9+'Bloom Cleaner Data'!P9)</f>
        <v>0.42302270192736452</v>
      </c>
      <c r="HX9" s="731">
        <f>('Bloom Cleaner Data'!AG9+'OPERATING LEASES'!BH9)/('Bloom Cleaner Data'!AG9+'OPERATING LEASES'!BH9+'Bloom Cleaner Data'!Q9)</f>
        <v>0.40471537584686967</v>
      </c>
      <c r="HY9" s="731">
        <f>('Bloom Cleaner Data'!AH9+'OPERATING LEASES'!BI9)/('Bloom Cleaner Data'!AH9+'OPERATING LEASES'!BI9+'Bloom Cleaner Data'!R9)</f>
        <v>0.4832654138496531</v>
      </c>
      <c r="HZ9" s="730">
        <f t="shared" si="54"/>
        <v>0.42695023434228802</v>
      </c>
      <c r="IA9" s="730">
        <f t="shared" si="55"/>
        <v>4.1366838913311048E-2</v>
      </c>
      <c r="IB9" s="730">
        <f t="shared" si="23"/>
        <v>2.9573643390376492E-3</v>
      </c>
      <c r="IC9" s="730">
        <f t="shared" si="24"/>
        <v>6.9750331863245195E-3</v>
      </c>
      <c r="IE9" s="735">
        <f t="shared" si="56"/>
        <v>1.0105197291229908</v>
      </c>
      <c r="IF9" s="736">
        <f t="shared" si="25"/>
        <v>0.8616222891470493</v>
      </c>
      <c r="IG9" s="736">
        <f t="shared" si="25"/>
        <v>0.86590965754034943</v>
      </c>
      <c r="IH9" s="736">
        <f t="shared" si="25"/>
        <v>0.8255649543669662</v>
      </c>
      <c r="II9" s="736">
        <f t="shared" si="25"/>
        <v>0.68572269081476012</v>
      </c>
      <c r="IJ9" s="736">
        <f t="shared" si="25"/>
        <v>0.5918175384458666</v>
      </c>
      <c r="IK9" s="736">
        <f t="shared" si="25"/>
        <v>0.5820795235650954</v>
      </c>
      <c r="IL9" s="736">
        <f t="shared" si="25"/>
        <v>0.87072809696612508</v>
      </c>
      <c r="IM9" s="736">
        <f t="shared" si="25"/>
        <v>0.79012949852711456</v>
      </c>
      <c r="IN9" s="736">
        <f t="shared" si="25"/>
        <v>0.74164845913883171</v>
      </c>
      <c r="IO9" s="736">
        <f t="shared" si="25"/>
        <v>0.68788238692653914</v>
      </c>
      <c r="IP9" s="736">
        <f t="shared" si="25"/>
        <v>0.77419291438578053</v>
      </c>
      <c r="IQ9" s="736">
        <f t="shared" si="25"/>
        <v>0.73317044421063216</v>
      </c>
      <c r="IR9" s="736">
        <f t="shared" si="25"/>
        <v>0.67986868705475112</v>
      </c>
      <c r="IS9" s="737">
        <f t="shared" si="25"/>
        <v>0.93522947138096968</v>
      </c>
      <c r="IT9" s="730">
        <f t="shared" si="57"/>
        <v>0.75107264025567555</v>
      </c>
      <c r="IU9" s="730">
        <f t="shared" si="58"/>
        <v>8.0054325802908721E-2</v>
      </c>
      <c r="IV9" s="730">
        <f t="shared" si="59"/>
        <v>8.979018039534048E-3</v>
      </c>
      <c r="IW9" s="730">
        <f t="shared" si="60"/>
        <v>1.209957580920811E-2</v>
      </c>
      <c r="IY9" s="732">
        <f>'Bloom Cleaner Data'!T9/'Bloom Cleaner Data'!BU9*'Bloom Cleaner Data'!DA9</f>
        <v>3.7033482988581921</v>
      </c>
      <c r="IZ9" s="732">
        <f>'Bloom Cleaner Data'!U9/'Bloom Cleaner Data'!BV9*'Bloom Cleaner Data'!DB9</f>
        <v>3.4623406453905901</v>
      </c>
      <c r="JA9" s="732">
        <f>'Bloom Cleaner Data'!V9/'Bloom Cleaner Data'!BW9*'Bloom Cleaner Data'!DC9</f>
        <v>3.3102287074903263</v>
      </c>
      <c r="JB9" s="732">
        <f>'Bloom Cleaner Data'!W9/'Bloom Cleaner Data'!BX9*'Bloom Cleaner Data'!DD9</f>
        <v>3.4671718991978095</v>
      </c>
      <c r="JC9" s="732">
        <f>'Bloom Cleaner Data'!X9/'Bloom Cleaner Data'!BY9*'Bloom Cleaner Data'!DE9</f>
        <v>3.3997620737464698</v>
      </c>
      <c r="JD9" s="732">
        <f>'Bloom Cleaner Data'!Y9/'Bloom Cleaner Data'!BZ9*'Bloom Cleaner Data'!DF9</f>
        <v>3.2797662005658799</v>
      </c>
      <c r="JE9" s="732">
        <f>'Bloom Cleaner Data'!Z9/'Bloom Cleaner Data'!CA9*'Bloom Cleaner Data'!DG9</f>
        <v>3.1349055292716335</v>
      </c>
      <c r="JF9" s="732">
        <f>'Bloom Cleaner Data'!AA9/'Bloom Cleaner Data'!CB9*'Bloom Cleaner Data'!DH9</f>
        <v>4.1029658799793509</v>
      </c>
      <c r="JG9" s="732">
        <f>'Bloom Cleaner Data'!AB9/'Bloom Cleaner Data'!CC9*'Bloom Cleaner Data'!DI9</f>
        <v>3.8484599273447109</v>
      </c>
      <c r="JH9" s="732">
        <f>'Bloom Cleaner Data'!AC9/'Bloom Cleaner Data'!CD9*'Bloom Cleaner Data'!DJ9</f>
        <v>3.6936542761950162</v>
      </c>
      <c r="JI9" s="732">
        <f>'Bloom Cleaner Data'!AD9/'Bloom Cleaner Data'!CE9*'Bloom Cleaner Data'!DK9</f>
        <v>3.7281154834313299</v>
      </c>
      <c r="JJ9" s="732">
        <f>'Bloom Cleaner Data'!AE9/'Bloom Cleaner Data'!CF9*'Bloom Cleaner Data'!DL9</f>
        <v>3.9751679996258336</v>
      </c>
      <c r="JK9" s="732">
        <f>'Bloom Cleaner Data'!AF9/'Bloom Cleaner Data'!CG9*'Bloom Cleaner Data'!DM9</f>
        <v>3.8223816603595209</v>
      </c>
      <c r="JL9" s="732">
        <f>'Bloom Cleaner Data'!AG9/'Bloom Cleaner Data'!CH9*'Bloom Cleaner Data'!DN9</f>
        <v>3.8087487662365849</v>
      </c>
      <c r="JM9" s="732">
        <f>'Bloom Cleaner Data'!AH9/'Bloom Cleaner Data'!CI9*'Bloom Cleaner Data'!DO9</f>
        <v>4.3652344222948738</v>
      </c>
      <c r="JN9" s="732">
        <f t="shared" si="61"/>
        <v>3.9987882829636603</v>
      </c>
      <c r="JO9" s="732">
        <f t="shared" si="62"/>
        <v>3.9928832121292035</v>
      </c>
      <c r="JP9" s="732">
        <f t="shared" si="63"/>
        <v>3.6874279096722566</v>
      </c>
      <c r="JQ9" s="731">
        <f t="shared" si="64"/>
        <v>0.31871082273478551</v>
      </c>
      <c r="JR9" s="731"/>
      <c r="JS9" s="2025" t="s">
        <v>38</v>
      </c>
      <c r="JT9" s="734">
        <f>('Bloom Cleaner Data'!T9+'OPERATING LEASES'!AU9)/DD9</f>
        <v>3.7134687581369503</v>
      </c>
      <c r="JU9" s="734">
        <f>('Bloom Cleaner Data'!U9+'OPERATING LEASES'!AV9)/DE9</f>
        <v>3.4765583591296414</v>
      </c>
      <c r="JV9" s="734">
        <f>('Bloom Cleaner Data'!V9+'OPERATING LEASES'!AW9)/DF9</f>
        <v>3.3277388955868732</v>
      </c>
      <c r="JW9" s="734">
        <f>('Bloom Cleaner Data'!W9+'OPERATING LEASES'!AX9)/DG9</f>
        <v>3.4846313666092215</v>
      </c>
      <c r="JX9" s="734">
        <f>('Bloom Cleaner Data'!X9+'OPERATING LEASES'!AY9)/DH9</f>
        <v>3.4195292883911859</v>
      </c>
      <c r="JY9" s="734">
        <f>('Bloom Cleaner Data'!Y9+'OPERATING LEASES'!AZ9)/DI9</f>
        <v>3.3001143745250228</v>
      </c>
      <c r="JZ9" s="734">
        <f>('Bloom Cleaner Data'!Z9+'OPERATING LEASES'!BA9)/DJ9</f>
        <v>3.1558288628331455</v>
      </c>
      <c r="KA9" s="734">
        <f>('Bloom Cleaner Data'!AA9+'OPERATING LEASES'!BB9)/DK9</f>
        <v>4.1154037088334867</v>
      </c>
      <c r="KB9" s="734">
        <f>('Bloom Cleaner Data'!AB9+'OPERATING LEASES'!BC9)/DL9</f>
        <v>3.8624086839036851</v>
      </c>
      <c r="KC9" s="734">
        <f>('Bloom Cleaner Data'!AC9+'OPERATING LEASES'!BD9)/DM9</f>
        <v>3.707629677440206</v>
      </c>
      <c r="KD9" s="734">
        <f>('Bloom Cleaner Data'!AD9+'OPERATING LEASES'!BE9)/DN9</f>
        <v>3.7407046780406041</v>
      </c>
      <c r="KE9" s="734">
        <f>('Bloom Cleaner Data'!AE9+'OPERATING LEASES'!BF9)/DO9</f>
        <v>3.9844819217170233</v>
      </c>
      <c r="KF9" s="734">
        <f>('Bloom Cleaner Data'!AF9+'OPERATING LEASES'!BG9)/DP9</f>
        <v>3.8319373368954697</v>
      </c>
      <c r="KG9" s="734">
        <f>('Bloom Cleaner Data'!AG9+'OPERATING LEASES'!BH9)/DQ9</f>
        <v>3.8183032363599292</v>
      </c>
      <c r="KH9" s="734">
        <f>('Bloom Cleaner Data'!AH9+'OPERATING LEASES'!BI9)/DR9</f>
        <v>4.3704719780651446</v>
      </c>
      <c r="KI9" s="732">
        <f t="shared" si="65"/>
        <v>4.0069041837735142</v>
      </c>
      <c r="KJ9" s="732">
        <f t="shared" si="66"/>
        <v>4.0012986182593915</v>
      </c>
      <c r="KK9" s="732">
        <f t="shared" si="67"/>
        <v>3.7014756930154613</v>
      </c>
      <c r="KL9" s="731">
        <f t="shared" si="68"/>
        <v>0.31334582285320112</v>
      </c>
      <c r="KM9" s="732">
        <f t="shared" si="69"/>
        <v>1.4047783343204667E-2</v>
      </c>
      <c r="KN9" s="731"/>
      <c r="KO9" s="732">
        <f t="shared" si="70"/>
        <v>3.7134687581369503</v>
      </c>
      <c r="KP9" s="732">
        <f t="shared" si="71"/>
        <v>3.4765583591296414</v>
      </c>
      <c r="KQ9" s="732">
        <f t="shared" si="72"/>
        <v>3.3277388955868732</v>
      </c>
      <c r="KR9" s="732">
        <f t="shared" si="73"/>
        <v>3.4846313666092215</v>
      </c>
      <c r="KS9" s="732">
        <f t="shared" si="74"/>
        <v>3.4195292883911859</v>
      </c>
      <c r="KT9" s="732">
        <f t="shared" si="75"/>
        <v>3.3001143745250228</v>
      </c>
      <c r="KU9" s="732">
        <f t="shared" si="76"/>
        <v>3.1558288628331455</v>
      </c>
      <c r="KV9" s="732">
        <f t="shared" si="77"/>
        <v>4.1154037088334867</v>
      </c>
      <c r="KW9" s="732">
        <f t="shared" si="78"/>
        <v>3.8624086839036851</v>
      </c>
      <c r="KX9" s="732">
        <f t="shared" si="79"/>
        <v>3.707629677440206</v>
      </c>
      <c r="KY9" s="732">
        <f t="shared" si="80"/>
        <v>3.7407046780406041</v>
      </c>
      <c r="KZ9" s="732">
        <f t="shared" si="81"/>
        <v>3.9844819217170233</v>
      </c>
      <c r="LA9" s="732">
        <f t="shared" si="82"/>
        <v>3.8319373368954697</v>
      </c>
      <c r="LB9" s="732">
        <f t="shared" si="83"/>
        <v>3.8183032363599292</v>
      </c>
      <c r="LC9" s="732">
        <f t="shared" si="84"/>
        <v>4.3704719780651446</v>
      </c>
      <c r="LD9" s="732">
        <f t="shared" si="85"/>
        <v>4.0069041837735142</v>
      </c>
      <c r="LE9" s="732">
        <f t="shared" si="86"/>
        <v>4.0012986182593915</v>
      </c>
      <c r="LF9" s="734">
        <f t="shared" si="87"/>
        <v>3.7014756930154613</v>
      </c>
      <c r="LG9" s="730">
        <f t="shared" si="88"/>
        <v>0.31334582285320112</v>
      </c>
      <c r="LH9" s="731"/>
      <c r="LI9" s="732">
        <f>('Bloom Cleaner Data'!T9+'Bloom Cleaner Data'!EY9)/'Bloom Cleaner Data'!GV9</f>
        <v>3.7702973769987254</v>
      </c>
      <c r="LJ9" s="732">
        <f>('Bloom Cleaner Data'!U9+'Bloom Cleaner Data'!EZ9)/'Bloom Cleaner Data'!GW9</f>
        <v>3.7882290976994608</v>
      </c>
      <c r="LK9" s="732">
        <f>('Bloom Cleaner Data'!V9+'Bloom Cleaner Data'!FA9)/'Bloom Cleaner Data'!GX9</f>
        <v>3.4296583373794602</v>
      </c>
      <c r="LL9" s="732">
        <f>('Bloom Cleaner Data'!W9+'Bloom Cleaner Data'!FB9)/'Bloom Cleaner Data'!GY9</f>
        <v>3.8029889500365002</v>
      </c>
      <c r="LM9" s="732">
        <f>('Bloom Cleaner Data'!X9+'Bloom Cleaner Data'!FC9)/'Bloom Cleaner Data'!GZ9</f>
        <v>3.5480816054249931</v>
      </c>
      <c r="LN9" s="732">
        <f>('Bloom Cleaner Data'!Y9+'Bloom Cleaner Data'!FD9)/'Bloom Cleaner Data'!HA9</f>
        <v>4.371867530890162</v>
      </c>
      <c r="LO9" s="732">
        <f>('Bloom Cleaner Data'!Z9+'Bloom Cleaner Data'!FE9)/'Bloom Cleaner Data'!HB9</f>
        <v>3.3211582333377447</v>
      </c>
      <c r="LP9" s="732">
        <f>('Bloom Cleaner Data'!AA9+'Bloom Cleaner Data'!FF9)/'Bloom Cleaner Data'!HC9</f>
        <v>4.5353151841638795</v>
      </c>
      <c r="LQ9" s="732">
        <f>('Bloom Cleaner Data'!AB9+'Bloom Cleaner Data'!FG9)/'Bloom Cleaner Data'!HD9</f>
        <v>3.9447179675537374</v>
      </c>
      <c r="LR9" s="732">
        <f>('Bloom Cleaner Data'!AC9+'Bloom Cleaner Data'!FH9)/'Bloom Cleaner Data'!HE9</f>
        <v>4.3111205785743332</v>
      </c>
      <c r="LS9" s="732">
        <f>('Bloom Cleaner Data'!AD9+'Bloom Cleaner Data'!FI9)/'Bloom Cleaner Data'!HF9</f>
        <v>4.0143958772361099</v>
      </c>
      <c r="LT9" s="732">
        <f>('Bloom Cleaner Data'!AE9+'Bloom Cleaner Data'!FJ9)/'Bloom Cleaner Data'!HG9</f>
        <v>5.0429158500951079</v>
      </c>
      <c r="LU9" s="732">
        <f>('Bloom Cleaner Data'!AF9+'Bloom Cleaner Data'!FK9)/'Bloom Cleaner Data'!HH9</f>
        <v>5.0020005356208097</v>
      </c>
      <c r="LV9" s="732">
        <f>('Bloom Cleaner Data'!AG9+'Bloom Cleaner Data'!FL9)/'Bloom Cleaner Data'!HI9</f>
        <v>4.9671486684744854</v>
      </c>
      <c r="LW9" s="732">
        <f>('Bloom Cleaner Data'!AH9+'Bloom Cleaner Data'!FM9)/'Bloom Cleaner Data'!HJ9</f>
        <v>4.4976714725590696</v>
      </c>
      <c r="LX9" s="732">
        <f t="shared" si="89"/>
        <v>0.13243705026419583</v>
      </c>
      <c r="LY9" s="732">
        <f t="shared" si="90"/>
        <v>4.8222735588847883</v>
      </c>
      <c r="LZ9" s="732">
        <f t="shared" si="27"/>
        <v>0.82348527592112797</v>
      </c>
      <c r="MA9" s="732">
        <f t="shared" si="91"/>
        <v>4.8774341316873686</v>
      </c>
      <c r="MB9" s="732">
        <f t="shared" si="92"/>
        <v>4.2145415993343374</v>
      </c>
      <c r="MC9" s="731">
        <f t="shared" si="93"/>
        <v>0.31140511098130519</v>
      </c>
      <c r="MD9" s="732">
        <f t="shared" si="28"/>
        <v>0.52711368966208072</v>
      </c>
      <c r="ME9" s="731"/>
      <c r="MF9" s="2025" t="s">
        <v>38</v>
      </c>
      <c r="MG9" s="732">
        <f>JT9+'Bloom Cleaner Data'!EY9/CALCULATIONS!DD9</f>
        <v>3.779796204077388</v>
      </c>
      <c r="MH9" s="732">
        <f>JU9+'Bloom Cleaner Data'!EZ9/CALCULATIONS!DE9</f>
        <v>3.7993935221895834</v>
      </c>
      <c r="MI9" s="732">
        <f>JV9+'Bloom Cleaner Data'!FA9/CALCULATIONS!DF9</f>
        <v>3.4460352679844823</v>
      </c>
      <c r="MJ9" s="732">
        <f>JW9+'Bloom Cleaner Data'!FB9/CALCULATIONS!DG9</f>
        <v>3.8172862885814376</v>
      </c>
      <c r="MK9" s="732">
        <f>JX9+'Bloom Cleaner Data'!FC9/CALCULATIONS!DH9</f>
        <v>3.56643812165348</v>
      </c>
      <c r="ML9" s="732">
        <f>JY9+'Bloom Cleaner Data'!FD9/CALCULATIONS!DI9</f>
        <v>4.382106874621126</v>
      </c>
      <c r="MM9" s="732">
        <f>JZ9+'Bloom Cleaner Data'!FE9/CALCULATIONS!DJ9</f>
        <v>3.3404184188425243</v>
      </c>
      <c r="MN9" s="732">
        <f>KA9+'Bloom Cleaner Data'!FF9/CALCULATIONS!DK9</f>
        <v>4.5438424063714855</v>
      </c>
      <c r="MO9" s="732">
        <f>KB9+'Bloom Cleaner Data'!FG9/CALCULATIONS!DL9</f>
        <v>3.9578427963681366</v>
      </c>
      <c r="MP9" s="732">
        <f>KC9+'Bloom Cleaner Data'!FH9/CALCULATIONS!DM9</f>
        <v>4.3200991539620501</v>
      </c>
      <c r="MQ9" s="732">
        <f>KD9+'Bloom Cleaner Data'!FI9/CALCULATIONS!DN9</f>
        <v>4.0247766176283584</v>
      </c>
      <c r="MR9" s="732">
        <f>KE9+'Bloom Cleaner Data'!FJ9/CALCULATIONS!DO9</f>
        <v>5.0447009644855729</v>
      </c>
      <c r="MS9" s="732">
        <f>KF9+'Bloom Cleaner Data'!FK9/CALCULATIONS!DP9</f>
        <v>5.0035394649622855</v>
      </c>
      <c r="MT9" s="732">
        <f>KG9+'Bloom Cleaner Data'!FL9/CALCULATIONS!DQ9</f>
        <v>4.9689071784647068</v>
      </c>
      <c r="MU9" s="732">
        <f>KH9+'Bloom Cleaner Data'!FM9/CALCULATIONS!DR9</f>
        <v>4.5021054628416168</v>
      </c>
      <c r="MV9" s="732">
        <f t="shared" si="29"/>
        <v>0.13163348477647219</v>
      </c>
      <c r="MW9" s="732">
        <f t="shared" si="94"/>
        <v>4.8248507020895355</v>
      </c>
      <c r="MX9" s="732">
        <f t="shared" si="30"/>
        <v>0.81794651831602128</v>
      </c>
      <c r="MY9" s="732">
        <f t="shared" si="95"/>
        <v>4.8798132676885455</v>
      </c>
      <c r="MZ9" s="732">
        <f t="shared" si="96"/>
        <v>4.2244691551359432</v>
      </c>
      <c r="NA9" s="731">
        <f t="shared" si="97"/>
        <v>0.3064594853884966</v>
      </c>
      <c r="NB9" s="732">
        <f t="shared" si="31"/>
        <v>0.52299346212048192</v>
      </c>
      <c r="NC9" s="732"/>
      <c r="ND9" s="729">
        <f>'Bloom Cleaner Data'!GF9+('Bloom Cleaner Data'!T9+'Bloom Cleaner Data'!EY9)+'Bloom Cleaner Data'!CK9</f>
        <v>2624.1239999999998</v>
      </c>
      <c r="NE9" s="729">
        <f>'Bloom Cleaner Data'!GG9+('Bloom Cleaner Data'!U9+'Bloom Cleaner Data'!EZ9)+'Bloom Cleaner Data'!CL9</f>
        <v>2700.1000000000004</v>
      </c>
      <c r="NF9" s="729">
        <f>'Bloom Cleaner Data'!GH9+('Bloom Cleaner Data'!V9+'Bloom Cleaner Data'!FA9)+'Bloom Cleaner Data'!CM9</f>
        <v>2277.3119999999999</v>
      </c>
      <c r="NG9" s="729">
        <f>'Bloom Cleaner Data'!GI9+('Bloom Cleaner Data'!W9+'Bloom Cleaner Data'!FB9)+'Bloom Cleaner Data'!CN9</f>
        <v>2624.3000999999995</v>
      </c>
      <c r="NH9" s="729">
        <f>'Bloom Cleaner Data'!GJ9+('Bloom Cleaner Data'!X9+'Bloom Cleaner Data'!FC9)+'Bloom Cleaner Data'!CO9</f>
        <v>2553.2280000000001</v>
      </c>
      <c r="NI9" s="729">
        <f>'Bloom Cleaner Data'!GK9+('Bloom Cleaner Data'!Y9+'Bloom Cleaner Data'!FD9)+'Bloom Cleaner Data'!CP9</f>
        <v>3180.2000000000003</v>
      </c>
      <c r="NJ9" s="729">
        <f>'Bloom Cleaner Data'!GL9+('Bloom Cleaner Data'!Z9+'Bloom Cleaner Data'!FE9)+'Bloom Cleaner Data'!CQ9</f>
        <v>2035.4270000000001</v>
      </c>
      <c r="NK9" s="729">
        <f>'Bloom Cleaner Data'!GM9+('Bloom Cleaner Data'!AA9+'Bloom Cleaner Data'!FF9)+'Bloom Cleaner Data'!CR9</f>
        <v>2711.7</v>
      </c>
      <c r="NL9" s="729">
        <f>'Bloom Cleaner Data'!GN9+('Bloom Cleaner Data'!AB9+'Bloom Cleaner Data'!FG9)+'Bloom Cleaner Data'!CS9</f>
        <v>2430.067</v>
      </c>
      <c r="NM9" s="729">
        <f>'Bloom Cleaner Data'!GO9+('Bloom Cleaner Data'!AC9+'Bloom Cleaner Data'!FH9)+'Bloom Cleaner Data'!CT9</f>
        <v>2741.3</v>
      </c>
      <c r="NN9" s="729">
        <f>'Bloom Cleaner Data'!GP9+('Bloom Cleaner Data'!AD9+'Bloom Cleaner Data'!FI9)+'Bloom Cleaner Data'!CU9</f>
        <v>2133.6169999999997</v>
      </c>
      <c r="NO9" s="729">
        <f>'Bloom Cleaner Data'!GQ9+('Bloom Cleaner Data'!AE9+'Bloom Cleaner Data'!FJ9)+'Bloom Cleaner Data'!CV9</f>
        <v>3123.1</v>
      </c>
      <c r="NP9" s="729">
        <f>'Bloom Cleaner Data'!GR9+('Bloom Cleaner Data'!AF9+'Bloom Cleaner Data'!FK9)+'Bloom Cleaner Data'!CW9</f>
        <v>3134.9820000000004</v>
      </c>
      <c r="NQ9" s="729">
        <f>'Bloom Cleaner Data'!GS9+('Bloom Cleaner Data'!AG9+'Bloom Cleaner Data'!FL9)+'Bloom Cleaner Data'!CX9</f>
        <v>3188.7000000000003</v>
      </c>
      <c r="NR9" s="729">
        <f>'Bloom Cleaner Data'!GT9+('Bloom Cleaner Data'!AH9+'Bloom Cleaner Data'!FM9)+'Bloom Cleaner Data'!CY9</f>
        <v>2387.9000000000005</v>
      </c>
      <c r="NS9" s="742"/>
      <c r="NT9" s="2025" t="s">
        <v>38</v>
      </c>
      <c r="NU9" s="1303">
        <f>('Bloom Cleaner Data'!T9+'Bloom Cleaner Data'!EY9+'OPERATING LEASES'!BL9)/CALCULATIONS!ND9</f>
        <v>0.86493473631581441</v>
      </c>
      <c r="NV9" s="1303">
        <f>('Bloom Cleaner Data'!U9+'Bloom Cleaner Data'!EZ9+'OPERATING LEASES'!BM9)/CALCULATIONS!NE9</f>
        <v>0.86274633346913077</v>
      </c>
      <c r="NW9" s="1303">
        <f>('Bloom Cleaner Data'!V9+'Bloom Cleaner Data'!FA9+'OPERATING LEASES'!BN9)/CALCULATIONS!NF9</f>
        <v>0.94189454497231817</v>
      </c>
      <c r="NX9" s="1303">
        <f>('Bloom Cleaner Data'!W9+'Bloom Cleaner Data'!FB9+'OPERATING LEASES'!BO9)/CALCULATIONS!NG9</f>
        <v>0.93962124415572768</v>
      </c>
      <c r="NY9" s="1303">
        <f>('Bloom Cleaner Data'!X9+'Bloom Cleaner Data'!FC9+'OPERATING LEASES'!BP9)/CALCULATIONS!NH9</f>
        <v>0.91730057010184751</v>
      </c>
      <c r="NZ9" s="1303">
        <f>('Bloom Cleaner Data'!Y9+'Bloom Cleaner Data'!FD9+'OPERATING LEASES'!BQ9)/CALCULATIONS!NI9</f>
        <v>0.91519607650462231</v>
      </c>
      <c r="OA9" s="1303">
        <f>('Bloom Cleaner Data'!Z9+'Bloom Cleaner Data'!FE9+'OPERATING LEASES'!BR9)/CALCULATIONS!NJ9</f>
        <v>1.1061652542685148</v>
      </c>
      <c r="OB9" s="1303">
        <f>('Bloom Cleaner Data'!AA9+'Bloom Cleaner Data'!FF9+'OPERATING LEASES'!BS9)/CALCULATIONS!NK9</f>
        <v>1.0973473051960025</v>
      </c>
      <c r="OC9" s="1303">
        <f>('Bloom Cleaner Data'!AB9+'Bloom Cleaner Data'!FG9+'OPERATING LEASES'!BT9)/CALCULATIONS!NL9</f>
        <v>1.1045591541303184</v>
      </c>
      <c r="OD9" s="1303">
        <f>('Bloom Cleaner Data'!AC9+'Bloom Cleaner Data'!FH9+'OPERATING LEASES'!BU9)/CALCULATIONS!NM9</f>
        <v>1.1028747651661619</v>
      </c>
      <c r="OE9" s="1303">
        <f>('Bloom Cleaner Data'!AD9+'Bloom Cleaner Data'!FI9+'OPERATING LEASES'!BV9)/CALCULATIONS!NN9</f>
        <v>1.3480772029375472</v>
      </c>
      <c r="OF9" s="1303">
        <f>('Bloom Cleaner Data'!AE9+'Bloom Cleaner Data'!FJ9+'OPERATING LEASES'!BW9)/CALCULATIONS!NO9</f>
        <v>1.2315034040696744</v>
      </c>
      <c r="OG9" s="1303">
        <f>('Bloom Cleaner Data'!AF9+'Bloom Cleaner Data'!FK9+'OPERATING LEASES'!BX9)/CALCULATIONS!NP9</f>
        <v>1.2275314898139764</v>
      </c>
      <c r="OH9" s="1303">
        <f>('Bloom Cleaner Data'!AG9+'Bloom Cleaner Data'!FL9+'OPERATING LEASES'!BY9)/CALCULATIONS!NQ9</f>
        <v>1.2102916941073163</v>
      </c>
      <c r="OI9" s="1303">
        <f>('Bloom Cleaner Data'!AH9+'Bloom Cleaner Data'!FM9+'OPERATING LEASES'!BZ9)/CALCULATIONS!NR9</f>
        <v>1.6242544181079608</v>
      </c>
      <c r="OJ9" s="731">
        <f t="shared" si="98"/>
        <v>1.3540258673430845</v>
      </c>
      <c r="OK9" s="731">
        <f t="shared" si="99"/>
        <v>1.3233952515247318</v>
      </c>
      <c r="OL9" s="731">
        <f t="shared" si="100"/>
        <v>1.1358936248870761</v>
      </c>
      <c r="OM9" s="730">
        <f t="shared" si="101"/>
        <v>0.72445463961753476</v>
      </c>
      <c r="ON9" s="730"/>
      <c r="OO9" s="2805"/>
      <c r="OP9" s="734">
        <f>'Bloom Cleaner Data'!D9/'Bloom Cleaner Data'!GF9</f>
        <v>6.1862876885817757</v>
      </c>
      <c r="OQ9" s="734">
        <f>'Bloom Cleaner Data'!E9/'Bloom Cleaner Data'!GG9</f>
        <v>6.6376591392136035</v>
      </c>
      <c r="OR9" s="734">
        <f>'Bloom Cleaner Data'!F9/'Bloom Cleaner Data'!GH9</f>
        <v>17.496889348440696</v>
      </c>
      <c r="OS9" s="734">
        <f>'Bloom Cleaner Data'!G9/'Bloom Cleaner Data'!GI9</f>
        <v>16.7433219927096</v>
      </c>
      <c r="OT9" s="734">
        <f>'Bloom Cleaner Data'!H9/'Bloom Cleaner Data'!GJ9</f>
        <v>15.240484292230724</v>
      </c>
      <c r="OU9" s="734">
        <f>'Bloom Cleaner Data'!I9/'Bloom Cleaner Data'!GK9</f>
        <v>13.551976078289236</v>
      </c>
      <c r="OV9" s="734">
        <f>'Bloom Cleaner Data'!J9/'Bloom Cleaner Data'!GL9</f>
        <v>-17.612323809523811</v>
      </c>
      <c r="OW9" s="734">
        <f>'Bloom Cleaner Data'!K9/'Bloom Cleaner Data'!GM9</f>
        <v>-12.104904263565892</v>
      </c>
      <c r="OX9" s="734">
        <f>'Bloom Cleaner Data'!L9/'Bloom Cleaner Data'!GN9</f>
        <v>-13.485765792622253</v>
      </c>
      <c r="OY9" s="734">
        <f>'Bloom Cleaner Data'!M9/'Bloom Cleaner Data'!GO9</f>
        <v>-12.599129285714286</v>
      </c>
      <c r="OZ9" s="734">
        <f>'Bloom Cleaner Data'!N9/'Bloom Cleaner Data'!GP9</f>
        <v>-5.2900028076692562</v>
      </c>
      <c r="PA9" s="734">
        <f>'Bloom Cleaner Data'!O9/'Bloom Cleaner Data'!GQ9</f>
        <v>-5.472786496603355</v>
      </c>
      <c r="PB9" s="734">
        <f>'Bloom Cleaner Data'!P9/'Bloom Cleaner Data'!GR9</f>
        <v>-5.6607725113971119</v>
      </c>
      <c r="PC9" s="734">
        <f>'Bloom Cleaner Data'!Q9/'Bloom Cleaner Data'!GS9</f>
        <v>-6.5343327375633002</v>
      </c>
      <c r="PD9" s="734">
        <f>'Bloom Cleaner Data'!R9/'Bloom Cleaner Data'!GT9</f>
        <v>-2.7147098893731143</v>
      </c>
      <c r="PE9" s="734">
        <f t="shared" si="102"/>
        <v>-1.4186196832586249</v>
      </c>
      <c r="PF9" s="730">
        <f t="shared" si="103"/>
        <v>-1.1551538582265222</v>
      </c>
      <c r="PG9" s="734">
        <f t="shared" si="104"/>
        <v>0.57005841919828382</v>
      </c>
      <c r="PH9" s="731"/>
      <c r="PI9" s="2805"/>
      <c r="PJ9" s="734">
        <f>CALCULATIONS!DD9/'Bloom Cleaner Data'!GF9</f>
        <v>1.6834302821706963</v>
      </c>
      <c r="PK9" s="734">
        <f>CALCULATIONS!DE9/'Bloom Cleaner Data'!GG9</f>
        <v>1.6450622918750173</v>
      </c>
      <c r="PL9" s="734">
        <f>CALCULATIONS!DF9/'Bloom Cleaner Data'!GH9</f>
        <v>4.5528588447314817</v>
      </c>
      <c r="PM9" s="734">
        <f>CALCULATIONS!DG9/'Bloom Cleaner Data'!GI9</f>
        <v>3.9667610150433581</v>
      </c>
      <c r="PN9" s="734">
        <f>CALCULATIONS!DH9/'Bloom Cleaner Data'!GJ9</f>
        <v>3.0561942936612145</v>
      </c>
      <c r="PO9" s="734">
        <f>CALCULATIONS!DI9/'Bloom Cleaner Data'!GK9</f>
        <v>2.4303088358520135</v>
      </c>
      <c r="PP9" s="734">
        <f>CALCULATIONS!DJ9/'Bloom Cleaner Data'!GL9</f>
        <v>-3.2485199602104773</v>
      </c>
      <c r="PQ9" s="734">
        <f>CALCULATIONS!DK9/'Bloom Cleaner Data'!GM9</f>
        <v>-2.5611291137120182</v>
      </c>
      <c r="PR9" s="734">
        <f>CALCULATIONS!DL9/'Bloom Cleaner Data'!GN9</f>
        <v>-2.7587710765525113</v>
      </c>
      <c r="PS9" s="734">
        <f>CALCULATIONS!DM9/'Bloom Cleaner Data'!GO9</f>
        <v>-2.5202422124564041</v>
      </c>
      <c r="PT9" s="734">
        <f>CALCULATIONS!DN9/'Bloom Cleaner Data'!GP9</f>
        <v>-0.97278456103455146</v>
      </c>
      <c r="PU9" s="734">
        <f>CALCULATIONS!DO9/'Bloom Cleaner Data'!GQ9</f>
        <v>-1.0633735102481428</v>
      </c>
      <c r="PV9" s="734">
        <f>CALCULATIONS!DP9/'Bloom Cleaner Data'!GR9</f>
        <v>-1.0830842813621857</v>
      </c>
      <c r="PW9" s="734">
        <f>CALCULATIONS!DQ9/'Bloom Cleaner Data'!GS9</f>
        <v>-1.1634718208764263</v>
      </c>
      <c r="PX9" s="734">
        <f>CALCULATIONS!DR9/'Bloom Cleaner Data'!GT9</f>
        <v>-0.58091590737417254</v>
      </c>
      <c r="PY9" s="734">
        <f t="shared" si="105"/>
        <v>-0.14970534265683255</v>
      </c>
      <c r="PZ9" s="734">
        <f t="shared" si="106"/>
        <v>-1.7724769382029877</v>
      </c>
      <c r="QA9" s="731"/>
      <c r="QC9" s="732">
        <f>'Bloom Cleaner Data'!HZ9</f>
        <v>5.3070000000000004</v>
      </c>
      <c r="QD9" s="732">
        <f>AVERAGE('Bloom Cleaner Data'!HN9:HZ9)</f>
        <v>5.9881230769230775</v>
      </c>
      <c r="QE9" s="738">
        <f>('Bloom Cleaner Data'!HZ9-'Bloom Cleaner Data'!HN9)/'Bloom Cleaner Data'!HN9</f>
        <v>-7.5709284706619889E-2</v>
      </c>
      <c r="QF9" s="732">
        <f>'Bloom Cleaner Data'!HZ9-'Bloom Cleaner Data'!HL9</f>
        <v>-1.4223999999999997</v>
      </c>
      <c r="QH9" s="2386"/>
    </row>
    <row r="10" spans="1:450">
      <c r="A10" s="11" t="s">
        <v>545</v>
      </c>
      <c r="B10" s="3108" t="s">
        <v>39</v>
      </c>
      <c r="C10" s="1207" t="s">
        <v>1103</v>
      </c>
      <c r="D10" s="236" t="s">
        <v>300</v>
      </c>
      <c r="E10" s="13">
        <f>'Bloom Cleaner Data'!D10*'Bloom Cleaner Data'!D43</f>
        <v>6509.4404255999989</v>
      </c>
      <c r="G10" s="13">
        <f>'Bloom Cleaner Data'!F10*'Bloom Cleaner Data'!F43</f>
        <v>5838.1933594600005</v>
      </c>
      <c r="H10" s="13">
        <f>'Bloom Cleaner Data'!H10*'Bloom Cleaner Data'!H43</f>
        <v>5310.5547371800012</v>
      </c>
      <c r="I10" s="13">
        <f>'Bloom Cleaner Data'!J10*'Bloom Cleaner Data'!J43</f>
        <v>5193.0895499999997</v>
      </c>
      <c r="J10" s="13">
        <f>'Bloom Cleaner Data'!L10*'Bloom Cleaner Data'!L43</f>
        <v>5063.760110261258</v>
      </c>
      <c r="K10" s="13">
        <f>'Bloom Cleaner Data'!N10*'Bloom Cleaner Data'!N43</f>
        <v>4526.777019006</v>
      </c>
      <c r="L10" s="13">
        <f>'Bloom Cleaner Data'!P10*'Bloom Cleaner Data'!P43</f>
        <v>4426.4220000000005</v>
      </c>
      <c r="M10" s="13">
        <f>'Bloom Cleaner Data'!R10*'Bloom Cleaner Data'!R43</f>
        <v>5057.8123335929276</v>
      </c>
      <c r="N10" s="13">
        <f t="shared" si="0"/>
        <v>5059.5155870714543</v>
      </c>
      <c r="O10" s="13">
        <f t="shared" si="32"/>
        <v>4670.3371175329767</v>
      </c>
      <c r="P10" s="10">
        <f t="shared" si="1"/>
        <v>-0.13366823909704381</v>
      </c>
      <c r="Q10" s="18">
        <f>('Bloom Cleaner Data'!R10-'Bloom Cleaner Data'!F10)/'Bloom Cleaner Data'!F10</f>
        <v>-0.13319325612948257</v>
      </c>
      <c r="R10" s="10">
        <f t="shared" si="33"/>
        <v>-3.1892660191404867E-2</v>
      </c>
      <c r="S10" s="1363" t="s">
        <v>39</v>
      </c>
      <c r="T10" s="1322">
        <f>'Bloom Cleaner Data'!D10/'Bloom Cleaner Data'!$F10</f>
        <v>1.11331594520898</v>
      </c>
      <c r="U10" s="1322">
        <f>'Bloom Cleaner Data'!E10/'Bloom Cleaner Data'!$F10</f>
        <v>1.111087708235821</v>
      </c>
      <c r="V10" s="1322">
        <f>'Bloom Cleaner Data'!F10/'Bloom Cleaner Data'!$F10</f>
        <v>1</v>
      </c>
      <c r="W10" s="1322">
        <f>'Bloom Cleaner Data'!G10/'Bloom Cleaner Data'!$F10</f>
        <v>1.0427831360082092</v>
      </c>
      <c r="X10" s="1322">
        <f>'Bloom Cleaner Data'!H10/'Bloom Cleaner Data'!$F10</f>
        <v>0.90962296214032845</v>
      </c>
      <c r="Y10" s="1322">
        <f>'Bloom Cleaner Data'!I10/'Bloom Cleaner Data'!$F10</f>
        <v>0.80900059473824282</v>
      </c>
      <c r="Z10" s="1322">
        <f>'Bloom Cleaner Data'!J10/'Bloom Cleaner Data'!$F10</f>
        <v>0.89016614901577873</v>
      </c>
      <c r="AA10" s="1322">
        <f>'Bloom Cleaner Data'!K10/'Bloom Cleaner Data'!$F10</f>
        <v>0.86342702949911387</v>
      </c>
      <c r="AB10" s="1322">
        <f>'Bloom Cleaner Data'!L10/'Bloom Cleaner Data'!$F10</f>
        <v>0.86461912185568557</v>
      </c>
      <c r="AC10" s="1322">
        <f>'Bloom Cleaner Data'!M10/'Bloom Cleaner Data'!$F10</f>
        <v>0.76955565247252455</v>
      </c>
      <c r="AD10" s="1322">
        <f>'Bloom Cleaner Data'!N10/'Bloom Cleaner Data'!$F10</f>
        <v>0.7737277136737063</v>
      </c>
      <c r="AE10" s="1322">
        <f>'Bloom Cleaner Data'!O10/'Bloom Cleaner Data'!$F10</f>
        <v>0.80141502891791239</v>
      </c>
      <c r="AF10" s="1322">
        <f>'Bloom Cleaner Data'!P10/'Bloom Cleaner Data'!$F10</f>
        <v>0.75931513861507838</v>
      </c>
      <c r="AG10" s="1322">
        <f>'Bloom Cleaner Data'!Q10/'Bloom Cleaner Data'!$F10</f>
        <v>0.84749734127641996</v>
      </c>
      <c r="AH10" s="1322">
        <f>'Bloom Cleaner Data'!R10/'Bloom Cleaner Data'!$F10</f>
        <v>0.86680674387051748</v>
      </c>
      <c r="AI10" s="13"/>
      <c r="AJ10" s="13">
        <f>AVERAGE('Bloom Cleaner Data'!BW10:CI10)</f>
        <v>61518.954584615385</v>
      </c>
      <c r="AK10" s="18">
        <f>('Bloom Cleaner Data'!CI10-'Bloom Cleaner Data'!BW10)/'Bloom Cleaner Data'!BW10</f>
        <v>-0.20531030063876343</v>
      </c>
      <c r="AL10" s="18">
        <f>('Bloom Cleaner Data'!CI10+'Bloom Cleaner Data'!CH10-'Bloom Cleaner Data'!BW10-'Bloom Cleaner Data'!BV10)/('Bloom Cleaner Data'!BW10+'Bloom Cleaner Data'!BV10)</f>
        <v>-0.23481453117049869</v>
      </c>
      <c r="AM10" s="13"/>
      <c r="AN10" s="13">
        <f>'Bloom Cleaner Data'!BW10*'Bloom Cleaner Data'!BW43</f>
        <v>10261.827959460003</v>
      </c>
      <c r="AO10" s="13">
        <f>'Bloom Cleaner Data'!BY10*'Bloom Cleaner Data'!BY43</f>
        <v>8372.0593371800005</v>
      </c>
      <c r="AP10" s="13">
        <f>'Bloom Cleaner Data'!CA10*'Bloom Cleaner Data'!CA43</f>
        <v>8049.8218500000003</v>
      </c>
      <c r="AQ10" s="13">
        <f>'Bloom Cleaner Data'!CC10*'Bloom Cleaner Data'!CC43</f>
        <v>7989.2731633650574</v>
      </c>
      <c r="AR10" s="13">
        <f>'Bloom Cleaner Data'!CE10*'Bloom Cleaner Data'!CE43</f>
        <v>7628.1437699061007</v>
      </c>
      <c r="AS10" s="13">
        <f>'Bloom Cleaner Data'!CG10*'Bloom Cleaner Data'!CG43</f>
        <v>7504.5360000000001</v>
      </c>
      <c r="AT10" s="13">
        <f>'Bloom Cleaner Data'!CI10*'Bloom Cleaner Data'!CI43</f>
        <v>8150.5003082237272</v>
      </c>
      <c r="AU10" s="13">
        <f t="shared" si="2"/>
        <v>8279.4517697335541</v>
      </c>
      <c r="AV10" s="10">
        <f t="shared" si="3"/>
        <v>-0.20574576572294997</v>
      </c>
      <c r="AW10" s="10"/>
      <c r="AX10" s="13">
        <f>'Bloom Cleaner Data'!T10+'OPERATING LEASES'!AU10</f>
        <v>40786.514997141159</v>
      </c>
      <c r="AY10" s="13">
        <f>'Bloom Cleaner Data'!U10+'OPERATING LEASES'!AV10</f>
        <v>40779.148629345516</v>
      </c>
      <c r="AZ10" s="13">
        <f>'Bloom Cleaner Data'!V10+'OPERATING LEASES'!AW10</f>
        <v>40031.782261549874</v>
      </c>
      <c r="BA10" s="13">
        <f>'Bloom Cleaner Data'!W10+'OPERATING LEASES'!AX10</f>
        <v>38254.415893754231</v>
      </c>
      <c r="BB10" s="13">
        <f>'Bloom Cleaner Data'!X10+'OPERATING LEASES'!AY10</f>
        <v>29799.049525958584</v>
      </c>
      <c r="BC10" s="13">
        <f>'Bloom Cleaner Data'!Y10+'OPERATING LEASES'!AZ10</f>
        <v>28716.563671231928</v>
      </c>
      <c r="BD10" s="13">
        <f>'Bloom Cleaner Data'!Z10+'OPERATING LEASES'!BA10</f>
        <v>28218.077816505269</v>
      </c>
      <c r="BE10" s="13">
        <f>'Bloom Cleaner Data'!AA10+'OPERATING LEASES'!BB10</f>
        <v>28640.591961778613</v>
      </c>
      <c r="BF10" s="13">
        <f>'Bloom Cleaner Data'!AB10+'OPERATING LEASES'!BC10</f>
        <v>28575.106107051957</v>
      </c>
      <c r="BG10" s="13">
        <f>'Bloom Cleaner Data'!AC10+'OPERATING LEASES'!BD10</f>
        <v>29303.829003199033</v>
      </c>
      <c r="BH10" s="13">
        <f>'Bloom Cleaner Data'!AD10+'OPERATING LEASES'!BE10</f>
        <v>29718.551899346108</v>
      </c>
      <c r="BI10" s="13">
        <f>'Bloom Cleaner Data'!AE10+'OPERATING LEASES'!BF10</f>
        <v>30328.274795493187</v>
      </c>
      <c r="BJ10" s="13">
        <f>'Bloom Cleaner Data'!AF10+'OPERATING LEASES'!BG10</f>
        <v>29441.997691640263</v>
      </c>
      <c r="BK10" s="13">
        <f>'Bloom Cleaner Data'!AG10+'OPERATING LEASES'!BH10</f>
        <v>30094.997691640263</v>
      </c>
      <c r="BL10" s="13">
        <f>'Bloom Cleaner Data'!AH10+'OPERATING LEASES'!BI10</f>
        <v>29528.997691640263</v>
      </c>
      <c r="BM10" s="1167">
        <f t="shared" si="34"/>
        <v>30819.402770060737</v>
      </c>
      <c r="BN10" s="10">
        <f t="shared" si="35"/>
        <v>-0.26236115347773137</v>
      </c>
      <c r="BO10" s="10"/>
      <c r="BP10" s="13">
        <f>'Bloom Cleaner Data'!BU10+'OPERATING LEASES'!AU10</f>
        <v>89219.851497141164</v>
      </c>
      <c r="BQ10" s="13">
        <f>'Bloom Cleaner Data'!BV10+'OPERATING LEASES'!AV10</f>
        <v>89115.548629345518</v>
      </c>
      <c r="BR10" s="13">
        <f>'Bloom Cleaner Data'!BW10+'OPERATING LEASES'!AW10</f>
        <v>83535.45856154988</v>
      </c>
      <c r="BS10" s="13">
        <f>'Bloom Cleaner Data'!BX10+'OPERATING LEASES'!AX10</f>
        <v>83619.315893754218</v>
      </c>
      <c r="BT10" s="13">
        <f>'Bloom Cleaner Data'!BY10+'OPERATING LEASES'!AY10</f>
        <v>69370.992425958582</v>
      </c>
      <c r="BU10" s="13">
        <f>'Bloom Cleaner Data'!BZ10+'OPERATING LEASES'!AZ10</f>
        <v>63911.063671231925</v>
      </c>
      <c r="BV10" s="13">
        <f>'Bloom Cleaner Data'!CA10+'OPERATING LEASES'!BA10</f>
        <v>66943.577816505276</v>
      </c>
      <c r="BW10" s="13">
        <f>'Bloom Cleaner Data'!CB10+'OPERATING LEASES'!BB10</f>
        <v>66202.841961778613</v>
      </c>
      <c r="BX10" s="13">
        <f>'Bloom Cleaner Data'!CC10+'OPERATING LEASES'!BC10</f>
        <v>66189.216507051955</v>
      </c>
      <c r="BY10" s="13">
        <f>'Bloom Cleaner Data'!CD10+'OPERATING LEASES'!BD10</f>
        <v>62782.329003199033</v>
      </c>
      <c r="BZ10" s="13">
        <f>'Bloom Cleaner Data'!CE10+'OPERATING LEASES'!BE10</f>
        <v>63378.551899346108</v>
      </c>
      <c r="CA10" s="13">
        <f>'Bloom Cleaner Data'!CF10+'OPERATING LEASES'!BF10</f>
        <v>65192.774795493184</v>
      </c>
      <c r="CB10" s="13">
        <f>'Bloom Cleaner Data'!CG10+'OPERATING LEASES'!BG10</f>
        <v>62474.997691640259</v>
      </c>
      <c r="CC10" s="13">
        <f>'Bloom Cleaner Data'!CH10+'OPERATING LEASES'!BH10</f>
        <v>66964.247691640267</v>
      </c>
      <c r="CD10" s="13">
        <f>'Bloom Cleaner Data'!CI10+'OPERATING LEASES'!BI10</f>
        <v>67238.277691640265</v>
      </c>
      <c r="CE10" s="1167">
        <f t="shared" si="36"/>
        <v>68292.588123906884</v>
      </c>
      <c r="CF10" s="10">
        <f t="shared" si="37"/>
        <v>-0.19509297190128747</v>
      </c>
      <c r="CG10" s="18">
        <f t="shared" si="4"/>
        <v>0.11010644743604671</v>
      </c>
      <c r="CH10" s="13"/>
      <c r="CI10" s="18">
        <f>$CI$1*BP10/('Bloom Cleaner Data'!D10+'Bloom Cleaner Data'!T10+'OPERATING LEASES'!AU10)+(1-$CI$1)*'Bloom Cleaner Data'!BU10/('Bloom Cleaner Data'!D10+'Bloom Cleaner Data'!T10)-1</f>
        <v>0</v>
      </c>
      <c r="CJ10" s="18">
        <f>$CI$1*BQ10/('Bloom Cleaner Data'!E10+'Bloom Cleaner Data'!U10+'OPERATING LEASES'!AV10)+(1-$CI$1)*'Bloom Cleaner Data'!BV10/('Bloom Cleaner Data'!E10+'Bloom Cleaner Data'!U10)-1</f>
        <v>0</v>
      </c>
      <c r="CK10" s="18">
        <f>$CI$1*BR10/('Bloom Cleaner Data'!F10+'Bloom Cleaner Data'!V10+'OPERATING LEASES'!AW10)+(1-$CI$1)*'Bloom Cleaner Data'!BW10/('Bloom Cleaner Data'!F10+'Bloom Cleaner Data'!V10)-1</f>
        <v>0</v>
      </c>
      <c r="CL10" s="18">
        <f>$CI$1*BS10/('Bloom Cleaner Data'!G10+'Bloom Cleaner Data'!W10+'OPERATING LEASES'!AX10)+(1-$CI$1)*'Bloom Cleaner Data'!BX10/('Bloom Cleaner Data'!G10+'Bloom Cleaner Data'!W10)-1</f>
        <v>0</v>
      </c>
      <c r="CM10" s="18">
        <f>$CI$1*BT10/('Bloom Cleaner Data'!H10+'Bloom Cleaner Data'!X10+'OPERATING LEASES'!AY10)+(1-$CI$1)*'Bloom Cleaner Data'!BY10/('Bloom Cleaner Data'!H10+'Bloom Cleaner Data'!X10)-1</f>
        <v>0</v>
      </c>
      <c r="CN10" s="18">
        <f>$CI$1*BU10/('Bloom Cleaner Data'!I10+'Bloom Cleaner Data'!Y10+'OPERATING LEASES'!AZ10)+(1-$CI$1)*'Bloom Cleaner Data'!BZ10/('Bloom Cleaner Data'!I10+'Bloom Cleaner Data'!Y10)-1</f>
        <v>0</v>
      </c>
      <c r="CO10" s="18">
        <f>$CI$1*BV10/('Bloom Cleaner Data'!J10+'Bloom Cleaner Data'!Z10+'OPERATING LEASES'!BA10)+(1-$CI$1)*'Bloom Cleaner Data'!CA10/('Bloom Cleaner Data'!J10+'Bloom Cleaner Data'!Z10)-1</f>
        <v>0</v>
      </c>
      <c r="CP10" s="18">
        <f>$CI$1*BW10/('Bloom Cleaner Data'!K10+'Bloom Cleaner Data'!AA10+'OPERATING LEASES'!BB10)+(1-$CI$1)*'Bloom Cleaner Data'!CB10/('Bloom Cleaner Data'!K10+'Bloom Cleaner Data'!AA10)-1</f>
        <v>0</v>
      </c>
      <c r="CQ10" s="18">
        <f>$CI$1*BX10/('Bloom Cleaner Data'!L10+'Bloom Cleaner Data'!AB10+'OPERATING LEASES'!BC10)+(1-$CI$1)*'Bloom Cleaner Data'!CC10/('Bloom Cleaner Data'!L10+'Bloom Cleaner Data'!AB10)-1</f>
        <v>0</v>
      </c>
      <c r="CR10" s="18">
        <f>$CI$1*BY10/('Bloom Cleaner Data'!M10+'Bloom Cleaner Data'!AC10+'OPERATING LEASES'!BD10)+(1-$CI$1)*'Bloom Cleaner Data'!CD10/('Bloom Cleaner Data'!M10+'Bloom Cleaner Data'!AC10)-1</f>
        <v>0</v>
      </c>
      <c r="CS10" s="18">
        <f>$CI$1*BZ10/('Bloom Cleaner Data'!N10+'Bloom Cleaner Data'!AD10+'OPERATING LEASES'!BE10)+(1-$CI$1)*'Bloom Cleaner Data'!CE10/('Bloom Cleaner Data'!N10+'Bloom Cleaner Data'!AD10)-1</f>
        <v>0</v>
      </c>
      <c r="CT10" s="18">
        <f>$CI$1*CA10/('Bloom Cleaner Data'!O10+'Bloom Cleaner Data'!AE10+'OPERATING LEASES'!BF10)+(1-$CI$1)*'Bloom Cleaner Data'!CF10/('Bloom Cleaner Data'!O10+'Bloom Cleaner Data'!AE10)-1</f>
        <v>0</v>
      </c>
      <c r="CU10" s="18">
        <f>$CI$1*CB10/('Bloom Cleaner Data'!P10+'Bloom Cleaner Data'!AF10+'OPERATING LEASES'!BG10)+(1-$CI$1)*'Bloom Cleaner Data'!CG10/('Bloom Cleaner Data'!P10+'Bloom Cleaner Data'!AF10)-1</f>
        <v>0</v>
      </c>
      <c r="CV10" s="18">
        <f>$CI$1*CC10/('Bloom Cleaner Data'!Q10+'Bloom Cleaner Data'!AG10+'OPERATING LEASES'!BH10)+(1-$CI$1)*'Bloom Cleaner Data'!CH10/('Bloom Cleaner Data'!Q10+'Bloom Cleaner Data'!AG10)-1</f>
        <v>0</v>
      </c>
      <c r="CW10" s="18">
        <f>$CI$1*CD10/('Bloom Cleaner Data'!R10+'Bloom Cleaner Data'!AH10+'OPERATING LEASES'!BI10)+(1-$CI$1)*'Bloom Cleaner Data'!CI10/('Bloom Cleaner Data'!R10+'Bloom Cleaner Data'!AH10)-1</f>
        <v>0</v>
      </c>
      <c r="CX10" s="18">
        <f t="shared" si="38"/>
        <v>0</v>
      </c>
      <c r="CY10" s="13"/>
      <c r="CZ10" s="3112">
        <f>AVERAGE('Bloom Cleaner Data'!GX10:HJ10)</f>
        <v>10551.378548462661</v>
      </c>
      <c r="DA10" s="2860">
        <f>('Bloom Cleaner Data'!HJ10-'Bloom Cleaner Data'!GX10)/'Bloom Cleaner Data'!GX10</f>
        <v>1.0114028723743828E-2</v>
      </c>
      <c r="DB10" s="2860">
        <f>('Bloom Cleaner Data'!HJ10+'Bloom Cleaner Data'!HI10-'Bloom Cleaner Data'!GX10-'Bloom Cleaner Data'!GW10)/('Bloom Cleaner Data'!GX10+'Bloom Cleaner Data'!GW10)</f>
        <v>2.0227739352926408E-2</v>
      </c>
      <c r="DC10" s="13"/>
      <c r="DD10" s="13">
        <f>'Bloom Cleaner Data'!GV10+'OPERATING LEASES'!BL10</f>
        <v>11808.607573924079</v>
      </c>
      <c r="DE10" s="13">
        <f>'Bloom Cleaner Data'!GW10+'OPERATING LEASES'!BM10</f>
        <v>11347.842063059295</v>
      </c>
      <c r="DF10" s="13">
        <f>'Bloom Cleaner Data'!GX10+'OPERATING LEASES'!BN10</f>
        <v>11453.065705005034</v>
      </c>
      <c r="DG10" s="13">
        <f>'Bloom Cleaner Data'!GY10+'OPERATING LEASES'!BO10</f>
        <v>11437.352247251672</v>
      </c>
      <c r="DH10" s="13">
        <f>'Bloom Cleaner Data'!GZ10+'OPERATING LEASES'!BP10</f>
        <v>11852.715461549091</v>
      </c>
      <c r="DI10" s="13">
        <f>'Bloom Cleaner Data'!HA10+'OPERATING LEASES'!BQ10</f>
        <v>11880.215589241323</v>
      </c>
      <c r="DJ10" s="13">
        <f>'Bloom Cleaner Data'!HB10+'OPERATING LEASES'!BR10</f>
        <v>11157.733699626771</v>
      </c>
      <c r="DK10" s="13">
        <f>'Bloom Cleaner Data'!HC10+'OPERATING LEASES'!BS10</f>
        <v>11189.171420400218</v>
      </c>
      <c r="DL10" s="13">
        <f>'Bloom Cleaner Data'!HD10+'OPERATING LEASES'!BT10</f>
        <v>11994.747492902703</v>
      </c>
      <c r="DM10" s="13">
        <f>'Bloom Cleaner Data'!HE10+'OPERATING LEASES'!BU10</f>
        <v>11924.293338804608</v>
      </c>
      <c r="DN10" s="13">
        <f>'Bloom Cleaner Data'!HF10+'OPERATING LEASES'!BV10</f>
        <v>11876.917299561916</v>
      </c>
      <c r="DO10" s="13">
        <f>'Bloom Cleaner Data'!HG10+'OPERATING LEASES'!BW10</f>
        <v>11728.639587065403</v>
      </c>
      <c r="DP10" s="13">
        <f>'Bloom Cleaner Data'!HH10+'OPERATING LEASES'!BX10</f>
        <v>11535.212178944397</v>
      </c>
      <c r="DQ10" s="13">
        <f>'Bloom Cleaner Data'!HI10+'OPERATING LEASES'!BY10</f>
        <v>11440.264483746785</v>
      </c>
      <c r="DR10" s="13">
        <f>'Bloom Cleaner Data'!HJ10+'OPERATING LEASES'!BZ10</f>
        <v>11386.239947343227</v>
      </c>
      <c r="DS10" s="1167">
        <f t="shared" si="39"/>
        <v>11604.35141934178</v>
      </c>
      <c r="DT10" s="10">
        <f t="shared" si="40"/>
        <v>-5.8347484754762173E-3</v>
      </c>
      <c r="DU10" s="18">
        <f t="shared" si="41"/>
        <v>9.979481506068584E-2</v>
      </c>
      <c r="DV10" s="167"/>
      <c r="DW10" s="15">
        <f>'Bloom Cleaner Data'!DT10</f>
        <v>3.1909000000000001</v>
      </c>
      <c r="DX10" s="15">
        <f>'Bloom Cleaner Data'!DX10</f>
        <v>2.2894000000000001</v>
      </c>
      <c r="DY10" s="15">
        <f>'Bloom Cleaner Data'!EB10</f>
        <v>2.1507000000000001</v>
      </c>
      <c r="DZ10" s="15">
        <f>'Bloom Cleaner Data'!EF10</f>
        <v>2.4035000000000002</v>
      </c>
      <c r="EA10" s="15">
        <f>AVERAGE('Bloom Cleaner Data'!DT10:EF10)</f>
        <v>2.362423076923077</v>
      </c>
      <c r="EB10" s="18">
        <f t="shared" si="5"/>
        <v>-0.24676423579554355</v>
      </c>
      <c r="EC10" s="13"/>
      <c r="ED10" s="15">
        <f>'Bloom Cleaner Data'!DC10</f>
        <v>7.4348000000000001</v>
      </c>
      <c r="EE10" s="15">
        <f>'Bloom Cleaner Data'!DG10</f>
        <v>5.9481000000000002</v>
      </c>
      <c r="EF10" s="15">
        <f>'Bloom Cleaner Data'!DK10</f>
        <v>5.2272999999999996</v>
      </c>
      <c r="EG10" s="15">
        <f>'Bloom Cleaner Data'!DO10</f>
        <v>5.8491999999999997</v>
      </c>
      <c r="EH10" s="15">
        <f>AVERAGE('Bloom Cleaner Data'!DC10:DO10)</f>
        <v>5.8423769230769222</v>
      </c>
      <c r="EI10" s="22">
        <f t="shared" si="42"/>
        <v>6.1148499999999997</v>
      </c>
      <c r="EJ10" s="22">
        <f t="shared" si="6"/>
        <v>-0.27247307692307743</v>
      </c>
      <c r="EK10" s="18">
        <f t="shared" si="43"/>
        <v>-0.21326733738634535</v>
      </c>
      <c r="EL10" s="241"/>
      <c r="EM10" s="15">
        <f>('Bloom Cleaner Data'!BU10+'OPERATING LEASES'!AU10)/DD10</f>
        <v>7.555492968888017</v>
      </c>
      <c r="EN10" s="15">
        <f>('Bloom Cleaner Data'!BV10+'OPERATING LEASES'!AV10)/DE10</f>
        <v>7.853083267649974</v>
      </c>
      <c r="EO10" s="15">
        <f>('Bloom Cleaner Data'!BW10+'OPERATING LEASES'!AW10)/DF10</f>
        <v>7.293720363888645</v>
      </c>
      <c r="EP10" s="15">
        <f>('Bloom Cleaner Data'!BX10+'OPERATING LEASES'!AX10)/DG10</f>
        <v>7.3110728852342062</v>
      </c>
      <c r="EQ10" s="15">
        <f>('Bloom Cleaner Data'!BY10+'OPERATING LEASES'!AY10)/DH10</f>
        <v>5.8527510131329974</v>
      </c>
      <c r="ER10" s="15">
        <f>('Bloom Cleaner Data'!BZ10+'OPERATING LEASES'!AZ10)/DI10</f>
        <v>5.3796215389482942</v>
      </c>
      <c r="ES10" s="15">
        <f>('Bloom Cleaner Data'!CA10+'OPERATING LEASES'!BA10)/DJ10</f>
        <v>5.9997468678379153</v>
      </c>
      <c r="ET10" s="15">
        <f>('Bloom Cleaner Data'!CB10+'OPERATING LEASES'!BB10)/DK10</f>
        <v>5.9166885084159917</v>
      </c>
      <c r="EU10" s="15">
        <f>('Bloom Cleaner Data'!CC10+'OPERATING LEASES'!BC10)/DL10</f>
        <v>5.518183400377219</v>
      </c>
      <c r="EV10" s="15">
        <f>('Bloom Cleaner Data'!CD10+'OPERATING LEASES'!BD10)/DM10</f>
        <v>5.2650775370385903</v>
      </c>
      <c r="EW10" s="15">
        <f>('Bloom Cleaner Data'!CE10+'OPERATING LEASES'!BE10)/DN10</f>
        <v>5.336279633915094</v>
      </c>
      <c r="EX10" s="15">
        <f>('Bloom Cleaner Data'!CF10+'OPERATING LEASES'!BF10)/DO10</f>
        <v>5.5584259633478021</v>
      </c>
      <c r="EY10" s="15">
        <f>('Bloom Cleaner Data'!CG10+'OPERATING LEASES'!BG10)/DP10</f>
        <v>5.4160250130186531</v>
      </c>
      <c r="EZ10" s="15">
        <f>('Bloom Cleaner Data'!CH10+'OPERATING LEASES'!BH10)/DQ10</f>
        <v>5.8533828292848087</v>
      </c>
      <c r="FA10" s="15">
        <f>('Bloom Cleaner Data'!CI10+'OPERATING LEASES'!BI10)/DR10</f>
        <v>5.9052222685092017</v>
      </c>
      <c r="FB10" s="526">
        <f t="shared" si="44"/>
        <v>5.8927844479191869</v>
      </c>
      <c r="FC10" s="10">
        <f t="shared" si="45"/>
        <v>-0.19036897853308513</v>
      </c>
      <c r="FD10" s="15">
        <f t="shared" si="7"/>
        <v>5.0407524842264628E-2</v>
      </c>
      <c r="FE10" s="15">
        <f t="shared" si="46"/>
        <v>5.6148653560693571</v>
      </c>
      <c r="FF10" s="13"/>
      <c r="FG10" s="15">
        <f>$FG$1*EM10+(1-$FG$1)*'Bloom Cleaner Data'!DA10</f>
        <v>7.555492968888017</v>
      </c>
      <c r="FH10" s="15">
        <f>$FG$1*EN10+(1-$FG$1)*'Bloom Cleaner Data'!DB10</f>
        <v>7.853083267649974</v>
      </c>
      <c r="FI10" s="15">
        <f>$FG$1*EO10+(1-$FG$1)*'Bloom Cleaner Data'!DC10</f>
        <v>7.293720363888645</v>
      </c>
      <c r="FJ10" s="15">
        <f>$FG$1*EP10+(1-$FG$1)*'Bloom Cleaner Data'!DD10</f>
        <v>7.3110728852342062</v>
      </c>
      <c r="FK10" s="15">
        <f>$FG$1*EQ10+(1-$FG$1)*'Bloom Cleaner Data'!DE10</f>
        <v>5.8527510131329974</v>
      </c>
      <c r="FL10" s="15">
        <f>$FG$1*ER10+(1-$FG$1)*'Bloom Cleaner Data'!DF10</f>
        <v>5.3796215389482942</v>
      </c>
      <c r="FM10" s="15">
        <f>$FG$1*ES10+(1-$FG$1)*'Bloom Cleaner Data'!DG10</f>
        <v>5.9997468678379153</v>
      </c>
      <c r="FN10" s="15">
        <f>$FG$1*ET10+(1-$FG$1)*'Bloom Cleaner Data'!DH10</f>
        <v>5.9166885084159917</v>
      </c>
      <c r="FO10" s="15">
        <f>$FG$1*EU10+(1-$FG$1)*'Bloom Cleaner Data'!DI10</f>
        <v>5.518183400377219</v>
      </c>
      <c r="FP10" s="15">
        <f>$FG$1*EV10+(1-$FG$1)*'Bloom Cleaner Data'!DJ10</f>
        <v>5.2650775370385903</v>
      </c>
      <c r="FQ10" s="15">
        <f>$FG$1*EW10+(1-$FG$1)*'Bloom Cleaner Data'!DK10</f>
        <v>5.336279633915094</v>
      </c>
      <c r="FR10" s="15">
        <f>$FG$1*EX10+(1-$FG$1)*'Bloom Cleaner Data'!DL10</f>
        <v>5.5584259633478021</v>
      </c>
      <c r="FS10" s="15">
        <f>$FG$1*EY10+(1-$FG$1)*'Bloom Cleaner Data'!DM10</f>
        <v>5.4160250130186531</v>
      </c>
      <c r="FT10" s="15">
        <f>$FG$1*EZ10+(1-$FG$1)*'Bloom Cleaner Data'!DN10</f>
        <v>5.8533828292848087</v>
      </c>
      <c r="FU10" s="15">
        <f>$FG$1*FA10+(1-$FG$1)*'Bloom Cleaner Data'!DO10</f>
        <v>5.9052222685092017</v>
      </c>
      <c r="FV10" s="526">
        <f t="shared" si="47"/>
        <v>5.8927844479191869</v>
      </c>
      <c r="FW10" s="10">
        <f t="shared" si="48"/>
        <v>-0.19036897853308513</v>
      </c>
      <c r="FX10" s="526">
        <f t="shared" si="49"/>
        <v>5.6148653560693571</v>
      </c>
      <c r="FY10" s="2710">
        <v>1</v>
      </c>
      <c r="FZ10" s="2710"/>
      <c r="GA10" s="10">
        <f>'Bloom Cleaner Data'!T10/('Bloom Cleaner Data'!T10+'Bloom Cleaner Data'!D10)</f>
        <v>0.40984137652162594</v>
      </c>
      <c r="GB10" s="10">
        <f>'Bloom Cleaner Data'!U10/('Bloom Cleaner Data'!U10+'Bloom Cleaner Data'!E10)</f>
        <v>0.4105705234045563</v>
      </c>
      <c r="GC10" s="10">
        <f>'Bloom Cleaner Data'!V10/('Bloom Cleaner Data'!V10+'Bloom Cleaner Data'!F10)</f>
        <v>0.43107666757578167</v>
      </c>
      <c r="GD10" s="10">
        <f>'Bloom Cleaner Data'!W10/('Bloom Cleaner Data'!W10+'Bloom Cleaner Data'!G10)</f>
        <v>0.40770629792445418</v>
      </c>
      <c r="GE10" s="10">
        <f>'Bloom Cleaner Data'!X10/('Bloom Cleaner Data'!X10+'Bloom Cleaner Data'!H10)</f>
        <v>0.36568118747128003</v>
      </c>
      <c r="GF10" s="10">
        <f>'Bloom Cleaner Data'!Y10/('Bloom Cleaner Data'!Y10+'Bloom Cleaner Data'!I10)</f>
        <v>0.38212445466595274</v>
      </c>
      <c r="GG10" s="10">
        <f>'Bloom Cleaner Data'!Z10/('Bloom Cleaner Data'!Z10+'Bloom Cleaner Data'!J10)</f>
        <v>0.35488143132012295</v>
      </c>
      <c r="GH10" s="10">
        <f>'Bloom Cleaner Data'!AA10/('Bloom Cleaner Data'!AA10+'Bloom Cleaner Data'!K10)</f>
        <v>0.36682076588858498</v>
      </c>
      <c r="GI10" s="10">
        <f>'Bloom Cleaner Data'!AB10/('Bloom Cleaner Data'!AB10+'Bloom Cleaner Data'!L10)</f>
        <v>0.36618012593671073</v>
      </c>
      <c r="GJ10" s="10">
        <f>'Bloom Cleaner Data'!AC10/('Bloom Cleaner Data'!AC10+'Bloom Cleaner Data'!M10)</f>
        <v>0.40250573338211543</v>
      </c>
      <c r="GK10" s="10">
        <f>'Bloom Cleaner Data'!AD10/('Bloom Cleaner Data'!AD10+'Bloom Cleaner Data'!N10)</f>
        <v>0.40656899561009152</v>
      </c>
      <c r="GL10" s="10">
        <f>'Bloom Cleaner Data'!AE10/('Bloom Cleaner Data'!AE10+'Bloom Cleaner Data'!O10)</f>
        <v>0.40533187784098179</v>
      </c>
      <c r="GM10" s="10">
        <f>'Bloom Cleaner Data'!AF10/('Bloom Cleaner Data'!AF10+'Bloom Cleaner Data'!P10)</f>
        <v>0.41016713091922008</v>
      </c>
      <c r="GN10" s="10">
        <f>'Bloom Cleaner Data'!AG10/('Bloom Cleaner Data'!AG10+'Bloom Cleaner Data'!Q10)</f>
        <v>0.39052290958082098</v>
      </c>
      <c r="GO10" s="10">
        <f>'Bloom Cleaner Data'!AH10/('Bloom Cleaner Data'!AH10+'Bloom Cleaner Data'!R10)</f>
        <v>0.37944762378701169</v>
      </c>
      <c r="GP10" s="10">
        <f t="shared" si="50"/>
        <v>0.3899242463002407</v>
      </c>
      <c r="GQ10" s="10">
        <f t="shared" si="51"/>
        <v>-0.1197676600756727</v>
      </c>
      <c r="GR10" s="10"/>
      <c r="GS10" s="496">
        <f t="shared" si="8"/>
        <v>0.69445969306698496</v>
      </c>
      <c r="GT10" s="497">
        <f t="shared" si="9"/>
        <v>0.69655580473514778</v>
      </c>
      <c r="GU10" s="497">
        <f t="shared" si="10"/>
        <v>0.75770607919864474</v>
      </c>
      <c r="GV10" s="497">
        <f t="shared" si="11"/>
        <v>0.68835156696035926</v>
      </c>
      <c r="GW10" s="497">
        <f t="shared" si="12"/>
        <v>0.57649431208493929</v>
      </c>
      <c r="GX10" s="497">
        <f t="shared" si="13"/>
        <v>0.61844890536873665</v>
      </c>
      <c r="GY10" s="497">
        <f t="shared" si="14"/>
        <v>0.55010264554363408</v>
      </c>
      <c r="GZ10" s="497">
        <f t="shared" si="15"/>
        <v>0.5793316428062748</v>
      </c>
      <c r="HA10" s="497">
        <f t="shared" si="16"/>
        <v>0.57773531711652559</v>
      </c>
      <c r="HB10" s="497">
        <f t="shared" si="17"/>
        <v>0.67365622713084516</v>
      </c>
      <c r="HC10" s="497">
        <f t="shared" si="18"/>
        <v>0.68511586452762929</v>
      </c>
      <c r="HD10" s="497">
        <f t="shared" si="19"/>
        <v>0.68161023390554865</v>
      </c>
      <c r="HE10" s="497">
        <f t="shared" si="20"/>
        <v>0.69539551357733187</v>
      </c>
      <c r="HF10" s="497">
        <f t="shared" si="21"/>
        <v>0.64075076113563456</v>
      </c>
      <c r="HG10" s="498">
        <f t="shared" si="22"/>
        <v>0.61146752205292698</v>
      </c>
      <c r="HH10" s="10">
        <f t="shared" si="52"/>
        <v>0.64124358395454084</v>
      </c>
      <c r="HI10" s="10">
        <f t="shared" si="53"/>
        <v>-0.1930016944042216</v>
      </c>
      <c r="HJ10" s="10"/>
      <c r="HK10" s="18">
        <f>('Bloom Cleaner Data'!T10+'OPERATING LEASES'!AU10)/('Bloom Cleaner Data'!T10+'OPERATING LEASES'!AU10+'Bloom Cleaner Data'!D10)</f>
        <v>0.45714618790245432</v>
      </c>
      <c r="HL10" s="18">
        <f>('Bloom Cleaner Data'!U10+'OPERATING LEASES'!AV10)/('Bloom Cleaner Data'!U10+'OPERATING LEASES'!AV10+'Bloom Cleaner Data'!E10)</f>
        <v>0.45759858135370385</v>
      </c>
      <c r="HM10" s="18">
        <f>('Bloom Cleaner Data'!V10+'OPERATING LEASES'!AW10)/('Bloom Cleaner Data'!V10+'OPERATING LEASES'!AW10+'Bloom Cleaner Data'!F10)</f>
        <v>0.47921904004458188</v>
      </c>
      <c r="HN10" s="18">
        <f>('Bloom Cleaner Data'!W10+'OPERATING LEASES'!AX10)/('Bloom Cleaner Data'!W10+'OPERATING LEASES'!AX10+'Bloom Cleaner Data'!G10)</f>
        <v>0.45748300479233606</v>
      </c>
      <c r="HO10" s="18">
        <f>('Bloom Cleaner Data'!X10+'OPERATING LEASES'!AY10)/('Bloom Cleaner Data'!X10+'OPERATING LEASES'!AY10+'Bloom Cleaner Data'!H10)</f>
        <v>0.42956066338194404</v>
      </c>
      <c r="HP10" s="18">
        <f>('Bloom Cleaner Data'!Y10+'OPERATING LEASES'!AZ10)/('Bloom Cleaner Data'!Y10+'OPERATING LEASES'!AZ10+'Bloom Cleaner Data'!I10)</f>
        <v>0.44932069694465154</v>
      </c>
      <c r="HQ10" s="18">
        <f>('Bloom Cleaner Data'!Z10+'OPERATING LEASES'!BA10)/('Bloom Cleaner Data'!Z10+'OPERATING LEASES'!BA10+'Bloom Cleaner Data'!J10)</f>
        <v>0.42152031213288332</v>
      </c>
      <c r="HR10" s="18">
        <f>('Bloom Cleaner Data'!AA10+'OPERATING LEASES'!BB10)/('Bloom Cleaner Data'!AA10+'OPERATING LEASES'!BB10+'Bloom Cleaner Data'!K10)</f>
        <v>0.43261876851622022</v>
      </c>
      <c r="HS10" s="18">
        <f>('Bloom Cleaner Data'!AB10+'OPERATING LEASES'!BC10)/('Bloom Cleaner Data'!AB10+'OPERATING LEASES'!BC10+'Bloom Cleaner Data'!L10)</f>
        <v>0.4317184522649169</v>
      </c>
      <c r="HT10" s="18">
        <f>('Bloom Cleaner Data'!AC10+'OPERATING LEASES'!BD10)/('Bloom Cleaner Data'!AC10+'OPERATING LEASES'!BD10+'Bloom Cleaner Data'!M10)</f>
        <v>0.46675281832417964</v>
      </c>
      <c r="HU10" s="18">
        <f>('Bloom Cleaner Data'!AD10+'OPERATING LEASES'!BE10)/('Bloom Cleaner Data'!AD10+'OPERATING LEASES'!BE10+'Bloom Cleaner Data'!N10)</f>
        <v>0.46890550523374647</v>
      </c>
      <c r="HV10" s="18">
        <f>('Bloom Cleaner Data'!AE10+'OPERATING LEASES'!BF10)/('Bloom Cleaner Data'!AE10+'OPERATING LEASES'!BF10+'Bloom Cleaner Data'!O10)</f>
        <v>0.46520914151348258</v>
      </c>
      <c r="HW10" s="18">
        <f>('Bloom Cleaner Data'!AF10+'OPERATING LEASES'!BG10)/('Bloom Cleaner Data'!AF10+'OPERATING LEASES'!BG10+'Bloom Cleaner Data'!P10)</f>
        <v>0.47126048466553006</v>
      </c>
      <c r="HX10" s="18">
        <f>('Bloom Cleaner Data'!AG10+'OPERATING LEASES'!BH10)/('Bloom Cleaner Data'!AG10+'OPERATING LEASES'!BH10+'Bloom Cleaner Data'!Q10)</f>
        <v>0.44941888737738012</v>
      </c>
      <c r="HY10" s="18">
        <f>('Bloom Cleaner Data'!AH10+'OPERATING LEASES'!BI10)/('Bloom Cleaner Data'!AH10+'OPERATING LEASES'!BI10+'Bloom Cleaner Data'!R10)</f>
        <v>0.43916945384982109</v>
      </c>
      <c r="HZ10" s="10">
        <f t="shared" si="54"/>
        <v>0.45093517146474416</v>
      </c>
      <c r="IA10" s="10">
        <f t="shared" si="55"/>
        <v>-8.3572610535330494E-2</v>
      </c>
      <c r="IB10" s="10">
        <f t="shared" si="23"/>
        <v>6.101092516450346E-2</v>
      </c>
      <c r="IC10" s="10">
        <f t="shared" si="24"/>
        <v>0.15646866216553562</v>
      </c>
      <c r="IE10" s="502">
        <f t="shared" si="56"/>
        <v>0.84211656566631876</v>
      </c>
      <c r="IF10" s="467">
        <f t="shared" si="25"/>
        <v>0.84365299503780822</v>
      </c>
      <c r="IG10" s="467">
        <f t="shared" si="25"/>
        <v>0.92019308863673865</v>
      </c>
      <c r="IH10" s="467">
        <f t="shared" si="25"/>
        <v>0.84326022748323548</v>
      </c>
      <c r="II10" s="467">
        <f t="shared" si="25"/>
        <v>0.75303478530892609</v>
      </c>
      <c r="IJ10" s="467">
        <f t="shared" si="25"/>
        <v>0.81593895839497443</v>
      </c>
      <c r="IK10" s="467">
        <f t="shared" si="25"/>
        <v>0.72866916673781523</v>
      </c>
      <c r="IL10" s="467">
        <f t="shared" si="25"/>
        <v>0.7624833965425023</v>
      </c>
      <c r="IM10" s="467">
        <f t="shared" si="25"/>
        <v>0.7596911319495665</v>
      </c>
      <c r="IN10" s="467">
        <f t="shared" si="25"/>
        <v>0.87530292585387726</v>
      </c>
      <c r="IO10" s="467">
        <f t="shared" si="25"/>
        <v>0.88290409683143534</v>
      </c>
      <c r="IP10" s="467">
        <f t="shared" si="25"/>
        <v>0.86988985344672065</v>
      </c>
      <c r="IQ10" s="467">
        <f t="shared" si="25"/>
        <v>0.89129045777374927</v>
      </c>
      <c r="IR10" s="467">
        <f t="shared" si="25"/>
        <v>0.81626281227961672</v>
      </c>
      <c r="IS10" s="503">
        <f t="shared" si="25"/>
        <v>0.78306978260100069</v>
      </c>
      <c r="IT10" s="10">
        <f t="shared" si="57"/>
        <v>0.82323005260308912</v>
      </c>
      <c r="IU10" s="10">
        <f t="shared" si="58"/>
        <v>-0.14901579649862992</v>
      </c>
      <c r="IV10" s="10">
        <f t="shared" si="59"/>
        <v>0.18198646864854828</v>
      </c>
      <c r="IW10" s="10">
        <f t="shared" si="60"/>
        <v>0.28380240083844599</v>
      </c>
      <c r="IY10" s="15">
        <f>'Bloom Cleaner Data'!T10/'Bloom Cleaner Data'!BU10*'Bloom Cleaner Data'!DA10</f>
        <v>3.1884429569252934</v>
      </c>
      <c r="IZ10" s="15">
        <f>'Bloom Cleaner Data'!U10/'Bloom Cleaner Data'!BV10*'Bloom Cleaner Data'!DB10</f>
        <v>3.3223777324420101</v>
      </c>
      <c r="JA10" s="15">
        <f>'Bloom Cleaner Data'!V10/'Bloom Cleaner Data'!BW10*'Bloom Cleaner Data'!DC10</f>
        <v>3.204968808092421</v>
      </c>
      <c r="JB10" s="15">
        <f>'Bloom Cleaner Data'!W10/'Bloom Cleaner Data'!BX10*'Bloom Cleaner Data'!DD10</f>
        <v>3.0273415739784495</v>
      </c>
      <c r="JC10" s="15">
        <f>'Bloom Cleaner Data'!X10/'Bloom Cleaner Data'!BY10*'Bloom Cleaner Data'!DE10</f>
        <v>2.1170015305087344</v>
      </c>
      <c r="JD10" s="15">
        <f>'Bloom Cleaner Data'!Y10/'Bloom Cleaner Data'!BZ10*'Bloom Cleaner Data'!DF10</f>
        <v>2.0136812387531711</v>
      </c>
      <c r="JE10" s="15">
        <f>'Bloom Cleaner Data'!Z10/'Bloom Cleaner Data'!CA10*'Bloom Cleaner Data'!DG10</f>
        <v>2.1108702416352232</v>
      </c>
      <c r="JF10" s="15">
        <f>'Bloom Cleaner Data'!AA10/'Bloom Cleaner Data'!CB10*'Bloom Cleaner Data'!DH10</f>
        <v>2.1483958616562644</v>
      </c>
      <c r="JG10" s="15">
        <f>'Bloom Cleaner Data'!AB10/'Bloom Cleaner Data'!CC10*'Bloom Cleaner Data'!DI10</f>
        <v>1.986380711156281</v>
      </c>
      <c r="JH10" s="15">
        <f>'Bloom Cleaner Data'!AC10/'Bloom Cleaner Data'!CD10*'Bloom Cleaner Data'!DJ10</f>
        <v>2.0721397660244687</v>
      </c>
      <c r="JI10" s="15">
        <f>'Bloom Cleaner Data'!AD10/'Bloom Cleaner Data'!CE10*'Bloom Cleaner Data'!DK10</f>
        <v>2.1252581107526312</v>
      </c>
      <c r="JJ10" s="15">
        <f>'Bloom Cleaner Data'!AE10/'Bloom Cleaner Data'!CF10*'Bloom Cleaner Data'!DL10</f>
        <v>2.2174085709168749</v>
      </c>
      <c r="JK10" s="15">
        <f>'Bloom Cleaner Data'!AF10/'Bloom Cleaner Data'!CG10*'Bloom Cleaner Data'!DM10</f>
        <v>2.1798332172701951</v>
      </c>
      <c r="JL10" s="15">
        <f>'Bloom Cleaner Data'!AG10/'Bloom Cleaner Data'!CH10*'Bloom Cleaner Data'!DN10</f>
        <v>2.2621820583288215</v>
      </c>
      <c r="JM10" s="15">
        <f>'Bloom Cleaner Data'!AH10/'Bloom Cleaner Data'!CI10*'Bloom Cleaner Data'!DO10</f>
        <v>2.2194650410549888</v>
      </c>
      <c r="JN10" s="15">
        <f t="shared" si="61"/>
        <v>2.2204934388846684</v>
      </c>
      <c r="JO10" s="15">
        <f t="shared" si="62"/>
        <v>2.2197222218927202</v>
      </c>
      <c r="JP10" s="15">
        <f t="shared" si="63"/>
        <v>2.2834559023175789</v>
      </c>
      <c r="JQ10" s="18">
        <f t="shared" si="64"/>
        <v>-0.30749246749268627</v>
      </c>
      <c r="JR10" s="18"/>
      <c r="JS10" s="2024" t="s">
        <v>39</v>
      </c>
      <c r="JT10" s="526">
        <f>('Bloom Cleaner Data'!T10+'OPERATING LEASES'!AU10)/DD10</f>
        <v>3.4539648084509533</v>
      </c>
      <c r="JU10" s="526">
        <f>('Bloom Cleaner Data'!U10+'OPERATING LEASES'!AV10)/DE10</f>
        <v>3.5935597625291371</v>
      </c>
      <c r="JV10" s="526">
        <f>('Bloom Cleaner Data'!V10+'OPERATING LEASES'!AW10)/DF10</f>
        <v>3.4952896711363342</v>
      </c>
      <c r="JW10" s="526">
        <f>('Bloom Cleaner Data'!W10+'OPERATING LEASES'!AX10)/DG10</f>
        <v>3.3446915917927194</v>
      </c>
      <c r="JX10" s="526">
        <f>('Bloom Cleaner Data'!X10+'OPERATING LEASES'!AY10)/DH10</f>
        <v>2.5141116078107553</v>
      </c>
      <c r="JY10" s="526">
        <f>('Bloom Cleaner Data'!Y10+'OPERATING LEASES'!AZ10)/DI10</f>
        <v>2.4171752991787065</v>
      </c>
      <c r="JZ10" s="526">
        <f>('Bloom Cleaner Data'!Z10+'OPERATING LEASES'!BA10)/DJ10</f>
        <v>2.5290151724493271</v>
      </c>
      <c r="KA10" s="526">
        <f>('Bloom Cleaner Data'!AA10+'OPERATING LEASES'!BB10)/DK10</f>
        <v>2.5596704962049985</v>
      </c>
      <c r="KB10" s="526">
        <f>('Bloom Cleaner Data'!AB10+'OPERATING LEASES'!BC10)/DL10</f>
        <v>2.3823015969248087</v>
      </c>
      <c r="KC10" s="526">
        <f>('Bloom Cleaner Data'!AC10+'OPERATING LEASES'!BD10)/DM10</f>
        <v>2.4574897791080925</v>
      </c>
      <c r="KD10" s="526">
        <f>('Bloom Cleaner Data'!AD10+'OPERATING LEASES'!BE10)/DN10</f>
        <v>2.5022108978095088</v>
      </c>
      <c r="KE10" s="526">
        <f>('Bloom Cleaner Data'!AE10+'OPERATING LEASES'!BF10)/DO10</f>
        <v>2.5858305705752835</v>
      </c>
      <c r="KF10" s="526">
        <f>('Bloom Cleaner Data'!AF10+'OPERATING LEASES'!BG10)/DP10</f>
        <v>2.5523585725958045</v>
      </c>
      <c r="KG10" s="526">
        <f>('Bloom Cleaner Data'!AG10+'OPERATING LEASES'!BH10)/DQ10</f>
        <v>2.6306207985310399</v>
      </c>
      <c r="KH10" s="526">
        <f>('Bloom Cleaner Data'!AH10+'OPERATING LEASES'!BI10)/DR10</f>
        <v>2.5933932385229874</v>
      </c>
      <c r="KI10" s="15">
        <f t="shared" si="65"/>
        <v>2.5921242032166103</v>
      </c>
      <c r="KJ10" s="15">
        <f t="shared" si="66"/>
        <v>2.5905507950562789</v>
      </c>
      <c r="KK10" s="15">
        <f t="shared" si="67"/>
        <v>2.6587814840492587</v>
      </c>
      <c r="KL10" s="18">
        <f t="shared" si="68"/>
        <v>-0.25803195656746131</v>
      </c>
      <c r="KM10" s="15">
        <f t="shared" si="69"/>
        <v>0.37532558173167985</v>
      </c>
      <c r="KN10" s="18"/>
      <c r="KO10" s="15">
        <f t="shared" si="70"/>
        <v>3.4539648084509533</v>
      </c>
      <c r="KP10" s="15">
        <f t="shared" si="71"/>
        <v>3.5935597625291371</v>
      </c>
      <c r="KQ10" s="15">
        <f t="shared" si="72"/>
        <v>3.4952896711363342</v>
      </c>
      <c r="KR10" s="15">
        <f t="shared" si="73"/>
        <v>3.3446915917927194</v>
      </c>
      <c r="KS10" s="15">
        <f t="shared" si="74"/>
        <v>2.5141116078107553</v>
      </c>
      <c r="KT10" s="15">
        <f t="shared" si="75"/>
        <v>2.4171752991787065</v>
      </c>
      <c r="KU10" s="15">
        <f t="shared" si="76"/>
        <v>2.5290151724493271</v>
      </c>
      <c r="KV10" s="15">
        <f t="shared" si="77"/>
        <v>2.5596704962049985</v>
      </c>
      <c r="KW10" s="15">
        <f t="shared" si="78"/>
        <v>2.3823015969248087</v>
      </c>
      <c r="KX10" s="15">
        <f t="shared" si="79"/>
        <v>2.4574897791080925</v>
      </c>
      <c r="KY10" s="15">
        <f t="shared" si="80"/>
        <v>2.5022108978095088</v>
      </c>
      <c r="KZ10" s="15">
        <f t="shared" si="81"/>
        <v>2.5858305705752835</v>
      </c>
      <c r="LA10" s="15">
        <f t="shared" si="82"/>
        <v>2.5523585725958045</v>
      </c>
      <c r="LB10" s="15">
        <f t="shared" si="83"/>
        <v>2.6306207985310399</v>
      </c>
      <c r="LC10" s="15">
        <f t="shared" si="84"/>
        <v>2.5933932385229874</v>
      </c>
      <c r="LD10" s="15">
        <f t="shared" si="85"/>
        <v>2.5921242032166103</v>
      </c>
      <c r="LE10" s="15">
        <f t="shared" si="86"/>
        <v>2.5905507950562789</v>
      </c>
      <c r="LF10" s="526">
        <f t="shared" si="87"/>
        <v>2.6587814840492587</v>
      </c>
      <c r="LG10" s="10">
        <f t="shared" si="88"/>
        <v>-0.25803195656746131</v>
      </c>
      <c r="LH10" s="18"/>
      <c r="LI10" s="15">
        <f>('Bloom Cleaner Data'!T10+'Bloom Cleaner Data'!EY10)/'Bloom Cleaner Data'!GV10</f>
        <v>3.2607718398191241</v>
      </c>
      <c r="LJ10" s="15">
        <f>('Bloom Cleaner Data'!U10+'Bloom Cleaner Data'!EZ10)/'Bloom Cleaner Data'!GW10</f>
        <v>3.3761570506332514</v>
      </c>
      <c r="LK10" s="15">
        <f>('Bloom Cleaner Data'!V10+'Bloom Cleaner Data'!FA10)/'Bloom Cleaner Data'!GX10</f>
        <v>3.2449300428139569</v>
      </c>
      <c r="LL10" s="15">
        <f>('Bloom Cleaner Data'!W10+'Bloom Cleaner Data'!FB10)/'Bloom Cleaner Data'!GY10</f>
        <v>3.0849276659803455</v>
      </c>
      <c r="LM10" s="15">
        <f>('Bloom Cleaner Data'!X10+'Bloom Cleaner Data'!FC10)/'Bloom Cleaner Data'!GZ10</f>
        <v>2.1941166960657745</v>
      </c>
      <c r="LN10" s="15">
        <f>('Bloom Cleaner Data'!Y10+'Bloom Cleaner Data'!FD10)/'Bloom Cleaner Data'!HA10</f>
        <v>2.0605863379008262</v>
      </c>
      <c r="LO10" s="15">
        <f>('Bloom Cleaner Data'!Z10+'Bloom Cleaner Data'!FE10)/'Bloom Cleaner Data'!HB10</f>
        <v>2.2165970663934633</v>
      </c>
      <c r="LP10" s="15">
        <f>('Bloom Cleaner Data'!AA10+'Bloom Cleaner Data'!FF10)/'Bloom Cleaner Data'!HC10</f>
        <v>2.2382373319061246</v>
      </c>
      <c r="LQ10" s="15">
        <f>('Bloom Cleaner Data'!AB10+'Bloom Cleaner Data'!FG10)/'Bloom Cleaner Data'!HD10</f>
        <v>2.1224867752541918</v>
      </c>
      <c r="LR10" s="15">
        <f>('Bloom Cleaner Data'!AC10+'Bloom Cleaner Data'!FH10)/'Bloom Cleaner Data'!HE10</f>
        <v>2.4443402800210596</v>
      </c>
      <c r="LS10" s="15">
        <f>('Bloom Cleaner Data'!AD10+'Bloom Cleaner Data'!FI10)/'Bloom Cleaner Data'!HF10</f>
        <v>2.2092141464360644</v>
      </c>
      <c r="LT10" s="15">
        <f>('Bloom Cleaner Data'!AE10+'Bloom Cleaner Data'!FJ10)/'Bloom Cleaner Data'!HG10</f>
        <v>2.2418556776994127</v>
      </c>
      <c r="LU10" s="15">
        <f>('Bloom Cleaner Data'!AF10+'Bloom Cleaner Data'!FK10)/'Bloom Cleaner Data'!HH10</f>
        <v>2.2721660595671738</v>
      </c>
      <c r="LV10" s="15">
        <f>('Bloom Cleaner Data'!AG10+'Bloom Cleaner Data'!FL10)/'Bloom Cleaner Data'!HI10</f>
        <v>2.2833445301748543</v>
      </c>
      <c r="LW10" s="15">
        <f>('Bloom Cleaner Data'!AH10+'Bloom Cleaner Data'!FM10)/'Bloom Cleaner Data'!HJ10</f>
        <v>2.2609512685116067</v>
      </c>
      <c r="LX10" s="15">
        <f t="shared" si="89"/>
        <v>4.1486227456617897E-2</v>
      </c>
      <c r="LY10" s="15">
        <f t="shared" si="90"/>
        <v>2.2721539527512111</v>
      </c>
      <c r="LZ10" s="15">
        <f t="shared" si="27"/>
        <v>5.166051386654269E-2</v>
      </c>
      <c r="MA10" s="15">
        <f t="shared" si="91"/>
        <v>2.264579383988262</v>
      </c>
      <c r="MB10" s="15">
        <f t="shared" si="92"/>
        <v>2.3749041445172967</v>
      </c>
      <c r="MC10" s="18">
        <f t="shared" si="93"/>
        <v>-0.30323574355059374</v>
      </c>
      <c r="MD10" s="15">
        <f t="shared" si="28"/>
        <v>9.1448242199717811E-2</v>
      </c>
      <c r="ME10" s="18"/>
      <c r="MF10" s="2024" t="s">
        <v>39</v>
      </c>
      <c r="MG10" s="15">
        <f>JT10+'Bloom Cleaner Data'!EY10/CALCULATIONS!DD10</f>
        <v>3.5185786924523885</v>
      </c>
      <c r="MH10" s="15">
        <f>JU10+'Bloom Cleaner Data'!EZ10/CALCULATIONS!DE10</f>
        <v>3.6415865148377669</v>
      </c>
      <c r="MI10" s="15">
        <f>JV10+'Bloom Cleaner Data'!FA10/CALCULATIONS!DF10</f>
        <v>3.5311752593784753</v>
      </c>
      <c r="MJ10" s="15">
        <f>JW10+'Bloom Cleaner Data'!FB10/CALCULATIONS!DG10</f>
        <v>3.3966266889339947</v>
      </c>
      <c r="MK10" s="15">
        <f>JX10+'Bloom Cleaner Data'!FC10/CALCULATIONS!DH10</f>
        <v>2.5842221240629857</v>
      </c>
      <c r="ML10" s="15">
        <f>JY10+'Bloom Cleaner Data'!FD10/CALCULATIONS!DI10</f>
        <v>2.4598512924038749</v>
      </c>
      <c r="MM10" s="15">
        <f>JZ10+'Bloom Cleaner Data'!FE10/CALCULATIONS!DJ10</f>
        <v>2.6246439111093736</v>
      </c>
      <c r="MN10" s="15">
        <f>KA10+'Bloom Cleaner Data'!FF10/CALCULATIONS!DK10</f>
        <v>2.6409991277729157</v>
      </c>
      <c r="MO10" s="15">
        <f>KB10+'Bloom Cleaner Data'!FG10/CALCULATIONS!DL10</f>
        <v>2.5064392664239827</v>
      </c>
      <c r="MP10" s="15">
        <f>KC10+'Bloom Cleaner Data'!FH10/CALCULATIONS!DM10</f>
        <v>2.7972164098524939</v>
      </c>
      <c r="MQ10" s="15">
        <f>KD10+'Bloom Cleaner Data'!FI10/CALCULATIONS!DN10</f>
        <v>2.5789143029964423</v>
      </c>
      <c r="MR10" s="15">
        <f>KE10+'Bloom Cleaner Data'!FJ10/CALCULATIONS!DO10</f>
        <v>2.6081690522086469</v>
      </c>
      <c r="MS10" s="15">
        <f>KF10+'Bloom Cleaner Data'!FK10/CALCULATIONS!DP10</f>
        <v>2.6367089932821313</v>
      </c>
      <c r="MT10" s="15">
        <f>KG10+'Bloom Cleaner Data'!FL10/CALCULATIONS!DQ10</f>
        <v>2.6499385337384713</v>
      </c>
      <c r="MU10" s="15">
        <f>KH10+'Bloom Cleaner Data'!FM10/CALCULATIONS!DR10</f>
        <v>2.6312459451226378</v>
      </c>
      <c r="MV10" s="15">
        <f t="shared" si="29"/>
        <v>3.7852706599650343E-2</v>
      </c>
      <c r="MW10" s="15">
        <f t="shared" si="94"/>
        <v>2.6392978240477469</v>
      </c>
      <c r="MX10" s="15">
        <f t="shared" si="30"/>
        <v>4.7173620831136631E-2</v>
      </c>
      <c r="MY10" s="15">
        <f t="shared" si="95"/>
        <v>2.6315156310879719</v>
      </c>
      <c r="MZ10" s="15">
        <f t="shared" si="96"/>
        <v>2.7420116082528021</v>
      </c>
      <c r="NA10" s="18">
        <f t="shared" si="97"/>
        <v>-0.25485263351506227</v>
      </c>
      <c r="NB10" s="15">
        <f t="shared" si="31"/>
        <v>8.3230124203543365E-2</v>
      </c>
      <c r="NC10" s="15"/>
      <c r="ND10" s="13">
        <f>'Bloom Cleaner Data'!GF10+('Bloom Cleaner Data'!T10+'Bloom Cleaner Data'!EY10)+'Bloom Cleaner Data'!CK10</f>
        <v>61476</v>
      </c>
      <c r="NE10" s="13">
        <f>'Bloom Cleaner Data'!GG10+('Bloom Cleaner Data'!U10+'Bloom Cleaner Data'!EZ10)+'Bloom Cleaner Data'!CL10</f>
        <v>61598</v>
      </c>
      <c r="NF10" s="13">
        <f>'Bloom Cleaner Data'!GH10+('Bloom Cleaner Data'!V10+'Bloom Cleaner Data'!FA10)+'Bloom Cleaner Data'!CM10</f>
        <v>62429</v>
      </c>
      <c r="NG10" s="13">
        <f>'Bloom Cleaner Data'!GI10+('Bloom Cleaner Data'!W10+'Bloom Cleaner Data'!FB10)+'Bloom Cleaner Data'!CN10</f>
        <v>60529</v>
      </c>
      <c r="NH10" s="13">
        <f>'Bloom Cleaner Data'!GJ10+('Bloom Cleaner Data'!X10+'Bloom Cleaner Data'!FC10)+'Bloom Cleaner Data'!CO10</f>
        <v>44499</v>
      </c>
      <c r="NI10" s="13">
        <f>'Bloom Cleaner Data'!GK10+('Bloom Cleaner Data'!Y10+'Bloom Cleaner Data'!FD10)+'Bloom Cleaner Data'!CP10</f>
        <v>44542</v>
      </c>
      <c r="NJ10" s="13">
        <f>'Bloom Cleaner Data'!GL10+('Bloom Cleaner Data'!Z10+'Bloom Cleaner Data'!FE10)+'Bloom Cleaner Data'!CQ10</f>
        <v>42972</v>
      </c>
      <c r="NK10" s="13">
        <f>'Bloom Cleaner Data'!GM10+('Bloom Cleaner Data'!AA10+'Bloom Cleaner Data'!FF10)+'Bloom Cleaner Data'!CR10</f>
        <v>43017</v>
      </c>
      <c r="NL10" s="13">
        <f>'Bloom Cleaner Data'!GN10+('Bloom Cleaner Data'!AB10+'Bloom Cleaner Data'!FG10)+'Bloom Cleaner Data'!CS10</f>
        <v>45464</v>
      </c>
      <c r="NM10" s="13">
        <f>'Bloom Cleaner Data'!GO10+('Bloom Cleaner Data'!AC10+'Bloom Cleaner Data'!FH10)+'Bloom Cleaner Data'!CT10</f>
        <v>47229</v>
      </c>
      <c r="NN10" s="13">
        <f>'Bloom Cleaner Data'!GP10+('Bloom Cleaner Data'!AD10+'Bloom Cleaner Data'!FI10)+'Bloom Cleaner Data'!CU10</f>
        <v>45240</v>
      </c>
      <c r="NO10" s="13">
        <f>'Bloom Cleaner Data'!GQ10+('Bloom Cleaner Data'!AE10+'Bloom Cleaner Data'!FJ10)+'Bloom Cleaner Data'!CV10</f>
        <v>45372</v>
      </c>
      <c r="NP10" s="13">
        <f>'Bloom Cleaner Data'!GR10+('Bloom Cleaner Data'!AF10+'Bloom Cleaner Data'!FK10)+'Bloom Cleaner Data'!CW10</f>
        <v>45457</v>
      </c>
      <c r="NQ10" s="13">
        <f>'Bloom Cleaner Data'!GS10+('Bloom Cleaner Data'!AG10+'Bloom Cleaner Data'!FL10)+'Bloom Cleaner Data'!CX10</f>
        <v>44339</v>
      </c>
      <c r="NR10" s="13">
        <f>'Bloom Cleaner Data'!GT10+('Bloom Cleaner Data'!AH10+'Bloom Cleaner Data'!FM10)+'Bloom Cleaner Data'!CY10</f>
        <v>44790</v>
      </c>
      <c r="NS10" s="168"/>
      <c r="NT10" s="2024" t="s">
        <v>39</v>
      </c>
      <c r="NU10" s="998">
        <f>('Bloom Cleaner Data'!T10+'Bloom Cleaner Data'!EY10+'OPERATING LEASES'!BL10)/CALCULATIONS!ND10</f>
        <v>0.58002426033852927</v>
      </c>
      <c r="NV10" s="998">
        <f>('Bloom Cleaner Data'!U10+'Bloom Cleaner Data'!EZ10+'OPERATING LEASES'!BM10)/CALCULATIONS!NE10</f>
        <v>0.57514586222651021</v>
      </c>
      <c r="NW10" s="998">
        <f>('Bloom Cleaner Data'!V10+'Bloom Cleaner Data'!FA10+'OPERATING LEASES'!BN10)/CALCULATIONS!NF10</f>
        <v>0.55330212263989043</v>
      </c>
      <c r="NX10" s="998">
        <f>('Bloom Cleaner Data'!W10+'Bloom Cleaner Data'!FB10+'OPERATING LEASES'!BO10)/CALCULATIONS!NG10</f>
        <v>0.54425748991628564</v>
      </c>
      <c r="NY10" s="998">
        <f>('Bloom Cleaner Data'!X10+'Bloom Cleaner Data'!FC10+'OPERATING LEASES'!BP10)/CALCULATIONS!NH10</f>
        <v>0.55553214678981555</v>
      </c>
      <c r="NZ10" s="998">
        <f>('Bloom Cleaner Data'!Y10+'Bloom Cleaner Data'!FD10+'OPERATING LEASES'!BQ10)/CALCULATIONS!NI10</f>
        <v>0.52409313120201162</v>
      </c>
      <c r="OA10" s="998">
        <f>('Bloom Cleaner Data'!Z10+'Bloom Cleaner Data'!FE10+'OPERATING LEASES'!BR10)/CALCULATIONS!NJ10</f>
        <v>0.54537111374848735</v>
      </c>
      <c r="OB10" s="998">
        <f>('Bloom Cleaner Data'!AA10+'Bloom Cleaner Data'!FF10+'OPERATING LEASES'!BS10)/CALCULATIONS!NK10</f>
        <v>0.55167070576748722</v>
      </c>
      <c r="OC10" s="998">
        <f>('Bloom Cleaner Data'!AB10+'Bloom Cleaner Data'!FG10+'OPERATING LEASES'!BT10)/CALCULATIONS!NL10</f>
        <v>0.53393344184409641</v>
      </c>
      <c r="OD10" s="998">
        <f>('Bloom Cleaner Data'!AC10+'Bloom Cleaner Data'!FH10+'OPERATING LEASES'!BU10)/CALCULATIONS!NM10</f>
        <v>0.58532628258061781</v>
      </c>
      <c r="OE10" s="998">
        <f>('Bloom Cleaner Data'!AD10+'Bloom Cleaner Data'!FI10+'OPERATING LEASES'!BV10)/CALCULATIONS!NN10</f>
        <v>0.5525641025641026</v>
      </c>
      <c r="OF10" s="998">
        <f>('Bloom Cleaner Data'!AE10+'Bloom Cleaner Data'!FJ10+'OPERATING LEASES'!BW10)/CALCULATIONS!NO10</f>
        <v>0.55182987304945785</v>
      </c>
      <c r="OG10" s="998">
        <f>('Bloom Cleaner Data'!AF10+'Bloom Cleaner Data'!FK10+'OPERATING LEASES'!BX10)/CALCULATIONS!NP10</f>
        <v>0.54867787139494473</v>
      </c>
      <c r="OH10" s="998">
        <f>('Bloom Cleaner Data'!AG10+'Bloom Cleaner Data'!FL10+'OPERATING LEASES'!BY10)/CALCULATIONS!NQ10</f>
        <v>0.56027988903673964</v>
      </c>
      <c r="OI10" s="998">
        <f>('Bloom Cleaner Data'!AH10+'Bloom Cleaner Data'!FM10+'OPERATING LEASES'!BZ10)/CALCULATIONS!NR10</f>
        <v>0.54669010939941953</v>
      </c>
      <c r="OJ10" s="18">
        <f t="shared" si="98"/>
        <v>0.55188262327703475</v>
      </c>
      <c r="OK10" s="18">
        <f t="shared" si="99"/>
        <v>0.55186943572014047</v>
      </c>
      <c r="OL10" s="18">
        <f t="shared" si="100"/>
        <v>0.55027140614871961</v>
      </c>
      <c r="OM10" s="10">
        <f t="shared" si="101"/>
        <v>-1.1950095562482121E-2</v>
      </c>
      <c r="ON10" s="10"/>
      <c r="OO10" s="2710">
        <v>1</v>
      </c>
      <c r="OP10" s="526">
        <f>'Bloom Cleaner Data'!D10/'Bloom Cleaner Data'!GF10</f>
        <v>1.7886600376689563</v>
      </c>
      <c r="OQ10" s="526">
        <f>'Bloom Cleaner Data'!E10/'Bloom Cleaner Data'!GG10</f>
        <v>1.7651329243353784</v>
      </c>
      <c r="OR10" s="526">
        <f>'Bloom Cleaner Data'!F10/'Bloom Cleaner Data'!GH10</f>
        <v>1.4972870865599723</v>
      </c>
      <c r="OS10" s="526">
        <f>'Bloom Cleaner Data'!G10/'Bloom Cleaner Data'!GI10</f>
        <v>1.5802180576842693</v>
      </c>
      <c r="OT10" s="526">
        <f>'Bloom Cleaner Data'!H10/'Bloom Cleaner Data'!GJ10</f>
        <v>1.8974798801246704</v>
      </c>
      <c r="OU10" s="526">
        <f>'Bloom Cleaner Data'!I10/'Bloom Cleaner Data'!GK10</f>
        <v>1.5804257038933045</v>
      </c>
      <c r="OV10" s="526">
        <f>'Bloom Cleaner Data'!J10/'Bloom Cleaner Data'!GL10</f>
        <v>1.8796961460052422</v>
      </c>
      <c r="OW10" s="526">
        <f>'Bloom Cleaner Data'!K10/'Bloom Cleaner Data'!GM10</f>
        <v>1.846173695075199</v>
      </c>
      <c r="OX10" s="526">
        <f>'Bloom Cleaner Data'!L10/'Bloom Cleaner Data'!GN10</f>
        <v>1.6909778097464483</v>
      </c>
      <c r="OY10" s="526">
        <f>'Bloom Cleaner Data'!M10/'Bloom Cleaner Data'!GO10</f>
        <v>1.6232</v>
      </c>
      <c r="OZ10" s="526">
        <f>'Bloom Cleaner Data'!N10/'Bloom Cleaner Data'!GP10</f>
        <v>1.5826593943953358</v>
      </c>
      <c r="PA10" s="526">
        <f>'Bloom Cleaner Data'!O10/'Bloom Cleaner Data'!GQ10</f>
        <v>1.6333036634498266</v>
      </c>
      <c r="PB10" s="526">
        <f>'Bloom Cleaner Data'!P10/'Bloom Cleaner Data'!GR10</f>
        <v>1.5354901687351834</v>
      </c>
      <c r="PC10" s="526">
        <f>'Bloom Cleaner Data'!Q10/'Bloom Cleaner Data'!GS10</f>
        <v>1.7990265443544453</v>
      </c>
      <c r="PD10" s="526">
        <f>'Bloom Cleaner Data'!R10/'Bloom Cleaner Data'!GT10</f>
        <v>1.7703056194544857</v>
      </c>
      <c r="PE10" s="526">
        <f t="shared" si="102"/>
        <v>1.6858649053444912</v>
      </c>
      <c r="PF10" s="10">
        <f t="shared" si="103"/>
        <v>0.18234214089281661</v>
      </c>
      <c r="PG10" s="526">
        <f t="shared" si="104"/>
        <v>1.7281519740688145</v>
      </c>
      <c r="PH10" s="18"/>
      <c r="PI10" s="2710">
        <v>1</v>
      </c>
      <c r="PJ10" s="526">
        <f>CALCULATIONS!DD10/'Bloom Cleaner Data'!GF10</f>
        <v>0.43609600317320624</v>
      </c>
      <c r="PK10" s="526">
        <f>CALCULATIONS!DE10/'Bloom Cleaner Data'!GG10</f>
        <v>0.41439680335448786</v>
      </c>
      <c r="PL10" s="526">
        <f>CALCULATIONS!DF10/'Bloom Cleaner Data'!GH10</f>
        <v>0.39418570659112145</v>
      </c>
      <c r="PM10" s="526">
        <f>CALCULATIONS!DG10/'Bloom Cleaner Data'!GI10</f>
        <v>0.39840296249309154</v>
      </c>
      <c r="PN10" s="526">
        <f>CALCULATIONS!DH10/'Bloom Cleaner Data'!GJ10</f>
        <v>0.56833926931426948</v>
      </c>
      <c r="PO10" s="526">
        <f>CALCULATIONS!DI10/'Bloom Cleaner Data'!GK10</f>
        <v>0.53348671198712661</v>
      </c>
      <c r="PP10" s="526">
        <f>CALCULATIONS!DJ10/'Bloom Cleaner Data'!GL10</f>
        <v>0.5415849771685648</v>
      </c>
      <c r="PQ10" s="526">
        <f>CALCULATIONS!DK10/'Bloom Cleaner Data'!GM10</f>
        <v>0.54994453063993998</v>
      </c>
      <c r="PR10" s="526">
        <f>CALCULATIONS!DL10/'Bloom Cleaner Data'!GN10</f>
        <v>0.53923518669765791</v>
      </c>
      <c r="PS10" s="526">
        <f>CALCULATIONS!DM10/'Bloom Cleaner Data'!GO10</f>
        <v>0.57814755582082944</v>
      </c>
      <c r="PT10" s="526">
        <f>CALCULATIONS!DN10/'Bloom Cleaner Data'!GP10</f>
        <v>0.55844072313155513</v>
      </c>
      <c r="PU10" s="526">
        <f>CALCULATIONS!DO10/'Bloom Cleaner Data'!GQ10</f>
        <v>0.54945374248409085</v>
      </c>
      <c r="PV10" s="526">
        <f>CALCULATIONS!DP10/'Bloom Cleaner Data'!GR10</f>
        <v>0.53619728438360048</v>
      </c>
      <c r="PW10" s="526">
        <f>CALCULATIONS!DQ10/'Bloom Cleaner Data'!GS10</f>
        <v>0.55822506507986658</v>
      </c>
      <c r="PX10" s="526">
        <f>CALCULATIONS!DR10/'Bloom Cleaner Data'!GT10</f>
        <v>0.5345401599616556</v>
      </c>
      <c r="PY10" s="526">
        <f t="shared" si="105"/>
        <v>0.5261679904425669</v>
      </c>
      <c r="PZ10" s="526">
        <f t="shared" si="106"/>
        <v>0.54952991392975126</v>
      </c>
      <c r="QA10" s="18"/>
      <c r="QC10" s="15">
        <f>'Bloom Cleaner Data'!HZ10</f>
        <v>6.0989000000000004</v>
      </c>
      <c r="QD10" s="15">
        <f>AVERAGE('Bloom Cleaner Data'!HN10:HZ10)</f>
        <v>6.2045538461538463</v>
      </c>
      <c r="QE10" s="504">
        <f>('Bloom Cleaner Data'!HZ10-'Bloom Cleaner Data'!HN10)/'Bloom Cleaner Data'!HN10</f>
        <v>-1.1791487201321968E-3</v>
      </c>
      <c r="QF10" s="15">
        <f>'Bloom Cleaner Data'!HZ10-'Bloom Cleaner Data'!HL10</f>
        <v>0.24960000000000004</v>
      </c>
    </row>
    <row r="11" spans="1:450">
      <c r="A11" s="12" t="s">
        <v>219</v>
      </c>
      <c r="B11" s="83" t="s">
        <v>53</v>
      </c>
      <c r="C11" s="1207" t="s">
        <v>1104</v>
      </c>
      <c r="E11" s="13">
        <f>'Bloom Cleaner Data'!D11</f>
        <v>88965.659</v>
      </c>
      <c r="G11" s="13">
        <f>'Bloom Cleaner Data'!F11</f>
        <v>69623.667400000006</v>
      </c>
      <c r="H11" s="13">
        <f>'Bloom Cleaner Data'!H11</f>
        <v>76491.648499999996</v>
      </c>
      <c r="I11" s="13">
        <f>'Bloom Cleaner Data'!J11</f>
        <v>76948.972599999994</v>
      </c>
      <c r="J11" s="13">
        <f>'Bloom Cleaner Data'!L11</f>
        <v>59961.950599999996</v>
      </c>
      <c r="K11" s="13">
        <f>'Bloom Cleaner Data'!N11</f>
        <v>46913.88</v>
      </c>
      <c r="L11" s="13">
        <f>'Bloom Cleaner Data'!P11</f>
        <v>45887.371299999999</v>
      </c>
      <c r="M11" s="13">
        <f>'Bloom Cleaner Data'!R11</f>
        <v>44430.485000000001</v>
      </c>
      <c r="N11" s="13">
        <f t="shared" si="0"/>
        <v>60036.853628571422</v>
      </c>
      <c r="O11" s="13">
        <f t="shared" si="32"/>
        <v>45743.912099999994</v>
      </c>
      <c r="P11" s="10">
        <f t="shared" si="1"/>
        <v>-0.3618479655094986</v>
      </c>
      <c r="Q11" s="146">
        <f t="shared" ref="Q11:Q16" si="107">P11</f>
        <v>-0.3618479655094986</v>
      </c>
      <c r="R11" s="10">
        <f t="shared" si="33"/>
        <v>-0.26007238660385967</v>
      </c>
      <c r="S11" s="1363" t="s">
        <v>53</v>
      </c>
      <c r="T11" s="1322">
        <f>'Bloom Cleaner Data'!D11/'Bloom Cleaner Data'!$F11</f>
        <v>1.2778077099684639</v>
      </c>
      <c r="U11" s="1322">
        <f>'Bloom Cleaner Data'!E11/'Bloom Cleaner Data'!$F11</f>
        <v>1.1497884669028509</v>
      </c>
      <c r="V11" s="1322">
        <f>'Bloom Cleaner Data'!F11/'Bloom Cleaner Data'!$F11</f>
        <v>1</v>
      </c>
      <c r="W11" s="1322">
        <f>'Bloom Cleaner Data'!G11/'Bloom Cleaner Data'!$F11</f>
        <v>1.1907586945068049</v>
      </c>
      <c r="X11" s="1322">
        <f>'Bloom Cleaner Data'!H11/'Bloom Cleaner Data'!$F11</f>
        <v>1.0986443454715227</v>
      </c>
      <c r="Y11" s="1322">
        <f>'Bloom Cleaner Data'!I11/'Bloom Cleaner Data'!$F11</f>
        <v>1.1579825124236416</v>
      </c>
      <c r="Z11" s="1322">
        <f>'Bloom Cleaner Data'!J11/'Bloom Cleaner Data'!$F11</f>
        <v>1.1052128604187832</v>
      </c>
      <c r="AA11" s="1322">
        <f>'Bloom Cleaner Data'!K11/'Bloom Cleaner Data'!$F11</f>
        <v>0.94559285309926089</v>
      </c>
      <c r="AB11" s="1322">
        <f>'Bloom Cleaner Data'!L11/'Bloom Cleaner Data'!$F11</f>
        <v>0.86122941866173497</v>
      </c>
      <c r="AC11" s="1322">
        <f>'Bloom Cleaner Data'!M11/'Bloom Cleaner Data'!$F11</f>
        <v>0.78925467519971515</v>
      </c>
      <c r="AD11" s="1322">
        <f>'Bloom Cleaner Data'!N11/'Bloom Cleaner Data'!$F11</f>
        <v>0.67382086798834717</v>
      </c>
      <c r="AE11" s="1322">
        <f>'Bloom Cleaner Data'!O11/'Bloom Cleaner Data'!$F11</f>
        <v>0.67816917383470088</v>
      </c>
      <c r="AF11" s="1322">
        <f>'Bloom Cleaner Data'!P11/'Bloom Cleaner Data'!$F11</f>
        <v>0.65907719333957404</v>
      </c>
      <c r="AG11" s="1322">
        <f>'Bloom Cleaner Data'!Q11/'Bloom Cleaner Data'!$F11</f>
        <v>0.68568993393760813</v>
      </c>
      <c r="AH11" s="1322">
        <f>'Bloom Cleaner Data'!R11/'Bloom Cleaner Data'!$F11</f>
        <v>0.6381520344905014</v>
      </c>
      <c r="AI11" s="13"/>
      <c r="AJ11" s="13">
        <f>AVERAGE('Bloom Cleaner Data'!BW11:CI11)</f>
        <v>123794.21271538464</v>
      </c>
      <c r="AK11" s="18">
        <f>('Bloom Cleaner Data'!CI11-'Bloom Cleaner Data'!BW11)/'Bloom Cleaner Data'!BW11</f>
        <v>-0.17007287310790103</v>
      </c>
      <c r="AL11" s="18">
        <f>('Bloom Cleaner Data'!CI11+'Bloom Cleaner Data'!CH11-'Bloom Cleaner Data'!BW11-'Bloom Cleaner Data'!BV11)/('Bloom Cleaner Data'!BW11+'Bloom Cleaner Data'!BV11)</f>
        <v>-0.16413843679188345</v>
      </c>
      <c r="AM11" s="13"/>
      <c r="AN11" s="13">
        <f>'Bloom Cleaner Data'!BW11</f>
        <v>125135.6675</v>
      </c>
      <c r="AO11" s="13">
        <f>'Bloom Cleaner Data'!BY11</f>
        <v>139029.64850000001</v>
      </c>
      <c r="AP11" s="13">
        <f>'Bloom Cleaner Data'!CA11</f>
        <v>137325.4656</v>
      </c>
      <c r="AQ11" s="13">
        <f>'Bloom Cleaner Data'!CC11</f>
        <v>125259.9506</v>
      </c>
      <c r="AR11" s="13">
        <f>'Bloom Cleaner Data'!CE11</f>
        <v>114297.88</v>
      </c>
      <c r="AS11" s="13">
        <f>'Bloom Cleaner Data'!CG11</f>
        <v>108221.3713</v>
      </c>
      <c r="AT11" s="13">
        <f>'Bloom Cleaner Data'!CI11</f>
        <v>103853.485</v>
      </c>
      <c r="AU11" s="13">
        <f t="shared" si="2"/>
        <v>121874.78121428571</v>
      </c>
      <c r="AV11" s="10">
        <f t="shared" si="3"/>
        <v>-0.17007287310790103</v>
      </c>
      <c r="AW11" s="10"/>
      <c r="AX11" s="13">
        <f>'Bloom Cleaner Data'!T11+'OPERATING LEASES'!AU11</f>
        <v>51082.306077609523</v>
      </c>
      <c r="AY11" s="13">
        <f>'Bloom Cleaner Data'!U11+'OPERATING LEASES'!AV11</f>
        <v>54186.677715310529</v>
      </c>
      <c r="AZ11" s="13">
        <f>'Bloom Cleaner Data'!V11+'OPERATING LEASES'!AW11</f>
        <v>59138.049353011535</v>
      </c>
      <c r="BA11" s="13">
        <f>'Bloom Cleaner Data'!W11+'OPERATING LEASES'!AX11</f>
        <v>61208.420990712533</v>
      </c>
      <c r="BB11" s="13">
        <f>'Bloom Cleaner Data'!X11+'OPERATING LEASES'!AY11</f>
        <v>62477.792628413539</v>
      </c>
      <c r="BC11" s="13">
        <f>'Bloom Cleaner Data'!Y11+'OPERATING LEASES'!AZ11</f>
        <v>60513.133165523548</v>
      </c>
      <c r="BD11" s="13">
        <f>'Bloom Cleaner Data'!Z11+'OPERATING LEASES'!BA11</f>
        <v>62137.128702633556</v>
      </c>
      <c r="BE11" s="13">
        <f>'Bloom Cleaner Data'!AA11+'OPERATING LEASES'!BB11</f>
        <v>63208.814239743566</v>
      </c>
      <c r="BF11" s="13">
        <f>'Bloom Cleaner Data'!AB11+'OPERATING LEASES'!BC11</f>
        <v>67348.154776853582</v>
      </c>
      <c r="BG11" s="13">
        <f>'Bloom Cleaner Data'!AC11+'OPERATING LEASES'!BD11</f>
        <v>67406.584577906309</v>
      </c>
      <c r="BH11" s="13">
        <f>'Bloom Cleaner Data'!AD11+'OPERATING LEASES'!BE11</f>
        <v>70064.014378959037</v>
      </c>
      <c r="BI11" s="13">
        <f>'Bloom Cleaner Data'!AE11+'OPERATING LEASES'!BF11</f>
        <v>67545.444180011764</v>
      </c>
      <c r="BJ11" s="13">
        <f>'Bloom Cleaner Data'!AF11+'OPERATING LEASES'!BG11</f>
        <v>63348.873981064498</v>
      </c>
      <c r="BK11" s="13">
        <f>'Bloom Cleaner Data'!AG11+'OPERATING LEASES'!BH11</f>
        <v>63573.873981064498</v>
      </c>
      <c r="BL11" s="13">
        <f>'Bloom Cleaner Data'!AH11+'OPERATING LEASES'!BI11</f>
        <v>61179.873981064498</v>
      </c>
      <c r="BM11" s="1167">
        <f t="shared" si="34"/>
        <v>63780.78145668943</v>
      </c>
      <c r="BN11" s="10">
        <f t="shared" si="35"/>
        <v>3.4526411513249991E-2</v>
      </c>
      <c r="BO11" s="10"/>
      <c r="BP11" s="13">
        <f>'Bloom Cleaner Data'!BU11+'OPERATING LEASES'!AU11</f>
        <v>142587.96507760955</v>
      </c>
      <c r="BQ11" s="13">
        <f>'Bloom Cleaner Data'!BV11+'OPERATING LEASES'!AV11</f>
        <v>136920.16751531055</v>
      </c>
      <c r="BR11" s="13">
        <f>'Bloom Cleaner Data'!BW11+'OPERATING LEASES'!AW11</f>
        <v>131376.71685301152</v>
      </c>
      <c r="BS11" s="13">
        <f>'Bloom Cleaner Data'!BX11+'OPERATING LEASES'!AX11</f>
        <v>153526.40829071254</v>
      </c>
      <c r="BT11" s="13">
        <f>'Bloom Cleaner Data'!BY11+'OPERATING LEASES'!AY11</f>
        <v>146201.44112841354</v>
      </c>
      <c r="BU11" s="13">
        <f>'Bloom Cleaner Data'!BZ11+'OPERATING LEASES'!AZ11</f>
        <v>147418.12246552354</v>
      </c>
      <c r="BV11" s="13">
        <f>'Bloom Cleaner Data'!CA11+'OPERATING LEASES'!BA11</f>
        <v>144809.93930263355</v>
      </c>
      <c r="BW11" s="13">
        <f>'Bloom Cleaner Data'!CB11+'OPERATING LEASES'!BB11</f>
        <v>134271.45653974358</v>
      </c>
      <c r="BX11" s="13">
        <f>'Bloom Cleaner Data'!CC11+'OPERATING LEASES'!BC11</f>
        <v>133057.10537685358</v>
      </c>
      <c r="BY11" s="13">
        <f>'Bloom Cleaner Data'!CD11+'OPERATING LEASES'!BD11</f>
        <v>128245.3895779063</v>
      </c>
      <c r="BZ11" s="13">
        <f>'Bloom Cleaner Data'!CE11+'OPERATING LEASES'!BE11</f>
        <v>122303.89437895904</v>
      </c>
      <c r="CA11" s="13">
        <f>'Bloom Cleaner Data'!CF11+'OPERATING LEASES'!BF11</f>
        <v>120066.06918001176</v>
      </c>
      <c r="CB11" s="13">
        <f>'Bloom Cleaner Data'!CG11+'OPERATING LEASES'!BG11</f>
        <v>116436.2452810645</v>
      </c>
      <c r="CC11" s="13">
        <f>'Bloom Cleaner Data'!CH11+'OPERATING LEASES'!BH11</f>
        <v>118576.12188106449</v>
      </c>
      <c r="CD11" s="13">
        <f>'Bloom Cleaner Data'!CI11+'OPERATING LEASES'!BI11</f>
        <v>112068.35898106449</v>
      </c>
      <c r="CE11" s="1167">
        <f t="shared" si="36"/>
        <v>131412.09763361249</v>
      </c>
      <c r="CF11" s="10">
        <f t="shared" si="37"/>
        <v>-0.14696940473516198</v>
      </c>
      <c r="CG11" s="18">
        <f t="shared" si="4"/>
        <v>6.1536680521101055E-2</v>
      </c>
      <c r="CH11" s="13"/>
      <c r="CI11" s="18">
        <f>$CI$1*BP11/('Bloom Cleaner Data'!D11+'Bloom Cleaner Data'!T11+'OPERATING LEASES'!AU11)+(1-$CI$1)*'Bloom Cleaner Data'!BU11/('Bloom Cleaner Data'!D11+'Bloom Cleaner Data'!T11)-1</f>
        <v>1.8136643389230711E-2</v>
      </c>
      <c r="CJ11" s="18">
        <f>$CI$1*BQ11/('Bloom Cleaner Data'!E11+'Bloom Cleaner Data'!U11+'OPERATING LEASES'!AV11)+(1-$CI$1)*'Bloom Cleaner Data'!BV11/('Bloom Cleaner Data'!E11+'Bloom Cleaner Data'!U11)-1</f>
        <v>1.9971816345585314E-2</v>
      </c>
      <c r="CK11" s="18">
        <f>$CI$1*BR11/('Bloom Cleaner Data'!F11+'Bloom Cleaner Data'!V11+'OPERATING LEASES'!AW11)+(1-$CI$1)*'Bloom Cleaner Data'!BW11/('Bloom Cleaner Data'!F11+'Bloom Cleaner Data'!V11)-1</f>
        <v>2.0308832205274463E-2</v>
      </c>
      <c r="CL11" s="18">
        <f>$CI$1*BS11/('Bloom Cleaner Data'!G11+'Bloom Cleaner Data'!W11+'OPERATING LEASES'!AX11)+(1-$CI$1)*'Bloom Cleaner Data'!BX11/('Bloom Cleaner Data'!G11+'Bloom Cleaner Data'!W11)-1</f>
        <v>6.531661496070984E-2</v>
      </c>
      <c r="CM11" s="18">
        <f>$CI$1*BT11/('Bloom Cleaner Data'!H11+'Bloom Cleaner Data'!X11+'OPERATING LEASES'!AY11)+(1-$CI$1)*'Bloom Cleaner Data'!BY11/('Bloom Cleaner Data'!H11+'Bloom Cleaner Data'!X11)-1</f>
        <v>5.2040217916090814E-2</v>
      </c>
      <c r="CN11" s="18">
        <f>$CI$1*BU11/('Bloom Cleaner Data'!I11+'Bloom Cleaner Data'!Y11+'OPERATING LEASES'!AZ11)+(1-$CI$1)*'Bloom Cleaner Data'!BZ11/('Bloom Cleaner Data'!I11+'Bloom Cleaner Data'!Y11)-1</f>
        <v>4.4510220985662485E-2</v>
      </c>
      <c r="CO11" s="18">
        <f>$CI$1*BV11/('Bloom Cleaner Data'!J11+'Bloom Cleaner Data'!Z11+'OPERATING LEASES'!BA11)+(1-$CI$1)*'Bloom Cleaner Data'!CA11/('Bloom Cleaner Data'!J11+'Bloom Cleaner Data'!Z11)-1</f>
        <v>4.1153198963753024E-2</v>
      </c>
      <c r="CP11" s="18">
        <f>$CI$1*BW11/('Bloom Cleaner Data'!K11+'Bloom Cleaner Data'!AA11+'OPERATING LEASES'!BB11)+(1-$CI$1)*'Bloom Cleaner Data'!CB11/('Bloom Cleaner Data'!K11+'Bloom Cleaner Data'!AA11)-1</f>
        <v>4.0505420691125726E-2</v>
      </c>
      <c r="CQ11" s="18">
        <f>$CI$1*BX11/('Bloom Cleaner Data'!L11+'Bloom Cleaner Data'!AB11+'OPERATING LEASES'!BC11)+(1-$CI$1)*'Bloom Cleaner Data'!CC11/('Bloom Cleaner Data'!L11+'Bloom Cleaner Data'!AB11)-1</f>
        <v>4.5141742542653462E-2</v>
      </c>
      <c r="CR11" s="18">
        <f>$CI$1*BY11/('Bloom Cleaner Data'!M11+'Bloom Cleaner Data'!AC11+'OPERATING LEASES'!BD11)+(1-$CI$1)*'Bloom Cleaner Data'!CD11/('Bloom Cleaner Data'!M11+'Bloom Cleaner Data'!AC11)-1</f>
        <v>4.8121327369860634E-2</v>
      </c>
      <c r="CS11" s="18">
        <f>$CI$1*BZ11/('Bloom Cleaner Data'!N11+'Bloom Cleaner Data'!AD11+'OPERATING LEASES'!BE11)+(1-$CI$1)*'Bloom Cleaner Data'!CE11/('Bloom Cleaner Data'!N11+'Bloom Cleaner Data'!AD11)-1</f>
        <v>4.5529969814177118E-2</v>
      </c>
      <c r="CT11" s="18">
        <f>$CI$1*CA11/('Bloom Cleaner Data'!O11+'Bloom Cleaner Data'!AE11+'OPERATING LEASES'!BF11)+(1-$CI$1)*'Bloom Cleaner Data'!CF11/('Bloom Cleaner Data'!O11+'Bloom Cleaner Data'!AE11)-1</f>
        <v>4.6217361170791893E-2</v>
      </c>
      <c r="CU11" s="18">
        <f>$CI$1*CB11/('Bloom Cleaner Data'!P11+'Bloom Cleaner Data'!AF11+'OPERATING LEASES'!BG11)+(1-$CI$1)*'Bloom Cleaner Data'!CG11/('Bloom Cleaner Data'!P11+'Bloom Cleaner Data'!AF11)-1</f>
        <v>6.5912188591565224E-2</v>
      </c>
      <c r="CV11" s="18">
        <f>$CI$1*CC11/('Bloom Cleaner Data'!Q11+'Bloom Cleaner Data'!AG11+'OPERATING LEASES'!BH11)+(1-$CI$1)*'Bloom Cleaner Data'!CH11/('Bloom Cleaner Data'!Q11+'Bloom Cleaner Data'!AG11)-1</f>
        <v>6.5238802384473882E-2</v>
      </c>
      <c r="CW11" s="18">
        <f>$CI$1*CD11/('Bloom Cleaner Data'!R11+'Bloom Cleaner Data'!AH11+'OPERATING LEASES'!BI11)+(1-$CI$1)*'Bloom Cleaner Data'!CI11/('Bloom Cleaner Data'!R11+'Bloom Cleaner Data'!AH11)-1</f>
        <v>6.1149304502959634E-2</v>
      </c>
      <c r="CX11" s="18">
        <f t="shared" si="38"/>
        <v>4.9318861699930633E-2</v>
      </c>
      <c r="CY11" s="13"/>
      <c r="CZ11" s="3112">
        <f>AVERAGE('Bloom Cleaner Data'!GX11:HJ11)</f>
        <v>22002.81811199362</v>
      </c>
      <c r="DA11" s="2860">
        <f>('Bloom Cleaner Data'!HJ11-'Bloom Cleaner Data'!GX11)/'Bloom Cleaner Data'!GX11</f>
        <v>-9.4222111051050342E-2</v>
      </c>
      <c r="DB11" s="2860">
        <f>('Bloom Cleaner Data'!HJ11+'Bloom Cleaner Data'!HI11-'Bloom Cleaner Data'!GX11-'Bloom Cleaner Data'!GW11)/('Bloom Cleaner Data'!GX11+'Bloom Cleaner Data'!GW11)</f>
        <v>-8.1919538369347927E-2</v>
      </c>
      <c r="DC11" s="13"/>
      <c r="DD11" s="13">
        <f>'Bloom Cleaner Data'!GV11+'OPERATING LEASES'!BL11</f>
        <v>23538.012148796293</v>
      </c>
      <c r="DE11" s="13">
        <f>'Bloom Cleaner Data'!GW11+'OPERATING LEASES'!BM11</f>
        <v>23315.451764423193</v>
      </c>
      <c r="DF11" s="13">
        <f>'Bloom Cleaner Data'!GX11+'OPERATING LEASES'!BN11</f>
        <v>23444.809100445189</v>
      </c>
      <c r="DG11" s="13">
        <f>'Bloom Cleaner Data'!GY11+'OPERATING LEASES'!BO11</f>
        <v>23408.768593274715</v>
      </c>
      <c r="DH11" s="13">
        <f>'Bloom Cleaner Data'!GZ11+'OPERATING LEASES'!BP11</f>
        <v>26882.031463215662</v>
      </c>
      <c r="DI11" s="13">
        <f>'Bloom Cleaner Data'!HA11+'OPERATING LEASES'!BQ11</f>
        <v>27250.428439824911</v>
      </c>
      <c r="DJ11" s="13">
        <f>'Bloom Cleaner Data'!HB11+'OPERATING LEASES'!BR11</f>
        <v>27224.262878744728</v>
      </c>
      <c r="DK11" s="13">
        <f>'Bloom Cleaner Data'!HC11+'OPERATING LEASES'!BS11</f>
        <v>24535.085073735569</v>
      </c>
      <c r="DL11" s="13">
        <f>'Bloom Cleaner Data'!HD11+'OPERATING LEASES'!BT11</f>
        <v>20594.111778548428</v>
      </c>
      <c r="DM11" s="13">
        <f>'Bloom Cleaner Data'!HE11+'OPERATING LEASES'!BU11</f>
        <v>20104.362451250803</v>
      </c>
      <c r="DN11" s="13">
        <f>'Bloom Cleaner Data'!HF11+'OPERATING LEASES'!BV11</f>
        <v>19689.791831503313</v>
      </c>
      <c r="DO11" s="13">
        <f>'Bloom Cleaner Data'!HG11+'OPERATING LEASES'!BW11</f>
        <v>22152.748856422702</v>
      </c>
      <c r="DP11" s="13">
        <f>'Bloom Cleaner Data'!HH11+'OPERATING LEASES'!BX11</f>
        <v>22472.570641950148</v>
      </c>
      <c r="DQ11" s="13">
        <f>'Bloom Cleaner Data'!HI11+'OPERATING LEASES'!BY11</f>
        <v>22049.6625047081</v>
      </c>
      <c r="DR11" s="13">
        <f>'Bloom Cleaner Data'!HJ11+'OPERATING LEASES'!BZ11</f>
        <v>21577.65362800704</v>
      </c>
      <c r="DS11" s="1167">
        <f t="shared" si="39"/>
        <v>23183.56055704856</v>
      </c>
      <c r="DT11" s="10">
        <f t="shared" si="40"/>
        <v>-7.9640463884293022E-2</v>
      </c>
      <c r="DU11" s="18">
        <f t="shared" si="41"/>
        <v>5.3663237092857856E-2</v>
      </c>
      <c r="DV11" s="167"/>
      <c r="DW11" s="15">
        <f>'Bloom Cleaner Data'!DT11</f>
        <v>2.1501999999999999</v>
      </c>
      <c r="DX11" s="15">
        <f>'Bloom Cleaner Data'!DX11</f>
        <v>2.1947000000000001</v>
      </c>
      <c r="DY11" s="15">
        <f>'Bloom Cleaner Data'!EB11</f>
        <v>1.8162</v>
      </c>
      <c r="DZ11" s="15">
        <f>'Bloom Cleaner Data'!EF11</f>
        <v>1.7326999999999999</v>
      </c>
      <c r="EA11" s="15">
        <f>AVERAGE('Bloom Cleaner Data'!DT11:EF11)</f>
        <v>2.0117846153846157</v>
      </c>
      <c r="EB11" s="18">
        <f t="shared" si="5"/>
        <v>-0.19416798437354665</v>
      </c>
      <c r="EC11" s="13"/>
      <c r="ED11" s="15">
        <f>'Bloom Cleaner Data'!DC11</f>
        <v>5.5803000000000003</v>
      </c>
      <c r="EE11" s="15">
        <f>'Bloom Cleaner Data'!DG11</f>
        <v>5.2674000000000003</v>
      </c>
      <c r="EF11" s="15">
        <f>'Bloom Cleaner Data'!DK11</f>
        <v>6.1929999999999996</v>
      </c>
      <c r="EG11" s="15">
        <f>'Bloom Cleaner Data'!DO11</f>
        <v>5.1130000000000004</v>
      </c>
      <c r="EH11" s="15">
        <f>AVERAGE('Bloom Cleaner Data'!DC11:DO11)</f>
        <v>5.6540307692307685</v>
      </c>
      <c r="EI11" s="22">
        <f t="shared" si="42"/>
        <v>5.5384250000000002</v>
      </c>
      <c r="EJ11" s="22">
        <f t="shared" si="6"/>
        <v>0.11560576923076837</v>
      </c>
      <c r="EK11" s="18">
        <f t="shared" si="43"/>
        <v>-8.3741017508019253E-2</v>
      </c>
      <c r="EL11" s="241"/>
      <c r="EM11" s="15">
        <f>('Bloom Cleaner Data'!BU11+'OPERATING LEASES'!AU11)/DD11</f>
        <v>6.0577743004054545</v>
      </c>
      <c r="EN11" s="15">
        <f>('Bloom Cleaner Data'!BV11+'OPERATING LEASES'!AV11)/DE11</f>
        <v>5.8725075927645385</v>
      </c>
      <c r="EO11" s="15">
        <f>('Bloom Cleaner Data'!BW11+'OPERATING LEASES'!AW11)/DF11</f>
        <v>5.6036590569004385</v>
      </c>
      <c r="EP11" s="15">
        <f>('Bloom Cleaner Data'!BX11+'OPERATING LEASES'!AX11)/DG11</f>
        <v>6.558499977432402</v>
      </c>
      <c r="EQ11" s="15">
        <f>('Bloom Cleaner Data'!BY11+'OPERATING LEASES'!AY11)/DH11</f>
        <v>5.4386306826725495</v>
      </c>
      <c r="ER11" s="15">
        <f>('Bloom Cleaner Data'!BZ11+'OPERATING LEASES'!AZ11)/DI11</f>
        <v>5.4097543013334999</v>
      </c>
      <c r="ES11" s="15">
        <f>('Bloom Cleaner Data'!CA11+'OPERATING LEASES'!BA11)/DJ11</f>
        <v>5.3191500518345904</v>
      </c>
      <c r="ET11" s="15">
        <f>('Bloom Cleaner Data'!CB11+'OPERATING LEASES'!BB11)/DK11</f>
        <v>5.4726305670518789</v>
      </c>
      <c r="EU11" s="15">
        <f>('Bloom Cleaner Data'!CC11+'OPERATING LEASES'!BC11)/DL11</f>
        <v>6.4609295514968839</v>
      </c>
      <c r="EV11" s="15">
        <f>('Bloom Cleaner Data'!CD11+'OPERATING LEASES'!BD11)/DM11</f>
        <v>6.378983162926783</v>
      </c>
      <c r="EW11" s="15">
        <f>('Bloom Cleaner Data'!CE11+'OPERATING LEASES'!BE11)/DN11</f>
        <v>6.2115382135871551</v>
      </c>
      <c r="EX11" s="15">
        <f>('Bloom Cleaner Data'!CF11+'OPERATING LEASES'!BF11)/DO11</f>
        <v>5.4199174088140873</v>
      </c>
      <c r="EY11" s="15">
        <f>('Bloom Cleaner Data'!CG11+'OPERATING LEASES'!BG11)/DP11</f>
        <v>5.1812606192773449</v>
      </c>
      <c r="EZ11" s="15">
        <f>('Bloom Cleaner Data'!CH11+'OPERATING LEASES'!BH11)/DQ11</f>
        <v>5.3776842097127711</v>
      </c>
      <c r="FA11" s="15">
        <f>('Bloom Cleaner Data'!CI11+'OPERATING LEASES'!BI11)/DR11</f>
        <v>5.1937231412225326</v>
      </c>
      <c r="FB11" s="526">
        <f t="shared" si="44"/>
        <v>5.6943354572509941</v>
      </c>
      <c r="FC11" s="10">
        <f t="shared" si="45"/>
        <v>-7.3155042359885195E-2</v>
      </c>
      <c r="FD11" s="15">
        <f t="shared" si="7"/>
        <v>4.0304688020225576E-2</v>
      </c>
      <c r="FE11" s="15">
        <f t="shared" si="46"/>
        <v>5.6425571227257532</v>
      </c>
      <c r="FF11" s="13"/>
      <c r="FG11" s="15">
        <f>$FG$1*EM11+(1-$FG$1)*'Bloom Cleaner Data'!DA11</f>
        <v>6.0577743004054545</v>
      </c>
      <c r="FH11" s="15">
        <f>$FG$1*EN11+(1-$FG$1)*'Bloom Cleaner Data'!DB11</f>
        <v>5.8725075927645385</v>
      </c>
      <c r="FI11" s="15">
        <f>$FG$1*EO11+(1-$FG$1)*'Bloom Cleaner Data'!DC11</f>
        <v>5.6036590569004385</v>
      </c>
      <c r="FJ11" s="15">
        <f>$FG$1*EP11+(1-$FG$1)*'Bloom Cleaner Data'!DD11</f>
        <v>6.558499977432402</v>
      </c>
      <c r="FK11" s="15">
        <f>$FG$1*EQ11+(1-$FG$1)*'Bloom Cleaner Data'!DE11</f>
        <v>5.4386306826725495</v>
      </c>
      <c r="FL11" s="15">
        <f>$FG$1*ER11+(1-$FG$1)*'Bloom Cleaner Data'!DF11</f>
        <v>5.4097543013334999</v>
      </c>
      <c r="FM11" s="15">
        <f>$FG$1*ES11+(1-$FG$1)*'Bloom Cleaner Data'!DG11</f>
        <v>5.3191500518345904</v>
      </c>
      <c r="FN11" s="15">
        <f>$FG$1*ET11+(1-$FG$1)*'Bloom Cleaner Data'!DH11</f>
        <v>5.4726305670518789</v>
      </c>
      <c r="FO11" s="15">
        <f>$FG$1*EU11+(1-$FG$1)*'Bloom Cleaner Data'!DI11</f>
        <v>6.4609295514968839</v>
      </c>
      <c r="FP11" s="15">
        <f>$FG$1*EV11+(1-$FG$1)*'Bloom Cleaner Data'!DJ11</f>
        <v>6.378983162926783</v>
      </c>
      <c r="FQ11" s="15">
        <f>$FG$1*EW11+(1-$FG$1)*'Bloom Cleaner Data'!DK11</f>
        <v>6.2115382135871551</v>
      </c>
      <c r="FR11" s="15">
        <f>$FG$1*EX11+(1-$FG$1)*'Bloom Cleaner Data'!DL11</f>
        <v>5.4199174088140873</v>
      </c>
      <c r="FS11" s="15">
        <f>$FG$1*EY11+(1-$FG$1)*'Bloom Cleaner Data'!DM11</f>
        <v>5.1812606192773449</v>
      </c>
      <c r="FT11" s="15">
        <f>$FG$1*EZ11+(1-$FG$1)*'Bloom Cleaner Data'!DN11</f>
        <v>5.3776842097127711</v>
      </c>
      <c r="FU11" s="15">
        <f>$FG$1*FA11+(1-$FG$1)*'Bloom Cleaner Data'!DO11</f>
        <v>5.1937231412225326</v>
      </c>
      <c r="FV11" s="526">
        <f t="shared" si="47"/>
        <v>5.6943354572509941</v>
      </c>
      <c r="FW11" s="10">
        <f t="shared" si="48"/>
        <v>-7.3155042359885195E-2</v>
      </c>
      <c r="FX11" s="526">
        <f t="shared" si="49"/>
        <v>5.6425571227257532</v>
      </c>
      <c r="FY11" s="2710"/>
      <c r="FZ11" s="2710"/>
      <c r="GA11" s="10">
        <f>'Bloom Cleaner Data'!T11/('Bloom Cleaner Data'!T11+'Bloom Cleaner Data'!D11)</f>
        <v>0.33971200286328268</v>
      </c>
      <c r="GB11" s="10">
        <f>'Bloom Cleaner Data'!U11/('Bloom Cleaner Data'!U11+'Bloom Cleaner Data'!E11)</f>
        <v>0.37684637148943467</v>
      </c>
      <c r="GC11" s="10">
        <f>'Bloom Cleaner Data'!V11/('Bloom Cleaner Data'!V11+'Bloom Cleaner Data'!F11)</f>
        <v>0.43173940464513005</v>
      </c>
      <c r="GD11" s="10">
        <f>'Bloom Cleaner Data'!W11/('Bloom Cleaner Data'!W11+'Bloom Cleaner Data'!G11)</f>
        <v>0.3966464957200907</v>
      </c>
      <c r="GE11" s="10">
        <f>'Bloom Cleaner Data'!X11/('Bloom Cleaner Data'!X11+'Bloom Cleaner Data'!H11)</f>
        <v>0.41962812409357969</v>
      </c>
      <c r="GF11" s="10">
        <f>'Bloom Cleaner Data'!Y11/('Bloom Cleaner Data'!Y11+'Bloom Cleaner Data'!I11)</f>
        <v>0.39747252969146885</v>
      </c>
      <c r="GG11" s="10">
        <f>'Bloom Cleaner Data'!Z11/('Bloom Cleaner Data'!Z11+'Bloom Cleaner Data'!J11)</f>
        <v>0.41528859480458274</v>
      </c>
      <c r="GH11" s="10">
        <f>'Bloom Cleaner Data'!AA11/('Bloom Cleaner Data'!AA11+'Bloom Cleaner Data'!K11)</f>
        <v>0.45771279137314647</v>
      </c>
      <c r="GI11" s="10">
        <f>'Bloom Cleaner Data'!AB11/('Bloom Cleaner Data'!AB11+'Bloom Cleaner Data'!L11)</f>
        <v>0.49828072774566745</v>
      </c>
      <c r="GJ11" s="10">
        <f>'Bloom Cleaner Data'!AC11/('Bloom Cleaner Data'!AC11+'Bloom Cleaner Data'!M11)</f>
        <v>0.5198949935304723</v>
      </c>
      <c r="GK11" s="10">
        <f>'Bloom Cleaner Data'!AD11/('Bloom Cleaner Data'!AD11+'Bloom Cleaner Data'!N11)</f>
        <v>0.56948636657456952</v>
      </c>
      <c r="GL11" s="10">
        <f>'Bloom Cleaner Data'!AE11/('Bloom Cleaner Data'!AE11+'Bloom Cleaner Data'!O11)</f>
        <v>0.55728171042869712</v>
      </c>
      <c r="GM11" s="10">
        <f>'Bloom Cleaner Data'!AF11/('Bloom Cleaner Data'!AF11+'Bloom Cleaner Data'!P11)</f>
        <v>0.54576570571656846</v>
      </c>
      <c r="GN11" s="10">
        <f>'Bloom Cleaner Data'!AG11/('Bloom Cleaner Data'!AG11+'Bloom Cleaner Data'!Q11)</f>
        <v>0.53694863083477451</v>
      </c>
      <c r="GO11" s="10">
        <f>'Bloom Cleaner Data'!AH11/('Bloom Cleaner Data'!AH11+'Bloom Cleaner Data'!R11)</f>
        <v>0.54381370963962039</v>
      </c>
      <c r="GP11" s="10">
        <f t="shared" si="50"/>
        <v>0.48384306036910518</v>
      </c>
      <c r="GQ11" s="10">
        <f t="shared" si="51"/>
        <v>0.2595878527386451</v>
      </c>
      <c r="GR11" s="10"/>
      <c r="GS11" s="496">
        <f t="shared" si="8"/>
        <v>0.51449065307322694</v>
      </c>
      <c r="GT11" s="497">
        <f t="shared" si="9"/>
        <v>0.60474071600956003</v>
      </c>
      <c r="GU11" s="497">
        <f t="shared" si="10"/>
        <v>0.75975601365693057</v>
      </c>
      <c r="GV11" s="497">
        <f t="shared" si="11"/>
        <v>0.65740315239153302</v>
      </c>
      <c r="GW11" s="497">
        <f t="shared" si="12"/>
        <v>0.72303318185121868</v>
      </c>
      <c r="GX11" s="497">
        <f t="shared" si="13"/>
        <v>0.65967536631639123</v>
      </c>
      <c r="GY11" s="497">
        <f t="shared" si="14"/>
        <v>0.71024541528446594</v>
      </c>
      <c r="GZ11" s="497">
        <f t="shared" si="15"/>
        <v>0.84404128309081594</v>
      </c>
      <c r="HA11" s="497">
        <f t="shared" si="16"/>
        <v>0.99314647712611281</v>
      </c>
      <c r="HB11" s="497">
        <f t="shared" si="17"/>
        <v>1.0828776757683531</v>
      </c>
      <c r="HC11" s="497">
        <f t="shared" si="18"/>
        <v>1.3228068111185858</v>
      </c>
      <c r="HD11" s="497">
        <f t="shared" si="19"/>
        <v>1.2587727310031156</v>
      </c>
      <c r="HE11" s="497">
        <f t="shared" si="20"/>
        <v>1.2015070473213181</v>
      </c>
      <c r="HF11" s="497">
        <f t="shared" si="21"/>
        <v>1.1595876107714975</v>
      </c>
      <c r="HG11" s="498">
        <f t="shared" si="22"/>
        <v>1.1920869196003601</v>
      </c>
      <c r="HH11" s="10">
        <f t="shared" si="52"/>
        <v>0.96653382194620763</v>
      </c>
      <c r="HI11" s="10">
        <f t="shared" si="53"/>
        <v>0.56903913647552828</v>
      </c>
      <c r="HJ11" s="10"/>
      <c r="HK11" s="18">
        <f>('Bloom Cleaner Data'!T11+'OPERATING LEASES'!AU11)/('Bloom Cleaner Data'!T11+'OPERATING LEASES'!AU11+'Bloom Cleaner Data'!D11)</f>
        <v>0.36474864914532357</v>
      </c>
      <c r="HL11" s="18">
        <f>('Bloom Cleaner Data'!U11+'OPERATING LEASES'!AV11)/('Bloom Cleaner Data'!U11+'OPERATING LEASES'!AV11+'Bloom Cleaner Data'!E11)</f>
        <v>0.40365773058843141</v>
      </c>
      <c r="HM11" s="18">
        <f>('Bloom Cleaner Data'!V11+'OPERATING LEASES'!AW11)/('Bloom Cleaner Data'!V11+'OPERATING LEASES'!AW11+'Bloom Cleaner Data'!F11)</f>
        <v>0.45928285863452023</v>
      </c>
      <c r="HN11" s="18">
        <f>('Bloom Cleaner Data'!W11+'OPERATING LEASES'!AX11)/('Bloom Cleaner Data'!W11+'OPERATING LEASES'!AX11+'Bloom Cleaner Data'!G11)</f>
        <v>0.42472398451114246</v>
      </c>
      <c r="HO11" s="18">
        <f>('Bloom Cleaner Data'!X11+'OPERATING LEASES'!AY11)/('Bloom Cleaner Data'!X11+'OPERATING LEASES'!AY11+'Bloom Cleaner Data'!H11)</f>
        <v>0.44957936162873002</v>
      </c>
      <c r="HP11" s="18">
        <f>('Bloom Cleaner Data'!Y11+'OPERATING LEASES'!AZ11)/('Bloom Cleaner Data'!Y11+'OPERATING LEASES'!AZ11+'Bloom Cleaner Data'!I11)</f>
        <v>0.42875723173070435</v>
      </c>
      <c r="HQ11" s="18">
        <f>('Bloom Cleaner Data'!Z11+'OPERATING LEASES'!BA11)/('Bloom Cleaner Data'!Z11+'OPERATING LEASES'!BA11+'Bloom Cleaner Data'!J11)</f>
        <v>0.44675296899314992</v>
      </c>
      <c r="HR11" s="18">
        <f>('Bloom Cleaner Data'!AA11+'OPERATING LEASES'!BB11)/('Bloom Cleaner Data'!AA11+'OPERATING LEASES'!BB11+'Bloom Cleaner Data'!K11)</f>
        <v>0.48982200347580435</v>
      </c>
      <c r="HS11" s="18">
        <f>('Bloom Cleaner Data'!AB11+'OPERATING LEASES'!BC11)/('Bloom Cleaner Data'!AB11+'OPERATING LEASES'!BC11+'Bloom Cleaner Data'!L11)</f>
        <v>0.52900871126840054</v>
      </c>
      <c r="HT11" s="18">
        <f>('Bloom Cleaner Data'!AC11+'OPERATING LEASES'!BD11)/('Bloom Cleaner Data'!AC11+'OPERATING LEASES'!BD11+'Bloom Cleaner Data'!M11)</f>
        <v>0.55089917176590131</v>
      </c>
      <c r="HU11" s="18">
        <f>('Bloom Cleaner Data'!AD11+'OPERATING LEASES'!BE11)/('Bloom Cleaner Data'!AD11+'OPERATING LEASES'!BE11+'Bloom Cleaner Data'!N11)</f>
        <v>0.59895089367894749</v>
      </c>
      <c r="HV11" s="18">
        <f>('Bloom Cleaner Data'!AE11+'OPERATING LEASES'!BF11)/('Bloom Cleaner Data'!AE11+'OPERATING LEASES'!BF11+'Bloom Cleaner Data'!O11)</f>
        <v>0.58856941725285861</v>
      </c>
      <c r="HW11" s="18">
        <f>('Bloom Cleaner Data'!AF11+'OPERATING LEASES'!BG11)/('Bloom Cleaner Data'!AF11+'OPERATING LEASES'!BG11+'Bloom Cleaner Data'!P11)</f>
        <v>0.57992540679211424</v>
      </c>
      <c r="HX11" s="18">
        <f>('Bloom Cleaner Data'!AG11+'OPERATING LEASES'!BH11)/('Bloom Cleaner Data'!AG11+'OPERATING LEASES'!BH11+'Bloom Cleaner Data'!Q11)</f>
        <v>0.5711213717248842</v>
      </c>
      <c r="HY11" s="18">
        <f>('Bloom Cleaner Data'!AH11+'OPERATING LEASES'!BI11)/('Bloom Cleaner Data'!AH11+'OPERATING LEASES'!BI11+'Bloom Cleaner Data'!R11)</f>
        <v>0.57929804018594233</v>
      </c>
      <c r="HZ11" s="10">
        <f t="shared" si="54"/>
        <v>0.51513010935716153</v>
      </c>
      <c r="IA11" s="10">
        <f t="shared" si="55"/>
        <v>0.26130995158024306</v>
      </c>
      <c r="IB11" s="10">
        <f t="shared" si="23"/>
        <v>3.1287048988056343E-2</v>
      </c>
      <c r="IC11" s="10">
        <f t="shared" si="24"/>
        <v>6.4663630732222685E-2</v>
      </c>
      <c r="IE11" s="502">
        <f t="shared" si="56"/>
        <v>0.57418004488236885</v>
      </c>
      <c r="IF11" s="467">
        <f t="shared" si="25"/>
        <v>0.67688934910942067</v>
      </c>
      <c r="IG11" s="467">
        <f t="shared" si="25"/>
        <v>0.84939578108193037</v>
      </c>
      <c r="IH11" s="467">
        <f t="shared" si="25"/>
        <v>0.73829600587505961</v>
      </c>
      <c r="II11" s="467">
        <f t="shared" si="25"/>
        <v>0.81679234077970664</v>
      </c>
      <c r="IJ11" s="467">
        <f t="shared" si="25"/>
        <v>0.75056920725616838</v>
      </c>
      <c r="IK11" s="467">
        <f t="shared" si="25"/>
        <v>0.80751082962001197</v>
      </c>
      <c r="IL11" s="467">
        <f t="shared" si="25"/>
        <v>0.96010021367625575</v>
      </c>
      <c r="IM11" s="467">
        <f t="shared" si="25"/>
        <v>1.1231815193292525</v>
      </c>
      <c r="IN11" s="467">
        <f t="shared" si="25"/>
        <v>1.2266714669222101</v>
      </c>
      <c r="IO11" s="467">
        <f t="shared" si="25"/>
        <v>1.4934602377581869</v>
      </c>
      <c r="IP11" s="467">
        <f t="shared" si="25"/>
        <v>1.4305436735474375</v>
      </c>
      <c r="IQ11" s="467">
        <f t="shared" si="25"/>
        <v>1.3805295920506238</v>
      </c>
      <c r="IR11" s="467">
        <f t="shared" si="25"/>
        <v>1.3316619996241057</v>
      </c>
      <c r="IS11" s="503">
        <f t="shared" si="25"/>
        <v>1.3769796566718662</v>
      </c>
      <c r="IT11" s="10">
        <f t="shared" si="57"/>
        <v>1.0988994249379089</v>
      </c>
      <c r="IU11" s="10">
        <f t="shared" si="58"/>
        <v>0.62112843899214809</v>
      </c>
      <c r="IV11" s="10">
        <f t="shared" si="59"/>
        <v>0.1323656029917013</v>
      </c>
      <c r="IW11" s="10">
        <f t="shared" si="60"/>
        <v>0.13694875439037466</v>
      </c>
      <c r="IY11" s="15">
        <f>'Bloom Cleaner Data'!T11/'Bloom Cleaner Data'!BU11*'Bloom Cleaner Data'!DA11</f>
        <v>2.025065433261795</v>
      </c>
      <c r="IZ11" s="15">
        <f>'Bloom Cleaner Data'!U11/'Bloom Cleaner Data'!BV11*'Bloom Cleaner Data'!DB11</f>
        <v>2.1672354014526047</v>
      </c>
      <c r="JA11" s="15">
        <f>'Bloom Cleaner Data'!V11/'Bloom Cleaner Data'!BW11*'Bloom Cleaner Data'!DC11</f>
        <v>2.3588888363903124</v>
      </c>
      <c r="JB11" s="15">
        <f>'Bloom Cleaner Data'!W11/'Bloom Cleaner Data'!BX11*'Bloom Cleaner Data'!DD11</f>
        <v>2.4390036887028117</v>
      </c>
      <c r="JC11" s="15">
        <f>'Bloom Cleaner Data'!X11/'Bloom Cleaner Data'!BY11*'Bloom Cleaner Data'!DE11</f>
        <v>2.1455743060445123</v>
      </c>
      <c r="JD11" s="15">
        <f>'Bloom Cleaner Data'!Y11/'Bloom Cleaner Data'!BZ11*'Bloom Cleaner Data'!DF11</f>
        <v>2.0360946197887961</v>
      </c>
      <c r="JE11" s="15">
        <f>'Bloom Cleaner Data'!Z11/'Bloom Cleaner Data'!CA11*'Bloom Cleaner Data'!DG11</f>
        <v>2.0963147198461054</v>
      </c>
      <c r="JF11" s="15">
        <f>'Bloom Cleaner Data'!AA11/'Bloom Cleaner Data'!CB11*'Bloom Cleaner Data'!DH11</f>
        <v>2.3790162454226134</v>
      </c>
      <c r="JG11" s="15">
        <f>'Bloom Cleaner Data'!AB11/'Bloom Cleaner Data'!CC11*'Bloom Cleaner Data'!DI11</f>
        <v>3.0708284440278235</v>
      </c>
      <c r="JH11" s="15">
        <f>'Bloom Cleaner Data'!AC11/'Bloom Cleaner Data'!CD11*'Bloom Cleaner Data'!DJ11</f>
        <v>3.1506391999156089</v>
      </c>
      <c r="JI11" s="15">
        <f>'Bloom Cleaner Data'!AD11/'Bloom Cleaner Data'!CE11*'Bloom Cleaner Data'!DK11</f>
        <v>3.3624875107044851</v>
      </c>
      <c r="JJ11" s="15">
        <f>'Bloom Cleaner Data'!AE11/'Bloom Cleaner Data'!CF11*'Bloom Cleaner Data'!DL11</f>
        <v>2.8433931747511565</v>
      </c>
      <c r="JK11" s="15">
        <f>'Bloom Cleaner Data'!AF11/'Bloom Cleaner Data'!CG11*'Bloom Cleaner Data'!DM11</f>
        <v>2.5998545889798761</v>
      </c>
      <c r="JL11" s="15">
        <f>'Bloom Cleaner Data'!AG11/'Bloom Cleaner Data'!CH11*'Bloom Cleaner Data'!DN11</f>
        <v>2.6635825128251378</v>
      </c>
      <c r="JM11" s="15">
        <f>'Bloom Cleaner Data'!AH11/'Bloom Cleaner Data'!CI11*'Bloom Cleaner Data'!DO11</f>
        <v>2.6076163452771954</v>
      </c>
      <c r="JN11" s="15">
        <f t="shared" si="61"/>
        <v>2.6236844823607366</v>
      </c>
      <c r="JO11" s="15">
        <f t="shared" si="62"/>
        <v>2.6786116554583415</v>
      </c>
      <c r="JP11" s="15">
        <f t="shared" si="63"/>
        <v>2.5964072455904952</v>
      </c>
      <c r="JQ11" s="18">
        <f t="shared" si="64"/>
        <v>0.10544265802177352</v>
      </c>
      <c r="JR11" s="18"/>
      <c r="JS11" s="2024" t="s">
        <v>53</v>
      </c>
      <c r="JT11" s="526">
        <f>('Bloom Cleaner Data'!T11+'OPERATING LEASES'!AU11)/DD11</f>
        <v>2.1702047630314358</v>
      </c>
      <c r="JU11" s="526">
        <f>('Bloom Cleaner Data'!U11+'OPERATING LEASES'!AV11)/DE11</f>
        <v>2.3240672435948002</v>
      </c>
      <c r="JV11" s="526">
        <f>('Bloom Cleaner Data'!V11+'OPERATING LEASES'!AW11)/DF11</f>
        <v>2.5224368046523602</v>
      </c>
      <c r="JW11" s="526">
        <f>('Bloom Cleaner Data'!W11+'OPERATING LEASES'!AX11)/DG11</f>
        <v>2.6147646659336692</v>
      </c>
      <c r="JX11" s="526">
        <f>('Bloom Cleaner Data'!X11+'OPERATING LEASES'!AY11)/DH11</f>
        <v>2.3241469943931041</v>
      </c>
      <c r="JY11" s="526">
        <f>('Bloom Cleaner Data'!Y11+'OPERATING LEASES'!AZ11)/DI11</f>
        <v>2.2206305232649894</v>
      </c>
      <c r="JZ11" s="526">
        <f>('Bloom Cleaner Data'!Z11+'OPERATING LEASES'!BA11)/DJ11</f>
        <v>2.2824173047178058</v>
      </c>
      <c r="KA11" s="526">
        <f>('Bloom Cleaner Data'!AA11+'OPERATING LEASES'!BB11)/DK11</f>
        <v>2.5762622811284901</v>
      </c>
      <c r="KB11" s="526">
        <f>('Bloom Cleaner Data'!AB11+'OPERATING LEASES'!BC11)/DL11</f>
        <v>3.2702626605632905</v>
      </c>
      <c r="KC11" s="526">
        <f>('Bloom Cleaner Data'!AC11+'OPERATING LEASES'!BD11)/DM11</f>
        <v>3.3528337315522569</v>
      </c>
      <c r="KD11" s="526">
        <f>('Bloom Cleaner Data'!AD11+'OPERATING LEASES'!BE11)/DN11</f>
        <v>3.5583928453147928</v>
      </c>
      <c r="KE11" s="526">
        <f>('Bloom Cleaner Data'!AE11+'OPERATING LEASES'!BF11)/DO11</f>
        <v>3.049077322990029</v>
      </c>
      <c r="KF11" s="526">
        <f>('Bloom Cleaner Data'!AF11+'OPERATING LEASES'!BG11)/DP11</f>
        <v>2.8189420333964583</v>
      </c>
      <c r="KG11" s="526">
        <f>('Bloom Cleaner Data'!AG11+'OPERATING LEASES'!BH11)/DQ11</f>
        <v>2.8832130182260181</v>
      </c>
      <c r="KH11" s="526">
        <f>('Bloom Cleaner Data'!AH11+'OPERATING LEASES'!BI11)/DR11</f>
        <v>2.8353348809740444</v>
      </c>
      <c r="KI11" s="15">
        <f t="shared" si="65"/>
        <v>2.845829977532174</v>
      </c>
      <c r="KJ11" s="15">
        <f t="shared" si="66"/>
        <v>2.896641813896637</v>
      </c>
      <c r="KK11" s="15">
        <f t="shared" si="67"/>
        <v>2.7929780820851775</v>
      </c>
      <c r="KL11" s="18">
        <f t="shared" si="68"/>
        <v>0.12404595260605845</v>
      </c>
      <c r="KM11" s="15">
        <f t="shared" si="69"/>
        <v>0.19657083649468232</v>
      </c>
      <c r="KN11" s="18"/>
      <c r="KO11" s="15">
        <f t="shared" si="70"/>
        <v>2.1702047630314358</v>
      </c>
      <c r="KP11" s="15">
        <f t="shared" si="71"/>
        <v>2.3240672435948002</v>
      </c>
      <c r="KQ11" s="15">
        <f t="shared" si="72"/>
        <v>2.5224368046523602</v>
      </c>
      <c r="KR11" s="15">
        <f t="shared" si="73"/>
        <v>2.6147646659336692</v>
      </c>
      <c r="KS11" s="15">
        <f t="shared" si="74"/>
        <v>2.3241469943931041</v>
      </c>
      <c r="KT11" s="15">
        <f t="shared" si="75"/>
        <v>2.2206305232649894</v>
      </c>
      <c r="KU11" s="15">
        <f t="shared" si="76"/>
        <v>2.2824173047178058</v>
      </c>
      <c r="KV11" s="15">
        <f t="shared" si="77"/>
        <v>2.5762622811284901</v>
      </c>
      <c r="KW11" s="15">
        <f t="shared" si="78"/>
        <v>3.2702626605632905</v>
      </c>
      <c r="KX11" s="15">
        <f t="shared" si="79"/>
        <v>3.3528337315522569</v>
      </c>
      <c r="KY11" s="15">
        <f t="shared" si="80"/>
        <v>3.5583928453147928</v>
      </c>
      <c r="KZ11" s="15">
        <f t="shared" si="81"/>
        <v>3.049077322990029</v>
      </c>
      <c r="LA11" s="15">
        <f t="shared" si="82"/>
        <v>2.8189420333964583</v>
      </c>
      <c r="LB11" s="15">
        <f t="shared" si="83"/>
        <v>2.8832130182260181</v>
      </c>
      <c r="LC11" s="15">
        <f t="shared" si="84"/>
        <v>2.8353348809740444</v>
      </c>
      <c r="LD11" s="15">
        <f t="shared" si="85"/>
        <v>2.845829977532174</v>
      </c>
      <c r="LE11" s="15">
        <f t="shared" si="86"/>
        <v>2.896641813896637</v>
      </c>
      <c r="LF11" s="526">
        <f t="shared" si="87"/>
        <v>2.7929780820851775</v>
      </c>
      <c r="LG11" s="10">
        <f t="shared" si="88"/>
        <v>0.12404595260605845</v>
      </c>
      <c r="LH11" s="18"/>
      <c r="LI11" s="15">
        <f>('Bloom Cleaner Data'!T11+'Bloom Cleaner Data'!EY11)/'Bloom Cleaner Data'!GV11</f>
        <v>2.4282468824734256</v>
      </c>
      <c r="LJ11" s="15">
        <f>('Bloom Cleaner Data'!U11+'Bloom Cleaner Data'!EZ11)/'Bloom Cleaner Data'!GW11</f>
        <v>2.5200921785125585</v>
      </c>
      <c r="LK11" s="15">
        <f>('Bloom Cleaner Data'!V11+'Bloom Cleaner Data'!FA11)/'Bloom Cleaner Data'!GX11</f>
        <v>2.6556173147036595</v>
      </c>
      <c r="LL11" s="15">
        <f>('Bloom Cleaner Data'!W11+'Bloom Cleaner Data'!FB11)/'Bloom Cleaner Data'!GY11</f>
        <v>2.6340720729649592</v>
      </c>
      <c r="LM11" s="15">
        <f>('Bloom Cleaner Data'!X11+'Bloom Cleaner Data'!FC11)/'Bloom Cleaner Data'!GZ11</f>
        <v>2.3092875301342648</v>
      </c>
      <c r="LN11" s="15">
        <f>('Bloom Cleaner Data'!Y11+'Bloom Cleaner Data'!FD11)/'Bloom Cleaner Data'!HA11</f>
        <v>2.2469204742811701</v>
      </c>
      <c r="LO11" s="15">
        <f>('Bloom Cleaner Data'!Z11+'Bloom Cleaner Data'!FE11)/'Bloom Cleaner Data'!HB11</f>
        <v>2.2188086168979284</v>
      </c>
      <c r="LP11" s="15">
        <f>('Bloom Cleaner Data'!AA11+'Bloom Cleaner Data'!FF11)/'Bloom Cleaner Data'!HC11</f>
        <v>2.5226100491792258</v>
      </c>
      <c r="LQ11" s="15">
        <f>('Bloom Cleaner Data'!AB11+'Bloom Cleaner Data'!FG11)/'Bloom Cleaner Data'!HD11</f>
        <v>3.2840553523258373</v>
      </c>
      <c r="LR11" s="15">
        <f>('Bloom Cleaner Data'!AC11+'Bloom Cleaner Data'!FH11)/'Bloom Cleaner Data'!HE11</f>
        <v>3.4539752553112311</v>
      </c>
      <c r="LS11" s="15">
        <f>('Bloom Cleaner Data'!AD11+'Bloom Cleaner Data'!FI11)/'Bloom Cleaner Data'!HF11</f>
        <v>3.5793819885373197</v>
      </c>
      <c r="LT11" s="15">
        <f>('Bloom Cleaner Data'!AE11+'Bloom Cleaner Data'!FJ11)/'Bloom Cleaner Data'!HG11</f>
        <v>3.1841602241959706</v>
      </c>
      <c r="LU11" s="15">
        <f>('Bloom Cleaner Data'!AF11+'Bloom Cleaner Data'!FK11)/'Bloom Cleaner Data'!HH11</f>
        <v>3.0641918062629467</v>
      </c>
      <c r="LV11" s="15">
        <f>('Bloom Cleaner Data'!AG11+'Bloom Cleaner Data'!FL11)/'Bloom Cleaner Data'!HI11</f>
        <v>2.9603059608027498</v>
      </c>
      <c r="LW11" s="15">
        <f>('Bloom Cleaner Data'!AH11+'Bloom Cleaner Data'!FM11)/'Bloom Cleaner Data'!HJ11</f>
        <v>2.9886783770424268</v>
      </c>
      <c r="LX11" s="15">
        <f t="shared" si="89"/>
        <v>0.38106203176523135</v>
      </c>
      <c r="LY11" s="15">
        <f t="shared" si="90"/>
        <v>3.0043920480360407</v>
      </c>
      <c r="LZ11" s="15">
        <f t="shared" si="27"/>
        <v>0.38070756567530406</v>
      </c>
      <c r="MA11" s="15">
        <f t="shared" si="91"/>
        <v>3.0493340920760232</v>
      </c>
      <c r="MB11" s="15">
        <f t="shared" si="92"/>
        <v>2.8540050017415148</v>
      </c>
      <c r="MC11" s="18">
        <f t="shared" si="93"/>
        <v>0.12541756694184442</v>
      </c>
      <c r="MD11" s="15">
        <f t="shared" si="28"/>
        <v>0.25759775615101965</v>
      </c>
      <c r="ME11" s="18"/>
      <c r="MF11" s="2024" t="s">
        <v>53</v>
      </c>
      <c r="MG11" s="15">
        <f>JT11+'Bloom Cleaner Data'!EY11/CALCULATIONS!DD11</f>
        <v>2.5573657493709736</v>
      </c>
      <c r="MH11" s="15">
        <f>JU11+'Bloom Cleaner Data'!EZ11/CALCULATIONS!DE11</f>
        <v>2.6621263161634503</v>
      </c>
      <c r="MI11" s="15">
        <f>JV11+'Bloom Cleaner Data'!FA11/CALCULATIONS!DF11</f>
        <v>2.8062522953860274</v>
      </c>
      <c r="MJ11" s="15">
        <f>JW11+'Bloom Cleaner Data'!FB11/CALCULATIONS!DG11</f>
        <v>2.8009769385968424</v>
      </c>
      <c r="MK11" s="15">
        <f>JX11+'Bloom Cleaner Data'!FC11/CALCULATIONS!DH11</f>
        <v>2.4811291780414821</v>
      </c>
      <c r="ML11" s="15">
        <f>JY11+'Bloom Cleaner Data'!FD11/CALCULATIONS!DI11</f>
        <v>2.4227190890341737</v>
      </c>
      <c r="MM11" s="15">
        <f>JZ11+'Bloom Cleaner Data'!FE11/CALCULATIONS!DJ11</f>
        <v>2.3997213806527076</v>
      </c>
      <c r="MN11" s="15">
        <f>KA11+'Bloom Cleaner Data'!FF11/CALCULATIONS!DK11</f>
        <v>2.7129644767768926</v>
      </c>
      <c r="MO11" s="15">
        <f>KB11+'Bloom Cleaner Data'!FG11/CALCULATIONS!DL11</f>
        <v>3.4710482076392837</v>
      </c>
      <c r="MP11" s="15">
        <f>KC11+'Bloom Cleaner Data'!FH11/CALCULATIONS!DM11</f>
        <v>3.6377967595463909</v>
      </c>
      <c r="MQ11" s="15">
        <f>KD11+'Bloom Cleaner Data'!FI11/CALCULATIONS!DN11</f>
        <v>3.7616961628031613</v>
      </c>
      <c r="MR11" s="15">
        <f>KE11+'Bloom Cleaner Data'!FJ11/CALCULATIONS!DO11</f>
        <v>3.3706175546861439</v>
      </c>
      <c r="MS11" s="15">
        <f>KF11+'Bloom Cleaner Data'!FK11/CALCULATIONS!DP11</f>
        <v>3.2571206537639181</v>
      </c>
      <c r="MT11" s="15">
        <f>KG11+'Bloom Cleaner Data'!FL11/CALCULATIONS!DQ11</f>
        <v>3.1628998387695617</v>
      </c>
      <c r="MU11" s="15">
        <f>KH11+'Bloom Cleaner Data'!FM11/CALCULATIONS!DR11</f>
        <v>3.1940393135057517</v>
      </c>
      <c r="MV11" s="15">
        <f t="shared" si="29"/>
        <v>0.35870443253170725</v>
      </c>
      <c r="MW11" s="15">
        <f t="shared" si="94"/>
        <v>3.2046866020130769</v>
      </c>
      <c r="MX11" s="15">
        <f t="shared" si="30"/>
        <v>0.35885662448090283</v>
      </c>
      <c r="MY11" s="15">
        <f t="shared" si="95"/>
        <v>3.2461693401813436</v>
      </c>
      <c r="MZ11" s="15">
        <f t="shared" si="96"/>
        <v>3.0368447576309494</v>
      </c>
      <c r="NA11" s="18">
        <f t="shared" si="97"/>
        <v>0.13818679765797051</v>
      </c>
      <c r="NB11" s="15">
        <f t="shared" si="31"/>
        <v>0.2438666755457719</v>
      </c>
      <c r="NC11" s="15"/>
      <c r="ND11" s="13">
        <f>'Bloom Cleaner Data'!GF11+('Bloom Cleaner Data'!T11+'Bloom Cleaner Data'!EY11)+'Bloom Cleaner Data'!CK11</f>
        <v>81699.000000000015</v>
      </c>
      <c r="NE11" s="13">
        <f>'Bloom Cleaner Data'!GG11+('Bloom Cleaner Data'!U11+'Bloom Cleaner Data'!EZ11)+'Bloom Cleaner Data'!CL11</f>
        <v>82900.000000000015</v>
      </c>
      <c r="NF11" s="13">
        <f>'Bloom Cleaner Data'!GH11+('Bloom Cleaner Data'!V11+'Bloom Cleaner Data'!FA11)+'Bloom Cleaner Data'!CM11</f>
        <v>84156.00009999999</v>
      </c>
      <c r="NG11" s="13">
        <f>'Bloom Cleaner Data'!GI11+('Bloom Cleaner Data'!W11+'Bloom Cleaner Data'!FB11)+'Bloom Cleaner Data'!CN11</f>
        <v>100010.00000000001</v>
      </c>
      <c r="NH11" s="13">
        <f>'Bloom Cleaner Data'!GJ11+('Bloom Cleaner Data'!X11+'Bloom Cleaner Data'!FC11)+'Bloom Cleaner Data'!CO11</f>
        <v>98442.000000000015</v>
      </c>
      <c r="NI11" s="13">
        <f>'Bloom Cleaner Data'!GK11+('Bloom Cleaner Data'!Y11+'Bloom Cleaner Data'!FD11)+'Bloom Cleaner Data'!CP11</f>
        <v>96414.999999999985</v>
      </c>
      <c r="NJ11" s="13">
        <f>'Bloom Cleaner Data'!GL11+('Bloom Cleaner Data'!Z11+'Bloom Cleaner Data'!FE11)+'Bloom Cleaner Data'!CQ11</f>
        <v>89617.927000000011</v>
      </c>
      <c r="NK11" s="13">
        <f>'Bloom Cleaner Data'!GM11+('Bloom Cleaner Data'!AA11+'Bloom Cleaner Data'!FF11)+'Bloom Cleaner Data'!CR11</f>
        <v>87315</v>
      </c>
      <c r="NL11" s="13">
        <f>'Bloom Cleaner Data'!GN11+('Bloom Cleaner Data'!AB11+'Bloom Cleaner Data'!FG11)+'Bloom Cleaner Data'!CS11</f>
        <v>96816</v>
      </c>
      <c r="NM11" s="13">
        <f>'Bloom Cleaner Data'!GO11+('Bloom Cleaner Data'!AC11+'Bloom Cleaner Data'!FH11)+'Bloom Cleaner Data'!CT11</f>
        <v>98673</v>
      </c>
      <c r="NN11" s="13">
        <f>'Bloom Cleaner Data'!GP11+('Bloom Cleaner Data'!AD11+'Bloom Cleaner Data'!FI11)+'Bloom Cleaner Data'!CU11</f>
        <v>97413</v>
      </c>
      <c r="NO11" s="13">
        <f>'Bloom Cleaner Data'!GQ11+('Bloom Cleaner Data'!AE11+'Bloom Cleaner Data'!FJ11)+'Bloom Cleaner Data'!CV11</f>
        <v>98056</v>
      </c>
      <c r="NP11" s="13">
        <f>'Bloom Cleaner Data'!GR11+('Bloom Cleaner Data'!AF11+'Bloom Cleaner Data'!FK11)+'Bloom Cleaner Data'!CW11</f>
        <v>99842</v>
      </c>
      <c r="NQ11" s="13">
        <f>'Bloom Cleaner Data'!GS11+('Bloom Cleaner Data'!AG11+'Bloom Cleaner Data'!FL11)+'Bloom Cleaner Data'!CX11</f>
        <v>97455</v>
      </c>
      <c r="NR11" s="13">
        <f>'Bloom Cleaner Data'!GT11+('Bloom Cleaner Data'!AH11+'Bloom Cleaner Data'!FM11)+'Bloom Cleaner Data'!CY11</f>
        <v>92242</v>
      </c>
      <c r="NS11" s="168"/>
      <c r="NT11" s="2024" t="s">
        <v>53</v>
      </c>
      <c r="NU11" s="998">
        <f>('Bloom Cleaner Data'!T11+'Bloom Cleaner Data'!EY11+'OPERATING LEASES'!BL11)/CALCULATIONS!ND11</f>
        <v>0.68324319409400003</v>
      </c>
      <c r="NV11" s="998">
        <f>('Bloom Cleaner Data'!U11+'Bloom Cleaner Data'!EZ11+'OPERATING LEASES'!BM11)/CALCULATIONS!NE11</f>
        <v>0.6908416982595208</v>
      </c>
      <c r="NW11" s="998">
        <f>('Bloom Cleaner Data'!V11+'Bloom Cleaner Data'!FA11+'OPERATING LEASES'!BN11)/CALCULATIONS!NF11</f>
        <v>0.71974984297219302</v>
      </c>
      <c r="NX11" s="998">
        <f>('Bloom Cleaner Data'!W11+'Bloom Cleaner Data'!FB11+'OPERATING LEASES'!BO11)/CALCULATIONS!NG11</f>
        <v>0.59917767151856238</v>
      </c>
      <c r="NY11" s="998">
        <f>('Bloom Cleaner Data'!X11+'Bloom Cleaner Data'!FC11+'OPERATING LEASES'!BP11)/CALCULATIONS!NH11</f>
        <v>0.61590835212612494</v>
      </c>
      <c r="NZ11" s="998">
        <f>('Bloom Cleaner Data'!Y11+'Bloom Cleaner Data'!FD11+'OPERATING LEASES'!BQ11)/CALCULATIONS!NI11</f>
        <v>0.62045681429238198</v>
      </c>
      <c r="OA11" s="998">
        <f>('Bloom Cleaner Data'!Z11+'Bloom Cleaner Data'!FE11+'OPERATING LEASES'!BR11)/CALCULATIONS!NJ11</f>
        <v>0.65834606395213757</v>
      </c>
      <c r="OB11" s="998">
        <f>('Bloom Cleaner Data'!AA11+'Bloom Cleaner Data'!FF11+'OPERATING LEASES'!BS11)/CALCULATIONS!NK11</f>
        <v>0.68830706350569781</v>
      </c>
      <c r="OC11" s="998">
        <f>('Bloom Cleaner Data'!AB11+'Bloom Cleaner Data'!FG11+'OPERATING LEASES'!BT11)/CALCULATIONS!NL11</f>
        <v>0.67021592505371008</v>
      </c>
      <c r="OD11" s="998">
        <f>('Bloom Cleaner Data'!AC11+'Bloom Cleaner Data'!FH11+'OPERATING LEASES'!BU11)/CALCULATIONS!NM11</f>
        <v>0.67345392103209589</v>
      </c>
      <c r="OE11" s="998">
        <f>('Bloom Cleaner Data'!AD11+'Bloom Cleaner Data'!FI11+'OPERATING LEASES'!BV11)/CALCULATIONS!NN11</f>
        <v>0.69081962879697778</v>
      </c>
      <c r="OF11" s="998">
        <f>('Bloom Cleaner Data'!AE11+'Bloom Cleaner Data'!FJ11+'OPERATING LEASES'!BW11)/CALCULATIONS!NO11</f>
        <v>0.69152225513992005</v>
      </c>
      <c r="OG11" s="998">
        <f>('Bloom Cleaner Data'!AF11+'Bloom Cleaner Data'!FK11+'OPERATING LEASES'!BX11)/CALCULATIONS!NP11</f>
        <v>0.66351835900723144</v>
      </c>
      <c r="OH11" s="998">
        <f>('Bloom Cleaner Data'!AG11+'Bloom Cleaner Data'!FL11+'OPERATING LEASES'!BY11)/CALCULATIONS!NQ11</f>
        <v>0.64431789030834741</v>
      </c>
      <c r="OI11" s="998">
        <f>('Bloom Cleaner Data'!AH11+'Bloom Cleaner Data'!FM11+'OPERATING LEASES'!BZ11)/CALCULATIONS!NR11</f>
        <v>0.67183061945751388</v>
      </c>
      <c r="OJ11" s="18">
        <f t="shared" si="98"/>
        <v>0.65988895625769761</v>
      </c>
      <c r="OK11" s="18">
        <f t="shared" si="99"/>
        <v>0.6677972809782533</v>
      </c>
      <c r="OL11" s="18">
        <f t="shared" si="100"/>
        <v>0.66212495439714558</v>
      </c>
      <c r="OM11" s="10">
        <f t="shared" si="101"/>
        <v>-6.6577608849204661E-2</v>
      </c>
      <c r="ON11" s="10"/>
      <c r="OO11" s="2710"/>
      <c r="OP11" s="526">
        <f>'Bloom Cleaner Data'!D11/'Bloom Cleaner Data'!GF11</f>
        <v>3.6650596934992175</v>
      </c>
      <c r="OQ11" s="526">
        <f>'Bloom Cleaner Data'!E11/'Bloom Cleaner Data'!GG11</f>
        <v>3.3458367382763519</v>
      </c>
      <c r="OR11" s="526">
        <f>'Bloom Cleaner Data'!F11/'Bloom Cleaner Data'!GH11</f>
        <v>3.1661513142337427</v>
      </c>
      <c r="OS11" s="526">
        <f>'Bloom Cleaner Data'!G11/'Bloom Cleaner Data'!GI11</f>
        <v>2.6123325970506679</v>
      </c>
      <c r="OT11" s="526">
        <f>'Bloom Cleaner Data'!H11/'Bloom Cleaner Data'!GJ11</f>
        <v>2.4142042829188233</v>
      </c>
      <c r="OU11" s="526">
        <f>'Bloom Cleaner Data'!I11/'Bloom Cleaner Data'!GK11</f>
        <v>2.5642628828599601</v>
      </c>
      <c r="OV11" s="526">
        <f>'Bloom Cleaner Data'!J11/'Bloom Cleaner Data'!GL11</f>
        <v>2.9541315184626851</v>
      </c>
      <c r="OW11" s="526">
        <f>'Bloom Cleaner Data'!K11/'Bloom Cleaner Data'!GM11</f>
        <v>2.8419080678580682</v>
      </c>
      <c r="OX11" s="526">
        <f>'Bloom Cleaner Data'!L11/'Bloom Cleaner Data'!GN11</f>
        <v>2.1897509622758644</v>
      </c>
      <c r="OY11" s="526">
        <f>'Bloom Cleaner Data'!M11/'Bloom Cleaner Data'!GO11</f>
        <v>1.9945121774164278</v>
      </c>
      <c r="OZ11" s="526">
        <f>'Bloom Cleaner Data'!N11/'Bloom Cleaner Data'!GP11</f>
        <v>1.8025774225774225</v>
      </c>
      <c r="PA11" s="526">
        <f>'Bloom Cleaner Data'!O11/'Bloom Cleaner Data'!GQ11</f>
        <v>1.8025740627624647</v>
      </c>
      <c r="PB11" s="526">
        <f>'Bloom Cleaner Data'!P11/'Bloom Cleaner Data'!GR11</f>
        <v>1.6589194642276128</v>
      </c>
      <c r="PC11" s="526">
        <f>'Bloom Cleaner Data'!Q11/'Bloom Cleaner Data'!GS11</f>
        <v>1.6653381204869711</v>
      </c>
      <c r="PD11" s="526">
        <f>'Bloom Cleaner Data'!R11/'Bloom Cleaner Data'!GT11</f>
        <v>1.7716210773954304</v>
      </c>
      <c r="PE11" s="526">
        <f t="shared" si="102"/>
        <v>2.2644833808097031</v>
      </c>
      <c r="PF11" s="10">
        <f t="shared" si="103"/>
        <v>-0.44044964956951532</v>
      </c>
      <c r="PG11" s="526">
        <f t="shared" si="104"/>
        <v>2.4819836007303797</v>
      </c>
      <c r="PH11" s="18"/>
      <c r="PI11" s="2710"/>
      <c r="PJ11" s="526">
        <f>CALCULATIONS!DD11/'Bloom Cleaner Data'!GF11</f>
        <v>0.96967999294703355</v>
      </c>
      <c r="PK11" s="526">
        <f>CALCULATIONS!DE11/'Bloom Cleaner Data'!GG11</f>
        <v>0.97448180909567805</v>
      </c>
      <c r="PL11" s="526">
        <f>CALCULATIONS!DF11/'Bloom Cleaner Data'!GH11</f>
        <v>1.066157758092096</v>
      </c>
      <c r="PM11" s="526">
        <f>CALCULATIONS!DG11/'Bloom Cleaner Data'!GI11</f>
        <v>0.73760929522544483</v>
      </c>
      <c r="PN11" s="526">
        <f>CALCULATIONS!DH11/'Bloom Cleaner Data'!GJ11</f>
        <v>0.84844184645927478</v>
      </c>
      <c r="PO11" s="526">
        <f>CALCULATIONS!DI11/'Bloom Cleaner Data'!GK11</f>
        <v>0.86671633980550589</v>
      </c>
      <c r="PP11" s="526">
        <f>CALCULATIONS!DJ11/'Bloom Cleaner Data'!GL11</f>
        <v>1.0451608425635235</v>
      </c>
      <c r="PQ11" s="526">
        <f>CALCULATIONS!DK11/'Bloom Cleaner Data'!GM11</f>
        <v>1.0590988981151501</v>
      </c>
      <c r="PR11" s="526">
        <f>CALCULATIONS!DL11/'Bloom Cleaner Data'!GN11</f>
        <v>0.75207653575387745</v>
      </c>
      <c r="PS11" s="526">
        <f>CALCULATIONS!DM11/'Bloom Cleaner Data'!GO11</f>
        <v>0.72971443690794535</v>
      </c>
      <c r="PT11" s="526">
        <f>CALCULATIONS!DN11/'Bloom Cleaner Data'!GP11</f>
        <v>0.75654314268436618</v>
      </c>
      <c r="PU11" s="526">
        <f>CALCULATIONS!DO11/'Bloom Cleaner Data'!GQ11</f>
        <v>0.84571844149128439</v>
      </c>
      <c r="PV11" s="526">
        <f>CALCULATIONS!DP11/'Bloom Cleaner Data'!GR11</f>
        <v>0.81242799038177027</v>
      </c>
      <c r="PW11" s="526">
        <f>CALCULATIONS!DQ11/'Bloom Cleaner Data'!GS11</f>
        <v>0.76916532963714723</v>
      </c>
      <c r="PX11" s="526">
        <f>CALCULATIONS!DR11/'Bloom Cleaner Data'!GT11</f>
        <v>0.8603873211853359</v>
      </c>
      <c r="PY11" s="526">
        <f t="shared" si="105"/>
        <v>0.85763216756174776</v>
      </c>
      <c r="PZ11" s="526">
        <f t="shared" si="106"/>
        <v>0.84781032652448884</v>
      </c>
      <c r="QA11" s="18"/>
      <c r="QC11" s="15">
        <f>'Bloom Cleaner Data'!HZ11</f>
        <v>7.5750999999999999</v>
      </c>
      <c r="QD11" s="15">
        <f>AVERAGE('Bloom Cleaner Data'!HN11:HZ11)</f>
        <v>7.4684153846153851</v>
      </c>
      <c r="QE11" s="504">
        <f>('Bloom Cleaner Data'!HZ11-'Bloom Cleaner Data'!HN11)/'Bloom Cleaner Data'!HN11</f>
        <v>-2.2807311755827613E-2</v>
      </c>
      <c r="QF11" s="15">
        <f>'Bloom Cleaner Data'!HZ11-'Bloom Cleaner Data'!HL11</f>
        <v>0.67309999999999981</v>
      </c>
    </row>
    <row r="12" spans="1:450">
      <c r="A12" s="11" t="s">
        <v>73</v>
      </c>
      <c r="B12" s="83" t="s">
        <v>285</v>
      </c>
      <c r="C12" s="1207" t="s">
        <v>1103</v>
      </c>
      <c r="E12" s="13">
        <f>'Bloom Cleaner Data'!D12</f>
        <v>2483.6786000000002</v>
      </c>
      <c r="G12" s="13">
        <f>'Bloom Cleaner Data'!F12</f>
        <v>2215.0933</v>
      </c>
      <c r="H12" s="13">
        <f>'Bloom Cleaner Data'!H12</f>
        <v>2705.8244</v>
      </c>
      <c r="I12" s="13">
        <f>'Bloom Cleaner Data'!J12</f>
        <v>2313.2302</v>
      </c>
      <c r="J12" s="13">
        <f>'Bloom Cleaner Data'!L12</f>
        <v>2519.9494</v>
      </c>
      <c r="K12" s="13">
        <f>'Bloom Cleaner Data'!N12</f>
        <v>2487.5765000000001</v>
      </c>
      <c r="L12" s="13">
        <f>'Bloom Cleaner Data'!P12</f>
        <v>2624.5967999999998</v>
      </c>
      <c r="M12" s="13">
        <f>'Bloom Cleaner Data'!R12</f>
        <v>2364.3629999999998</v>
      </c>
      <c r="N12" s="13">
        <f t="shared" si="0"/>
        <v>2461.5190857142857</v>
      </c>
      <c r="O12" s="13">
        <f t="shared" si="32"/>
        <v>2492.1787666666664</v>
      </c>
      <c r="P12" s="10">
        <f t="shared" si="1"/>
        <v>6.738754525599433E-2</v>
      </c>
      <c r="Q12" s="146">
        <f t="shared" si="107"/>
        <v>6.738754525599433E-2</v>
      </c>
      <c r="R12" s="10">
        <f t="shared" si="33"/>
        <v>0.16916312416163326</v>
      </c>
      <c r="S12" s="1363" t="s">
        <v>285</v>
      </c>
      <c r="T12" s="1322">
        <f>'Bloom Cleaner Data'!D12/'Bloom Cleaner Data'!$F12</f>
        <v>1.1212523644037928</v>
      </c>
      <c r="U12" s="1322">
        <f>'Bloom Cleaner Data'!E12/'Bloom Cleaner Data'!$F12</f>
        <v>1.0738569341526156</v>
      </c>
      <c r="V12" s="1322">
        <f>'Bloom Cleaner Data'!F12/'Bloom Cleaner Data'!$F12</f>
        <v>1</v>
      </c>
      <c r="W12" s="1322">
        <f>'Bloom Cleaner Data'!G12/'Bloom Cleaner Data'!$F12</f>
        <v>1.184950719683004</v>
      </c>
      <c r="X12" s="1322">
        <f>'Bloom Cleaner Data'!H12/'Bloom Cleaner Data'!$F12</f>
        <v>1.2215396976732311</v>
      </c>
      <c r="Y12" s="1322">
        <f>'Bloom Cleaner Data'!I12/'Bloom Cleaner Data'!$F12</f>
        <v>1.0929392454936322</v>
      </c>
      <c r="Z12" s="1322">
        <f>'Bloom Cleaner Data'!J12/'Bloom Cleaner Data'!$F12</f>
        <v>1.0443037320369304</v>
      </c>
      <c r="AA12" s="1322">
        <f>'Bloom Cleaner Data'!K12/'Bloom Cleaner Data'!$F12</f>
        <v>1.1541821737260458</v>
      </c>
      <c r="AB12" s="1322">
        <f>'Bloom Cleaner Data'!L12/'Bloom Cleaner Data'!$F12</f>
        <v>1.1376267536902396</v>
      </c>
      <c r="AC12" s="1322">
        <f>'Bloom Cleaner Data'!M12/'Bloom Cleaner Data'!$F12</f>
        <v>1.2686365851948538</v>
      </c>
      <c r="AD12" s="1322">
        <f>'Bloom Cleaner Data'!N12/'Bloom Cleaner Data'!$F12</f>
        <v>1.1230120645482518</v>
      </c>
      <c r="AE12" s="1322">
        <f>'Bloom Cleaner Data'!O12/'Bloom Cleaner Data'!$F12</f>
        <v>1.2439379415756437</v>
      </c>
      <c r="AF12" s="1322">
        <f>'Bloom Cleaner Data'!P12/'Bloom Cleaner Data'!$F12</f>
        <v>1.1848696395768068</v>
      </c>
      <c r="AG12" s="1322">
        <f>'Bloom Cleaner Data'!Q12/'Bloom Cleaner Data'!$F12</f>
        <v>1.0262649433321838</v>
      </c>
      <c r="AH12" s="1322">
        <f>'Bloom Cleaner Data'!R12/'Bloom Cleaner Data'!$F12</f>
        <v>1.0673875452559944</v>
      </c>
      <c r="AI12" s="13"/>
      <c r="AJ12" s="13">
        <f>AVERAGE('Bloom Cleaner Data'!BW12:CI12)</f>
        <v>3319.7502461538465</v>
      </c>
      <c r="AK12" s="18">
        <f>('Bloom Cleaner Data'!CI12-'Bloom Cleaner Data'!BW12)/'Bloom Cleaner Data'!BW12</f>
        <v>0.15580152272718772</v>
      </c>
      <c r="AL12" s="18">
        <f>('Bloom Cleaner Data'!CI12+'Bloom Cleaner Data'!CH12-'Bloom Cleaner Data'!BW12-'Bloom Cleaner Data'!BV12)/('Bloom Cleaner Data'!BW12+'Bloom Cleaner Data'!BV12)</f>
        <v>5.6639984269490254E-2</v>
      </c>
      <c r="AM12" s="13"/>
      <c r="AN12" s="13">
        <f>'Bloom Cleaner Data'!BW12</f>
        <v>2970.8933000000002</v>
      </c>
      <c r="AO12" s="13">
        <f>'Bloom Cleaner Data'!BY12</f>
        <v>3485.2244000000001</v>
      </c>
      <c r="AP12" s="13">
        <f>'Bloom Cleaner Data'!CA12</f>
        <v>3162.5302000000001</v>
      </c>
      <c r="AQ12" s="13">
        <f>'Bloom Cleaner Data'!CC12</f>
        <v>3311.5493999999999</v>
      </c>
      <c r="AR12" s="13">
        <f>'Bloom Cleaner Data'!CE12</f>
        <v>3399.2764999999999</v>
      </c>
      <c r="AS12" s="13">
        <f>'Bloom Cleaner Data'!CG12</f>
        <v>3465.9967999999999</v>
      </c>
      <c r="AT12" s="13">
        <f>'Bloom Cleaner Data'!CI12</f>
        <v>3433.7629999999999</v>
      </c>
      <c r="AU12" s="13">
        <f t="shared" si="2"/>
        <v>3318.4619428571427</v>
      </c>
      <c r="AV12" s="10">
        <f t="shared" si="3"/>
        <v>0.15580152272718772</v>
      </c>
      <c r="AW12" s="10"/>
      <c r="AX12" s="13">
        <f>'Bloom Cleaner Data'!T12+'OPERATING LEASES'!AU12</f>
        <v>773.24960443541204</v>
      </c>
      <c r="AY12" s="13">
        <f>'Bloom Cleaner Data'!U12+'OPERATING LEASES'!AV12</f>
        <v>870.87350182161435</v>
      </c>
      <c r="AZ12" s="13">
        <f>'Bloom Cleaner Data'!V12+'OPERATING LEASES'!AW12</f>
        <v>804.89739920781665</v>
      </c>
      <c r="BA12" s="13">
        <f>'Bloom Cleaner Data'!W12+'OPERATING LEASES'!AX12</f>
        <v>776.02129659401885</v>
      </c>
      <c r="BB12" s="13">
        <f>'Bloom Cleaner Data'!X12+'OPERATING LEASES'!AY12</f>
        <v>826.3451939802211</v>
      </c>
      <c r="BC12" s="13">
        <f>'Bloom Cleaner Data'!Y12+'OPERATING LEASES'!AZ12</f>
        <v>826.16085018852232</v>
      </c>
      <c r="BD12" s="13">
        <f>'Bloom Cleaner Data'!Z12+'OPERATING LEASES'!BA12</f>
        <v>944.47650639682342</v>
      </c>
      <c r="BE12" s="13">
        <f>'Bloom Cleaner Data'!AA12+'OPERATING LEASES'!BB12</f>
        <v>680.29216260512476</v>
      </c>
      <c r="BF12" s="13">
        <f>'Bloom Cleaner Data'!AB12+'OPERATING LEASES'!BC12</f>
        <v>936.20781881342589</v>
      </c>
      <c r="BG12" s="13">
        <f>'Bloom Cleaner Data'!AC12+'OPERATING LEASES'!BD12</f>
        <v>883.23212041156864</v>
      </c>
      <c r="BH12" s="13">
        <f>'Bloom Cleaner Data'!AD12+'OPERATING LEASES'!BE12</f>
        <v>1019.8564220097114</v>
      </c>
      <c r="BI12" s="13">
        <f>'Bloom Cleaner Data'!AE12+'OPERATING LEASES'!BF12</f>
        <v>966.28072360785427</v>
      </c>
      <c r="BJ12" s="13">
        <f>'Bloom Cleaner Data'!AF12+'OPERATING LEASES'!BG12</f>
        <v>912.00502520599696</v>
      </c>
      <c r="BK12" s="13">
        <f>'Bloom Cleaner Data'!AG12+'OPERATING LEASES'!BH12</f>
        <v>880.80502520599691</v>
      </c>
      <c r="BL12" s="13">
        <f>'Bloom Cleaner Data'!AH12+'OPERATING LEASES'!BI12</f>
        <v>1115.805025205997</v>
      </c>
      <c r="BM12" s="1167">
        <f t="shared" si="34"/>
        <v>890.18350534100603</v>
      </c>
      <c r="BN12" s="10">
        <f t="shared" si="35"/>
        <v>0.38626988521043421</v>
      </c>
      <c r="BO12" s="10"/>
      <c r="BP12" s="13">
        <f>'Bloom Cleaner Data'!BU12+'OPERATING LEASES'!AU12</f>
        <v>3257.728204435412</v>
      </c>
      <c r="BQ12" s="13">
        <f>'Bloom Cleaner Data'!BV12+'OPERATING LEASES'!AV12</f>
        <v>3250.5668018216143</v>
      </c>
      <c r="BR12" s="13">
        <f>'Bloom Cleaner Data'!BW12+'OPERATING LEASES'!AW12</f>
        <v>3023.2906992078169</v>
      </c>
      <c r="BS12" s="13">
        <f>'Bloom Cleaner Data'!BX12+'OPERATING LEASES'!AX12</f>
        <v>3403.4976965940191</v>
      </c>
      <c r="BT12" s="13">
        <f>'Bloom Cleaner Data'!BY12+'OPERATING LEASES'!AY12</f>
        <v>3535.2695939802211</v>
      </c>
      <c r="BU12" s="13">
        <f>'Bloom Cleaner Data'!BZ12+'OPERATING LEASES'!AZ12</f>
        <v>3250.2232501885223</v>
      </c>
      <c r="BV12" s="13">
        <f>'Bloom Cleaner Data'!CA12+'OPERATING LEASES'!BA12</f>
        <v>3261.6067063968235</v>
      </c>
      <c r="BW12" s="13">
        <f>'Bloom Cleaner Data'!CB12+'OPERATING LEASES'!BB12</f>
        <v>3240.3133626051244</v>
      </c>
      <c r="BX12" s="13">
        <f>'Bloom Cleaner Data'!CC12+'OPERATING LEASES'!BC12</f>
        <v>3459.657218813426</v>
      </c>
      <c r="BY12" s="13">
        <f>'Bloom Cleaner Data'!CD12+'OPERATING LEASES'!BD12</f>
        <v>3696.6805204115685</v>
      </c>
      <c r="BZ12" s="13">
        <f>'Bloom Cleaner Data'!CE12+'OPERATING LEASES'!BE12</f>
        <v>3510.0329220097115</v>
      </c>
      <c r="CA12" s="13">
        <f>'Bloom Cleaner Data'!CF12+'OPERATING LEASES'!BF12</f>
        <v>3724.2193236078542</v>
      </c>
      <c r="CB12" s="13">
        <f>'Bloom Cleaner Data'!CG12+'OPERATING LEASES'!BG12</f>
        <v>3539.4018252059968</v>
      </c>
      <c r="CC12" s="13">
        <f>'Bloom Cleaner Data'!CH12+'OPERATING LEASES'!BH12</f>
        <v>3156.877625205997</v>
      </c>
      <c r="CD12" s="13">
        <f>'Bloom Cleaner Data'!CI12+'OPERATING LEASES'!BI12</f>
        <v>3507.1680252059969</v>
      </c>
      <c r="CE12" s="1167">
        <f t="shared" si="36"/>
        <v>3408.3260591871604</v>
      </c>
      <c r="CF12" s="10">
        <f t="shared" si="37"/>
        <v>0.16004988409648094</v>
      </c>
      <c r="CG12" s="18">
        <f t="shared" si="4"/>
        <v>2.6681468925541862E-2</v>
      </c>
      <c r="CH12" s="13"/>
      <c r="CI12" s="18">
        <f>$CI$1*BP12/('Bloom Cleaner Data'!D12+'Bloom Cleaner Data'!T12+'OPERATING LEASES'!AU12)+(1-$CI$1)*'Bloom Cleaner Data'!BU12/('Bloom Cleaner Data'!D12+'Bloom Cleaner Data'!T12)-1</f>
        <v>2.4563022264678658E-4</v>
      </c>
      <c r="CJ12" s="18">
        <f>$CI$1*BQ12/('Bloom Cleaner Data'!E12+'Bloom Cleaner Data'!U12+'OPERATING LEASES'!AV12)+(1-$CI$1)*'Bloom Cleaner Data'!BV12/('Bloom Cleaner Data'!E12+'Bloom Cleaner Data'!U12)-1</f>
        <v>3.0773332600508851E-4</v>
      </c>
      <c r="CK12" s="18">
        <f>$CI$1*BR12/('Bloom Cleaner Data'!F12+'Bloom Cleaner Data'!V12+'OPERATING LEASES'!AW12)+(1-$CI$1)*'Bloom Cleaner Data'!BW12/('Bloom Cleaner Data'!F12+'Bloom Cleaner Data'!V12)-1</f>
        <v>1.0927185970690534E-3</v>
      </c>
      <c r="CL12" s="18">
        <f>$CI$1*BS12/('Bloom Cleaner Data'!G12+'Bloom Cleaner Data'!W12+'OPERATING LEASES'!AX12)+(1-$CI$1)*'Bloom Cleaner Data'!BX12/('Bloom Cleaner Data'!G12+'Bloom Cleaner Data'!W12)-1</f>
        <v>7.9393137754246723E-4</v>
      </c>
      <c r="CM12" s="18">
        <f>$CI$1*BT12/('Bloom Cleaner Data'!H12+'Bloom Cleaner Data'!X12+'OPERATING LEASES'!AY12)+(1-$CI$1)*'Bloom Cleaner Data'!BY12/('Bloom Cleaner Data'!H12+'Bloom Cleaner Data'!X12)-1</f>
        <v>8.7764755273456174E-4</v>
      </c>
      <c r="CN12" s="18">
        <f>$CI$1*BU12/('Bloom Cleaner Data'!I12+'Bloom Cleaner Data'!Y12+'OPERATING LEASES'!AZ12)+(1-$CI$1)*'Bloom Cleaner Data'!BZ12/('Bloom Cleaner Data'!I12+'Bloom Cleaner Data'!Y12)-1</f>
        <v>9.5469120238056426E-4</v>
      </c>
      <c r="CO12" s="18">
        <f>$CI$1*BV12/('Bloom Cleaner Data'!J12+'Bloom Cleaner Data'!Z12+'OPERATING LEASES'!BA12)+(1-$CI$1)*'Bloom Cleaner Data'!CA12/('Bloom Cleaner Data'!J12+'Bloom Cleaner Data'!Z12)-1</f>
        <v>1.1971611785499547E-3</v>
      </c>
      <c r="CP12" s="18">
        <f>$CI$1*BW12/('Bloom Cleaner Data'!K12+'Bloom Cleaner Data'!AA12+'OPERATING LEASES'!BB12)+(1-$CI$1)*'Bloom Cleaner Data'!CB12/('Bloom Cleaner Data'!K12+'Bloom Cleaner Data'!AA12)-1</f>
        <v>1.0503833804385021E-3</v>
      </c>
      <c r="CQ12" s="18">
        <f>$CI$1*BX12/('Bloom Cleaner Data'!L12+'Bloom Cleaner Data'!AB12+'OPERATING LEASES'!BC12)+(1-$CI$1)*'Bloom Cleaner Data'!CC12/('Bloom Cleaner Data'!L12+'Bloom Cleaner Data'!AB12)-1</f>
        <v>1.0126854128476026E-3</v>
      </c>
      <c r="CR12" s="18">
        <f>$CI$1*BY12/('Bloom Cleaner Data'!M12+'Bloom Cleaner Data'!AC12+'OPERATING LEASES'!BD12)+(1-$CI$1)*'Bloom Cleaner Data'!CD12/('Bloom Cleaner Data'!M12+'Bloom Cleaner Data'!AC12)-1</f>
        <v>8.9349038956654248E-4</v>
      </c>
      <c r="CS12" s="18">
        <f>$CI$1*BZ12/('Bloom Cleaner Data'!N12+'Bloom Cleaner Data'!AD12+'OPERATING LEASES'!BE12)+(1-$CI$1)*'Bloom Cleaner Data'!CE12/('Bloom Cleaner Data'!N12+'Bloom Cleaner Data'!AD12)-1</f>
        <v>7.4128288631958306E-4</v>
      </c>
      <c r="CT12" s="18">
        <f>$CI$1*CA12/('Bloom Cleaner Data'!O12+'Bloom Cleaner Data'!AE12+'OPERATING LEASES'!BF12)+(1-$CI$1)*'Bloom Cleaner Data'!CF12/('Bloom Cleaner Data'!O12+'Bloom Cleaner Data'!AE12)-1</f>
        <v>6.7173254687480366E-4</v>
      </c>
      <c r="CU12" s="18">
        <f>$CI$1*CB12/('Bloom Cleaner Data'!P12+'Bloom Cleaner Data'!AF12+'OPERATING LEASES'!BG12)+(1-$CI$1)*'Bloom Cleaner Data'!CG12/('Bloom Cleaner Data'!P12+'Bloom Cleaner Data'!AF12)-1</f>
        <v>7.9172045324527041E-4</v>
      </c>
      <c r="CV12" s="18">
        <f>$CI$1*CC12/('Bloom Cleaner Data'!Q12+'Bloom Cleaner Data'!AG12+'OPERATING LEASES'!BH12)+(1-$CI$1)*'Bloom Cleaner Data'!CH12/('Bloom Cleaner Data'!Q12+'Bloom Cleaner Data'!AG12)-1</f>
        <v>8.8773972384936783E-4</v>
      </c>
      <c r="CW12" s="18">
        <f>$CI$1*CD12/('Bloom Cleaner Data'!R12+'Bloom Cleaner Data'!AH12+'OPERATING LEASES'!BI12)+(1-$CI$1)*'Bloom Cleaner Data'!CI12/('Bloom Cleaner Data'!R12+'Bloom Cleaner Data'!AH12)-1</f>
        <v>7.7582460974428002E-3</v>
      </c>
      <c r="CX12" s="18">
        <f t="shared" si="38"/>
        <v>1.440263907604698E-3</v>
      </c>
      <c r="CY12" s="13"/>
      <c r="CZ12" s="3112">
        <f>AVERAGE('Bloom Cleaner Data'!GX12:HJ12)</f>
        <v>494.51420164515673</v>
      </c>
      <c r="DA12" s="2860">
        <f>('Bloom Cleaner Data'!HJ12-'Bloom Cleaner Data'!GX12)/'Bloom Cleaner Data'!GX12</f>
        <v>5.9647354778817078E-3</v>
      </c>
      <c r="DB12" s="2860">
        <f>('Bloom Cleaner Data'!HJ12+'Bloom Cleaner Data'!HI12-'Bloom Cleaner Data'!GX12-'Bloom Cleaner Data'!GW12)/('Bloom Cleaner Data'!GX12+'Bloom Cleaner Data'!GW12)</f>
        <v>8.1419258447257385E-3</v>
      </c>
      <c r="DC12" s="13"/>
      <c r="DD12" s="13">
        <f>'Bloom Cleaner Data'!GV12+'OPERATING LEASES'!BL12</f>
        <v>492.64472703458438</v>
      </c>
      <c r="DE12" s="13">
        <f>'Bloom Cleaner Data'!GW12+'OPERATING LEASES'!BM12</f>
        <v>492.95943857187171</v>
      </c>
      <c r="DF12" s="13">
        <f>'Bloom Cleaner Data'!GX12+'OPERATING LEASES'!BN12</f>
        <v>494.57825428043384</v>
      </c>
      <c r="DG12" s="13">
        <f>'Bloom Cleaner Data'!GY12+'OPERATING LEASES'!BO12</f>
        <v>490.09325500361433</v>
      </c>
      <c r="DH12" s="13">
        <f>'Bloom Cleaner Data'!GZ12+'OPERATING LEASES'!BP12</f>
        <v>492.41097715736038</v>
      </c>
      <c r="DI12" s="13">
        <f>'Bloom Cleaner Data'!HA12+'OPERATING LEASES'!BQ12</f>
        <v>498.09269052051735</v>
      </c>
      <c r="DJ12" s="13">
        <f>'Bloom Cleaner Data'!HB12+'OPERATING LEASES'!BR12</f>
        <v>504.56698312807504</v>
      </c>
      <c r="DK12" s="13">
        <f>'Bloom Cleaner Data'!HC12+'OPERATING LEASES'!BS12</f>
        <v>515.94931907952423</v>
      </c>
      <c r="DL12" s="13">
        <f>'Bloom Cleaner Data'!HD12+'OPERATING LEASES'!BT12</f>
        <v>526.22239146296965</v>
      </c>
      <c r="DM12" s="13">
        <f>'Bloom Cleaner Data'!HE12+'OPERATING LEASES'!BU12</f>
        <v>526.84550233395862</v>
      </c>
      <c r="DN12" s="13">
        <f>'Bloom Cleaner Data'!HF12+'OPERATING LEASES'!BV12</f>
        <v>524.66588594552627</v>
      </c>
      <c r="DO12" s="13">
        <f>'Bloom Cleaner Data'!HG12+'OPERATING LEASES'!BW12</f>
        <v>521.09025377159685</v>
      </c>
      <c r="DP12" s="13">
        <f>'Bloom Cleaner Data'!HH12+'OPERATING LEASES'!BX12</f>
        <v>512.30940670983784</v>
      </c>
      <c r="DQ12" s="13">
        <f>'Bloom Cleaner Data'!HI12+'OPERATING LEASES'!BY12</f>
        <v>500.10862573910561</v>
      </c>
      <c r="DR12" s="13">
        <f>'Bloom Cleaner Data'!HJ12+'OPERATING LEASES'!BZ12</f>
        <v>500.11134411165995</v>
      </c>
      <c r="DS12" s="1167">
        <f t="shared" si="39"/>
        <v>508.23422224955232</v>
      </c>
      <c r="DT12" s="10">
        <f t="shared" si="40"/>
        <v>1.1187491126710063E-2</v>
      </c>
      <c r="DU12" s="18">
        <f t="shared" si="41"/>
        <v>2.7744442037764799E-2</v>
      </c>
      <c r="DV12" s="167"/>
      <c r="DW12" s="15">
        <f>'Bloom Cleaner Data'!DT12</f>
        <v>2.0605000000000002</v>
      </c>
      <c r="DX12" s="15">
        <f>'Bloom Cleaner Data'!DX12</f>
        <v>2.1118999999999999</v>
      </c>
      <c r="DY12" s="15">
        <f>'Bloom Cleaner Data'!EB12</f>
        <v>2.1941000000000002</v>
      </c>
      <c r="DZ12" s="15">
        <f>'Bloom Cleaner Data'!EF12</f>
        <v>2.2385999999999999</v>
      </c>
      <c r="EA12" s="15">
        <f>AVERAGE('Bloom Cleaner Data'!DT12:EF12)</f>
        <v>2.1973000000000003</v>
      </c>
      <c r="EB12" s="18">
        <f t="shared" si="5"/>
        <v>8.6435331230283755E-2</v>
      </c>
      <c r="EC12" s="13"/>
      <c r="ED12" s="15">
        <f>'Bloom Cleaner Data'!DC12</f>
        <v>6.1142000000000003</v>
      </c>
      <c r="EE12" s="15">
        <f>'Bloom Cleaner Data'!DG12</f>
        <v>6.4634</v>
      </c>
      <c r="EF12" s="15">
        <f>'Bloom Cleaner Data'!DK12</f>
        <v>6.6967999999999996</v>
      </c>
      <c r="EG12" s="15">
        <f>'Bloom Cleaner Data'!DO12</f>
        <v>7.0248999999999997</v>
      </c>
      <c r="EH12" s="15">
        <f>AVERAGE('Bloom Cleaner Data'!DC12:DO12)</f>
        <v>6.7117230769230778</v>
      </c>
      <c r="EI12" s="22">
        <f t="shared" si="42"/>
        <v>6.5748249999999997</v>
      </c>
      <c r="EJ12" s="22">
        <f t="shared" si="6"/>
        <v>0.13689807692307809</v>
      </c>
      <c r="EK12" s="18">
        <f t="shared" si="43"/>
        <v>0.1489483497432206</v>
      </c>
      <c r="EL12" s="241"/>
      <c r="EM12" s="15">
        <f>('Bloom Cleaner Data'!BU12+'OPERATING LEASES'!AU12)/DD12</f>
        <v>6.6127333261941414</v>
      </c>
      <c r="EN12" s="15">
        <f>('Bloom Cleaner Data'!BV12+'OPERATING LEASES'!AV12)/DE12</f>
        <v>6.5939843067792143</v>
      </c>
      <c r="EO12" s="15">
        <f>('Bloom Cleaner Data'!BW12+'OPERATING LEASES'!AW12)/DF12</f>
        <v>6.1128662108414549</v>
      </c>
      <c r="EP12" s="15">
        <f>('Bloom Cleaner Data'!BX12+'OPERATING LEASES'!AX12)/DG12</f>
        <v>6.9445919972290149</v>
      </c>
      <c r="EQ12" s="15">
        <f>('Bloom Cleaner Data'!BY12+'OPERATING LEASES'!AY12)/DH12</f>
        <v>7.1795101205683531</v>
      </c>
      <c r="ER12" s="15">
        <f>('Bloom Cleaner Data'!BZ12+'OPERATING LEASES'!AZ12)/DI12</f>
        <v>6.5253381791087328</v>
      </c>
      <c r="ES12" s="15">
        <f>('Bloom Cleaner Data'!CA12+'OPERATING LEASES'!BA12)/DJ12</f>
        <v>6.4641699030253923</v>
      </c>
      <c r="ET12" s="15">
        <f>('Bloom Cleaner Data'!CB12+'OPERATING LEASES'!BB12)/DK12</f>
        <v>6.280293902482482</v>
      </c>
      <c r="EU12" s="15">
        <f>('Bloom Cleaner Data'!CC12+'OPERATING LEASES'!BC12)/DL12</f>
        <v>6.5745154043998575</v>
      </c>
      <c r="EV12" s="15">
        <f>('Bloom Cleaner Data'!CD12+'OPERATING LEASES'!BD12)/DM12</f>
        <v>7.0166310693268557</v>
      </c>
      <c r="EW12" s="15">
        <f>('Bloom Cleaner Data'!CE12+'OPERATING LEASES'!BE12)/DN12</f>
        <v>6.690034583979303</v>
      </c>
      <c r="EX12" s="15">
        <f>('Bloom Cleaner Data'!CF12+'OPERATING LEASES'!BF12)/DO12</f>
        <v>7.1469755894537341</v>
      </c>
      <c r="EY12" s="15">
        <f>('Bloom Cleaner Data'!CG12+'OPERATING LEASES'!BG12)/DP12</f>
        <v>6.9087191819037699</v>
      </c>
      <c r="EZ12" s="15">
        <f>('Bloom Cleaner Data'!CH12+'OPERATING LEASES'!BH12)/DQ12</f>
        <v>6.312383875683965</v>
      </c>
      <c r="FA12" s="15">
        <f>('Bloom Cleaner Data'!CI12+'OPERATING LEASES'!BI12)/DR12</f>
        <v>7.0127743881429545</v>
      </c>
      <c r="FB12" s="526">
        <f t="shared" si="44"/>
        <v>6.7052926466266065</v>
      </c>
      <c r="FC12" s="10">
        <f t="shared" si="45"/>
        <v>0.14721542174528052</v>
      </c>
      <c r="FD12" s="15">
        <f t="shared" si="7"/>
        <v>-6.430430296471279E-3</v>
      </c>
      <c r="FE12" s="15">
        <f t="shared" si="46"/>
        <v>6.6931836077507043</v>
      </c>
      <c r="FF12" s="13"/>
      <c r="FG12" s="15">
        <f>$FG$1*EM12+(1-$FG$1)*'Bloom Cleaner Data'!DA12</f>
        <v>6.6127333261941414</v>
      </c>
      <c r="FH12" s="15">
        <f>$FG$1*EN12+(1-$FG$1)*'Bloom Cleaner Data'!DB12</f>
        <v>6.5939843067792143</v>
      </c>
      <c r="FI12" s="15">
        <f>$FG$1*EO12+(1-$FG$1)*'Bloom Cleaner Data'!DC12</f>
        <v>6.1128662108414549</v>
      </c>
      <c r="FJ12" s="15">
        <f>$FG$1*EP12+(1-$FG$1)*'Bloom Cleaner Data'!DD12</f>
        <v>6.9445919972290149</v>
      </c>
      <c r="FK12" s="15">
        <f>$FG$1*EQ12+(1-$FG$1)*'Bloom Cleaner Data'!DE12</f>
        <v>7.1795101205683531</v>
      </c>
      <c r="FL12" s="15">
        <f>$FG$1*ER12+(1-$FG$1)*'Bloom Cleaner Data'!DF12</f>
        <v>6.5253381791087328</v>
      </c>
      <c r="FM12" s="15">
        <f>$FG$1*ES12+(1-$FG$1)*'Bloom Cleaner Data'!DG12</f>
        <v>6.4641699030253923</v>
      </c>
      <c r="FN12" s="15">
        <f>$FG$1*ET12+(1-$FG$1)*'Bloom Cleaner Data'!DH12</f>
        <v>6.280293902482482</v>
      </c>
      <c r="FO12" s="15">
        <f>$FG$1*EU12+(1-$FG$1)*'Bloom Cleaner Data'!DI12</f>
        <v>6.5745154043998575</v>
      </c>
      <c r="FP12" s="15">
        <f>$FG$1*EV12+(1-$FG$1)*'Bloom Cleaner Data'!DJ12</f>
        <v>7.0166310693268557</v>
      </c>
      <c r="FQ12" s="15">
        <f>$FG$1*EW12+(1-$FG$1)*'Bloom Cleaner Data'!DK12</f>
        <v>6.690034583979303</v>
      </c>
      <c r="FR12" s="15">
        <f>$FG$1*EX12+(1-$FG$1)*'Bloom Cleaner Data'!DL12</f>
        <v>7.1469755894537341</v>
      </c>
      <c r="FS12" s="15">
        <f>$FG$1*EY12+(1-$FG$1)*'Bloom Cleaner Data'!DM12</f>
        <v>6.9087191819037699</v>
      </c>
      <c r="FT12" s="15">
        <f>$FG$1*EZ12+(1-$FG$1)*'Bloom Cleaner Data'!DN12</f>
        <v>6.312383875683965</v>
      </c>
      <c r="FU12" s="15">
        <f>$FG$1*FA12+(1-$FG$1)*'Bloom Cleaner Data'!DO12</f>
        <v>7.0127743881429545</v>
      </c>
      <c r="FV12" s="526">
        <f t="shared" si="47"/>
        <v>6.7052926466266065</v>
      </c>
      <c r="FW12" s="10">
        <f t="shared" si="48"/>
        <v>0.14721542174528052</v>
      </c>
      <c r="FX12" s="526">
        <f t="shared" si="49"/>
        <v>6.6931836077507043</v>
      </c>
      <c r="FY12" s="2710"/>
      <c r="FZ12" s="2710"/>
      <c r="GA12" s="10">
        <f>'Bloom Cleaner Data'!T12/('Bloom Cleaner Data'!T12+'Bloom Cleaner Data'!D12)</f>
        <v>0.22437849031905965</v>
      </c>
      <c r="GB12" s="10">
        <f>'Bloom Cleaner Data'!U12/('Bloom Cleaner Data'!U12+'Bloom Cleaner Data'!E12)</f>
        <v>0.25572644348159301</v>
      </c>
      <c r="GC12" s="10">
        <f>'Bloom Cleaner Data'!V12/('Bloom Cleaner Data'!V12+'Bloom Cleaner Data'!F12)</f>
        <v>0.25357248245573272</v>
      </c>
      <c r="GD12" s="10">
        <f>'Bloom Cleaner Data'!W12/('Bloom Cleaner Data'!W12+'Bloom Cleaner Data'!G12)</f>
        <v>0.21638557042615894</v>
      </c>
      <c r="GE12" s="10">
        <f>'Bloom Cleaner Data'!X12/('Bloom Cleaner Data'!X12+'Bloom Cleaner Data'!H12)</f>
        <v>0.2229386175864366</v>
      </c>
      <c r="GF12" s="10">
        <f>'Bloom Cleaner Data'!Y12/('Bloom Cleaner Data'!Y12+'Bloom Cleaner Data'!I12)</f>
        <v>0.23690629378952485</v>
      </c>
      <c r="GG12" s="10">
        <f>'Bloom Cleaner Data'!Z12/('Bloom Cleaner Data'!Z12+'Bloom Cleaner Data'!J12)</f>
        <v>0.26764766575080551</v>
      </c>
      <c r="GH12" s="10">
        <f>'Bloom Cleaner Data'!AA12/('Bloom Cleaner Data'!AA12+'Bloom Cleaner Data'!K12)</f>
        <v>0.17881226003921472</v>
      </c>
      <c r="GI12" s="10">
        <f>'Bloom Cleaner Data'!AB12/('Bloom Cleaner Data'!AB12+'Bloom Cleaner Data'!L12)</f>
        <v>0.23823707106671382</v>
      </c>
      <c r="GJ12" s="10">
        <f>'Bloom Cleaner Data'!AC12/('Bloom Cleaner Data'!AC12+'Bloom Cleaner Data'!M12)</f>
        <v>0.21150699039301465</v>
      </c>
      <c r="GK12" s="10">
        <f>'Bloom Cleaner Data'!AD12/('Bloom Cleaner Data'!AD12+'Bloom Cleaner Data'!N12)</f>
        <v>0.26764397492666731</v>
      </c>
      <c r="GL12" s="10">
        <f>'Bloom Cleaner Data'!AE12/('Bloom Cleaner Data'!AE12+'Bloom Cleaner Data'!O12)</f>
        <v>0.24085042516354108</v>
      </c>
      <c r="GM12" s="10">
        <f>'Bloom Cleaner Data'!AF12/('Bloom Cleaner Data'!AF12+'Bloom Cleaner Data'!P12)</f>
        <v>0.24214621588931939</v>
      </c>
      <c r="GN12" s="10">
        <f>'Bloom Cleaner Data'!AG12/('Bloom Cleaner Data'!AG12+'Bloom Cleaner Data'!Q12)</f>
        <v>0.26208562376930283</v>
      </c>
      <c r="GO12" s="10">
        <f>'Bloom Cleaner Data'!AH12/('Bloom Cleaner Data'!AH12+'Bloom Cleaner Data'!R12)</f>
        <v>0.30597960586046052</v>
      </c>
      <c r="GP12" s="10">
        <f t="shared" si="50"/>
        <v>0.24190098439360719</v>
      </c>
      <c r="GQ12" s="10">
        <f t="shared" si="51"/>
        <v>0.20667512064869559</v>
      </c>
      <c r="GR12" s="10"/>
      <c r="GS12" s="496">
        <f t="shared" si="8"/>
        <v>0.289288638232016</v>
      </c>
      <c r="GT12" s="497">
        <f t="shared" si="9"/>
        <v>0.34359200490454145</v>
      </c>
      <c r="GU12" s="497">
        <f t="shared" si="10"/>
        <v>0.33971481020686578</v>
      </c>
      <c r="GV12" s="497">
        <f t="shared" si="11"/>
        <v>0.27613780739570803</v>
      </c>
      <c r="GW12" s="497">
        <f t="shared" si="12"/>
        <v>0.28689962290235832</v>
      </c>
      <c r="GX12" s="497">
        <f t="shared" si="13"/>
        <v>0.31045504878555741</v>
      </c>
      <c r="GY12" s="497">
        <f t="shared" si="14"/>
        <v>0.36546297899793978</v>
      </c>
      <c r="GZ12" s="497">
        <f t="shared" si="15"/>
        <v>0.21774833127410506</v>
      </c>
      <c r="HA12" s="497">
        <f t="shared" si="16"/>
        <v>0.31274437494657636</v>
      </c>
      <c r="HB12" s="497">
        <f t="shared" si="17"/>
        <v>0.26824206152244484</v>
      </c>
      <c r="HC12" s="497">
        <f t="shared" si="18"/>
        <v>0.36545609753107089</v>
      </c>
      <c r="HD12" s="497">
        <f t="shared" si="19"/>
        <v>0.31726346578726161</v>
      </c>
      <c r="HE12" s="497">
        <f t="shared" si="20"/>
        <v>0.31951574428498886</v>
      </c>
      <c r="HF12" s="497">
        <f t="shared" si="21"/>
        <v>0.35517077890262694</v>
      </c>
      <c r="HG12" s="498">
        <f t="shared" si="22"/>
        <v>0.44087984797596647</v>
      </c>
      <c r="HH12" s="10">
        <f t="shared" si="52"/>
        <v>0.32120699773180539</v>
      </c>
      <c r="HI12" s="10">
        <f t="shared" si="53"/>
        <v>0.2977940164207068</v>
      </c>
      <c r="HJ12" s="10"/>
      <c r="HK12" s="18">
        <f>('Bloom Cleaner Data'!T12+'OPERATING LEASES'!AU12)/('Bloom Cleaner Data'!T12+'OPERATING LEASES'!AU12+'Bloom Cleaner Data'!D12)</f>
        <v>0.23741684062374188</v>
      </c>
      <c r="HL12" s="18">
        <f>('Bloom Cleaner Data'!U12+'OPERATING LEASES'!AV12)/('Bloom Cleaner Data'!U12+'OPERATING LEASES'!AV12+'Bloom Cleaner Data'!E12)</f>
        <v>0.26799679924518788</v>
      </c>
      <c r="HM12" s="18">
        <f>('Bloom Cleaner Data'!V12+'OPERATING LEASES'!AW12)/('Bloom Cleaner Data'!V12+'OPERATING LEASES'!AW12+'Bloom Cleaner Data'!F12)</f>
        <v>0.26652313843845671</v>
      </c>
      <c r="HN12" s="18">
        <f>('Bloom Cleaner Data'!W12+'OPERATING LEASES'!AX12)/('Bloom Cleaner Data'!W12+'OPERATING LEASES'!AX12+'Bloom Cleaner Data'!G12)</f>
        <v>0.22818802111375897</v>
      </c>
      <c r="HO12" s="18">
        <f>('Bloom Cleaner Data'!X12+'OPERATING LEASES'!AY12)/('Bloom Cleaner Data'!X12+'OPERATING LEASES'!AY12+'Bloom Cleaner Data'!H12)</f>
        <v>0.23394833458408631</v>
      </c>
      <c r="HP12" s="18">
        <f>('Bloom Cleaner Data'!Y12+'OPERATING LEASES'!AZ12)/('Bloom Cleaner Data'!Y12+'OPERATING LEASES'!AZ12+'Bloom Cleaner Data'!I12)</f>
        <v>0.25442854691165689</v>
      </c>
      <c r="HQ12" s="18">
        <f>('Bloom Cleaner Data'!Z12+'OPERATING LEASES'!BA12)/('Bloom Cleaner Data'!Z12+'OPERATING LEASES'!BA12+'Bloom Cleaner Data'!J12)</f>
        <v>0.28992066859249549</v>
      </c>
      <c r="HR12" s="18">
        <f>('Bloom Cleaner Data'!AA12+'OPERATING LEASES'!BB12)/('Bloom Cleaner Data'!AA12+'OPERATING LEASES'!BB12+'Bloom Cleaner Data'!K12)</f>
        <v>0.2101669357185432</v>
      </c>
      <c r="HS12" s="18">
        <f>('Bloom Cleaner Data'!AB12+'OPERATING LEASES'!BC12)/('Bloom Cleaner Data'!AB12+'OPERATING LEASES'!BC12+'Bloom Cleaner Data'!L12)</f>
        <v>0.2708811432874707</v>
      </c>
      <c r="HT12" s="18">
        <f>('Bloom Cleaner Data'!AC12+'OPERATING LEASES'!BD12)/('Bloom Cleaner Data'!AC12+'OPERATING LEASES'!BD12+'Bloom Cleaner Data'!M12)</f>
        <v>0.2391392155588524</v>
      </c>
      <c r="HU12" s="18">
        <f>('Bloom Cleaner Data'!AD12+'OPERATING LEASES'!BE12)/('Bloom Cleaner Data'!AD12+'OPERATING LEASES'!BE12+'Bloom Cleaner Data'!N12)</f>
        <v>0.29077004313038934</v>
      </c>
      <c r="HV12" s="18">
        <f>('Bloom Cleaner Data'!AE12+'OPERATING LEASES'!BF12)/('Bloom Cleaner Data'!AE12+'OPERATING LEASES'!BF12+'Bloom Cleaner Data'!O12)</f>
        <v>0.25963288458602424</v>
      </c>
      <c r="HW12" s="18">
        <f>('Bloom Cleaner Data'!AF12+'OPERATING LEASES'!BG12)/('Bloom Cleaner Data'!AF12+'OPERATING LEASES'!BG12+'Bloom Cleaner Data'!P12)</f>
        <v>0.25787608282786412</v>
      </c>
      <c r="HX12" s="18">
        <f>('Bloom Cleaner Data'!AG12+'OPERATING LEASES'!BH12)/('Bloom Cleaner Data'!AG12+'OPERATING LEASES'!BH12+'Bloom Cleaner Data'!Q12)</f>
        <v>0.27925914637198268</v>
      </c>
      <c r="HY12" s="18">
        <f>('Bloom Cleaner Data'!AH12+'OPERATING LEASES'!BI12)/('Bloom Cleaner Data'!AH12+'OPERATING LEASES'!BI12+'Bloom Cleaner Data'!R12)</f>
        <v>0.32061814749302248</v>
      </c>
      <c r="HZ12" s="10">
        <f t="shared" si="54"/>
        <v>0.2616424852780464</v>
      </c>
      <c r="IA12" s="10">
        <f t="shared" si="55"/>
        <v>0.20296552626351777</v>
      </c>
      <c r="IB12" s="10">
        <f t="shared" si="23"/>
        <v>1.9741500884439211E-2</v>
      </c>
      <c r="IC12" s="10">
        <f t="shared" si="24"/>
        <v>8.1609841042717679E-2</v>
      </c>
      <c r="IE12" s="502">
        <f t="shared" si="56"/>
        <v>0.31133239398826085</v>
      </c>
      <c r="IF12" s="467">
        <f t="shared" si="25"/>
        <v>0.36611424508641549</v>
      </c>
      <c r="IG12" s="467">
        <f t="shared" si="25"/>
        <v>0.3633695245287486</v>
      </c>
      <c r="IH12" s="467">
        <f t="shared" si="25"/>
        <v>0.29565234455552819</v>
      </c>
      <c r="II12" s="467">
        <f t="shared" si="25"/>
        <v>0.30539498201739218</v>
      </c>
      <c r="IJ12" s="467">
        <f t="shared" si="25"/>
        <v>0.34125306951835449</v>
      </c>
      <c r="IK12" s="467">
        <f t="shared" si="25"/>
        <v>0.40829334944564682</v>
      </c>
      <c r="IL12" s="467">
        <f t="shared" si="25"/>
        <v>0.26609032366825586</v>
      </c>
      <c r="IM12" s="467">
        <f t="shared" si="25"/>
        <v>0.37151849906725343</v>
      </c>
      <c r="IN12" s="467">
        <f t="shared" si="25"/>
        <v>0.3143008819077201</v>
      </c>
      <c r="IO12" s="467">
        <f t="shared" si="25"/>
        <v>0.40997992303340675</v>
      </c>
      <c r="IP12" s="467">
        <f t="shared" si="25"/>
        <v>0.35068127578958003</v>
      </c>
      <c r="IQ12" s="467">
        <f t="shared" si="25"/>
        <v>0.34748385931355136</v>
      </c>
      <c r="IR12" s="467">
        <f t="shared" si="25"/>
        <v>0.38746124209036659</v>
      </c>
      <c r="IS12" s="503">
        <f t="shared" si="25"/>
        <v>0.47192627579013768</v>
      </c>
      <c r="IT12" s="10">
        <f t="shared" si="57"/>
        <v>0.3564158115943033</v>
      </c>
      <c r="IU12" s="10">
        <f t="shared" si="58"/>
        <v>0.29875029118684504</v>
      </c>
      <c r="IV12" s="10">
        <f t="shared" si="59"/>
        <v>3.5208813862497912E-2</v>
      </c>
      <c r="IW12" s="10">
        <f t="shared" si="60"/>
        <v>0.10961409343857391</v>
      </c>
      <c r="IY12" s="15">
        <f>'Bloom Cleaner Data'!T12/'Bloom Cleaner Data'!BU12*'Bloom Cleaner Data'!DA12</f>
        <v>1.4875718807487508</v>
      </c>
      <c r="IZ12" s="15">
        <f>'Bloom Cleaner Data'!U12/'Bloom Cleaner Data'!BV12*'Bloom Cleaner Data'!DB12</f>
        <v>1.6893373314232469</v>
      </c>
      <c r="JA12" s="15">
        <f>'Bloom Cleaner Data'!V12/'Bloom Cleaner Data'!BW12*'Bloom Cleaner Data'!DC12</f>
        <v>1.5486707314597936</v>
      </c>
      <c r="JB12" s="15">
        <f>'Bloom Cleaner Data'!W12/'Bloom Cleaner Data'!BX12*'Bloom Cleaner Data'!DD12</f>
        <v>1.5040522076282252</v>
      </c>
      <c r="JC12" s="15">
        <f>'Bloom Cleaner Data'!X12/'Bloom Cleaner Data'!BY12*'Bloom Cleaner Data'!DE12</f>
        <v>1.601614274822591</v>
      </c>
      <c r="JD12" s="15">
        <f>'Bloom Cleaner Data'!Y12/'Bloom Cleaner Data'!BZ12*'Bloom Cleaner Data'!DF12</f>
        <v>1.5445885935482311</v>
      </c>
      <c r="JE12" s="15">
        <f>'Bloom Cleaner Data'!Z12/'Bloom Cleaner Data'!CA12*'Bloom Cleaner Data'!DG12</f>
        <v>1.7277806106009672</v>
      </c>
      <c r="JF12" s="15">
        <f>'Bloom Cleaner Data'!AA12/'Bloom Cleaner Data'!CB12*'Bloom Cleaner Data'!DH12</f>
        <v>1.120340635537115</v>
      </c>
      <c r="JG12" s="15">
        <f>'Bloom Cleaner Data'!AB12/'Bloom Cleaner Data'!CC12*'Bloom Cleaner Data'!DI12</f>
        <v>1.5655623437174153</v>
      </c>
      <c r="JH12" s="15">
        <f>'Bloom Cleaner Data'!AC12/'Bloom Cleaner Data'!CD12*'Bloom Cleaner Data'!DJ12</f>
        <v>1.4870823461578959</v>
      </c>
      <c r="JI12" s="15">
        <f>'Bloom Cleaner Data'!AD12/'Bloom Cleaner Data'!CE12*'Bloom Cleaner Data'!DK12</f>
        <v>1.7909872527286319</v>
      </c>
      <c r="JJ12" s="15">
        <f>'Bloom Cleaner Data'!AE12/'Bloom Cleaner Data'!CF12*'Bloom Cleaner Data'!DL12</f>
        <v>1.7246017759344316</v>
      </c>
      <c r="JK12" s="15">
        <f>'Bloom Cleaner Data'!AF12/'Bloom Cleaner Data'!CG12*'Bloom Cleaner Data'!DM12</f>
        <v>1.6738626302251636</v>
      </c>
      <c r="JL12" s="15">
        <f>'Bloom Cleaner Data'!AG12/'Bloom Cleaner Data'!CH12*'Bloom Cleaner Data'!DN12</f>
        <v>1.6518134197138641</v>
      </c>
      <c r="JM12" s="15">
        <f>'Bloom Cleaner Data'!AH12/'Bloom Cleaner Data'!CI12*'Bloom Cleaner Data'!DO12</f>
        <v>2.1325746011008917</v>
      </c>
      <c r="JN12" s="15">
        <f t="shared" si="61"/>
        <v>1.8194168836799731</v>
      </c>
      <c r="JO12" s="15">
        <f t="shared" si="62"/>
        <v>1.7957131067435879</v>
      </c>
      <c r="JP12" s="15">
        <f t="shared" si="63"/>
        <v>1.6210408787057859</v>
      </c>
      <c r="JQ12" s="18">
        <f t="shared" si="64"/>
        <v>0.37703551683365516</v>
      </c>
      <c r="JR12" s="18"/>
      <c r="JS12" s="2024" t="s">
        <v>285</v>
      </c>
      <c r="JT12" s="526">
        <f>('Bloom Cleaner Data'!T12+'OPERATING LEASES'!AU12)/DD12</f>
        <v>1.5695887157666235</v>
      </c>
      <c r="JU12" s="526">
        <f>('Bloom Cleaner Data'!U12+'OPERATING LEASES'!AV12)/DE12</f>
        <v>1.7666230397060227</v>
      </c>
      <c r="JV12" s="526">
        <f>('Bloom Cleaner Data'!V12+'OPERATING LEASES'!AW12)/DF12</f>
        <v>1.6274419512820451</v>
      </c>
      <c r="JW12" s="526">
        <f>('Bloom Cleaner Data'!W12+'OPERATING LEASES'!AX12)/DG12</f>
        <v>1.5834155819759157</v>
      </c>
      <c r="JX12" s="526">
        <f>('Bloom Cleaner Data'!X12+'OPERATING LEASES'!AY12)/DH12</f>
        <v>1.6781616014139851</v>
      </c>
      <c r="JY12" s="526">
        <f>('Bloom Cleaner Data'!Y12+'OPERATING LEASES'!AZ12)/DI12</f>
        <v>1.6586488135876212</v>
      </c>
      <c r="JZ12" s="526">
        <f>('Bloom Cleaner Data'!Z12+'OPERATING LEASES'!BA12)/DJ12</f>
        <v>1.8718555473874228</v>
      </c>
      <c r="KA12" s="526">
        <f>('Bloom Cleaner Data'!AA12+'OPERATING LEASES'!BB12)/DK12</f>
        <v>1.3185251679734653</v>
      </c>
      <c r="KB12" s="526">
        <f>('Bloom Cleaner Data'!AB12+'OPERATING LEASES'!BC12)/DL12</f>
        <v>1.7791105699828567</v>
      </c>
      <c r="KC12" s="526">
        <f>('Bloom Cleaner Data'!AC12+'OPERATING LEASES'!BD12)/DM12</f>
        <v>1.6764537544665277</v>
      </c>
      <c r="KD12" s="526">
        <f>('Bloom Cleaner Data'!AD12+'OPERATING LEASES'!BE12)/DN12</f>
        <v>1.9438207234910612</v>
      </c>
      <c r="KE12" s="526">
        <f>('Bloom Cleaner Data'!AE12+'OPERATING LEASES'!BF12)/DO12</f>
        <v>1.85434426495989</v>
      </c>
      <c r="KF12" s="526">
        <f>('Bloom Cleaner Data'!AF12+'OPERATING LEASES'!BG12)/DP12</f>
        <v>1.7801840318784914</v>
      </c>
      <c r="KG12" s="526">
        <f>('Bloom Cleaner Data'!AG12+'OPERATING LEASES'!BH12)/DQ12</f>
        <v>1.7612274211512826</v>
      </c>
      <c r="KH12" s="526">
        <f>('Bloom Cleaner Data'!AH12+'OPERATING LEASES'!BI12)/DR12</f>
        <v>2.2311132077757287</v>
      </c>
      <c r="KI12" s="15">
        <f t="shared" si="65"/>
        <v>1.9241748869351676</v>
      </c>
      <c r="KJ12" s="15">
        <f t="shared" si="66"/>
        <v>1.9067172314413481</v>
      </c>
      <c r="KK12" s="15">
        <f t="shared" si="67"/>
        <v>1.7511002028712532</v>
      </c>
      <c r="KL12" s="18">
        <f t="shared" si="68"/>
        <v>0.37093258903528414</v>
      </c>
      <c r="KM12" s="15">
        <f t="shared" si="69"/>
        <v>0.13005932416546728</v>
      </c>
      <c r="KN12" s="18"/>
      <c r="KO12" s="15">
        <f t="shared" si="70"/>
        <v>1.5695887157666235</v>
      </c>
      <c r="KP12" s="15">
        <f t="shared" si="71"/>
        <v>1.7666230397060227</v>
      </c>
      <c r="KQ12" s="15">
        <f t="shared" si="72"/>
        <v>1.6274419512820451</v>
      </c>
      <c r="KR12" s="15">
        <f t="shared" si="73"/>
        <v>1.5834155819759157</v>
      </c>
      <c r="KS12" s="15">
        <f t="shared" si="74"/>
        <v>1.6781616014139851</v>
      </c>
      <c r="KT12" s="15">
        <f t="shared" si="75"/>
        <v>1.6586488135876212</v>
      </c>
      <c r="KU12" s="15">
        <f t="shared" si="76"/>
        <v>1.8718555473874228</v>
      </c>
      <c r="KV12" s="15">
        <f t="shared" si="77"/>
        <v>1.3185251679734653</v>
      </c>
      <c r="KW12" s="15">
        <f t="shared" si="78"/>
        <v>1.7791105699828567</v>
      </c>
      <c r="KX12" s="15">
        <f t="shared" si="79"/>
        <v>1.6764537544665277</v>
      </c>
      <c r="KY12" s="15">
        <f t="shared" si="80"/>
        <v>1.9438207234910612</v>
      </c>
      <c r="KZ12" s="15">
        <f t="shared" si="81"/>
        <v>1.85434426495989</v>
      </c>
      <c r="LA12" s="15">
        <f t="shared" si="82"/>
        <v>1.7801840318784914</v>
      </c>
      <c r="LB12" s="15">
        <f t="shared" si="83"/>
        <v>1.7612274211512826</v>
      </c>
      <c r="LC12" s="15">
        <f t="shared" si="84"/>
        <v>2.2311132077757287</v>
      </c>
      <c r="LD12" s="15">
        <f t="shared" si="85"/>
        <v>1.9241748869351676</v>
      </c>
      <c r="LE12" s="15">
        <f t="shared" si="86"/>
        <v>1.9067172314413481</v>
      </c>
      <c r="LF12" s="526">
        <f t="shared" si="87"/>
        <v>1.7511002028712532</v>
      </c>
      <c r="LG12" s="10">
        <f t="shared" si="88"/>
        <v>0.37093258903528414</v>
      </c>
      <c r="LH12" s="18"/>
      <c r="LI12" s="15">
        <f>('Bloom Cleaner Data'!T12+'Bloom Cleaner Data'!EY12)/'Bloom Cleaner Data'!GV12</f>
        <v>1.5517538268910072</v>
      </c>
      <c r="LJ12" s="15">
        <f>('Bloom Cleaner Data'!U12+'Bloom Cleaner Data'!EZ12)/'Bloom Cleaner Data'!GW12</f>
        <v>1.7434920335929389</v>
      </c>
      <c r="LK12" s="15">
        <f>('Bloom Cleaner Data'!V12+'Bloom Cleaner Data'!FA12)/'Bloom Cleaner Data'!GX12</f>
        <v>1.6137046120101317</v>
      </c>
      <c r="LL12" s="15">
        <f>('Bloom Cleaner Data'!W12+'Bloom Cleaner Data'!FB12)/'Bloom Cleaner Data'!GY12</f>
        <v>1.5395368830565404</v>
      </c>
      <c r="LM12" s="15">
        <f>('Bloom Cleaner Data'!X12+'Bloom Cleaner Data'!FC12)/'Bloom Cleaner Data'!GZ12</f>
        <v>1.6672220732759702</v>
      </c>
      <c r="LN12" s="15">
        <f>('Bloom Cleaner Data'!Y12+'Bloom Cleaner Data'!FD12)/'Bloom Cleaner Data'!HA12</f>
        <v>1.6346005419215845</v>
      </c>
      <c r="LO12" s="15">
        <f>('Bloom Cleaner Data'!Z12+'Bloom Cleaner Data'!FE12)/'Bloom Cleaner Data'!HB12</f>
        <v>1.8125959587674449</v>
      </c>
      <c r="LP12" s="15">
        <f>('Bloom Cleaner Data'!AA12+'Bloom Cleaner Data'!FF12)/'Bloom Cleaner Data'!HC12</f>
        <v>1.1593825042804597</v>
      </c>
      <c r="LQ12" s="15">
        <f>('Bloom Cleaner Data'!AB12+'Bloom Cleaner Data'!FG12)/'Bloom Cleaner Data'!HD12</f>
        <v>1.6827659705151916</v>
      </c>
      <c r="LR12" s="15">
        <f>('Bloom Cleaner Data'!AC12+'Bloom Cleaner Data'!FH12)/'Bloom Cleaner Data'!HE12</f>
        <v>1.6133403325655706</v>
      </c>
      <c r="LS12" s="15">
        <f>('Bloom Cleaner Data'!AD12+'Bloom Cleaner Data'!FI12)/'Bloom Cleaner Data'!HF12</f>
        <v>1.8640767116178987</v>
      </c>
      <c r="LT12" s="15">
        <f>('Bloom Cleaner Data'!AE12+'Bloom Cleaner Data'!FJ12)/'Bloom Cleaner Data'!HG12</f>
        <v>1.7595199313153964</v>
      </c>
      <c r="LU12" s="15">
        <f>('Bloom Cleaner Data'!AF12+'Bloom Cleaner Data'!FK12)/'Bloom Cleaner Data'!HH12</f>
        <v>1.7533042384805433</v>
      </c>
      <c r="LV12" s="15">
        <f>('Bloom Cleaner Data'!AG12+'Bloom Cleaner Data'!FL12)/'Bloom Cleaner Data'!HI12</f>
        <v>1.8222321190725028</v>
      </c>
      <c r="LW12" s="15">
        <f>('Bloom Cleaner Data'!AH12+'Bloom Cleaner Data'!FM12)/'Bloom Cleaner Data'!HJ12</f>
        <v>2.2309790891217594</v>
      </c>
      <c r="LX12" s="15">
        <f t="shared" si="89"/>
        <v>9.8404488020867653E-2</v>
      </c>
      <c r="LY12" s="15">
        <f t="shared" si="90"/>
        <v>1.935505148891602</v>
      </c>
      <c r="LZ12" s="15">
        <f t="shared" si="27"/>
        <v>0.11608826521162885</v>
      </c>
      <c r="MA12" s="15">
        <f t="shared" si="91"/>
        <v>1.8915088444975505</v>
      </c>
      <c r="MB12" s="15">
        <f t="shared" si="92"/>
        <v>1.7040969973846918</v>
      </c>
      <c r="MC12" s="18">
        <f t="shared" si="93"/>
        <v>0.38252011707564731</v>
      </c>
      <c r="MD12" s="15">
        <f t="shared" si="28"/>
        <v>8.3056118678905833E-2</v>
      </c>
      <c r="ME12" s="18"/>
      <c r="MF12" s="2024" t="s">
        <v>285</v>
      </c>
      <c r="MG12" s="15">
        <f>JT12+'Bloom Cleaner Data'!EY12/CALCULATIONS!DD12</f>
        <v>1.6325143867397014</v>
      </c>
      <c r="MH12" s="15">
        <f>JU12+'Bloom Cleaner Data'!EZ12/CALCULATIONS!DE12</f>
        <v>1.8197714287010742</v>
      </c>
      <c r="MI12" s="15">
        <f>JV12+'Bloom Cleaner Data'!FA12/CALCULATIONS!DF12</f>
        <v>1.6913347725424037</v>
      </c>
      <c r="MJ12" s="15">
        <f>JW12+'Bloom Cleaner Data'!FB12/CALCULATIONS!DG12</f>
        <v>1.6183069007717108</v>
      </c>
      <c r="MK12" s="15">
        <f>JX12+'Bloom Cleaner Data'!FC12/CALCULATIONS!DH12</f>
        <v>1.7427418026588442</v>
      </c>
      <c r="ML12" s="15">
        <f>JY12+'Bloom Cleaner Data'!FD12/CALCULATIONS!DI12</f>
        <v>1.746584253784963</v>
      </c>
      <c r="MM12" s="15">
        <f>JZ12+'Bloom Cleaner Data'!FE12/CALCULATIONS!DJ12</f>
        <v>1.9541042901464509</v>
      </c>
      <c r="MN12" s="15">
        <f>KA12+'Bloom Cleaner Data'!FF12/CALCULATIONS!DK12</f>
        <v>1.3561257602847614</v>
      </c>
      <c r="MO12" s="15">
        <f>KB12+'Bloom Cleaner Data'!FG12/CALCULATIONS!DL12</f>
        <v>1.8912304663558939</v>
      </c>
      <c r="MP12" s="15">
        <f>KC12+'Bloom Cleaner Data'!FH12/CALCULATIONS!DM12</f>
        <v>1.797931492658229</v>
      </c>
      <c r="MQ12" s="15">
        <f>KD12+'Bloom Cleaner Data'!FI12/CALCULATIONS!DN12</f>
        <v>2.0145323916094111</v>
      </c>
      <c r="MR12" s="15">
        <f>KE12+'Bloom Cleaner Data'!FJ12/CALCULATIONS!DO12</f>
        <v>1.8883115093516039</v>
      </c>
      <c r="MS12" s="15">
        <f>KF12+'Bloom Cleaner Data'!FK12/CALCULATIONS!DP12</f>
        <v>1.8578714595905925</v>
      </c>
      <c r="MT12" s="15">
        <f>KG12+'Bloom Cleaner Data'!FL12/CALCULATIONS!DQ12</f>
        <v>1.9277912349165256</v>
      </c>
      <c r="MU12" s="15">
        <f>KH12+'Bloom Cleaner Data'!FM12/CALCULATIONS!DR12</f>
        <v>2.3272917899381458</v>
      </c>
      <c r="MV12" s="15">
        <f t="shared" si="29"/>
        <v>9.6178582162417037E-2</v>
      </c>
      <c r="MW12" s="15">
        <f t="shared" si="94"/>
        <v>2.0376514948150879</v>
      </c>
      <c r="MX12" s="15">
        <f t="shared" si="30"/>
        <v>0.11347660787992031</v>
      </c>
      <c r="MY12" s="15">
        <f t="shared" si="95"/>
        <v>2.0003164984492168</v>
      </c>
      <c r="MZ12" s="15">
        <f t="shared" si="96"/>
        <v>1.8318583172776566</v>
      </c>
      <c r="NA12" s="18">
        <f t="shared" si="97"/>
        <v>0.37600895323625111</v>
      </c>
      <c r="NB12" s="15">
        <f t="shared" si="31"/>
        <v>8.0758114406403347E-2</v>
      </c>
      <c r="NC12" s="15"/>
      <c r="ND12" s="13">
        <f>'Bloom Cleaner Data'!GF12+('Bloom Cleaner Data'!T12+'Bloom Cleaner Data'!EY12)+'Bloom Cleaner Data'!CK12</f>
        <v>1650.2999999999997</v>
      </c>
      <c r="NE12" s="13">
        <f>'Bloom Cleaner Data'!GG12+('Bloom Cleaner Data'!U12+'Bloom Cleaner Data'!EZ12)+'Bloom Cleaner Data'!CL12</f>
        <v>1611.8000000000002</v>
      </c>
      <c r="NF12" s="13">
        <f>'Bloom Cleaner Data'!GH12+('Bloom Cleaner Data'!V12+'Bloom Cleaner Data'!FA12)+'Bloom Cleaner Data'!CM12</f>
        <v>1594.9</v>
      </c>
      <c r="NG12" s="13">
        <f>'Bloom Cleaner Data'!GI12+('Bloom Cleaner Data'!W12+'Bloom Cleaner Data'!FB12)+'Bloom Cleaner Data'!CN12</f>
        <v>1605.5</v>
      </c>
      <c r="NH12" s="13">
        <f>'Bloom Cleaner Data'!GJ12+('Bloom Cleaner Data'!X12+'Bloom Cleaner Data'!FC12)+'Bloom Cleaner Data'!CO12</f>
        <v>1644.1000000000001</v>
      </c>
      <c r="NI12" s="13">
        <f>'Bloom Cleaner Data'!GK12+('Bloom Cleaner Data'!Y12+'Bloom Cleaner Data'!FD12)+'Bloom Cleaner Data'!CP12</f>
        <v>1535.0000000000005</v>
      </c>
      <c r="NJ12" s="13">
        <f>'Bloom Cleaner Data'!GL12+('Bloom Cleaner Data'!Z12+'Bloom Cleaner Data'!FE12)+'Bloom Cleaner Data'!CQ12</f>
        <v>1673.9</v>
      </c>
      <c r="NK12" s="13">
        <f>'Bloom Cleaner Data'!GM12+('Bloom Cleaner Data'!AA12+'Bloom Cleaner Data'!FF12)+'Bloom Cleaner Data'!CR12</f>
        <v>1420.2</v>
      </c>
      <c r="NL12" s="13">
        <f>'Bloom Cleaner Data'!GN12+('Bloom Cleaner Data'!AB12+'Bloom Cleaner Data'!FG12)+'Bloom Cleaner Data'!CS12</f>
        <v>1690.9</v>
      </c>
      <c r="NM12" s="13">
        <f>'Bloom Cleaner Data'!GO12+('Bloom Cleaner Data'!AC12+'Bloom Cleaner Data'!FH12)+'Bloom Cleaner Data'!CT12</f>
        <v>1712.2</v>
      </c>
      <c r="NN12" s="13">
        <f>'Bloom Cleaner Data'!GP12+('Bloom Cleaner Data'!AD12+'Bloom Cleaner Data'!FI12)+'Bloom Cleaner Data'!CU12</f>
        <v>1686.1999999999998</v>
      </c>
      <c r="NO12" s="13">
        <f>'Bloom Cleaner Data'!GQ12+('Bloom Cleaner Data'!AE12+'Bloom Cleaner Data'!FJ12)+'Bloom Cleaner Data'!CV12</f>
        <v>1692.6000000000004</v>
      </c>
      <c r="NP12" s="13">
        <f>'Bloom Cleaner Data'!GR12+('Bloom Cleaner Data'!AF12+'Bloom Cleaner Data'!FK12)+'Bloom Cleaner Data'!CW12</f>
        <v>1732.6</v>
      </c>
      <c r="NQ12" s="13">
        <f>'Bloom Cleaner Data'!GS12+('Bloom Cleaner Data'!AG12+'Bloom Cleaner Data'!FL12)+'Bloom Cleaner Data'!CX12</f>
        <v>1575.4</v>
      </c>
      <c r="NR12" s="13">
        <f>'Bloom Cleaner Data'!GT12+('Bloom Cleaner Data'!AH12+'Bloom Cleaner Data'!FM12)+'Bloom Cleaner Data'!CY12</f>
        <v>1880.3</v>
      </c>
      <c r="NS12" s="168"/>
      <c r="NT12" s="2024" t="s">
        <v>285</v>
      </c>
      <c r="NU12" s="998">
        <f>('Bloom Cleaner Data'!T12+'Bloom Cleaner Data'!EY12+'OPERATING LEASES'!BL12)/CALCULATIONS!ND12</f>
        <v>0.4600029431878187</v>
      </c>
      <c r="NV12" s="998">
        <f>('Bloom Cleaner Data'!U12+'Bloom Cleaner Data'!EZ12+'OPERATING LEASES'!BM12)/CALCULATIONS!NE12</f>
        <v>0.52901120973888993</v>
      </c>
      <c r="NW12" s="998">
        <f>('Bloom Cleaner Data'!V12+'Bloom Cleaner Data'!FA12+'OPERATING LEASES'!BN12)/CALCULATIONS!NF12</f>
        <v>0.49707046120222498</v>
      </c>
      <c r="NX12" s="998">
        <f>('Bloom Cleaner Data'!W12+'Bloom Cleaner Data'!FB12+'OPERATING LEASES'!BO12)/CALCULATIONS!NG12</f>
        <v>0.46720341905058504</v>
      </c>
      <c r="NY12" s="998">
        <f>('Bloom Cleaner Data'!X12+'Bloom Cleaner Data'!FC12+'OPERATING LEASES'!BP12)/CALCULATIONS!NH12</f>
        <v>0.49620613101392846</v>
      </c>
      <c r="NZ12" s="998">
        <f>('Bloom Cleaner Data'!Y12+'Bloom Cleaner Data'!FD12+'OPERATING LEASES'!BQ12)/CALCULATIONS!NI12</f>
        <v>0.52566164495113987</v>
      </c>
      <c r="OA12" s="998">
        <f>('Bloom Cleaner Data'!Z12+'Bloom Cleaner Data'!FE12+'OPERATING LEASES'!BR12)/CALCULATIONS!NJ12</f>
        <v>0.53896215425055249</v>
      </c>
      <c r="OB12" s="998">
        <f>('Bloom Cleaner Data'!AA12+'Bloom Cleaner Data'!FF12+'OPERATING LEASES'!BS12)/CALCULATIONS!NK12</f>
        <v>0.41905849528235461</v>
      </c>
      <c r="OC12" s="998">
        <f>('Bloom Cleaner Data'!AB12+'Bloom Cleaner Data'!FG12+'OPERATING LEASES'!BT12)/CALCULATIONS!NL12</f>
        <v>0.51447454018569994</v>
      </c>
      <c r="OD12" s="998">
        <f>('Bloom Cleaner Data'!AC12+'Bloom Cleaner Data'!FH12+'OPERATING LEASES'!BU12)/CALCULATIONS!NM12</f>
        <v>0.48928096892886341</v>
      </c>
      <c r="OE12" s="998">
        <f>('Bloom Cleaner Data'!AD12+'Bloom Cleaner Data'!FI12+'OPERATING LEASES'!BV12)/CALCULATIONS!NN12</f>
        <v>0.57126601233542884</v>
      </c>
      <c r="OF12" s="998">
        <f>('Bloom Cleaner Data'!AE12+'Bloom Cleaner Data'!FJ12+'OPERATING LEASES'!BW12)/CALCULATIONS!NO12</f>
        <v>0.53532472232068995</v>
      </c>
      <c r="OG12" s="998">
        <f>('Bloom Cleaner Data'!AF12+'Bloom Cleaner Data'!FK12+'OPERATING LEASES'!BX12)/CALCULATIONS!NP12</f>
        <v>0.51351292854669284</v>
      </c>
      <c r="OH12" s="998">
        <f>('Bloom Cleaner Data'!AG12+'Bloom Cleaner Data'!FL12+'OPERATING LEASES'!BY12)/CALCULATIONS!NQ12</f>
        <v>0.57256093690491294</v>
      </c>
      <c r="OI12" s="998">
        <f>('Bloom Cleaner Data'!AH12+'Bloom Cleaner Data'!FM12+'OPERATING LEASES'!BZ12)/CALCULATIONS!NR12</f>
        <v>0.58597697175982555</v>
      </c>
      <c r="OJ12" s="18">
        <f t="shared" si="98"/>
        <v>0.55735027907047707</v>
      </c>
      <c r="OK12" s="18">
        <f t="shared" si="99"/>
        <v>0.55184388988303035</v>
      </c>
      <c r="OL12" s="18">
        <f t="shared" si="100"/>
        <v>0.51742764513329986</v>
      </c>
      <c r="OM12" s="10">
        <f t="shared" si="101"/>
        <v>0.17886098148453528</v>
      </c>
      <c r="ON12" s="10"/>
      <c r="OO12" s="2710"/>
      <c r="OP12" s="526">
        <f>'Bloom Cleaner Data'!D12/'Bloom Cleaner Data'!GF12</f>
        <v>2.7596428888888891</v>
      </c>
      <c r="OQ12" s="526">
        <f>'Bloom Cleaner Data'!E12/'Bloom Cleaner Data'!GG12</f>
        <v>3.1000824970676399</v>
      </c>
      <c r="OR12" s="526">
        <f>'Bloom Cleaner Data'!F12/'Bloom Cleaner Data'!GH12</f>
        <v>2.7431495975232196</v>
      </c>
      <c r="OS12" s="526">
        <f>'Bloom Cleaner Data'!G12/'Bloom Cleaner Data'!GI12</f>
        <v>3.0488748983621794</v>
      </c>
      <c r="OT12" s="526">
        <f>'Bloom Cleaner Data'!H12/'Bloom Cleaner Data'!GJ12</f>
        <v>3.2486785928682917</v>
      </c>
      <c r="OU12" s="526">
        <f>'Bloom Cleaner Data'!I12/'Bloom Cleaner Data'!GK12</f>
        <v>3.2871179904955872</v>
      </c>
      <c r="OV12" s="526">
        <f>'Bloom Cleaner Data'!J12/'Bloom Cleaner Data'!GL12</f>
        <v>2.9539397267271101</v>
      </c>
      <c r="OW12" s="526">
        <f>'Bloom Cleaner Data'!K12/'Bloom Cleaner Data'!GM12</f>
        <v>3.0410624479600332</v>
      </c>
      <c r="OX12" s="526">
        <f>'Bloom Cleaner Data'!L12/'Bloom Cleaner Data'!GN12</f>
        <v>2.9988687373557066</v>
      </c>
      <c r="OY12" s="526">
        <f>'Bloom Cleaner Data'!M12/'Bloom Cleaner Data'!GO12</f>
        <v>3.1535724385590842</v>
      </c>
      <c r="OZ12" s="526">
        <f>'Bloom Cleaner Data'!N12/'Bloom Cleaner Data'!GP12</f>
        <v>3.3734425006780584</v>
      </c>
      <c r="PA12" s="526">
        <f>'Bloom Cleaner Data'!O12/'Bloom Cleaner Data'!GQ12</f>
        <v>3.4520653971435729</v>
      </c>
      <c r="PB12" s="526">
        <f>'Bloom Cleaner Data'!P12/'Bloom Cleaner Data'!GR12</f>
        <v>3.0826835799859054</v>
      </c>
      <c r="PC12" s="526">
        <f>'Bloom Cleaner Data'!Q12/'Bloom Cleaner Data'!GS12</f>
        <v>3.333733098694823</v>
      </c>
      <c r="PD12" s="526">
        <f>'Bloom Cleaner Data'!R12/'Bloom Cleaner Data'!GT12</f>
        <v>3.0995844257996854</v>
      </c>
      <c r="PE12" s="526">
        <f t="shared" si="102"/>
        <v>3.1397518024733277</v>
      </c>
      <c r="PF12" s="10">
        <f t="shared" si="103"/>
        <v>0.12993634346383789</v>
      </c>
      <c r="PG12" s="526">
        <f t="shared" si="104"/>
        <v>3.0224684497746983</v>
      </c>
      <c r="PH12" s="18"/>
      <c r="PI12" s="2710"/>
      <c r="PJ12" s="526">
        <f>CALCULATIONS!DD12/'Bloom Cleaner Data'!GF12</f>
        <v>0.54738303003842703</v>
      </c>
      <c r="PK12" s="526">
        <f>CALCULATIONS!DE12/'Bloom Cleaner Data'!GG12</f>
        <v>0.64245984435275871</v>
      </c>
      <c r="PL12" s="526">
        <f>CALCULATIONS!DF12/'Bloom Cleaner Data'!GH12</f>
        <v>0.61248081025440726</v>
      </c>
      <c r="PM12" s="526">
        <f>CALCULATIONS!DG12/'Bloom Cleaner Data'!GI12</f>
        <v>0.56928011964643321</v>
      </c>
      <c r="PN12" s="526">
        <f>CALCULATIONS!DH12/'Bloom Cleaner Data'!GJ12</f>
        <v>0.59120059689922011</v>
      </c>
      <c r="PO12" s="526">
        <f>CALCULATIONS!DI12/'Bloom Cleaner Data'!GK12</f>
        <v>0.67629693213919528</v>
      </c>
      <c r="PP12" s="526">
        <f>CALCULATIONS!DJ12/'Bloom Cleaner Data'!GL12</f>
        <v>0.64431998867076368</v>
      </c>
      <c r="PQ12" s="526">
        <f>CALCULATIONS!DK12/'Bloom Cleaner Data'!GM12</f>
        <v>0.61371395156360675</v>
      </c>
      <c r="PR12" s="526">
        <f>CALCULATIONS!DL12/'Bloom Cleaner Data'!GN12</f>
        <v>0.62623157379860728</v>
      </c>
      <c r="PS12" s="526">
        <f>CALCULATIONS!DM12/'Bloom Cleaner Data'!GO12</f>
        <v>0.59123050424639056</v>
      </c>
      <c r="PT12" s="526">
        <f>CALCULATIONS!DN12/'Bloom Cleaner Data'!GP12</f>
        <v>0.71150784641378662</v>
      </c>
      <c r="PU12" s="526">
        <f>CALCULATIONS!DO12/'Bloom Cleaner Data'!GQ12</f>
        <v>0.6528316885136517</v>
      </c>
      <c r="PV12" s="526">
        <f>CALCULATIONS!DP12/'Bloom Cleaner Data'!GR12</f>
        <v>0.60172587116494936</v>
      </c>
      <c r="PW12" s="526">
        <f>CALCULATIONS!DQ12/'Bloom Cleaner Data'!GS12</f>
        <v>0.73340464252691839</v>
      </c>
      <c r="PX12" s="526">
        <f>CALCULATIONS!DR12/'Bloom Cleaner Data'!GT12</f>
        <v>0.6556257788563975</v>
      </c>
      <c r="PY12" s="526">
        <f t="shared" si="105"/>
        <v>0.63691156189956355</v>
      </c>
      <c r="PZ12" s="526">
        <f t="shared" si="106"/>
        <v>0.6478435384172303</v>
      </c>
      <c r="QA12" s="18"/>
      <c r="QC12" s="15">
        <f>'Bloom Cleaner Data'!HZ12</f>
        <v>5.6490999999999998</v>
      </c>
      <c r="QD12" s="15">
        <f>AVERAGE('Bloom Cleaner Data'!HN12:HZ12)</f>
        <v>7.4810538461538467</v>
      </c>
      <c r="QE12" s="504">
        <f>('Bloom Cleaner Data'!HZ12-'Bloom Cleaner Data'!HN12)/'Bloom Cleaner Data'!HN12</f>
        <v>-0.349758854472415</v>
      </c>
      <c r="QF12" s="15">
        <f>'Bloom Cleaner Data'!HZ12-'Bloom Cleaner Data'!HL12</f>
        <v>-2.4202000000000004</v>
      </c>
    </row>
    <row r="13" spans="1:450">
      <c r="A13" s="11" t="s">
        <v>19</v>
      </c>
      <c r="B13" s="83" t="s">
        <v>287</v>
      </c>
      <c r="C13" s="1207" t="s">
        <v>1105</v>
      </c>
      <c r="E13" s="13">
        <f>'Bloom Cleaner Data'!D13</f>
        <v>4553.7582000000002</v>
      </c>
      <c r="G13" s="13">
        <f>'Bloom Cleaner Data'!F13</f>
        <v>3484.5257000000001</v>
      </c>
      <c r="H13" s="13">
        <f>'Bloom Cleaner Data'!H13</f>
        <v>4447.6911</v>
      </c>
      <c r="I13" s="13">
        <f>'Bloom Cleaner Data'!J13</f>
        <v>5063.3341</v>
      </c>
      <c r="J13" s="13">
        <f>'Bloom Cleaner Data'!L13</f>
        <v>5436.7160000000003</v>
      </c>
      <c r="K13" s="13">
        <f>'Bloom Cleaner Data'!N13</f>
        <v>6523.6750000000002</v>
      </c>
      <c r="L13" s="13">
        <f>'Bloom Cleaner Data'!P13</f>
        <v>7491.8858</v>
      </c>
      <c r="M13" s="13">
        <f>'Bloom Cleaner Data'!R13</f>
        <v>9571.524995540176</v>
      </c>
      <c r="N13" s="13">
        <f t="shared" si="0"/>
        <v>6002.7646707914537</v>
      </c>
      <c r="O13" s="13">
        <f t="shared" si="32"/>
        <v>7862.3619318467245</v>
      </c>
      <c r="P13" s="10">
        <f t="shared" si="1"/>
        <v>1.7468659495150733</v>
      </c>
      <c r="Q13" s="146">
        <f t="shared" si="107"/>
        <v>1.7468659495150733</v>
      </c>
      <c r="R13" s="10">
        <f t="shared" si="33"/>
        <v>1.8486415284207123</v>
      </c>
      <c r="S13" s="1363" t="s">
        <v>287</v>
      </c>
      <c r="T13" s="1322">
        <f>'Bloom Cleaner Data'!D13/'Bloom Cleaner Data'!$F13</f>
        <v>1.3068516613322725</v>
      </c>
      <c r="U13" s="1322">
        <f>'Bloom Cleaner Data'!E13/'Bloom Cleaner Data'!$F13</f>
        <v>1.1534258306661362</v>
      </c>
      <c r="V13" s="1322">
        <f>'Bloom Cleaner Data'!F13/'Bloom Cleaner Data'!$F13</f>
        <v>1</v>
      </c>
      <c r="W13" s="1322">
        <f>'Bloom Cleaner Data'!G13/'Bloom Cleaner Data'!$F13</f>
        <v>1.1382060978916011</v>
      </c>
      <c r="X13" s="1322">
        <f>'Bloom Cleaner Data'!H13/'Bloom Cleaner Data'!$F13</f>
        <v>1.2764121957832022</v>
      </c>
      <c r="Y13" s="1322">
        <f>'Bloom Cleaner Data'!I13/'Bloom Cleaner Data'!$F13</f>
        <v>1.3647517652115466</v>
      </c>
      <c r="Z13" s="1322">
        <f>'Bloom Cleaner Data'!J13/'Bloom Cleaner Data'!$F13</f>
        <v>1.4530913346398908</v>
      </c>
      <c r="AA13" s="1322">
        <f>'Bloom Cleaner Data'!K13/'Bloom Cleaner Data'!$F13</f>
        <v>1.5066684828870684</v>
      </c>
      <c r="AB13" s="1322">
        <f>'Bloom Cleaner Data'!L13/'Bloom Cleaner Data'!$F13</f>
        <v>1.5602456311342459</v>
      </c>
      <c r="AC13" s="1322">
        <f>'Bloom Cleaner Data'!M13/'Bloom Cleaner Data'!$F13</f>
        <v>1.7162150647934666</v>
      </c>
      <c r="AD13" s="1322">
        <f>'Bloom Cleaner Data'!N13/'Bloom Cleaner Data'!$F13</f>
        <v>1.8721844984526874</v>
      </c>
      <c r="AE13" s="1322">
        <f>'Bloom Cleaner Data'!O13/'Bloom Cleaner Data'!$F13</f>
        <v>2.0111145686197691</v>
      </c>
      <c r="AF13" s="1322">
        <f>'Bloom Cleaner Data'!P13/'Bloom Cleaner Data'!$F13</f>
        <v>2.1500446387868513</v>
      </c>
      <c r="AG13" s="1322">
        <f>'Bloom Cleaner Data'!Q13/'Bloom Cleaner Data'!$F13</f>
        <v>2.4484552941509623</v>
      </c>
      <c r="AH13" s="1322">
        <f>'Bloom Cleaner Data'!R13/'Bloom Cleaner Data'!$F13</f>
        <v>2.7468659495150733</v>
      </c>
      <c r="AI13" s="13"/>
      <c r="AJ13" s="13">
        <f>AVERAGE('Bloom Cleaner Data'!BW13:CI13)</f>
        <v>6862.9578879469436</v>
      </c>
      <c r="AK13" s="18">
        <f>('Bloom Cleaner Data'!CI13-'Bloom Cleaner Data'!BW13)/'Bloom Cleaner Data'!BW13</f>
        <v>1.5248018243152195</v>
      </c>
      <c r="AL13" s="18">
        <f>('Bloom Cleaner Data'!CI13+'Bloom Cleaner Data'!CH13-'Bloom Cleaner Data'!BW13-'Bloom Cleaner Data'!BV13)/('Bloom Cleaner Data'!BW13+'Bloom Cleaner Data'!BV13)</f>
        <v>1.2655676160183011</v>
      </c>
      <c r="AM13" s="13"/>
      <c r="AN13" s="13">
        <f>'Bloom Cleaner Data'!BW13</f>
        <v>4202.4426999999996</v>
      </c>
      <c r="AO13" s="13">
        <f>'Bloom Cleaner Data'!BY13</f>
        <v>5139.4741000000004</v>
      </c>
      <c r="AP13" s="13">
        <f>'Bloom Cleaner Data'!CA13</f>
        <v>5747.0621000000001</v>
      </c>
      <c r="AQ13" s="13">
        <f>'Bloom Cleaner Data'!CC13</f>
        <v>6406.9359999999997</v>
      </c>
      <c r="AR13" s="13">
        <f>'Bloom Cleaner Data'!CE13</f>
        <v>7650.0339999999997</v>
      </c>
      <c r="AS13" s="13">
        <f>'Bloom Cleaner Data'!CG13</f>
        <v>8556.1368000000002</v>
      </c>
      <c r="AT13" s="13">
        <f>'Bloom Cleaner Data'!CI13</f>
        <v>10610.334995540175</v>
      </c>
      <c r="AU13" s="13">
        <f t="shared" si="2"/>
        <v>6901.7743850771676</v>
      </c>
      <c r="AV13" s="10">
        <f t="shared" si="3"/>
        <v>1.5248018243152195</v>
      </c>
      <c r="AW13" s="10"/>
      <c r="AX13" s="13">
        <f>'Bloom Cleaner Data'!T13+'OPERATING LEASES'!AU13</f>
        <v>676.94647621557453</v>
      </c>
      <c r="AY13" s="13">
        <f>'Bloom Cleaner Data'!U13+'OPERATING LEASES'!AV13</f>
        <v>700.16874873884979</v>
      </c>
      <c r="AZ13" s="13">
        <f>'Bloom Cleaner Data'!V13+'OPERATING LEASES'!AW13</f>
        <v>723.39102126212504</v>
      </c>
      <c r="BA13" s="13">
        <f>'Bloom Cleaner Data'!W13+'OPERATING LEASES'!AX13</f>
        <v>707.48029378540036</v>
      </c>
      <c r="BB13" s="13">
        <f>'Bloom Cleaner Data'!X13+'OPERATING LEASES'!AY13</f>
        <v>691.56956630867569</v>
      </c>
      <c r="BC13" s="13">
        <f>'Bloom Cleaner Data'!Y13+'OPERATING LEASES'!AZ13</f>
        <v>771.11941837104973</v>
      </c>
      <c r="BD13" s="13">
        <f>'Bloom Cleaner Data'!Z13+'OPERATING LEASES'!BA13</f>
        <v>850.66927043342389</v>
      </c>
      <c r="BE13" s="13">
        <f>'Bloom Cleaner Data'!AA13+'OPERATING LEASES'!BB13</f>
        <v>1077.1566224957978</v>
      </c>
      <c r="BF13" s="13">
        <f>'Bloom Cleaner Data'!AB13+'OPERATING LEASES'!BC13</f>
        <v>1303.643974558172</v>
      </c>
      <c r="BG13" s="13">
        <f>'Bloom Cleaner Data'!AC13+'OPERATING LEASES'!BD13</f>
        <v>1391.6746081587169</v>
      </c>
      <c r="BH13" s="13">
        <f>'Bloom Cleaner Data'!AD13+'OPERATING LEASES'!BE13</f>
        <v>1479.7052417592613</v>
      </c>
      <c r="BI13" s="13">
        <f>'Bloom Cleaner Data'!AE13+'OPERATING LEASES'!BF13</f>
        <v>1458.2123753598062</v>
      </c>
      <c r="BJ13" s="13">
        <f>'Bloom Cleaner Data'!AF13+'OPERATING LEASES'!BG13</f>
        <v>1436.719508960351</v>
      </c>
      <c r="BK13" s="13">
        <f>'Bloom Cleaner Data'!AG13+'OPERATING LEASES'!BH13</f>
        <v>1423.9990089603507</v>
      </c>
      <c r="BL13" s="13">
        <f>'Bloom Cleaner Data'!AH13+'OPERATING LEASES'!BI13</f>
        <v>1411.2785089603508</v>
      </c>
      <c r="BM13" s="1167">
        <f t="shared" si="34"/>
        <v>1132.8168784133447</v>
      </c>
      <c r="BN13" s="10">
        <f t="shared" si="35"/>
        <v>0.9509206880920984</v>
      </c>
      <c r="BO13" s="10"/>
      <c r="BP13" s="13">
        <f>'Bloom Cleaner Data'!BU13+'OPERATING LEASES'!AU13</f>
        <v>5231.2416762155744</v>
      </c>
      <c r="BQ13" s="13">
        <f>'Bloom Cleaner Data'!BV13+'OPERATING LEASES'!AV13</f>
        <v>4719.9241987388505</v>
      </c>
      <c r="BR13" s="13">
        <f>'Bloom Cleaner Data'!BW13+'OPERATING LEASES'!AW13</f>
        <v>4208.6067212621247</v>
      </c>
      <c r="BS13" s="13">
        <f>'Bloom Cleaner Data'!BX13+'OPERATING LEASES'!AX13</f>
        <v>4674.1696937853994</v>
      </c>
      <c r="BT13" s="13">
        <f>'Bloom Cleaner Data'!BY13+'OPERATING LEASES'!AY13</f>
        <v>5139.732666308676</v>
      </c>
      <c r="BU13" s="13">
        <f>'Bloom Cleaner Data'!BZ13+'OPERATING LEASES'!AZ13</f>
        <v>5527.0180183710499</v>
      </c>
      <c r="BV13" s="13">
        <f>'Bloom Cleaner Data'!CA13+'OPERATING LEASES'!BA13</f>
        <v>5914.3033704334239</v>
      </c>
      <c r="BW13" s="13">
        <f>'Bloom Cleaner Data'!CB13+'OPERATING LEASES'!BB13</f>
        <v>6327.7316724957982</v>
      </c>
      <c r="BX13" s="13">
        <f>'Bloom Cleaner Data'!CC13+'OPERATING LEASES'!BC13</f>
        <v>6741.1599745581716</v>
      </c>
      <c r="BY13" s="13">
        <f>'Bloom Cleaner Data'!CD13+'OPERATING LEASES'!BD13</f>
        <v>7372.2701081587165</v>
      </c>
      <c r="BZ13" s="13">
        <f>'Bloom Cleaner Data'!CE13+'OPERATING LEASES'!BE13</f>
        <v>8003.3802417592615</v>
      </c>
      <c r="CA13" s="13">
        <f>'Bloom Cleaner Data'!CF13+'OPERATING LEASES'!BF13</f>
        <v>8465.9927753598058</v>
      </c>
      <c r="CB13" s="13">
        <f>'Bloom Cleaner Data'!CG13+'OPERATING LEASES'!BG13</f>
        <v>8928.605308960352</v>
      </c>
      <c r="CC13" s="13">
        <f>'Bloom Cleaner Data'!CH13+'OPERATING LEASES'!BH13</f>
        <v>9955.7044067304396</v>
      </c>
      <c r="CD13" s="13">
        <f>'Bloom Cleaner Data'!CI13+'OPERATING LEASES'!BI13</f>
        <v>10982.803504500527</v>
      </c>
      <c r="CE13" s="1167">
        <f t="shared" si="36"/>
        <v>7095.4983432833642</v>
      </c>
      <c r="CF13" s="10">
        <f t="shared" si="37"/>
        <v>1.6096055611503846</v>
      </c>
      <c r="CG13" s="18">
        <f t="shared" si="4"/>
        <v>3.3883415741894511E-2</v>
      </c>
      <c r="CH13" s="13"/>
      <c r="CI13" s="18">
        <f>$CI$1*BP13/('Bloom Cleaner Data'!D13+'Bloom Cleaner Data'!T13+'OPERATING LEASES'!AU13)+(1-$CI$1)*'Bloom Cleaner Data'!BU13/('Bloom Cleaner Data'!D13+'Bloom Cleaner Data'!T13)-1</f>
        <v>1.0266303170225477E-4</v>
      </c>
      <c r="CJ13" s="18">
        <f>$CI$1*BQ13/('Bloom Cleaner Data'!E13+'Bloom Cleaner Data'!U13+'OPERATING LEASES'!AV13)+(1-$CI$1)*'Bloom Cleaner Data'!BV13/('Bloom Cleaner Data'!E13+'Bloom Cleaner Data'!U13)-1</f>
        <v>1.2999779823030799E-4</v>
      </c>
      <c r="CK13" s="18">
        <f>$CI$1*BR13/('Bloom Cleaner Data'!F13+'Bloom Cleaner Data'!V13+'OPERATING LEASES'!AW13)+(1-$CI$1)*'Bloom Cleaner Data'!BW13/('Bloom Cleaner Data'!F13+'Bloom Cleaner Data'!V13)-1</f>
        <v>1.6397662922207346E-4</v>
      </c>
      <c r="CL13" s="18">
        <f>$CI$1*BS13/('Bloom Cleaner Data'!G13+'Bloom Cleaner Data'!W13+'OPERATING LEASES'!AX13)+(1-$CI$1)*'Bloom Cleaner Data'!BX13/('Bloom Cleaner Data'!G13+'Bloom Cleaner Data'!W13)-1</f>
        <v>1.2431560371828354E-4</v>
      </c>
      <c r="CM13" s="18">
        <f>$CI$1*BT13/('Bloom Cleaner Data'!H13+'Bloom Cleaner Data'!X13+'OPERATING LEASES'!AY13)+(1-$CI$1)*'Bloom Cleaner Data'!BY13/('Bloom Cleaner Data'!H13+'Bloom Cleaner Data'!X13)-1</f>
        <v>9.1842004258602117E-5</v>
      </c>
      <c r="CN13" s="18">
        <f>$CI$1*BU13/('Bloom Cleaner Data'!I13+'Bloom Cleaner Data'!Y13+'OPERATING LEASES'!AZ13)+(1-$CI$1)*'Bloom Cleaner Data'!BZ13/('Bloom Cleaner Data'!I13+'Bloom Cleaner Data'!Y13)-1</f>
        <v>6.9843622430010299E-5</v>
      </c>
      <c r="CO13" s="18">
        <f>$CI$1*BV13/('Bloom Cleaner Data'!J13+'Bloom Cleaner Data'!Z13+'OPERATING LEASES'!BA13)+(1-$CI$1)*'Bloom Cleaner Data'!CA13/('Bloom Cleaner Data'!J13+'Bloom Cleaner Data'!Z13)-1</f>
        <v>5.0727059355493154E-5</v>
      </c>
      <c r="CP13" s="18">
        <f>$CI$1*BW13/('Bloom Cleaner Data'!K13+'Bloom Cleaner Data'!AA13+'OPERATING LEASES'!BB13)+(1-$CI$1)*'Bloom Cleaner Data'!CB13/('Bloom Cleaner Data'!K13+'Bloom Cleaner Data'!AA13)-1</f>
        <v>8.6926538302334322E-5</v>
      </c>
      <c r="CQ13" s="18">
        <f>$CI$1*BX13/('Bloom Cleaner Data'!L13+'Bloom Cleaner Data'!AB13+'OPERATING LEASES'!BC13)+(1-$CI$1)*'Bloom Cleaner Data'!CC13/('Bloom Cleaner Data'!L13+'Bloom Cleaner Data'!AB13)-1</f>
        <v>1.18688023046154E-4</v>
      </c>
      <c r="CR13" s="18">
        <f>$CI$1*BY13/('Bloom Cleaner Data'!M13+'Bloom Cleaner Data'!AC13+'OPERATING LEASES'!BD13)+(1-$CI$1)*'Bloom Cleaner Data'!CD13/('Bloom Cleaner Data'!M13+'Bloom Cleaner Data'!AC13)-1</f>
        <v>5.4260315785592539E-5</v>
      </c>
      <c r="CS13" s="18">
        <f>$CI$1*BZ13/('Bloom Cleaner Data'!N13+'Bloom Cleaner Data'!AD13+'OPERATING LEASES'!BE13)+(1-$CI$1)*'Bloom Cleaner Data'!CE13/('Bloom Cleaner Data'!N13+'Bloom Cleaner Data'!AD13)-1</f>
        <v>0</v>
      </c>
      <c r="CT13" s="18">
        <f>$CI$1*CA13/('Bloom Cleaner Data'!O13+'Bloom Cleaner Data'!AE13+'OPERATING LEASES'!BF13)+(1-$CI$1)*'Bloom Cleaner Data'!CF13/('Bloom Cleaner Data'!O13+'Bloom Cleaner Data'!AE13)-1</f>
        <v>0</v>
      </c>
      <c r="CU13" s="18">
        <f>$CI$1*CB13/('Bloom Cleaner Data'!P13+'Bloom Cleaner Data'!AF13+'OPERATING LEASES'!BG13)+(1-$CI$1)*'Bloom Cleaner Data'!CG13/('Bloom Cleaner Data'!P13+'Bloom Cleaner Data'!AF13)-1</f>
        <v>0</v>
      </c>
      <c r="CV13" s="18">
        <f>$CI$1*CC13/('Bloom Cleaner Data'!Q13+'Bloom Cleaner Data'!AG13+'OPERATING LEASES'!BH13)+(1-$CI$1)*'Bloom Cleaner Data'!CH13/('Bloom Cleaner Data'!Q13+'Bloom Cleaner Data'!AG13)-1</f>
        <v>0</v>
      </c>
      <c r="CW13" s="18">
        <f>$CI$1*CD13/('Bloom Cleaner Data'!R13+'Bloom Cleaner Data'!AH13+'OPERATING LEASES'!BI13)+(1-$CI$1)*'Bloom Cleaner Data'!CI13/('Bloom Cleaner Data'!R13+'Bloom Cleaner Data'!AH13)-1</f>
        <v>0</v>
      </c>
      <c r="CX13" s="18">
        <f t="shared" si="38"/>
        <v>5.850613816296488E-5</v>
      </c>
      <c r="CY13" s="13"/>
      <c r="CZ13" s="3112">
        <f>AVERAGE('Bloom Cleaner Data'!GX13:HJ13)</f>
        <v>849.75622862453542</v>
      </c>
      <c r="DA13" s="2860">
        <f>('Bloom Cleaner Data'!HJ13-'Bloom Cleaner Data'!GX13)/'Bloom Cleaner Data'!GX13</f>
        <v>0.34536791805681194</v>
      </c>
      <c r="DB13" s="2860">
        <f>('Bloom Cleaner Data'!HJ13+'Bloom Cleaner Data'!HI13-'Bloom Cleaner Data'!GX13-'Bloom Cleaner Data'!GW13)/('Bloom Cleaner Data'!GX13+'Bloom Cleaner Data'!GW13)</f>
        <v>0.38583910872130595</v>
      </c>
      <c r="DC13" s="13"/>
      <c r="DD13" s="13">
        <f>'Bloom Cleaner Data'!GV13+'OPERATING LEASES'!BL13</f>
        <v>656.17103480477817</v>
      </c>
      <c r="DE13" s="13">
        <f>'Bloom Cleaner Data'!GW13+'OPERATING LEASES'!BM13</f>
        <v>714.43273162757191</v>
      </c>
      <c r="DF13" s="13">
        <f>'Bloom Cleaner Data'!GX13+'OPERATING LEASES'!BN13</f>
        <v>803.46270139688238</v>
      </c>
      <c r="DG13" s="13">
        <f>'Bloom Cleaner Data'!GY13+'OPERATING LEASES'!BO13</f>
        <v>796.07830264420431</v>
      </c>
      <c r="DH13" s="13">
        <f>'Bloom Cleaner Data'!GZ13+'OPERATING LEASES'!BP13</f>
        <v>790.03443274167273</v>
      </c>
      <c r="DI13" s="13">
        <f>'Bloom Cleaner Data'!HA13+'OPERATING LEASES'!BQ13</f>
        <v>782.32808082152553</v>
      </c>
      <c r="DJ13" s="13">
        <f>'Bloom Cleaner Data'!HB13+'OPERATING LEASES'!BR13</f>
        <v>777.6239268617021</v>
      </c>
      <c r="DK13" s="13">
        <f>'Bloom Cleaner Data'!HC13+'OPERATING LEASES'!BS13</f>
        <v>825.95047287318653</v>
      </c>
      <c r="DL13" s="13">
        <f>'Bloom Cleaner Data'!HD13+'OPERATING LEASES'!BT13</f>
        <v>873.61546122805669</v>
      </c>
      <c r="DM13" s="13">
        <f>'Bloom Cleaner Data'!HE13+'OPERATING LEASES'!BU13</f>
        <v>875.03737026222859</v>
      </c>
      <c r="DN13" s="13">
        <f>'Bloom Cleaner Data'!HF13+'OPERATING LEASES'!BV13</f>
        <v>876.46181321638062</v>
      </c>
      <c r="DO13" s="13">
        <f>'Bloom Cleaner Data'!HG13+'OPERATING LEASES'!BW13</f>
        <v>921.98193564271651</v>
      </c>
      <c r="DP13" s="13">
        <f>'Bloom Cleaner Data'!HH13+'OPERATING LEASES'!BX13</f>
        <v>967.03174079240182</v>
      </c>
      <c r="DQ13" s="13">
        <f>'Bloom Cleaner Data'!HI13+'OPERATING LEASES'!BY13</f>
        <v>1076.3941669527442</v>
      </c>
      <c r="DR13" s="13">
        <f>'Bloom Cleaner Data'!HJ13+'OPERATING LEASES'!BZ13</f>
        <v>1135.5317407924019</v>
      </c>
      <c r="DS13" s="1167">
        <f t="shared" si="39"/>
        <v>884.73324201739263</v>
      </c>
      <c r="DT13" s="10">
        <f t="shared" si="40"/>
        <v>0.41329739242181585</v>
      </c>
      <c r="DU13" s="18">
        <f t="shared" si="41"/>
        <v>4.1161232144744639E-2</v>
      </c>
      <c r="DV13" s="167"/>
      <c r="DW13" s="15">
        <f>'Bloom Cleaner Data'!DT13</f>
        <v>2.1015999999999999</v>
      </c>
      <c r="DX13" s="15">
        <f>'Bloom Cleaner Data'!DX13</f>
        <v>2.7833000000000001</v>
      </c>
      <c r="DY13" s="15">
        <f>'Bloom Cleaner Data'!EB13</f>
        <v>3.0299</v>
      </c>
      <c r="DZ13" s="15">
        <f>'Bloom Cleaner Data'!EF13</f>
        <v>3.0099</v>
      </c>
      <c r="EA13" s="15">
        <f>AVERAGE('Bloom Cleaner Data'!DT13:EF13)</f>
        <v>2.7539884615384618</v>
      </c>
      <c r="EB13" s="18">
        <f t="shared" si="5"/>
        <v>0.43219451846212414</v>
      </c>
      <c r="EC13" s="13"/>
      <c r="ED13" s="15">
        <f>'Bloom Cleaner Data'!DC13</f>
        <v>5.2373000000000003</v>
      </c>
      <c r="EE13" s="15">
        <f>'Bloom Cleaner Data'!DG13</f>
        <v>7.6375000000000002</v>
      </c>
      <c r="EF13" s="15">
        <f>'Bloom Cleaner Data'!DK13</f>
        <v>9.2914999999999992</v>
      </c>
      <c r="EG13" s="15">
        <f>'Bloom Cleaner Data'!DO13</f>
        <v>9.8286456938745843</v>
      </c>
      <c r="EH13" s="15">
        <f>AVERAGE('Bloom Cleaner Data'!DC13:DO13)</f>
        <v>7.9689265918365058</v>
      </c>
      <c r="EI13" s="22">
        <f t="shared" si="42"/>
        <v>7.998736423468646</v>
      </c>
      <c r="EJ13" s="22">
        <f t="shared" si="6"/>
        <v>-2.9809831632140238E-2</v>
      </c>
      <c r="EK13" s="18">
        <f t="shared" si="43"/>
        <v>0.87666272580806592</v>
      </c>
      <c r="EL13" s="241"/>
      <c r="EM13" s="15">
        <f>('Bloom Cleaner Data'!BU13+'OPERATING LEASES'!AU13)/DD13</f>
        <v>7.9723751868626085</v>
      </c>
      <c r="EN13" s="15">
        <f>('Bloom Cleaner Data'!BV13+'OPERATING LEASES'!AV13)/DE13</f>
        <v>6.6065340931206231</v>
      </c>
      <c r="EO13" s="15">
        <f>('Bloom Cleaner Data'!BW13+'OPERATING LEASES'!AW13)/DF13</f>
        <v>5.2380859919758995</v>
      </c>
      <c r="EP13" s="15">
        <f>('Bloom Cleaner Data'!BX13+'OPERATING LEASES'!AX13)/DG13</f>
        <v>5.8714948997604477</v>
      </c>
      <c r="EQ13" s="15">
        <f>('Bloom Cleaner Data'!BY13+'OPERATING LEASES'!AY13)/DH13</f>
        <v>6.5057071607273569</v>
      </c>
      <c r="ER13" s="15">
        <f>('Bloom Cleaner Data'!BZ13+'OPERATING LEASES'!AZ13)/DI13</f>
        <v>7.0648339921112235</v>
      </c>
      <c r="ES13" s="15">
        <f>('Bloom Cleaner Data'!CA13+'OPERATING LEASES'!BA13)/DJ13</f>
        <v>7.6056087861160471</v>
      </c>
      <c r="ET13" s="15">
        <f>('Bloom Cleaner Data'!CB13+'OPERATING LEASES'!BB13)/DK13</f>
        <v>7.6611514616413752</v>
      </c>
      <c r="EU13" s="15">
        <f>('Bloom Cleaner Data'!CC13+'OPERATING LEASES'!BC13)/DL13</f>
        <v>7.7163927079335384</v>
      </c>
      <c r="EV13" s="15">
        <f>('Bloom Cleaner Data'!CD13+'OPERATING LEASES'!BD13)/DM13</f>
        <v>8.4250917260247036</v>
      </c>
      <c r="EW13" s="15">
        <f>('Bloom Cleaner Data'!CE13+'OPERATING LEASES'!BE13)/DN13</f>
        <v>9.1314648522894508</v>
      </c>
      <c r="EX13" s="15">
        <f>('Bloom Cleaner Data'!CF13+'OPERATING LEASES'!BF13)/DO13</f>
        <v>9.1823846521007333</v>
      </c>
      <c r="EY13" s="15">
        <f>('Bloom Cleaner Data'!CG13+'OPERATING LEASES'!BG13)/DP13</f>
        <v>9.2330012887106534</v>
      </c>
      <c r="EZ13" s="15">
        <f>('Bloom Cleaner Data'!CH13+'OPERATING LEASES'!BH13)/DQ13</f>
        <v>9.2491251926001148</v>
      </c>
      <c r="FA13" s="15">
        <f>('Bloom Cleaner Data'!CI13+'OPERATING LEASES'!BI13)/DR13</f>
        <v>9.6719476082953495</v>
      </c>
      <c r="FB13" s="526">
        <f t="shared" si="44"/>
        <v>7.8889454092528393</v>
      </c>
      <c r="FC13" s="10">
        <f t="shared" si="45"/>
        <v>0.8464659845431286</v>
      </c>
      <c r="FD13" s="15">
        <f t="shared" si="7"/>
        <v>-7.9981182583666488E-2</v>
      </c>
      <c r="FE13" s="15">
        <f t="shared" si="46"/>
        <v>8.4941002267823205</v>
      </c>
      <c r="FF13" s="13"/>
      <c r="FG13" s="15">
        <f>$FG$1*EM13+(1-$FG$1)*'Bloom Cleaner Data'!DA13</f>
        <v>7.9723751868626085</v>
      </c>
      <c r="FH13" s="15">
        <f>$FG$1*EN13+(1-$FG$1)*'Bloom Cleaner Data'!DB13</f>
        <v>6.6065340931206231</v>
      </c>
      <c r="FI13" s="15">
        <f>$FG$1*EO13+(1-$FG$1)*'Bloom Cleaner Data'!DC13</f>
        <v>5.2380859919758995</v>
      </c>
      <c r="FJ13" s="15">
        <f>$FG$1*EP13+(1-$FG$1)*'Bloom Cleaner Data'!DD13</f>
        <v>5.8714948997604477</v>
      </c>
      <c r="FK13" s="15">
        <f>$FG$1*EQ13+(1-$FG$1)*'Bloom Cleaner Data'!DE13</f>
        <v>6.5057071607273569</v>
      </c>
      <c r="FL13" s="15">
        <f>$FG$1*ER13+(1-$FG$1)*'Bloom Cleaner Data'!DF13</f>
        <v>7.0648339921112235</v>
      </c>
      <c r="FM13" s="15">
        <f>$FG$1*ES13+(1-$FG$1)*'Bloom Cleaner Data'!DG13</f>
        <v>7.6056087861160471</v>
      </c>
      <c r="FN13" s="15">
        <f>$FG$1*ET13+(1-$FG$1)*'Bloom Cleaner Data'!DH13</f>
        <v>7.6611514616413752</v>
      </c>
      <c r="FO13" s="15">
        <f>$FG$1*EU13+(1-$FG$1)*'Bloom Cleaner Data'!DI13</f>
        <v>7.7163927079335384</v>
      </c>
      <c r="FP13" s="15">
        <f>$FG$1*EV13+(1-$FG$1)*'Bloom Cleaner Data'!DJ13</f>
        <v>8.4250917260247036</v>
      </c>
      <c r="FQ13" s="15">
        <f>$FG$1*EW13+(1-$FG$1)*'Bloom Cleaner Data'!DK13</f>
        <v>9.1314648522894508</v>
      </c>
      <c r="FR13" s="15">
        <f>$FG$1*EX13+(1-$FG$1)*'Bloom Cleaner Data'!DL13</f>
        <v>9.1823846521007333</v>
      </c>
      <c r="FS13" s="15">
        <f>$FG$1*EY13+(1-$FG$1)*'Bloom Cleaner Data'!DM13</f>
        <v>9.2330012887106534</v>
      </c>
      <c r="FT13" s="15">
        <f>$FG$1*EZ13+(1-$FG$1)*'Bloom Cleaner Data'!DN13</f>
        <v>9.2491251926001148</v>
      </c>
      <c r="FU13" s="15">
        <f>$FG$1*FA13+(1-$FG$1)*'Bloom Cleaner Data'!DO13</f>
        <v>9.6719476082953495</v>
      </c>
      <c r="FV13" s="526">
        <f t="shared" si="47"/>
        <v>7.8889454092528393</v>
      </c>
      <c r="FW13" s="10">
        <f t="shared" si="48"/>
        <v>0.8464659845431286</v>
      </c>
      <c r="FX13" s="526">
        <f t="shared" si="49"/>
        <v>8.4941002267823205</v>
      </c>
      <c r="FY13" s="2710"/>
      <c r="FZ13" s="2710"/>
      <c r="GA13" s="10">
        <f>'Bloom Cleaner Data'!T13/('Bloom Cleaner Data'!T13+'Bloom Cleaner Data'!D13)</f>
        <v>0.12740438342959859</v>
      </c>
      <c r="GB13" s="10">
        <f>'Bloom Cleaner Data'!U13/('Bloom Cleaner Data'!U13+'Bloom Cleaner Data'!E13)</f>
        <v>0.14671412840653833</v>
      </c>
      <c r="GC13" s="10">
        <f>'Bloom Cleaner Data'!V13/('Bloom Cleaner Data'!V13+'Bloom Cleaner Data'!F13)</f>
        <v>0.17069709980789682</v>
      </c>
      <c r="GD13" s="10">
        <f>'Bloom Cleaner Data'!W13/('Bloom Cleaner Data'!W13+'Bloom Cleaner Data'!G13)</f>
        <v>0.15079488008827724</v>
      </c>
      <c r="GE13" s="10">
        <f>'Bloom Cleaner Data'!X13/('Bloom Cleaner Data'!X13+'Bloom Cleaner Data'!H13)</f>
        <v>0.13452242021850896</v>
      </c>
      <c r="GF13" s="10">
        <f>'Bloom Cleaner Data'!Y13/('Bloom Cleaner Data'!Y13+'Bloom Cleaner Data'!I13)</f>
        <v>0.12628778051246048</v>
      </c>
      <c r="GG13" s="10">
        <f>'Bloom Cleaner Data'!Z13/('Bloom Cleaner Data'!Z13+'Bloom Cleaner Data'!J13)</f>
        <v>0.11892401114011662</v>
      </c>
      <c r="GH13" s="10">
        <f>'Bloom Cleaner Data'!AA13/('Bloom Cleaner Data'!AA13+'Bloom Cleaner Data'!K13)</f>
        <v>0.13600443173303658</v>
      </c>
      <c r="GI13" s="10">
        <f>'Bloom Cleaner Data'!AB13/('Bloom Cleaner Data'!AB13+'Bloom Cleaner Data'!L13)</f>
        <v>0.15132679043966596</v>
      </c>
      <c r="GJ13" s="10">
        <f>'Bloom Cleaner Data'!AC13/('Bloom Cleaner Data'!AC13+'Bloom Cleaner Data'!M13)</f>
        <v>0.14910028834312619</v>
      </c>
      <c r="GK13" s="10">
        <f>'Bloom Cleaner Data'!AD13/('Bloom Cleaner Data'!AD13+'Bloom Cleaner Data'!N13)</f>
        <v>0.14723581620682993</v>
      </c>
      <c r="GL13" s="10">
        <f>'Bloom Cleaner Data'!AE13/('Bloom Cleaner Data'!AE13+'Bloom Cleaner Data'!O13)</f>
        <v>0.13517135090295357</v>
      </c>
      <c r="GM13" s="10">
        <f>'Bloom Cleaner Data'!AF13/('Bloom Cleaner Data'!AF13+'Bloom Cleaner Data'!P13)</f>
        <v>0.12438452363220746</v>
      </c>
      <c r="GN13" s="10">
        <f>'Bloom Cleaner Data'!AG13/('Bloom Cleaner Data'!AG13+'Bloom Cleaner Data'!Q13)</f>
        <v>0.10972603734451315</v>
      </c>
      <c r="GO13" s="10">
        <f>'Bloom Cleaner Data'!AH13/('Bloom Cleaner Data'!AH13+'Bloom Cleaner Data'!R13)</f>
        <v>9.7905485588969735E-2</v>
      </c>
      <c r="GP13" s="10">
        <f t="shared" si="50"/>
        <v>0.13477545507373562</v>
      </c>
      <c r="GQ13" s="10">
        <f t="shared" si="51"/>
        <v>-0.4264373226073967</v>
      </c>
      <c r="GR13" s="10"/>
      <c r="GS13" s="496">
        <f t="shared" si="8"/>
        <v>0.14600621526193461</v>
      </c>
      <c r="GT13" s="497">
        <f t="shared" si="9"/>
        <v>0.1719401824063467</v>
      </c>
      <c r="GU13" s="497">
        <f t="shared" si="10"/>
        <v>0.20583203045395818</v>
      </c>
      <c r="GV13" s="497">
        <f t="shared" si="11"/>
        <v>0.17757179808801998</v>
      </c>
      <c r="GW13" s="497">
        <f t="shared" si="12"/>
        <v>0.15543143272697152</v>
      </c>
      <c r="GX13" s="497">
        <f t="shared" si="13"/>
        <v>0.14454162102314691</v>
      </c>
      <c r="GY13" s="497">
        <f t="shared" si="14"/>
        <v>0.13497588476336175</v>
      </c>
      <c r="GZ13" s="497">
        <f t="shared" si="15"/>
        <v>0.15741334415156744</v>
      </c>
      <c r="HA13" s="497">
        <f t="shared" si="16"/>
        <v>0.17830984734166727</v>
      </c>
      <c r="HB13" s="497">
        <f t="shared" si="17"/>
        <v>0.17522662929665092</v>
      </c>
      <c r="HC13" s="497">
        <f t="shared" si="18"/>
        <v>0.17265712960869448</v>
      </c>
      <c r="HD13" s="497">
        <f t="shared" si="19"/>
        <v>0.15629841939681782</v>
      </c>
      <c r="HE13" s="497">
        <f t="shared" si="20"/>
        <v>0.14205382041461442</v>
      </c>
      <c r="HF13" s="497">
        <f t="shared" si="21"/>
        <v>0.12324974327815348</v>
      </c>
      <c r="HG13" s="498">
        <f t="shared" si="22"/>
        <v>0.1085312946979745</v>
      </c>
      <c r="HH13" s="10">
        <f t="shared" si="52"/>
        <v>0.15631484578781529</v>
      </c>
      <c r="HI13" s="10">
        <f t="shared" si="53"/>
        <v>-0.47271911733751532</v>
      </c>
      <c r="HJ13" s="10"/>
      <c r="HK13" s="18">
        <f>('Bloom Cleaner Data'!T13+'OPERATING LEASES'!AU13)/('Bloom Cleaner Data'!T13+'OPERATING LEASES'!AU13+'Bloom Cleaner Data'!D13)</f>
        <v>0.12941783528588477</v>
      </c>
      <c r="HL13" s="18">
        <f>('Bloom Cleaner Data'!U13+'OPERATING LEASES'!AV13)/('Bloom Cleaner Data'!U13+'OPERATING LEASES'!AV13+'Bloom Cleaner Data'!E13)</f>
        <v>0.14836250322021755</v>
      </c>
      <c r="HM13" s="18">
        <f>('Bloom Cleaner Data'!V13+'OPERATING LEASES'!AW13)/('Bloom Cleaner Data'!V13+'OPERATING LEASES'!AW13+'Bloom Cleaner Data'!F13)</f>
        <v>0.17191191489292371</v>
      </c>
      <c r="HN13" s="18">
        <f>('Bloom Cleaner Data'!W13+'OPERATING LEASES'!AX13)/('Bloom Cleaner Data'!W13+'OPERATING LEASES'!AX13+'Bloom Cleaner Data'!G13)</f>
        <v>0.15137838182597377</v>
      </c>
      <c r="HO13" s="18">
        <f>('Bloom Cleaner Data'!X13+'OPERATING LEASES'!AY13)/('Bloom Cleaner Data'!X13+'OPERATING LEASES'!AY13+'Bloom Cleaner Data'!H13)</f>
        <v>0.13456596409720589</v>
      </c>
      <c r="HP13" s="18">
        <f>('Bloom Cleaner Data'!Y13+'OPERATING LEASES'!AZ13)/('Bloom Cleaner Data'!Y13+'OPERATING LEASES'!AZ13+'Bloom Cleaner Data'!I13)</f>
        <v>0.13952791063486325</v>
      </c>
      <c r="HQ13" s="18">
        <f>('Bloom Cleaner Data'!Z13+'OPERATING LEASES'!BA13)/('Bloom Cleaner Data'!Z13+'OPERATING LEASES'!BA13+'Bloom Cleaner Data'!J13)</f>
        <v>0.14383983524363131</v>
      </c>
      <c r="HR13" s="18">
        <f>('Bloom Cleaner Data'!AA13+'OPERATING LEASES'!BB13)/('Bloom Cleaner Data'!AA13+'OPERATING LEASES'!BB13+'Bloom Cleaner Data'!K13)</f>
        <v>0.17024272073270599</v>
      </c>
      <c r="HS13" s="18">
        <f>('Bloom Cleaner Data'!AB13+'OPERATING LEASES'!BC13)/('Bloom Cleaner Data'!AB13+'OPERATING LEASES'!BC13+'Bloom Cleaner Data'!L13)</f>
        <v>0.19340865762048937</v>
      </c>
      <c r="HT13" s="18">
        <f>('Bloom Cleaner Data'!AC13+'OPERATING LEASES'!BD13)/('Bloom Cleaner Data'!AC13+'OPERATING LEASES'!BD13+'Bloom Cleaner Data'!M13)</f>
        <v>0.18878175927414945</v>
      </c>
      <c r="HU13" s="18">
        <f>('Bloom Cleaner Data'!AD13+'OPERATING LEASES'!BE13)/('Bloom Cleaner Data'!AD13+'OPERATING LEASES'!BE13+'Bloom Cleaner Data'!N13)</f>
        <v>0.18488503570511355</v>
      </c>
      <c r="HV13" s="18">
        <f>('Bloom Cleaner Data'!AE13+'OPERATING LEASES'!BF13)/('Bloom Cleaner Data'!AE13+'OPERATING LEASES'!BF13+'Bloom Cleaner Data'!O13)</f>
        <v>0.17224351757113707</v>
      </c>
      <c r="HW13" s="18">
        <f>('Bloom Cleaner Data'!AF13+'OPERATING LEASES'!BG13)/('Bloom Cleaner Data'!AF13+'OPERATING LEASES'!BG13+'Bloom Cleaner Data'!P13)</f>
        <v>0.16091197440640848</v>
      </c>
      <c r="HX13" s="18">
        <f>('Bloom Cleaner Data'!AG13+'OPERATING LEASES'!BH13)/('Bloom Cleaner Data'!AG13+'OPERATING LEASES'!BH13+'Bloom Cleaner Data'!Q13)</f>
        <v>0.14303347616444623</v>
      </c>
      <c r="HY13" s="18">
        <f>('Bloom Cleaner Data'!AH13+'OPERATING LEASES'!BI13)/('Bloom Cleaner Data'!AH13+'OPERATING LEASES'!BI13+'Bloom Cleaner Data'!R13)</f>
        <v>0.12849893093161849</v>
      </c>
      <c r="HZ13" s="10">
        <f t="shared" si="54"/>
        <v>0.16024846762312819</v>
      </c>
      <c r="IA13" s="10">
        <f t="shared" si="55"/>
        <v>-0.25253039609468159</v>
      </c>
      <c r="IB13" s="10">
        <f t="shared" si="23"/>
        <v>2.5473012549392576E-2</v>
      </c>
      <c r="IC13" s="10">
        <f t="shared" si="24"/>
        <v>0.18900335031669008</v>
      </c>
      <c r="IE13" s="502">
        <f t="shared" si="56"/>
        <v>0.14865665818961896</v>
      </c>
      <c r="IF13" s="467">
        <f t="shared" si="25"/>
        <v>0.17420851451610206</v>
      </c>
      <c r="IG13" s="467">
        <f t="shared" si="25"/>
        <v>0.20760100040649004</v>
      </c>
      <c r="IH13" s="467">
        <f t="shared" si="25"/>
        <v>0.17838148190437766</v>
      </c>
      <c r="II13" s="467">
        <f t="shared" si="25"/>
        <v>0.15548956767898645</v>
      </c>
      <c r="IJ13" s="467">
        <f t="shared" si="25"/>
        <v>0.16215274424276571</v>
      </c>
      <c r="IK13" s="467">
        <f t="shared" si="25"/>
        <v>0.16800575542376789</v>
      </c>
      <c r="IL13" s="467">
        <f t="shared" si="25"/>
        <v>0.20517171103703546</v>
      </c>
      <c r="IM13" s="467">
        <f t="shared" si="25"/>
        <v>0.23978518917636529</v>
      </c>
      <c r="IN13" s="467">
        <f t="shared" si="25"/>
        <v>0.23271389842668469</v>
      </c>
      <c r="IO13" s="467">
        <f t="shared" si="25"/>
        <v>0.22682080909292099</v>
      </c>
      <c r="IP13" s="467">
        <f t="shared" si="25"/>
        <v>0.20808477037319922</v>
      </c>
      <c r="IQ13" s="467">
        <f t="shared" si="25"/>
        <v>0.19177007596142895</v>
      </c>
      <c r="IR13" s="467">
        <f t="shared" si="25"/>
        <v>0.16690672527587952</v>
      </c>
      <c r="IS13" s="503">
        <f t="shared" si="25"/>
        <v>0.14744552300891778</v>
      </c>
      <c r="IT13" s="10">
        <f t="shared" si="57"/>
        <v>0.19156378861606305</v>
      </c>
      <c r="IU13" s="10">
        <f t="shared" si="58"/>
        <v>-0.28976487242251109</v>
      </c>
      <c r="IV13" s="10">
        <f t="shared" si="59"/>
        <v>3.5248942828247753E-2</v>
      </c>
      <c r="IW13" s="10">
        <f t="shared" si="60"/>
        <v>0.22549964880556086</v>
      </c>
      <c r="IY13" s="15">
        <f>'Bloom Cleaner Data'!T13/'Bloom Cleaner Data'!BU13*'Bloom Cleaner Data'!DA13</f>
        <v>1.016480459947269</v>
      </c>
      <c r="IZ13" s="15">
        <f>'Bloom Cleaner Data'!U13/'Bloom Cleaner Data'!BV13*'Bloom Cleaner Data'!DB13</f>
        <v>0.96939737560277461</v>
      </c>
      <c r="JA13" s="15">
        <f>'Bloom Cleaner Data'!V13/'Bloom Cleaner Data'!BW13*'Bloom Cleaner Data'!DC13</f>
        <v>0.89384513609192107</v>
      </c>
      <c r="JB13" s="15">
        <f>'Bloom Cleaner Data'!W13/'Bloom Cleaner Data'!BX13*'Bloom Cleaner Data'!DD13</f>
        <v>0.88528200839896165</v>
      </c>
      <c r="JC13" s="15">
        <f>'Bloom Cleaner Data'!X13/'Bloom Cleaner Data'!BY13*'Bloom Cleaner Data'!DE13</f>
        <v>0.87508213587456352</v>
      </c>
      <c r="JD13" s="15">
        <f>'Bloom Cleaner Data'!Y13/'Bloom Cleaner Data'!BZ13*'Bloom Cleaner Data'!DF13</f>
        <v>0.89299333909347578</v>
      </c>
      <c r="JE13" s="15">
        <f>'Bloom Cleaner Data'!Z13/'Bloom Cleaner Data'!CA13*'Bloom Cleaner Data'!DG13</f>
        <v>0.90823472222442148</v>
      </c>
      <c r="JF13" s="15">
        <f>'Bloom Cleaner Data'!AA13/'Bloom Cleaner Data'!CB13*'Bloom Cleaner Data'!DH13</f>
        <v>1.0484244697718028</v>
      </c>
      <c r="JG13" s="15">
        <f>'Bloom Cleaner Data'!AB13/'Bloom Cleaner Data'!CC13*'Bloom Cleaner Data'!DI13</f>
        <v>1.1773872546877322</v>
      </c>
      <c r="JH13" s="15">
        <f>'Bloom Cleaner Data'!AC13/'Bloom Cleaner Data'!CD13*'Bloom Cleaner Data'!DJ13</f>
        <v>1.2727147204945304</v>
      </c>
      <c r="JI13" s="15">
        <f>'Bloom Cleaner Data'!AD13/'Bloom Cleaner Data'!CE13*'Bloom Cleaner Data'!DK13</f>
        <v>1.3680415862857602</v>
      </c>
      <c r="JJ13" s="15">
        <f>'Bloom Cleaner Data'!AE13/'Bloom Cleaner Data'!CF13*'Bloom Cleaner Data'!DL13</f>
        <v>1.262716691595031</v>
      </c>
      <c r="JK13" s="15">
        <f>'Bloom Cleaner Data'!AF13/'Bloom Cleaner Data'!CG13*'Bloom Cleaner Data'!DM13</f>
        <v>1.1681821305966029</v>
      </c>
      <c r="JL13" s="15">
        <f>'Bloom Cleaner Data'!AG13/'Bloom Cleaner Data'!CH13*'Bloom Cleaner Data'!DN13</f>
        <v>1.0305140249284643</v>
      </c>
      <c r="JM13" s="15">
        <f>'Bloom Cleaner Data'!AH13/'Bloom Cleaner Data'!CI13*'Bloom Cleaner Data'!DO13</f>
        <v>0.96227832934072755</v>
      </c>
      <c r="JN13" s="15">
        <f t="shared" si="61"/>
        <v>1.0536581616219316</v>
      </c>
      <c r="JO13" s="15">
        <f t="shared" si="62"/>
        <v>1.1059227941152066</v>
      </c>
      <c r="JP13" s="15">
        <f t="shared" si="63"/>
        <v>1.0573612730295383</v>
      </c>
      <c r="JQ13" s="18">
        <f t="shared" si="64"/>
        <v>7.6560458278053398E-2</v>
      </c>
      <c r="JR13" s="18"/>
      <c r="JS13" s="2024" t="s">
        <v>287</v>
      </c>
      <c r="JT13" s="526">
        <f>('Bloom Cleaner Data'!T13+'OPERATING LEASES'!AU13)/DD13</f>
        <v>1.0316616252605197</v>
      </c>
      <c r="JU13" s="526">
        <f>('Bloom Cleaner Data'!U13+'OPERATING LEASES'!AV13)/DE13</f>
        <v>0.98003453333356261</v>
      </c>
      <c r="JV13" s="526">
        <f>('Bloom Cleaner Data'!V13+'OPERATING LEASES'!AW13)/DF13</f>
        <v>0.90034175824771145</v>
      </c>
      <c r="JW13" s="526">
        <f>('Bloom Cleaner Data'!W13+'OPERATING LEASES'!AX13)/DG13</f>
        <v>0.88870691668831781</v>
      </c>
      <c r="JX13" s="526">
        <f>('Bloom Cleaner Data'!X13+'OPERATING LEASES'!AY13)/DH13</f>
        <v>0.87536636081633512</v>
      </c>
      <c r="JY13" s="526">
        <f>('Bloom Cleaner Data'!Y13+'OPERATING LEASES'!AZ13)/DI13</f>
        <v>0.9856726829507314</v>
      </c>
      <c r="JZ13" s="526">
        <f>('Bloom Cleaner Data'!Z13+'OPERATING LEASES'!BA13)/DJ13</f>
        <v>1.0939340226663481</v>
      </c>
      <c r="KA13" s="526">
        <f>('Bloom Cleaner Data'!AA13+'OPERATING LEASES'!BB13)/DK13</f>
        <v>1.304141904233985</v>
      </c>
      <c r="KB13" s="526">
        <f>('Bloom Cleaner Data'!AB13+'OPERATING LEASES'!BC13)/DL13</f>
        <v>1.4922400442931911</v>
      </c>
      <c r="KC13" s="526">
        <f>('Bloom Cleaner Data'!AC13+'OPERATING LEASES'!BD13)/DM13</f>
        <v>1.5904173415378409</v>
      </c>
      <c r="KD13" s="526">
        <f>('Bloom Cleaner Data'!AD13+'OPERATING LEASES'!BE13)/DN13</f>
        <v>1.6882712052555244</v>
      </c>
      <c r="KE13" s="526">
        <f>('Bloom Cleaner Data'!AE13+'OPERATING LEASES'!BF13)/DO13</f>
        <v>1.5816062321690518</v>
      </c>
      <c r="KF13" s="526">
        <f>('Bloom Cleaner Data'!AF13+'OPERATING LEASES'!BG13)/DP13</f>
        <v>1.4857004670633451</v>
      </c>
      <c r="KG13" s="526">
        <f>('Bloom Cleaner Data'!AG13+'OPERATING LEASES'!BH13)/DQ13</f>
        <v>1.3229345277777476</v>
      </c>
      <c r="KH13" s="526">
        <f>('Bloom Cleaner Data'!AH13+'OPERATING LEASES'!BI13)/DR13</f>
        <v>1.242834927692577</v>
      </c>
      <c r="KI13" s="15">
        <f t="shared" si="65"/>
        <v>1.35048997417789</v>
      </c>
      <c r="KJ13" s="15">
        <f t="shared" si="66"/>
        <v>1.4082690386756804</v>
      </c>
      <c r="KK13" s="15">
        <f t="shared" si="67"/>
        <v>1.265551414722516</v>
      </c>
      <c r="KL13" s="18">
        <f t="shared" si="68"/>
        <v>0.38040351489576829</v>
      </c>
      <c r="KM13" s="15">
        <f t="shared" si="69"/>
        <v>0.20819014169297767</v>
      </c>
      <c r="KN13" s="18"/>
      <c r="KO13" s="15">
        <f t="shared" si="70"/>
        <v>1.0316616252605197</v>
      </c>
      <c r="KP13" s="15">
        <f t="shared" si="71"/>
        <v>0.98003453333356261</v>
      </c>
      <c r="KQ13" s="15">
        <f t="shared" si="72"/>
        <v>0.90034175824771145</v>
      </c>
      <c r="KR13" s="15">
        <f t="shared" si="73"/>
        <v>0.88870691668831781</v>
      </c>
      <c r="KS13" s="15">
        <f t="shared" si="74"/>
        <v>0.87536636081633512</v>
      </c>
      <c r="KT13" s="15">
        <f t="shared" si="75"/>
        <v>0.9856726829507314</v>
      </c>
      <c r="KU13" s="15">
        <f t="shared" si="76"/>
        <v>1.0939340226663481</v>
      </c>
      <c r="KV13" s="15">
        <f t="shared" si="77"/>
        <v>1.304141904233985</v>
      </c>
      <c r="KW13" s="15">
        <f t="shared" si="78"/>
        <v>1.4922400442931911</v>
      </c>
      <c r="KX13" s="15">
        <f t="shared" si="79"/>
        <v>1.5904173415378409</v>
      </c>
      <c r="KY13" s="15">
        <f t="shared" si="80"/>
        <v>1.6882712052555244</v>
      </c>
      <c r="KZ13" s="15">
        <f t="shared" si="81"/>
        <v>1.5816062321690518</v>
      </c>
      <c r="LA13" s="15">
        <f t="shared" si="82"/>
        <v>1.4857004670633451</v>
      </c>
      <c r="LB13" s="15">
        <f t="shared" si="83"/>
        <v>1.3229345277777476</v>
      </c>
      <c r="LC13" s="15">
        <f t="shared" si="84"/>
        <v>1.242834927692577</v>
      </c>
      <c r="LD13" s="15">
        <f t="shared" si="85"/>
        <v>1.35048997417789</v>
      </c>
      <c r="LE13" s="15">
        <f t="shared" si="86"/>
        <v>1.4082690386756804</v>
      </c>
      <c r="LF13" s="526">
        <f t="shared" si="87"/>
        <v>1.265551414722516</v>
      </c>
      <c r="LG13" s="10">
        <f t="shared" si="88"/>
        <v>0.38040351489576829</v>
      </c>
      <c r="LH13" s="18"/>
      <c r="LI13" s="15">
        <f>('Bloom Cleaner Data'!T13+'Bloom Cleaner Data'!EY13)/'Bloom Cleaner Data'!GV13</f>
        <v>1.0310593334322249</v>
      </c>
      <c r="LJ13" s="15">
        <f>('Bloom Cleaner Data'!U13+'Bloom Cleaner Data'!EZ13)/'Bloom Cleaner Data'!GW13</f>
        <v>1.2600684541882516</v>
      </c>
      <c r="LK13" s="15">
        <f>('Bloom Cleaner Data'!V13+'Bloom Cleaner Data'!FA13)/'Bloom Cleaner Data'!GX13</f>
        <v>1.3984323784593184</v>
      </c>
      <c r="LL13" s="15">
        <f>('Bloom Cleaner Data'!W13+'Bloom Cleaner Data'!FB13)/'Bloom Cleaner Data'!GY13</f>
        <v>1.1884217934803276</v>
      </c>
      <c r="LM13" s="15">
        <f>('Bloom Cleaner Data'!X13+'Bloom Cleaner Data'!FC13)/'Bloom Cleaner Data'!GZ13</f>
        <v>0.97309534524164631</v>
      </c>
      <c r="LN13" s="15">
        <f>('Bloom Cleaner Data'!Y13+'Bloom Cleaner Data'!FD13)/'Bloom Cleaner Data'!HA13</f>
        <v>0.94751589858305896</v>
      </c>
      <c r="LO13" s="15">
        <f>('Bloom Cleaner Data'!Z13+'Bloom Cleaner Data'!FE13)/'Bloom Cleaner Data'!HB13</f>
        <v>0.91688080506386038</v>
      </c>
      <c r="LP13" s="15">
        <f>('Bloom Cleaner Data'!AA13+'Bloom Cleaner Data'!FF13)/'Bloom Cleaner Data'!HC13</f>
        <v>1.1038349609705798</v>
      </c>
      <c r="LQ13" s="15">
        <f>('Bloom Cleaner Data'!AB13+'Bloom Cleaner Data'!FG13)/'Bloom Cleaner Data'!HD13</f>
        <v>1.2755805890054153</v>
      </c>
      <c r="LR13" s="15">
        <f>('Bloom Cleaner Data'!AC13+'Bloom Cleaner Data'!FH13)/'Bloom Cleaner Data'!HE13</f>
        <v>1.3270731428572444</v>
      </c>
      <c r="LS13" s="15">
        <f>('Bloom Cleaner Data'!AD13+'Bloom Cleaner Data'!FI13)/'Bloom Cleaner Data'!HF13</f>
        <v>1.378563404162648</v>
      </c>
      <c r="LT13" s="15">
        <f>('Bloom Cleaner Data'!AE13+'Bloom Cleaner Data'!FJ13)/'Bloom Cleaner Data'!HG13</f>
        <v>1.4891463655560138</v>
      </c>
      <c r="LU13" s="15">
        <f>('Bloom Cleaner Data'!AF13+'Bloom Cleaner Data'!FK13)/'Bloom Cleaner Data'!HH13</f>
        <v>1.5898534981231247</v>
      </c>
      <c r="LV13" s="15">
        <f>('Bloom Cleaner Data'!AG13+'Bloom Cleaner Data'!FL13)/'Bloom Cleaner Data'!HI13</f>
        <v>1.2445528807680966</v>
      </c>
      <c r="LW13" s="15">
        <f>('Bloom Cleaner Data'!AH13+'Bloom Cleaner Data'!FM13)/'Bloom Cleaner Data'!HJ13</f>
        <v>1.0110513278644693</v>
      </c>
      <c r="LX13" s="15">
        <f t="shared" si="89"/>
        <v>4.8772998523741729E-2</v>
      </c>
      <c r="LY13" s="15">
        <f t="shared" si="90"/>
        <v>1.28181923558523</v>
      </c>
      <c r="LZ13" s="15">
        <f t="shared" si="27"/>
        <v>0.22816107396329843</v>
      </c>
      <c r="MA13" s="15">
        <f t="shared" si="91"/>
        <v>1.333651018077926</v>
      </c>
      <c r="MB13" s="15">
        <f t="shared" si="92"/>
        <v>1.2187694146258312</v>
      </c>
      <c r="MC13" s="18">
        <f t="shared" si="93"/>
        <v>-0.27701092778017256</v>
      </c>
      <c r="MD13" s="15">
        <f t="shared" si="28"/>
        <v>0.16140814159629291</v>
      </c>
      <c r="ME13" s="18"/>
      <c r="MF13" s="2024" t="s">
        <v>287</v>
      </c>
      <c r="MG13" s="15">
        <f>JT13+'Bloom Cleaner Data'!EY13/CALCULATIONS!DD13</f>
        <v>1.04619442158067</v>
      </c>
      <c r="MH13" s="15">
        <f>JU13+'Bloom Cleaner Data'!EZ13/CALCULATIONS!DE13</f>
        <v>1.2700688372321931</v>
      </c>
      <c r="MI13" s="15">
        <f>JV13+'Bloom Cleaner Data'!FA13/CALCULATIONS!DF13</f>
        <v>1.4042655860695601</v>
      </c>
      <c r="MJ13" s="15">
        <f>JW13+'Bloom Cleaner Data'!FB13/CALCULATIONS!DG13</f>
        <v>1.1916381725697907</v>
      </c>
      <c r="MK13" s="15">
        <f>JX13+'Bloom Cleaner Data'!FC13/CALCULATIONS!DH13</f>
        <v>0.97337474727525575</v>
      </c>
      <c r="ML13" s="15">
        <f>JY13+'Bloom Cleaner Data'!FD13/CALCULATIONS!DI13</f>
        <v>1.0393176958664498</v>
      </c>
      <c r="MM13" s="15">
        <f>JZ13+'Bloom Cleaner Data'!FE13/CALCULATIONS!DJ13</f>
        <v>1.1023005347749153</v>
      </c>
      <c r="MN13" s="15">
        <f>KA13+'Bloom Cleaner Data'!FF13/CALCULATIONS!DK13</f>
        <v>1.3570234043172305</v>
      </c>
      <c r="MO13" s="15">
        <f>KB13+'Bloom Cleaner Data'!FG13/CALCULATIONS!DL13</f>
        <v>1.5847853386339634</v>
      </c>
      <c r="MP13" s="15">
        <f>KC13+'Bloom Cleaner Data'!FH13/CALCULATIONS!DM13</f>
        <v>1.6415648713702955</v>
      </c>
      <c r="MQ13" s="15">
        <f>KD13+'Bloom Cleaner Data'!FI13/CALCULATIONS!DN13</f>
        <v>1.6981552639439561</v>
      </c>
      <c r="MR13" s="15">
        <f>KE13+'Bloom Cleaner Data'!FJ13/CALCULATIONS!DO13</f>
        <v>1.7946358940388176</v>
      </c>
      <c r="MS13" s="15">
        <f>KF13+'Bloom Cleaner Data'!FK13/CALCULATIONS!DP13</f>
        <v>1.8829531980701022</v>
      </c>
      <c r="MT13" s="15">
        <f>KG13+'Bloom Cleaner Data'!FL13/CALCULATIONS!DQ13</f>
        <v>1.5258378941331214</v>
      </c>
      <c r="MU13" s="15">
        <f>KH13+'Bloom Cleaner Data'!FM13/CALCULATIONS!DR13</f>
        <v>1.2892026320099024</v>
      </c>
      <c r="MV13" s="15">
        <f t="shared" si="29"/>
        <v>4.6367704317325398E-2</v>
      </c>
      <c r="MW13" s="15">
        <f t="shared" si="94"/>
        <v>1.565997908071042</v>
      </c>
      <c r="MX13" s="15">
        <f t="shared" si="30"/>
        <v>0.21550793389315204</v>
      </c>
      <c r="MY13" s="15">
        <f t="shared" si="95"/>
        <v>1.623157404562986</v>
      </c>
      <c r="MZ13" s="15">
        <f t="shared" si="96"/>
        <v>1.4219273256210281</v>
      </c>
      <c r="NA13" s="18">
        <f t="shared" si="97"/>
        <v>-8.1938171241318233E-2</v>
      </c>
      <c r="NB13" s="15">
        <f t="shared" si="31"/>
        <v>0.1563759108985121</v>
      </c>
      <c r="NC13" s="15"/>
      <c r="ND13" s="13">
        <f>'Bloom Cleaner Data'!GF13+('Bloom Cleaner Data'!T13+'Bloom Cleaner Data'!EY13)+'Bloom Cleaner Data'!CK13</f>
        <v>1439.3599999999997</v>
      </c>
      <c r="NE13" s="13">
        <f>'Bloom Cleaner Data'!GG13+('Bloom Cleaner Data'!U13+'Bloom Cleaner Data'!EZ13)+'Bloom Cleaner Data'!CL13</f>
        <v>1741.7550000000001</v>
      </c>
      <c r="NF13" s="13">
        <f>'Bloom Cleaner Data'!GH13+('Bloom Cleaner Data'!V13+'Bloom Cleaner Data'!FA13)+'Bloom Cleaner Data'!CM13</f>
        <v>2044.1499999999996</v>
      </c>
      <c r="NG13" s="13">
        <f>'Bloom Cleaner Data'!GI13+('Bloom Cleaner Data'!W13+'Bloom Cleaner Data'!FB13)+'Bloom Cleaner Data'!CN13</f>
        <v>1945.8509999999994</v>
      </c>
      <c r="NH13" s="13">
        <f>'Bloom Cleaner Data'!GJ13+('Bloom Cleaner Data'!X13+'Bloom Cleaner Data'!FC13)+'Bloom Cleaner Data'!CO13</f>
        <v>1847.5520000000001</v>
      </c>
      <c r="NI13" s="13">
        <f>'Bloom Cleaner Data'!GK13+('Bloom Cleaner Data'!Y13+'Bloom Cleaner Data'!FD13)+'Bloom Cleaner Data'!CP13</f>
        <v>1875.8925000000002</v>
      </c>
      <c r="NJ13" s="13">
        <f>'Bloom Cleaner Data'!GL13+('Bloom Cleaner Data'!Z13+'Bloom Cleaner Data'!FE13)+'Bloom Cleaner Data'!CQ13</f>
        <v>1904.2330000000002</v>
      </c>
      <c r="NK13" s="13">
        <f>'Bloom Cleaner Data'!GM13+('Bloom Cleaner Data'!AA13+'Bloom Cleaner Data'!FF13)+'Bloom Cleaner Data'!CR13</f>
        <v>2240.0115000000005</v>
      </c>
      <c r="NL13" s="13">
        <f>'Bloom Cleaner Data'!GN13+('Bloom Cleaner Data'!AB13+'Bloom Cleaner Data'!FG13)+'Bloom Cleaner Data'!CS13</f>
        <v>2575.7899999999991</v>
      </c>
      <c r="NM13" s="13">
        <f>'Bloom Cleaner Data'!GO13+('Bloom Cleaner Data'!AC13+'Bloom Cleaner Data'!FH13)+'Bloom Cleaner Data'!CT13</f>
        <v>2650.3564999999999</v>
      </c>
      <c r="NN13" s="13">
        <f>'Bloom Cleaner Data'!GP13+('Bloom Cleaner Data'!AD13+'Bloom Cleaner Data'!FI13)+'Bloom Cleaner Data'!CU13</f>
        <v>2724.9229999999998</v>
      </c>
      <c r="NO13" s="13">
        <f>'Bloom Cleaner Data'!GQ13+('Bloom Cleaner Data'!AE13+'Bloom Cleaner Data'!FJ13)+'Bloom Cleaner Data'!CV13</f>
        <v>2950.0114999999996</v>
      </c>
      <c r="NP13" s="13">
        <f>'Bloom Cleaner Data'!GR13+('Bloom Cleaner Data'!AF13+'Bloom Cleaner Data'!FK13)+'Bloom Cleaner Data'!CW13</f>
        <v>3175.1</v>
      </c>
      <c r="NQ13" s="13">
        <f>'Bloom Cleaner Data'!GS13+('Bloom Cleaner Data'!AG13+'Bloom Cleaner Data'!FL13)+'Bloom Cleaner Data'!CX13</f>
        <v>3070.2869999999998</v>
      </c>
      <c r="NR13" s="13">
        <f>'Bloom Cleaner Data'!GT13+('Bloom Cleaner Data'!AH13+'Bloom Cleaner Data'!FM13)+'Bloom Cleaner Data'!CY13</f>
        <v>2965.4740000000002</v>
      </c>
      <c r="NS13" s="168"/>
      <c r="NT13" s="2024" t="s">
        <v>287</v>
      </c>
      <c r="NU13" s="998">
        <f>('Bloom Cleaner Data'!T13+'Bloom Cleaner Data'!EY13+'OPERATING LEASES'!BL13)/CALCULATIONS!ND13</f>
        <v>0.46999142476021094</v>
      </c>
      <c r="NV13" s="998">
        <f>('Bloom Cleaner Data'!U13+'Bloom Cleaner Data'!EZ13+'OPERATING LEASES'!BM13)/CALCULATIONS!NE13</f>
        <v>0.51662094359260791</v>
      </c>
      <c r="NW13" s="998">
        <f>('Bloom Cleaner Data'!V13+'Bloom Cleaner Data'!FA13+'OPERATING LEASES'!BN13)/CALCULATIONS!NF13</f>
        <v>0.54945447548928827</v>
      </c>
      <c r="NX13" s="998">
        <f>('Bloom Cleaner Data'!W13+'Bloom Cleaner Data'!FB13+'OPERATING LEASES'!BO13)/CALCULATIONS!NG13</f>
        <v>0.48614905279783222</v>
      </c>
      <c r="NY13" s="998">
        <f>('Bloom Cleaner Data'!X13+'Bloom Cleaner Data'!FC13+'OPERATING LEASES'!BP13)/CALCULATIONS!NH13</f>
        <v>0.41610730036285848</v>
      </c>
      <c r="NZ13" s="998">
        <f>('Bloom Cleaner Data'!Y13+'Bloom Cleaner Data'!FD13+'OPERATING LEASES'!BQ13)/CALCULATIONS!NI13</f>
        <v>0.39550728853065936</v>
      </c>
      <c r="OA13" s="998">
        <f>('Bloom Cleaner Data'!Z13+'Bloom Cleaner Data'!FE13+'OPERATING LEASES'!BR13)/CALCULATIONS!NJ13</f>
        <v>0.37552045232910042</v>
      </c>
      <c r="OB13" s="998">
        <f>('Bloom Cleaner Data'!AA13+'Bloom Cleaner Data'!FF13+'OPERATING LEASES'!BS13)/CALCULATIONS!NK13</f>
        <v>0.40526520455363724</v>
      </c>
      <c r="OC13" s="998">
        <f>('Bloom Cleaner Data'!AB13+'Bloom Cleaner Data'!FG13+'OPERATING LEASES'!BT13)/CALCULATIONS!NL13</f>
        <v>0.427254939261353</v>
      </c>
      <c r="OD13" s="998">
        <f>('Bloom Cleaner Data'!AC13+'Bloom Cleaner Data'!FH13+'OPERATING LEASES'!BU13)/CALCULATIONS!NM13</f>
        <v>0.43176568887996769</v>
      </c>
      <c r="OE13" s="998">
        <f>('Bloom Cleaner Data'!AD13+'Bloom Cleaner Data'!FI13+'OPERATING LEASES'!BV13)/CALCULATIONS!NN13</f>
        <v>0.43602956854193681</v>
      </c>
      <c r="OF13" s="998">
        <f>('Bloom Cleaner Data'!AE13+'Bloom Cleaner Data'!FJ13+'OPERATING LEASES'!BW13)/CALCULATIONS!NO13</f>
        <v>0.45636330570236761</v>
      </c>
      <c r="OG13" s="998">
        <f>('Bloom Cleaner Data'!AF13+'Bloom Cleaner Data'!FK13+'OPERATING LEASES'!BX13)/CALCULATIONS!NP13</f>
        <v>0.47381405310068975</v>
      </c>
      <c r="OH13" s="998">
        <f>('Bloom Cleaner Data'!AG13+'Bloom Cleaner Data'!FL13+'OPERATING LEASES'!BY13)/CALCULATIONS!NQ13</f>
        <v>0.43186011600869884</v>
      </c>
      <c r="OI13" s="998">
        <f>('Bloom Cleaner Data'!AH13+'Bloom Cleaner Data'!FM13+'OPERATING LEASES'!BZ13)/CALCULATIONS!NR13</f>
        <v>0.38694050259756113</v>
      </c>
      <c r="OJ13" s="18">
        <f t="shared" si="98"/>
        <v>0.4308715572356499</v>
      </c>
      <c r="OK13" s="18">
        <f t="shared" si="99"/>
        <v>0.43724449435232932</v>
      </c>
      <c r="OL13" s="18">
        <f t="shared" si="100"/>
        <v>0.43631014985815014</v>
      </c>
      <c r="OM13" s="10">
        <f t="shared" si="101"/>
        <v>-0.29577331724709083</v>
      </c>
      <c r="ON13" s="10"/>
      <c r="OO13" s="2710"/>
      <c r="OP13" s="526">
        <f>'Bloom Cleaner Data'!D13/'Bloom Cleaner Data'!GF13</f>
        <v>5.9572195549508775</v>
      </c>
      <c r="OQ13" s="526">
        <f>'Bloom Cleaner Data'!E13/'Bloom Cleaner Data'!GG13</f>
        <v>4.7683470175748726</v>
      </c>
      <c r="OR13" s="526">
        <f>'Bloom Cleaner Data'!F13/'Bloom Cleaner Data'!GH13</f>
        <v>3.78198239754968</v>
      </c>
      <c r="OS13" s="526">
        <f>'Bloom Cleaner Data'!G13/'Bloom Cleaner Data'!GI13</f>
        <v>3.9667272094446733</v>
      </c>
      <c r="OT13" s="526">
        <f>'Bloom Cleaner Data'!H13/'Bloom Cleaner Data'!GJ13</f>
        <v>4.1245759450414017</v>
      </c>
      <c r="OU13" s="526">
        <f>'Bloom Cleaner Data'!I13/'Bloom Cleaner Data'!GK13</f>
        <v>4.1490500964517452</v>
      </c>
      <c r="OV13" s="526">
        <f>'Bloom Cleaner Data'!J13/'Bloom Cleaner Data'!GL13</f>
        <v>4.1707893499088549</v>
      </c>
      <c r="OW13" s="526">
        <f>'Bloom Cleaner Data'!K13/'Bloom Cleaner Data'!GM13</f>
        <v>3.8339261041654495</v>
      </c>
      <c r="OX13" s="526">
        <f>'Bloom Cleaner Data'!L13/'Bloom Cleaner Data'!GN13</f>
        <v>3.5657120220683001</v>
      </c>
      <c r="OY13" s="526">
        <f>'Bloom Cleaner Data'!M13/'Bloom Cleaner Data'!GO13</f>
        <v>3.8400778649865051</v>
      </c>
      <c r="OZ13" s="526">
        <f>'Bloom Cleaner Data'!N13/'Bloom Cleaner Data'!GP13</f>
        <v>4.103195733570832</v>
      </c>
      <c r="PA13" s="526">
        <f>'Bloom Cleaner Data'!O13/'Bloom Cleaner Data'!GQ13</f>
        <v>4.2258898134652592</v>
      </c>
      <c r="PB13" s="526">
        <f>'Bloom Cleaner Data'!P13/'Bloom Cleaner Data'!GR13</f>
        <v>4.3388638281385283</v>
      </c>
      <c r="PC13" s="526">
        <f>'Bloom Cleaner Data'!Q13/'Bloom Cleaner Data'!GS13</f>
        <v>4.7389082958865494</v>
      </c>
      <c r="PD13" s="526">
        <f>'Bloom Cleaner Data'!R13/'Bloom Cleaner Data'!GT13</f>
        <v>5.1075046454025781</v>
      </c>
      <c r="PE13" s="526">
        <f t="shared" si="102"/>
        <v>4.1497848696984878</v>
      </c>
      <c r="PF13" s="10">
        <f t="shared" si="103"/>
        <v>0.35048345246442569</v>
      </c>
      <c r="PG13" s="526">
        <f t="shared" si="104"/>
        <v>4.4965928375497768</v>
      </c>
      <c r="PH13" s="18"/>
      <c r="PI13" s="2710"/>
      <c r="PJ13" s="526">
        <f>CALCULATIONS!DD13/'Bloom Cleaner Data'!GF13</f>
        <v>0.8584019502685446</v>
      </c>
      <c r="PK13" s="526">
        <f>CALCULATIONS!DE13/'Bloom Cleaner Data'!GG13</f>
        <v>0.84760957127035585</v>
      </c>
      <c r="PL13" s="526">
        <f>CALCULATIONS!DF13/'Bloom Cleaner Data'!GH13</f>
        <v>0.87205033206405214</v>
      </c>
      <c r="PM13" s="526">
        <f>CALCULATIONS!DG13/'Bloom Cleaner Data'!GI13</f>
        <v>0.79620251023580102</v>
      </c>
      <c r="PN13" s="526">
        <f>CALCULATIONS!DH13/'Bloom Cleaner Data'!GJ13</f>
        <v>0.73264013704565334</v>
      </c>
      <c r="PO13" s="526">
        <f>CALCULATIONS!DI13/'Bloom Cleaner Data'!GK13</f>
        <v>0.68255909976759588</v>
      </c>
      <c r="PP13" s="526">
        <f>CALCULATIONS!DJ13/'Bloom Cleaner Data'!GL13</f>
        <v>0.64054741961212658</v>
      </c>
      <c r="PQ13" s="526">
        <f>CALCULATIONS!DK13/'Bloom Cleaner Data'!GM13</f>
        <v>0.60316532750568619</v>
      </c>
      <c r="PR13" s="526">
        <f>CALCULATIONS!DL13/'Bloom Cleaner Data'!GN13</f>
        <v>0.57296742238616549</v>
      </c>
      <c r="PS13" s="526">
        <f>CALCULATIONS!DM13/'Bloom Cleaner Data'!GO13</f>
        <v>0.56188993095292372</v>
      </c>
      <c r="PT13" s="526">
        <f>CALCULATIONS!DN13/'Bloom Cleaner Data'!GP13</f>
        <v>0.55126816903466358</v>
      </c>
      <c r="PU13" s="526">
        <f>CALCULATIONS!DO13/'Bloom Cleaner Data'!GQ13</f>
        <v>0.55598118771409255</v>
      </c>
      <c r="PV13" s="526">
        <f>CALCULATIONS!DP13/'Bloom Cleaner Data'!GR13</f>
        <v>0.5600484514574402</v>
      </c>
      <c r="PW13" s="526">
        <f>CALCULATIONS!DQ13/'Bloom Cleaner Data'!GS13</f>
        <v>0.5978796746485725</v>
      </c>
      <c r="PX13" s="526">
        <f>CALCULATIONS!DR13/'Bloom Cleaner Data'!GT13</f>
        <v>0.60593621641291628</v>
      </c>
      <c r="PY13" s="526">
        <f t="shared" si="105"/>
        <v>0.64101045221828379</v>
      </c>
      <c r="PZ13" s="526">
        <f t="shared" si="106"/>
        <v>0.58329819996939869</v>
      </c>
      <c r="QA13" s="18"/>
      <c r="QC13" s="15">
        <f>'Bloom Cleaner Data'!HZ13</f>
        <v>7.2253999999999996</v>
      </c>
      <c r="QD13" s="15">
        <f>AVERAGE('Bloom Cleaner Data'!HN13:HZ13)</f>
        <v>7.9698615384615392</v>
      </c>
      <c r="QE13" s="504">
        <f>('Bloom Cleaner Data'!HZ13-'Bloom Cleaner Data'!HN13)/'Bloom Cleaner Data'!HN13</f>
        <v>-0.33644962806501977</v>
      </c>
      <c r="QF13" s="15">
        <f>'Bloom Cleaner Data'!HZ13-'Bloom Cleaner Data'!HL13</f>
        <v>-0.97670000000000012</v>
      </c>
    </row>
    <row r="14" spans="1:450">
      <c r="A14" s="11" t="s">
        <v>19</v>
      </c>
      <c r="B14" s="83" t="s">
        <v>288</v>
      </c>
      <c r="C14" s="1207" t="s">
        <v>1105</v>
      </c>
      <c r="E14" s="13">
        <f>'Bloom Cleaner Data'!D14</f>
        <v>46131.404699999999</v>
      </c>
      <c r="G14" s="13">
        <f>'Bloom Cleaner Data'!F14</f>
        <v>37808.283300000003</v>
      </c>
      <c r="H14" s="13">
        <f>'Bloom Cleaner Data'!H14</f>
        <v>41308.878100000002</v>
      </c>
      <c r="I14" s="13">
        <f>'Bloom Cleaner Data'!J14</f>
        <v>38824.5723</v>
      </c>
      <c r="J14" s="13">
        <f>'Bloom Cleaner Data'!L14</f>
        <v>31956.665000000001</v>
      </c>
      <c r="K14" s="13">
        <f>'Bloom Cleaner Data'!N14</f>
        <v>27291.271499999999</v>
      </c>
      <c r="L14" s="13">
        <f>'Bloom Cleaner Data'!P14</f>
        <v>21909.9231</v>
      </c>
      <c r="M14" s="13">
        <f>'Bloom Cleaner Data'!R14</f>
        <v>19124.593099999998</v>
      </c>
      <c r="N14" s="13">
        <f t="shared" si="0"/>
        <v>31174.883771428573</v>
      </c>
      <c r="O14" s="13">
        <f t="shared" si="32"/>
        <v>22775.262566666668</v>
      </c>
      <c r="P14" s="10">
        <f t="shared" si="1"/>
        <v>-0.49416922878378883</v>
      </c>
      <c r="Q14" s="146">
        <f t="shared" si="107"/>
        <v>-0.49416922878378883</v>
      </c>
      <c r="R14" s="10">
        <f t="shared" si="33"/>
        <v>-0.3923936498781499</v>
      </c>
      <c r="S14" s="1363" t="s">
        <v>288</v>
      </c>
      <c r="T14" s="1322">
        <f>'Bloom Cleaner Data'!D14/'Bloom Cleaner Data'!$F14</f>
        <v>1.220140156429689</v>
      </c>
      <c r="U14" s="1322">
        <f>'Bloom Cleaner Data'!E14/'Bloom Cleaner Data'!$F14</f>
        <v>1.1100700782148443</v>
      </c>
      <c r="V14" s="1322">
        <f>'Bloom Cleaner Data'!F14/'Bloom Cleaner Data'!$F14</f>
        <v>1</v>
      </c>
      <c r="W14" s="1322">
        <f>'Bloom Cleaner Data'!G14/'Bloom Cleaner Data'!$F14</f>
        <v>1.0462940193849004</v>
      </c>
      <c r="X14" s="1322">
        <f>'Bloom Cleaner Data'!H14/'Bloom Cleaner Data'!$F14</f>
        <v>1.0925880387698004</v>
      </c>
      <c r="Y14" s="1322">
        <f>'Bloom Cleaner Data'!I14/'Bloom Cleaner Data'!$F14</f>
        <v>1.0597340503952475</v>
      </c>
      <c r="Z14" s="1322">
        <f>'Bloom Cleaner Data'!J14/'Bloom Cleaner Data'!$F14</f>
        <v>1.0268800620206948</v>
      </c>
      <c r="AA14" s="1322">
        <f>'Bloom Cleaner Data'!K14/'Bloom Cleaner Data'!$F14</f>
        <v>0.93605463038836256</v>
      </c>
      <c r="AB14" s="1322">
        <f>'Bloom Cleaner Data'!L14/'Bloom Cleaner Data'!$F14</f>
        <v>0.8452291987560302</v>
      </c>
      <c r="AC14" s="1322">
        <f>'Bloom Cleaner Data'!M14/'Bloom Cleaner Data'!$F14</f>
        <v>0.78353116471701845</v>
      </c>
      <c r="AD14" s="1322">
        <f>'Bloom Cleaner Data'!N14/'Bloom Cleaner Data'!$F14</f>
        <v>0.7218331306780067</v>
      </c>
      <c r="AE14" s="1322">
        <f>'Bloom Cleaner Data'!O14/'Bloom Cleaner Data'!$F14</f>
        <v>0.65066686854835321</v>
      </c>
      <c r="AF14" s="1322">
        <f>'Bloom Cleaner Data'!P14/'Bloom Cleaner Data'!$F14</f>
        <v>0.57950060641869972</v>
      </c>
      <c r="AG14" s="1322">
        <f>'Bloom Cleaner Data'!Q14/'Bloom Cleaner Data'!$F14</f>
        <v>0.54266568881745547</v>
      </c>
      <c r="AH14" s="1322">
        <f>'Bloom Cleaner Data'!R14/'Bloom Cleaner Data'!$F14</f>
        <v>0.50583077121621112</v>
      </c>
      <c r="AI14" s="13"/>
      <c r="AJ14" s="13">
        <f>AVERAGE('Bloom Cleaner Data'!BW14:CI14)</f>
        <v>64886.687276923083</v>
      </c>
      <c r="AK14" s="18">
        <f>('Bloom Cleaner Data'!CI14-'Bloom Cleaner Data'!BW14)/'Bloom Cleaner Data'!BW14</f>
        <v>-0.31885802374925926</v>
      </c>
      <c r="AL14" s="18">
        <f>('Bloom Cleaner Data'!CI14+'Bloom Cleaner Data'!CH14-'Bloom Cleaner Data'!BW14-'Bloom Cleaner Data'!BV14)/('Bloom Cleaner Data'!BW14+'Bloom Cleaner Data'!BV14)</f>
        <v>-0.32193816678350851</v>
      </c>
      <c r="AM14" s="13"/>
      <c r="AN14" s="13">
        <f>'Bloom Cleaner Data'!BW14</f>
        <v>75098.283299999996</v>
      </c>
      <c r="AO14" s="13">
        <f>'Bloom Cleaner Data'!BY14</f>
        <v>74712.878100000002</v>
      </c>
      <c r="AP14" s="13">
        <f>'Bloom Cleaner Data'!CA14</f>
        <v>72569.5723</v>
      </c>
      <c r="AQ14" s="13">
        <f>'Bloom Cleaner Data'!CC14</f>
        <v>64356.665000000001</v>
      </c>
      <c r="AR14" s="13">
        <f>'Bloom Cleaner Data'!CE14</f>
        <v>60696.271500000003</v>
      </c>
      <c r="AS14" s="13">
        <f>'Bloom Cleaner Data'!CG14</f>
        <v>54739.9231</v>
      </c>
      <c r="AT14" s="13">
        <f>'Bloom Cleaner Data'!CI14</f>
        <v>51152.593099999998</v>
      </c>
      <c r="AU14" s="13">
        <f t="shared" si="2"/>
        <v>64760.883771428562</v>
      </c>
      <c r="AV14" s="10">
        <f t="shared" si="3"/>
        <v>-0.31885802374925926</v>
      </c>
      <c r="AW14" s="10"/>
      <c r="AX14" s="13">
        <f>'Bloom Cleaner Data'!T14+'OPERATING LEASES'!AU14</f>
        <v>38466.928532142738</v>
      </c>
      <c r="AY14" s="13">
        <f>'Bloom Cleaner Data'!U14+'OPERATING LEASES'!AV14</f>
        <v>39466.428532142738</v>
      </c>
      <c r="AZ14" s="13">
        <f>'Bloom Cleaner Data'!V14+'OPERATING LEASES'!AW14</f>
        <v>40465.928532142738</v>
      </c>
      <c r="BA14" s="13">
        <f>'Bloom Cleaner Data'!W14+'OPERATING LEASES'!AX14</f>
        <v>38489.928532142738</v>
      </c>
      <c r="BB14" s="13">
        <f>'Bloom Cleaner Data'!X14+'OPERATING LEASES'!AY14</f>
        <v>36513.928532142738</v>
      </c>
      <c r="BC14" s="13">
        <f>'Bloom Cleaner Data'!Y14+'OPERATING LEASES'!AZ14</f>
        <v>36804.052718050691</v>
      </c>
      <c r="BD14" s="13">
        <f>'Bloom Cleaner Data'!Z14+'OPERATING LEASES'!BA14</f>
        <v>37094.176903958636</v>
      </c>
      <c r="BE14" s="13">
        <f>'Bloom Cleaner Data'!AA14+'OPERATING LEASES'!BB14</f>
        <v>36337.801089866589</v>
      </c>
      <c r="BF14" s="13">
        <f>'Bloom Cleaner Data'!AB14+'OPERATING LEASES'!BC14</f>
        <v>35581.425275774542</v>
      </c>
      <c r="BG14" s="13">
        <f>'Bloom Cleaner Data'!AC14+'OPERATING LEASES'!BD14</f>
        <v>36516.430450849599</v>
      </c>
      <c r="BH14" s="13">
        <f>'Bloom Cleaner Data'!AD14+'OPERATING LEASES'!BE14</f>
        <v>37451.435625924656</v>
      </c>
      <c r="BI14" s="13">
        <f>'Bloom Cleaner Data'!AE14+'OPERATING LEASES'!BF14</f>
        <v>37199.940800999713</v>
      </c>
      <c r="BJ14" s="13">
        <f>'Bloom Cleaner Data'!AF14+'OPERATING LEASES'!BG14</f>
        <v>36948.44597607477</v>
      </c>
      <c r="BK14" s="13">
        <f>'Bloom Cleaner Data'!AG14+'OPERATING LEASES'!BH14</f>
        <v>36652.94597607477</v>
      </c>
      <c r="BL14" s="13">
        <f>'Bloom Cleaner Data'!AH14+'OPERATING LEASES'!BI14</f>
        <v>36357.44597607477</v>
      </c>
      <c r="BM14" s="1167">
        <f t="shared" si="34"/>
        <v>37108.760491544381</v>
      </c>
      <c r="BN14" s="10">
        <f t="shared" si="35"/>
        <v>-0.10152942747389408</v>
      </c>
      <c r="BO14" s="10"/>
      <c r="BP14" s="13">
        <f>'Bloom Cleaner Data'!BU14+'OPERATING LEASES'!AU14</f>
        <v>87311.33323214273</v>
      </c>
      <c r="BQ14" s="13">
        <f>'Bloom Cleaner Data'!BV14+'OPERATING LEASES'!AV14</f>
        <v>83983.772532142728</v>
      </c>
      <c r="BR14" s="13">
        <f>'Bloom Cleaner Data'!BW14+'OPERATING LEASES'!AW14</f>
        <v>80656.211832142726</v>
      </c>
      <c r="BS14" s="13">
        <f>'Bloom Cleaner Data'!BX14+'OPERATING LEASES'!AX14</f>
        <v>80463.509232142722</v>
      </c>
      <c r="BT14" s="13">
        <f>'Bloom Cleaner Data'!BY14+'OPERATING LEASES'!AY14</f>
        <v>80270.806632142732</v>
      </c>
      <c r="BU14" s="13">
        <f>'Bloom Cleaner Data'!BZ14+'OPERATING LEASES'!AZ14</f>
        <v>79109.777918050691</v>
      </c>
      <c r="BV14" s="13">
        <f>'Bloom Cleaner Data'!CA14+'OPERATING LEASES'!BA14</f>
        <v>77948.749203958636</v>
      </c>
      <c r="BW14" s="13">
        <f>'Bloom Cleaner Data'!CB14+'OPERATING LEASES'!BB14</f>
        <v>73752.9197398666</v>
      </c>
      <c r="BX14" s="13">
        <f>'Bloom Cleaner Data'!CC14+'OPERATING LEASES'!BC14</f>
        <v>69557.09027577455</v>
      </c>
      <c r="BY14" s="13">
        <f>'Bloom Cleaner Data'!CD14+'OPERATING LEASES'!BD14</f>
        <v>67975.898700849604</v>
      </c>
      <c r="BZ14" s="13">
        <f>'Bloom Cleaner Data'!CE14+'OPERATING LEASES'!BE14</f>
        <v>66394.707125924659</v>
      </c>
      <c r="CA14" s="13">
        <f>'Bloom Cleaner Data'!CF14+'OPERATING LEASES'!BF14</f>
        <v>63665.538100999715</v>
      </c>
      <c r="CB14" s="13">
        <f>'Bloom Cleaner Data'!CG14+'OPERATING LEASES'!BG14</f>
        <v>60936.36907607477</v>
      </c>
      <c r="CC14" s="13">
        <f>'Bloom Cleaner Data'!CH14+'OPERATING LEASES'!BH14</f>
        <v>59142.704076074762</v>
      </c>
      <c r="CD14" s="13">
        <f>'Bloom Cleaner Data'!CI14+'OPERATING LEASES'!BI14</f>
        <v>57349.039076074769</v>
      </c>
      <c r="CE14" s="1167">
        <f t="shared" si="36"/>
        <v>70555.640076159762</v>
      </c>
      <c r="CF14" s="10">
        <f t="shared" si="37"/>
        <v>-0.28896934565404042</v>
      </c>
      <c r="CG14" s="18">
        <f t="shared" si="4"/>
        <v>8.7366962887822419E-2</v>
      </c>
      <c r="CH14" s="13"/>
      <c r="CI14" s="18">
        <f>$CI$1*BP14/('Bloom Cleaner Data'!D14+'Bloom Cleaner Data'!T14+'OPERATING LEASES'!AU14)+(1-$CI$1)*'Bloom Cleaner Data'!BU14/('Bloom Cleaner Data'!D14+'Bloom Cleaner Data'!T14)-1</f>
        <v>3.2069189738707538E-2</v>
      </c>
      <c r="CJ14" s="18">
        <f>$CI$1*BQ14/('Bloom Cleaner Data'!E14+'Bloom Cleaner Data'!U14+'OPERATING LEASES'!AV14)+(1-$CI$1)*'Bloom Cleaner Data'!BV14/('Bloom Cleaner Data'!E14+'Bloom Cleaner Data'!U14)-1</f>
        <v>3.128212921329987E-2</v>
      </c>
      <c r="CK14" s="18">
        <f>$CI$1*BR14/('Bloom Cleaner Data'!F14+'Bloom Cleaner Data'!V14+'OPERATING LEASES'!AW14)+(1-$CI$1)*'Bloom Cleaner Data'!BW14/('Bloom Cleaner Data'!F14+'Bloom Cleaner Data'!V14)-1</f>
        <v>3.0431478570593917E-2</v>
      </c>
      <c r="CL14" s="18">
        <f>$CI$1*BS14/('Bloom Cleaner Data'!G14+'Bloom Cleaner Data'!W14+'OPERATING LEASES'!AX14)+(1-$CI$1)*'Bloom Cleaner Data'!BX14/('Bloom Cleaner Data'!G14+'Bloom Cleaner Data'!W14)-1</f>
        <v>3.0942295038806744E-2</v>
      </c>
      <c r="CM14" s="18">
        <f>$CI$1*BT14/('Bloom Cleaner Data'!H14+'Bloom Cleaner Data'!X14+'OPERATING LEASES'!AY14)+(1-$CI$1)*'Bloom Cleaner Data'!BY14/('Bloom Cleaner Data'!H14+'Bloom Cleaner Data'!X14)-1</f>
        <v>3.1456074458626748E-2</v>
      </c>
      <c r="CN14" s="18">
        <f>$CI$1*BU14/('Bloom Cleaner Data'!I14+'Bloom Cleaner Data'!Y14+'OPERATING LEASES'!AZ14)+(1-$CI$1)*'Bloom Cleaner Data'!BZ14/('Bloom Cleaner Data'!I14+'Bloom Cleaner Data'!Y14)-1</f>
        <v>2.9126802936571217E-2</v>
      </c>
      <c r="CO14" s="18">
        <f>$CI$1*BV14/('Bloom Cleaner Data'!J14+'Bloom Cleaner Data'!Z14+'OPERATING LEASES'!BA14)+(1-$CI$1)*'Bloom Cleaner Data'!CA14/('Bloom Cleaner Data'!J14+'Bloom Cleaner Data'!Z14)-1</f>
        <v>2.6739112818446653E-2</v>
      </c>
      <c r="CP14" s="18">
        <f>$CI$1*BW14/('Bloom Cleaner Data'!K14+'Bloom Cleaner Data'!AA14+'OPERATING LEASES'!BB14)+(1-$CI$1)*'Bloom Cleaner Data'!CB14/('Bloom Cleaner Data'!K14+'Bloom Cleaner Data'!AA14)-1</f>
        <v>2.8224516967502389E-2</v>
      </c>
      <c r="CQ14" s="18">
        <f>$CI$1*BX14/('Bloom Cleaner Data'!L14+'Bloom Cleaner Data'!AB14+'OPERATING LEASES'!BC14)+(1-$CI$1)*'Bloom Cleaner Data'!CC14/('Bloom Cleaner Data'!L14+'Bloom Cleaner Data'!AB14)-1</f>
        <v>2.9894241779060193E-2</v>
      </c>
      <c r="CR14" s="18">
        <f>$CI$1*BY14/('Bloom Cleaner Data'!M14+'Bloom Cleaner Data'!AC14+'OPERATING LEASES'!BD14)+(1-$CI$1)*'Bloom Cleaner Data'!CD14/('Bloom Cleaner Data'!M14+'Bloom Cleaner Data'!AC14)-1</f>
        <v>2.7751571445795209E-2</v>
      </c>
      <c r="CS14" s="18">
        <f>$CI$1*BZ14/('Bloom Cleaner Data'!N14+'Bloom Cleaner Data'!AD14+'OPERATING LEASES'!BE14)+(1-$CI$1)*'Bloom Cleaner Data'!CE14/('Bloom Cleaner Data'!N14+'Bloom Cleaner Data'!AD14)-1</f>
        <v>2.5516387456379519E-2</v>
      </c>
      <c r="CT14" s="18">
        <f>$CI$1*CA14/('Bloom Cleaner Data'!O14+'Bloom Cleaner Data'!AE14+'OPERATING LEASES'!BF14)+(1-$CI$1)*'Bloom Cleaner Data'!CF14/('Bloom Cleaner Data'!O14+'Bloom Cleaner Data'!AE14)-1</f>
        <v>3.0177730765904576E-2</v>
      </c>
      <c r="CU14" s="18">
        <f>$CI$1*CB14/('Bloom Cleaner Data'!P14+'Bloom Cleaner Data'!AF14+'OPERATING LEASES'!BG14)+(1-$CI$1)*'Bloom Cleaner Data'!CG14/('Bloom Cleaner Data'!P14+'Bloom Cleaner Data'!AF14)-1</f>
        <v>3.5305089702947212E-2</v>
      </c>
      <c r="CV14" s="18">
        <f>$CI$1*CC14/('Bloom Cleaner Data'!Q14+'Bloom Cleaner Data'!AG14+'OPERATING LEASES'!BH14)+(1-$CI$1)*'Bloom Cleaner Data'!CH14/('Bloom Cleaner Data'!Q14+'Bloom Cleaner Data'!AG14)-1</f>
        <v>3.4502238217922976E-2</v>
      </c>
      <c r="CW14" s="18">
        <f>$CI$1*CD14/('Bloom Cleaner Data'!R14+'Bloom Cleaner Data'!AH14+'OPERATING LEASES'!BI14)+(1-$CI$1)*'Bloom Cleaner Data'!CI14/('Bloom Cleaner Data'!R14+'Bloom Cleaner Data'!AH14)-1</f>
        <v>3.3650529632482495E-2</v>
      </c>
      <c r="CX14" s="18">
        <f t="shared" si="38"/>
        <v>3.0286005368541528E-2</v>
      </c>
      <c r="CY14" s="13"/>
      <c r="CZ14" s="3112">
        <f>AVERAGE('Bloom Cleaner Data'!GX14:HJ14)</f>
        <v>13865.755537352532</v>
      </c>
      <c r="DA14" s="2860">
        <f>('Bloom Cleaner Data'!HJ14-'Bloom Cleaner Data'!GX14)/'Bloom Cleaner Data'!GX14</f>
        <v>-0.12335657901184385</v>
      </c>
      <c r="DB14" s="2860">
        <f>('Bloom Cleaner Data'!HJ14+'Bloom Cleaner Data'!HI14-'Bloom Cleaner Data'!GX14-'Bloom Cleaner Data'!GW14)/('Bloom Cleaner Data'!GX14+'Bloom Cleaner Data'!GW14)</f>
        <v>-0.12205896418824137</v>
      </c>
      <c r="DC14" s="13"/>
      <c r="DD14" s="13">
        <f>'Bloom Cleaner Data'!GV14+'OPERATING LEASES'!BL14</f>
        <v>14986.065235300175</v>
      </c>
      <c r="DE14" s="13">
        <f>'Bloom Cleaner Data'!GW14+'OPERATING LEASES'!BM14</f>
        <v>14784.005849745534</v>
      </c>
      <c r="DF14" s="13">
        <f>'Bloom Cleaner Data'!GX14+'OPERATING LEASES'!BN14</f>
        <v>14571.427611451049</v>
      </c>
      <c r="DG14" s="13">
        <f>'Bloom Cleaner Data'!GY14+'OPERATING LEASES'!BO14</f>
        <v>15071.638338924184</v>
      </c>
      <c r="DH14" s="13">
        <f>'Bloom Cleaner Data'!GZ14+'OPERATING LEASES'!BP14</f>
        <v>15617.667636962587</v>
      </c>
      <c r="DI14" s="13">
        <f>'Bloom Cleaner Data'!HA14+'OPERATING LEASES'!BQ14</f>
        <v>15462.444594859895</v>
      </c>
      <c r="DJ14" s="13">
        <f>'Bloom Cleaner Data'!HB14+'OPERATING LEASES'!BR14</f>
        <v>15305.847826521236</v>
      </c>
      <c r="DK14" s="13">
        <f>'Bloom Cleaner Data'!HC14+'OPERATING LEASES'!BS14</f>
        <v>15533.143181964953</v>
      </c>
      <c r="DL14" s="13">
        <f>'Bloom Cleaner Data'!HD14+'OPERATING LEASES'!BT14</f>
        <v>15800.933343057175</v>
      </c>
      <c r="DM14" s="13">
        <f>'Bloom Cleaner Data'!HE14+'OPERATING LEASES'!BU14</f>
        <v>15446.755594090679</v>
      </c>
      <c r="DN14" s="13">
        <f>'Bloom Cleaner Data'!HF14+'OPERATING LEASES'!BV14</f>
        <v>15090.667616434503</v>
      </c>
      <c r="DO14" s="13">
        <f>'Bloom Cleaner Data'!HG14+'OPERATING LEASES'!BW14</f>
        <v>14181.042311233889</v>
      </c>
      <c r="DP14" s="13">
        <f>'Bloom Cleaner Data'!HH14+'OPERATING LEASES'!BX14</f>
        <v>13305.584740494598</v>
      </c>
      <c r="DQ14" s="13">
        <f>'Bloom Cleaner Data'!HI14+'OPERATING LEASES'!BY14</f>
        <v>13116.624102457883</v>
      </c>
      <c r="DR14" s="13">
        <f>'Bloom Cleaner Data'!HJ14+'OPERATING LEASES'!BZ14</f>
        <v>12920.701337130266</v>
      </c>
      <c r="DS14" s="1167">
        <f t="shared" si="39"/>
        <v>14724.959864275608</v>
      </c>
      <c r="DT14" s="10">
        <f t="shared" si="40"/>
        <v>-0.113285143936312</v>
      </c>
      <c r="DU14" s="18">
        <f t="shared" si="41"/>
        <v>6.1965922059457355E-2</v>
      </c>
      <c r="DV14" s="167"/>
      <c r="DW14" s="15">
        <f>'Bloom Cleaner Data'!DT14</f>
        <v>1.6848999999999998</v>
      </c>
      <c r="DX14" s="15">
        <f>'Bloom Cleaner Data'!DX14</f>
        <v>1.5800999999999998</v>
      </c>
      <c r="DY14" s="15">
        <f>'Bloom Cleaner Data'!EB14</f>
        <v>1.3624000000000001</v>
      </c>
      <c r="DZ14" s="15">
        <f>'Bloom Cleaner Data'!EF14</f>
        <v>1.21</v>
      </c>
      <c r="EA14" s="15">
        <f>AVERAGE('Bloom Cleaner Data'!DT14:EF14)</f>
        <v>1.4515346153846156</v>
      </c>
      <c r="EB14" s="18">
        <f t="shared" si="5"/>
        <v>-0.28185648999940643</v>
      </c>
      <c r="EC14" s="13"/>
      <c r="ED14" s="15">
        <f>'Bloom Cleaner Data'!DC14</f>
        <v>5.4912000000000001</v>
      </c>
      <c r="EE14" s="15">
        <f>'Bloom Cleaner Data'!DG14</f>
        <v>5.0057999999999998</v>
      </c>
      <c r="EF14" s="15">
        <f>'Bloom Cleaner Data'!DK14</f>
        <v>4.2641999999999998</v>
      </c>
      <c r="EG14" s="15">
        <f>'Bloom Cleaner Data'!DO14</f>
        <v>4.2666000000000004</v>
      </c>
      <c r="EH14" s="15">
        <f>AVERAGE('Bloom Cleaner Data'!DC14:DO14)</f>
        <v>4.6694538461538473</v>
      </c>
      <c r="EI14" s="22">
        <f t="shared" si="42"/>
        <v>4.7569499999999998</v>
      </c>
      <c r="EJ14" s="22">
        <f t="shared" si="6"/>
        <v>-8.7496153846152502E-2</v>
      </c>
      <c r="EK14" s="18">
        <f t="shared" si="43"/>
        <v>-0.22301136363636356</v>
      </c>
      <c r="EL14" s="241"/>
      <c r="EM14" s="15">
        <f>('Bloom Cleaner Data'!BU14+'OPERATING LEASES'!AU14)/DD14</f>
        <v>5.8261679674580611</v>
      </c>
      <c r="EN14" s="15">
        <f>('Bloom Cleaner Data'!BV14+'OPERATING LEASES'!AV14)/DE14</f>
        <v>5.6807182969011256</v>
      </c>
      <c r="EO14" s="15">
        <f>('Bloom Cleaner Data'!BW14+'OPERATING LEASES'!AW14)/DF14</f>
        <v>5.535230588439978</v>
      </c>
      <c r="EP14" s="15">
        <f>('Bloom Cleaner Data'!BX14+'OPERATING LEASES'!AX14)/DG14</f>
        <v>5.3387367333740192</v>
      </c>
      <c r="EQ14" s="15">
        <f>('Bloom Cleaner Data'!BY14+'OPERATING LEASES'!AY14)/DH14</f>
        <v>5.1397435582611903</v>
      </c>
      <c r="ER14" s="15">
        <f>('Bloom Cleaner Data'!BZ14+'OPERATING LEASES'!AZ14)/DI14</f>
        <v>5.1162529594026012</v>
      </c>
      <c r="ES14" s="15">
        <f>('Bloom Cleaner Data'!CA14+'OPERATING LEASES'!BA14)/DJ14</f>
        <v>5.092742988656453</v>
      </c>
      <c r="ET14" s="15">
        <f>('Bloom Cleaner Data'!CB14+'OPERATING LEASES'!BB14)/DK14</f>
        <v>4.7481001672281504</v>
      </c>
      <c r="EU14" s="15">
        <f>('Bloom Cleaner Data'!CC14+'OPERATING LEASES'!BC14)/DL14</f>
        <v>4.4020874441785729</v>
      </c>
      <c r="EV14" s="15">
        <f>('Bloom Cleaner Data'!CD14+'OPERATING LEASES'!BD14)/DM14</f>
        <v>4.4006586552618536</v>
      </c>
      <c r="EW14" s="15">
        <f>('Bloom Cleaner Data'!CE14+'OPERATING LEASES'!BE14)/DN14</f>
        <v>4.3997196687055418</v>
      </c>
      <c r="EX14" s="15">
        <f>('Bloom Cleaner Data'!CF14+'OPERATING LEASES'!BF14)/DO14</f>
        <v>4.4894822752602161</v>
      </c>
      <c r="EY14" s="15">
        <f>('Bloom Cleaner Data'!CG14+'OPERATING LEASES'!BG14)/DP14</f>
        <v>4.5797588204161581</v>
      </c>
      <c r="EZ14" s="15">
        <f>('Bloom Cleaner Data'!CH14+'OPERATING LEASES'!BH14)/DQ14</f>
        <v>4.508988259028647</v>
      </c>
      <c r="FA14" s="15">
        <f>('Bloom Cleaner Data'!CI14+'OPERATING LEASES'!BI14)/DR14</f>
        <v>4.438539176760524</v>
      </c>
      <c r="FB14" s="526">
        <f t="shared" si="44"/>
        <v>4.7838493303826084</v>
      </c>
      <c r="FC14" s="10">
        <f t="shared" si="45"/>
        <v>-0.19812930900653591</v>
      </c>
      <c r="FD14" s="15">
        <f t="shared" si="7"/>
        <v>0.11439548422876111</v>
      </c>
      <c r="FE14" s="15">
        <f t="shared" si="46"/>
        <v>4.6176330414898716</v>
      </c>
      <c r="FF14" s="13"/>
      <c r="FG14" s="15">
        <f>$FG$1*EM14+(1-$FG$1)*'Bloom Cleaner Data'!DA14</f>
        <v>5.8261679674580611</v>
      </c>
      <c r="FH14" s="15">
        <f>$FG$1*EN14+(1-$FG$1)*'Bloom Cleaner Data'!DB14</f>
        <v>5.6807182969011256</v>
      </c>
      <c r="FI14" s="15">
        <f>$FG$1*EO14+(1-$FG$1)*'Bloom Cleaner Data'!DC14</f>
        <v>5.535230588439978</v>
      </c>
      <c r="FJ14" s="15">
        <f>$FG$1*EP14+(1-$FG$1)*'Bloom Cleaner Data'!DD14</f>
        <v>5.3387367333740192</v>
      </c>
      <c r="FK14" s="15">
        <f>$FG$1*EQ14+(1-$FG$1)*'Bloom Cleaner Data'!DE14</f>
        <v>5.1397435582611903</v>
      </c>
      <c r="FL14" s="15">
        <f>$FG$1*ER14+(1-$FG$1)*'Bloom Cleaner Data'!DF14</f>
        <v>5.1162529594026012</v>
      </c>
      <c r="FM14" s="15">
        <f>$FG$1*ES14+(1-$FG$1)*'Bloom Cleaner Data'!DG14</f>
        <v>5.092742988656453</v>
      </c>
      <c r="FN14" s="15">
        <f>$FG$1*ET14+(1-$FG$1)*'Bloom Cleaner Data'!DH14</f>
        <v>4.7481001672281504</v>
      </c>
      <c r="FO14" s="15">
        <f>$FG$1*EU14+(1-$FG$1)*'Bloom Cleaner Data'!DI14</f>
        <v>4.4020874441785729</v>
      </c>
      <c r="FP14" s="15">
        <f>$FG$1*EV14+(1-$FG$1)*'Bloom Cleaner Data'!DJ14</f>
        <v>4.4006586552618536</v>
      </c>
      <c r="FQ14" s="15">
        <f>$FG$1*EW14+(1-$FG$1)*'Bloom Cleaner Data'!DK14</f>
        <v>4.3997196687055418</v>
      </c>
      <c r="FR14" s="15">
        <f>$FG$1*EX14+(1-$FG$1)*'Bloom Cleaner Data'!DL14</f>
        <v>4.4894822752602161</v>
      </c>
      <c r="FS14" s="15">
        <f>$FG$1*EY14+(1-$FG$1)*'Bloom Cleaner Data'!DM14</f>
        <v>4.5797588204161581</v>
      </c>
      <c r="FT14" s="15">
        <f>$FG$1*EZ14+(1-$FG$1)*'Bloom Cleaner Data'!DN14</f>
        <v>4.508988259028647</v>
      </c>
      <c r="FU14" s="15">
        <f>$FG$1*FA14+(1-$FG$1)*'Bloom Cleaner Data'!DO14</f>
        <v>4.438539176760524</v>
      </c>
      <c r="FV14" s="526">
        <f t="shared" si="47"/>
        <v>4.7838493303826084</v>
      </c>
      <c r="FW14" s="10">
        <f t="shared" si="48"/>
        <v>-0.19812930900653591</v>
      </c>
      <c r="FX14" s="526">
        <f t="shared" si="49"/>
        <v>4.6176330414898716</v>
      </c>
      <c r="FY14" s="2710"/>
      <c r="FZ14" s="2710"/>
      <c r="GA14" s="10">
        <f>'Bloom Cleaner Data'!T14/('Bloom Cleaner Data'!T14+'Bloom Cleaner Data'!D14)</f>
        <v>0.41635667384177755</v>
      </c>
      <c r="GB14" s="10">
        <f>'Bloom Cleaner Data'!U14/('Bloom Cleaner Data'!U14+'Bloom Cleaner Data'!E14)</f>
        <v>0.44687981066112886</v>
      </c>
      <c r="GC14" s="10">
        <f>'Bloom Cleaner Data'!V14/('Bloom Cleaner Data'!V14+'Bloom Cleaner Data'!F14)</f>
        <v>0.48005753891439601</v>
      </c>
      <c r="GD14" s="10">
        <f>'Bloom Cleaner Data'!W14/('Bloom Cleaner Data'!W14+'Bloom Cleaner Data'!G14)</f>
        <v>0.45429350519742762</v>
      </c>
      <c r="GE14" s="10">
        <f>'Bloom Cleaner Data'!X14/('Bloom Cleaner Data'!X14+'Bloom Cleaner Data'!H14)</f>
        <v>0.42836853550300252</v>
      </c>
      <c r="GF14" s="10">
        <f>'Bloom Cleaner Data'!Y14/('Bloom Cleaner Data'!Y14+'Bloom Cleaner Data'!I14)</f>
        <v>0.43885887186608297</v>
      </c>
      <c r="GG14" s="10">
        <f>'Bloom Cleaner Data'!Z14/('Bloom Cleaner Data'!Z14+'Bloom Cleaner Data'!J14)</f>
        <v>0.44960578815417629</v>
      </c>
      <c r="GH14" s="10">
        <f>'Bloom Cleaner Data'!AA14/('Bloom Cleaner Data'!AA14+'Bloom Cleaner Data'!K14)</f>
        <v>0.46731856608219829</v>
      </c>
      <c r="GI14" s="10">
        <f>'Bloom Cleaner Data'!AB14/('Bloom Cleaner Data'!AB14+'Bloom Cleaner Data'!L14)</f>
        <v>0.48736185418558747</v>
      </c>
      <c r="GJ14" s="10">
        <f>'Bloom Cleaner Data'!AC14/('Bloom Cleaner Data'!AC14+'Bloom Cleaner Data'!M14)</f>
        <v>0.5118883566336907</v>
      </c>
      <c r="GK14" s="10">
        <f>'Bloom Cleaner Data'!AD14/('Bloom Cleaner Data'!AD14+'Bloom Cleaner Data'!N14)</f>
        <v>0.53778290752558444</v>
      </c>
      <c r="GL14" s="10">
        <f>'Bloom Cleaner Data'!AE14/('Bloom Cleaner Data'!AE14+'Bloom Cleaner Data'!O14)</f>
        <v>0.55954819895010544</v>
      </c>
      <c r="GM14" s="10">
        <f>'Bloom Cleaner Data'!AF14/('Bloom Cleaner Data'!AF14+'Bloom Cleaner Data'!P14)</f>
        <v>0.58395132934292704</v>
      </c>
      <c r="GN14" s="10">
        <f>'Bloom Cleaner Data'!AG14/('Bloom Cleaner Data'!AG14+'Bloom Cleaner Data'!Q14)</f>
        <v>0.59749371314256694</v>
      </c>
      <c r="GO14" s="10">
        <f>'Bloom Cleaner Data'!AH14/('Bloom Cleaner Data'!AH14+'Bloom Cleaner Data'!R14)</f>
        <v>0.61196382356206247</v>
      </c>
      <c r="GP14" s="10">
        <f t="shared" si="50"/>
        <v>0.50834561454306215</v>
      </c>
      <c r="GQ14" s="10">
        <f t="shared" si="51"/>
        <v>0.27477182203191691</v>
      </c>
      <c r="GR14" s="10"/>
      <c r="GS14" s="496">
        <f t="shared" si="8"/>
        <v>0.7133751988263215</v>
      </c>
      <c r="GT14" s="497">
        <f t="shared" si="9"/>
        <v>0.80792532848108778</v>
      </c>
      <c r="GU14" s="497">
        <f t="shared" si="10"/>
        <v>0.92328973846850082</v>
      </c>
      <c r="GV14" s="497">
        <f t="shared" si="11"/>
        <v>0.83248689455635583</v>
      </c>
      <c r="GW14" s="497">
        <f t="shared" si="12"/>
        <v>0.74937886052151093</v>
      </c>
      <c r="GX14" s="497">
        <f t="shared" si="13"/>
        <v>0.78208288407858195</v>
      </c>
      <c r="GY14" s="497">
        <f t="shared" si="14"/>
        <v>0.81687957190966931</v>
      </c>
      <c r="GZ14" s="497">
        <f t="shared" si="15"/>
        <v>0.87729463864571344</v>
      </c>
      <c r="HA14" s="497">
        <f t="shared" si="16"/>
        <v>0.95069369723029618</v>
      </c>
      <c r="HB14" s="497">
        <f t="shared" si="17"/>
        <v>1.0487116289695591</v>
      </c>
      <c r="HC14" s="497">
        <f t="shared" si="18"/>
        <v>1.1634855488502982</v>
      </c>
      <c r="HD14" s="497">
        <f t="shared" si="19"/>
        <v>1.2703959834341092</v>
      </c>
      <c r="HE14" s="497">
        <f t="shared" si="20"/>
        <v>1.4035649445068108</v>
      </c>
      <c r="HF14" s="497">
        <f t="shared" si="21"/>
        <v>1.4844332440307897</v>
      </c>
      <c r="HG14" s="498">
        <f t="shared" si="22"/>
        <v>1.5770793052846708</v>
      </c>
      <c r="HH14" s="10">
        <f t="shared" si="52"/>
        <v>1.0676751492682206</v>
      </c>
      <c r="HI14" s="10">
        <f t="shared" si="53"/>
        <v>0.70810877623381574</v>
      </c>
      <c r="HJ14" s="10"/>
      <c r="HK14" s="18">
        <f>('Bloom Cleaner Data'!T14+'OPERATING LEASES'!AU14)/('Bloom Cleaner Data'!T14+'OPERATING LEASES'!AU14+'Bloom Cleaner Data'!D14)</f>
        <v>0.45470078502122796</v>
      </c>
      <c r="HL14" s="18">
        <f>('Bloom Cleaner Data'!U14+'OPERATING LEASES'!AV14)/('Bloom Cleaner Data'!U14+'OPERATING LEASES'!AV14+'Bloom Cleaner Data'!E14)</f>
        <v>0.48462960429046431</v>
      </c>
      <c r="HM14" s="18">
        <f>('Bloom Cleaner Data'!V14+'OPERATING LEASES'!AW14)/('Bloom Cleaner Data'!V14+'OPERATING LEASES'!AW14+'Bloom Cleaner Data'!F14)</f>
        <v>0.516976505862761</v>
      </c>
      <c r="HN14" s="18">
        <f>('Bloom Cleaner Data'!W14+'OPERATING LEASES'!AX14)/('Bloom Cleaner Data'!W14+'OPERATING LEASES'!AX14+'Bloom Cleaner Data'!G14)</f>
        <v>0.49315392325637686</v>
      </c>
      <c r="HO14" s="18">
        <f>('Bloom Cleaner Data'!X14+'OPERATING LEASES'!AY14)/('Bloom Cleaner Data'!X14+'OPERATING LEASES'!AY14+'Bloom Cleaner Data'!H14)</f>
        <v>0.46919315959316199</v>
      </c>
      <c r="HP14" s="18">
        <f>('Bloom Cleaner Data'!Y14+'OPERATING LEASES'!AZ14)/('Bloom Cleaner Data'!Y14+'OPERATING LEASES'!AZ14+'Bloom Cleaner Data'!I14)</f>
        <v>0.47877820044030561</v>
      </c>
      <c r="HQ14" s="18">
        <f>('Bloom Cleaner Data'!Z14+'OPERATING LEASES'!BA14)/('Bloom Cleaner Data'!Z14+'OPERATING LEASES'!BA14+'Bloom Cleaner Data'!J14)</f>
        <v>0.48860363603072154</v>
      </c>
      <c r="HR14" s="18">
        <f>('Bloom Cleaner Data'!AA14+'OPERATING LEASES'!BB14)/('Bloom Cleaner Data'!AA14+'OPERATING LEASES'!BB14+'Bloom Cleaner Data'!K14)</f>
        <v>0.50660256034708184</v>
      </c>
      <c r="HS14" s="18">
        <f>('Bloom Cleaner Data'!AB14+'OPERATING LEASES'!BC14)/('Bloom Cleaner Data'!AB14+'OPERATING LEASES'!BC14+'Bloom Cleaner Data'!L14)</f>
        <v>0.52683493315382302</v>
      </c>
      <c r="HT14" s="18">
        <f>('Bloom Cleaner Data'!AC14+'OPERATING LEASES'!BD14)/('Bloom Cleaner Data'!AC14+'OPERATING LEASES'!BD14+'Bloom Cleaner Data'!M14)</f>
        <v>0.55210478267619723</v>
      </c>
      <c r="HU14" s="18">
        <f>('Bloom Cleaner Data'!AD14+'OPERATING LEASES'!BE14)/('Bloom Cleaner Data'!AD14+'OPERATING LEASES'!BE14+'Bloom Cleaner Data'!N14)</f>
        <v>0.57846570352829951</v>
      </c>
      <c r="HV14" s="18">
        <f>('Bloom Cleaner Data'!AE14+'OPERATING LEASES'!BF14)/('Bloom Cleaner Data'!AE14+'OPERATING LEASES'!BF14+'Bloom Cleaner Data'!O14)</f>
        <v>0.60193554852555486</v>
      </c>
      <c r="HW14" s="18">
        <f>('Bloom Cleaner Data'!AF14+'OPERATING LEASES'!BG14)/('Bloom Cleaner Data'!AF14+'OPERATING LEASES'!BG14+'Bloom Cleaner Data'!P14)</f>
        <v>0.62775178035121393</v>
      </c>
      <c r="HX14" s="18">
        <f>('Bloom Cleaner Data'!AG14+'OPERATING LEASES'!BH14)/('Bloom Cleaner Data'!AG14+'OPERATING LEASES'!BH14+'Bloom Cleaner Data'!Q14)</f>
        <v>0.64111973305713121</v>
      </c>
      <c r="HY14" s="18">
        <f>('Bloom Cleaner Data'!AH14+'OPERATING LEASES'!BI14)/('Bloom Cleaner Data'!AH14+'OPERATING LEASES'!BI14+'Bloom Cleaner Data'!R14)</f>
        <v>0.65530118542007598</v>
      </c>
      <c r="HZ14" s="10">
        <f t="shared" si="54"/>
        <v>0.54898628094174651</v>
      </c>
      <c r="IA14" s="10">
        <f t="shared" si="55"/>
        <v>0.26756473067663017</v>
      </c>
      <c r="IB14" s="10">
        <f t="shared" si="23"/>
        <v>4.0640666398684355E-2</v>
      </c>
      <c r="IC14" s="10">
        <f t="shared" si="24"/>
        <v>7.9946920433679999E-2</v>
      </c>
      <c r="IE14" s="502">
        <f t="shared" si="56"/>
        <v>0.83385556503859803</v>
      </c>
      <c r="IF14" s="467">
        <f t="shared" si="25"/>
        <v>0.94035204257949467</v>
      </c>
      <c r="IG14" s="467">
        <f t="shared" si="25"/>
        <v>1.0702926713454546</v>
      </c>
      <c r="IH14" s="467">
        <f t="shared" si="25"/>
        <v>0.97298557862928436</v>
      </c>
      <c r="II14" s="467">
        <f t="shared" si="25"/>
        <v>0.88392447850436129</v>
      </c>
      <c r="IJ14" s="467">
        <f t="shared" si="25"/>
        <v>0.91856902540292196</v>
      </c>
      <c r="IK14" s="467">
        <f t="shared" si="25"/>
        <v>0.95543040673647384</v>
      </c>
      <c r="IL14" s="467">
        <f t="shared" si="25"/>
        <v>1.0267636587321023</v>
      </c>
      <c r="IM14" s="467">
        <f t="shared" si="25"/>
        <v>1.1134273640811565</v>
      </c>
      <c r="IN14" s="467">
        <f t="shared" si="25"/>
        <v>1.2326650549542637</v>
      </c>
      <c r="IO14" s="467">
        <f t="shared" si="25"/>
        <v>1.3722862134116638</v>
      </c>
      <c r="IP14" s="467">
        <f t="shared" si="25"/>
        <v>1.512155999602486</v>
      </c>
      <c r="IQ14" s="467">
        <f t="shared" si="25"/>
        <v>1.6863795371365211</v>
      </c>
      <c r="IR14" s="467">
        <f t="shared" si="25"/>
        <v>1.7864446505195923</v>
      </c>
      <c r="IS14" s="503">
        <f t="shared" si="25"/>
        <v>1.9010833739555368</v>
      </c>
      <c r="IT14" s="10">
        <f t="shared" si="57"/>
        <v>1.2640313856162939</v>
      </c>
      <c r="IU14" s="10">
        <f t="shared" si="58"/>
        <v>0.77622759162286259</v>
      </c>
      <c r="IV14" s="10">
        <f t="shared" si="59"/>
        <v>0.19635623634807331</v>
      </c>
      <c r="IW14" s="10">
        <f t="shared" si="60"/>
        <v>0.18391009333003108</v>
      </c>
      <c r="IY14" s="15">
        <f>'Bloom Cleaner Data'!T14/'Bloom Cleaner Data'!BU14*'Bloom Cleaner Data'!DA14</f>
        <v>2.3454384573172402</v>
      </c>
      <c r="IZ14" s="15">
        <f>'Bloom Cleaner Data'!U14/'Bloom Cleaner Data'!BV14*'Bloom Cleaner Data'!DB14</f>
        <v>2.4467038014917635</v>
      </c>
      <c r="JA14" s="15">
        <f>'Bloom Cleaner Data'!V14/'Bloom Cleaner Data'!BW14*'Bloom Cleaner Data'!DC14</f>
        <v>2.5524792468857944</v>
      </c>
      <c r="JB14" s="15">
        <f>'Bloom Cleaner Data'!W14/'Bloom Cleaner Data'!BX14*'Bloom Cleaner Data'!DD14</f>
        <v>2.3181477451652683</v>
      </c>
      <c r="JC14" s="15">
        <f>'Bloom Cleaner Data'!X14/'Bloom Cleaner Data'!BY14*'Bloom Cleaner Data'!DE14</f>
        <v>2.0941625430435664</v>
      </c>
      <c r="JD14" s="15">
        <f>'Bloom Cleaner Data'!Y14/'Bloom Cleaner Data'!BZ14*'Bloom Cleaner Data'!DF14</f>
        <v>2.140365418241303</v>
      </c>
      <c r="JE14" s="15">
        <f>'Bloom Cleaner Data'!Z14/'Bloom Cleaner Data'!CA14*'Bloom Cleaner Data'!DG14</f>
        <v>2.1876792430813321</v>
      </c>
      <c r="JF14" s="15">
        <f>'Bloom Cleaner Data'!AA14/'Bloom Cleaner Data'!CB14*'Bloom Cleaner Data'!DH14</f>
        <v>2.1066872506544807</v>
      </c>
      <c r="JG14" s="15">
        <f>'Bloom Cleaner Data'!AB14/'Bloom Cleaner Data'!CC14*'Bloom Cleaner Data'!DI14</f>
        <v>2.0228298809455092</v>
      </c>
      <c r="JH14" s="15">
        <f>'Bloom Cleaner Data'!AC14/'Bloom Cleaner Data'!CD14*'Bloom Cleaner Data'!DJ14</f>
        <v>2.1238845230955445</v>
      </c>
      <c r="JI14" s="15">
        <f>'Bloom Cleaner Data'!AD14/'Bloom Cleaner Data'!CE14*'Bloom Cleaner Data'!DK14</f>
        <v>2.2307983547226615</v>
      </c>
      <c r="JJ14" s="15">
        <f>'Bloom Cleaner Data'!AE14/'Bloom Cleaner Data'!CF14*'Bloom Cleaner Data'!DL14</f>
        <v>2.3521367881265896</v>
      </c>
      <c r="JK14" s="15">
        <f>'Bloom Cleaner Data'!AF14/'Bloom Cleaner Data'!CG14*'Bloom Cleaner Data'!DM14</f>
        <v>2.4852190119353677</v>
      </c>
      <c r="JL14" s="15">
        <f>'Bloom Cleaner Data'!AG14/'Bloom Cleaner Data'!CH14*'Bloom Cleaner Data'!DN14</f>
        <v>2.4995077754135</v>
      </c>
      <c r="JM14" s="15">
        <f>'Bloom Cleaner Data'!AH14/'Bloom Cleaner Data'!CI14*'Bloom Cleaner Data'!DO14</f>
        <v>2.5157067276810259</v>
      </c>
      <c r="JN14" s="15">
        <f t="shared" si="61"/>
        <v>2.5001445050099647</v>
      </c>
      <c r="JO14" s="15">
        <f t="shared" si="62"/>
        <v>2.4631425757891208</v>
      </c>
      <c r="JP14" s="15">
        <f t="shared" si="63"/>
        <v>2.279200346845534</v>
      </c>
      <c r="JQ14" s="18">
        <f t="shared" si="64"/>
        <v>-1.4406588907484211E-2</v>
      </c>
      <c r="JR14" s="18"/>
      <c r="JS14" s="2024" t="s">
        <v>288</v>
      </c>
      <c r="JT14" s="526">
        <f>('Bloom Cleaner Data'!T14+'OPERATING LEASES'!AU14)/DD14</f>
        <v>2.5668464622409761</v>
      </c>
      <c r="JU14" s="526">
        <f>('Bloom Cleaner Data'!U14+'OPERATING LEASES'!AV14)/DE14</f>
        <v>2.6695355056844789</v>
      </c>
      <c r="JV14" s="526">
        <f>('Bloom Cleaner Data'!V14+'OPERATING LEASES'!AW14)/DF14</f>
        <v>2.7770737096715448</v>
      </c>
      <c r="JW14" s="526">
        <f>('Bloom Cleaner Data'!W14+'OPERATING LEASES'!AX14)/DG14</f>
        <v>2.5537985762794091</v>
      </c>
      <c r="JX14" s="526">
        <f>('Bloom Cleaner Data'!X14+'OPERATING LEASES'!AY14)/DH14</f>
        <v>2.3379885768425903</v>
      </c>
      <c r="JY14" s="526">
        <f>('Bloom Cleaner Data'!Y14+'OPERATING LEASES'!AZ14)/DI14</f>
        <v>2.3802221241449288</v>
      </c>
      <c r="JZ14" s="526">
        <f>('Bloom Cleaner Data'!Z14+'OPERATING LEASES'!BA14)/DJ14</f>
        <v>2.4235297073634583</v>
      </c>
      <c r="KA14" s="526">
        <f>('Bloom Cleaner Data'!AA14+'OPERATING LEASES'!BB14)/DK14</f>
        <v>2.3393720552358825</v>
      </c>
      <c r="KB14" s="526">
        <f>('Bloom Cleaner Data'!AB14+'OPERATING LEASES'!BC14)/DL14</f>
        <v>2.2518559190940945</v>
      </c>
      <c r="KC14" s="526">
        <f>('Bloom Cleaner Data'!AC14+'OPERATING LEASES'!BD14)/DM14</f>
        <v>2.3640194362121809</v>
      </c>
      <c r="KD14" s="526">
        <f>('Bloom Cleaner Data'!AD14+'OPERATING LEASES'!BE14)/DN14</f>
        <v>2.4817613493214936</v>
      </c>
      <c r="KE14" s="526">
        <f>('Bloom Cleaner Data'!AE14+'OPERATING LEASES'!BF14)/DO14</f>
        <v>2.623216261863262</v>
      </c>
      <c r="KF14" s="526">
        <f>('Bloom Cleaner Data'!AF14+'OPERATING LEASES'!BG14)/DP14</f>
        <v>2.776912604496427</v>
      </c>
      <c r="KG14" s="526">
        <f>('Bloom Cleaner Data'!AG14+'OPERATING LEASES'!BH14)/DQ14</f>
        <v>2.7943886849060871</v>
      </c>
      <c r="KH14" s="526">
        <f>('Bloom Cleaner Data'!AH14+'OPERATING LEASES'!BI14)/DR14</f>
        <v>2.8138910595815916</v>
      </c>
      <c r="KI14" s="15">
        <f t="shared" si="65"/>
        <v>2.7950641163280352</v>
      </c>
      <c r="KJ14" s="15">
        <f t="shared" si="66"/>
        <v>2.7521021527118417</v>
      </c>
      <c r="KK14" s="15">
        <f t="shared" si="67"/>
        <v>2.5321561588471506</v>
      </c>
      <c r="KL14" s="18">
        <f t="shared" si="68"/>
        <v>1.3257606300410854E-2</v>
      </c>
      <c r="KM14" s="15">
        <f t="shared" si="69"/>
        <v>0.25295581200161665</v>
      </c>
      <c r="KN14" s="18"/>
      <c r="KO14" s="15">
        <f t="shared" si="70"/>
        <v>2.5668464622409761</v>
      </c>
      <c r="KP14" s="15">
        <f t="shared" si="71"/>
        <v>2.6695355056844789</v>
      </c>
      <c r="KQ14" s="15">
        <f t="shared" si="72"/>
        <v>2.7770737096715448</v>
      </c>
      <c r="KR14" s="15">
        <f t="shared" si="73"/>
        <v>2.5537985762794091</v>
      </c>
      <c r="KS14" s="15">
        <f t="shared" si="74"/>
        <v>2.3379885768425903</v>
      </c>
      <c r="KT14" s="15">
        <f t="shared" si="75"/>
        <v>2.3802221241449288</v>
      </c>
      <c r="KU14" s="15">
        <f t="shared" si="76"/>
        <v>2.4235297073634583</v>
      </c>
      <c r="KV14" s="15">
        <f t="shared" si="77"/>
        <v>2.3393720552358825</v>
      </c>
      <c r="KW14" s="15">
        <f t="shared" si="78"/>
        <v>2.2518559190940945</v>
      </c>
      <c r="KX14" s="15">
        <f t="shared" si="79"/>
        <v>2.3640194362121809</v>
      </c>
      <c r="KY14" s="15">
        <f t="shared" si="80"/>
        <v>2.4817613493214936</v>
      </c>
      <c r="KZ14" s="15">
        <f t="shared" si="81"/>
        <v>2.623216261863262</v>
      </c>
      <c r="LA14" s="15">
        <f t="shared" si="82"/>
        <v>2.776912604496427</v>
      </c>
      <c r="LB14" s="15">
        <f t="shared" si="83"/>
        <v>2.7943886849060871</v>
      </c>
      <c r="LC14" s="15">
        <f t="shared" si="84"/>
        <v>2.8138910595815916</v>
      </c>
      <c r="LD14" s="15">
        <f t="shared" si="85"/>
        <v>2.7950641163280352</v>
      </c>
      <c r="LE14" s="15">
        <f t="shared" si="86"/>
        <v>2.7521021527118417</v>
      </c>
      <c r="LF14" s="526">
        <f t="shared" si="87"/>
        <v>2.5321561588471506</v>
      </c>
      <c r="LG14" s="10">
        <f t="shared" si="88"/>
        <v>1.3257606300410854E-2</v>
      </c>
      <c r="LH14" s="18"/>
      <c r="LI14" s="15">
        <f>('Bloom Cleaner Data'!T14+'Bloom Cleaner Data'!EY14)/'Bloom Cleaner Data'!GV14</f>
        <v>2.4091542183808277</v>
      </c>
      <c r="LJ14" s="15">
        <f>('Bloom Cleaner Data'!U14+'Bloom Cleaner Data'!EZ14)/'Bloom Cleaner Data'!GW14</f>
        <v>2.74936240023123</v>
      </c>
      <c r="LK14" s="15">
        <f>('Bloom Cleaner Data'!V14+'Bloom Cleaner Data'!FA14)/'Bloom Cleaner Data'!GX14</f>
        <v>3.1005149967256309</v>
      </c>
      <c r="LL14" s="15">
        <f>('Bloom Cleaner Data'!W14+'Bloom Cleaner Data'!FB14)/'Bloom Cleaner Data'!GY14</f>
        <v>2.6251270454405544</v>
      </c>
      <c r="LM14" s="15">
        <f>('Bloom Cleaner Data'!X14+'Bloom Cleaner Data'!FC14)/'Bloom Cleaner Data'!GZ14</f>
        <v>2.1771686627074267</v>
      </c>
      <c r="LN14" s="15">
        <f>('Bloom Cleaner Data'!Y14+'Bloom Cleaner Data'!FD14)/'Bloom Cleaner Data'!HA14</f>
        <v>2.2180621412311861</v>
      </c>
      <c r="LO14" s="15">
        <f>('Bloom Cleaner Data'!Z14+'Bloom Cleaner Data'!FE14)/'Bloom Cleaner Data'!HB14</f>
        <v>2.259969574052457</v>
      </c>
      <c r="LP14" s="15">
        <f>('Bloom Cleaner Data'!AA14+'Bloom Cleaner Data'!FF14)/'Bloom Cleaner Data'!HC14</f>
        <v>2.1867193819398119</v>
      </c>
      <c r="LQ14" s="15">
        <f>('Bloom Cleaner Data'!AB14+'Bloom Cleaner Data'!FG14)/'Bloom Cleaner Data'!HD14</f>
        <v>2.1101189752452214</v>
      </c>
      <c r="LR14" s="15">
        <f>('Bloom Cleaner Data'!AC14+'Bloom Cleaner Data'!FH14)/'Bloom Cleaner Data'!HE14</f>
        <v>2.4135113548493115</v>
      </c>
      <c r="LS14" s="15">
        <f>('Bloom Cleaner Data'!AD14+'Bloom Cleaner Data'!FI14)/'Bloom Cleaner Data'!HF14</f>
        <v>2.7339627113668752</v>
      </c>
      <c r="LT14" s="15">
        <f>('Bloom Cleaner Data'!AE14+'Bloom Cleaner Data'!FJ14)/'Bloom Cleaner Data'!HG14</f>
        <v>2.9347803188931518</v>
      </c>
      <c r="LU14" s="15">
        <f>('Bloom Cleaner Data'!AF14+'Bloom Cleaner Data'!FK14)/'Bloom Cleaner Data'!HH14</f>
        <v>3.1576795802988622</v>
      </c>
      <c r="LV14" s="15">
        <f>('Bloom Cleaner Data'!AG14+'Bloom Cleaner Data'!FL14)/'Bloom Cleaner Data'!HI14</f>
        <v>3.078744584596055</v>
      </c>
      <c r="LW14" s="15">
        <f>('Bloom Cleaner Data'!AH14+'Bloom Cleaner Data'!FM14)/'Bloom Cleaner Data'!HJ14</f>
        <v>2.9990633964556537</v>
      </c>
      <c r="LX14" s="15">
        <f t="shared" si="89"/>
        <v>0.4833566687746278</v>
      </c>
      <c r="LY14" s="15">
        <f t="shared" si="90"/>
        <v>3.0784958537835236</v>
      </c>
      <c r="LZ14" s="15">
        <f t="shared" si="27"/>
        <v>0.57835134877355898</v>
      </c>
      <c r="MA14" s="15">
        <f t="shared" si="91"/>
        <v>3.0425669700609306</v>
      </c>
      <c r="MB14" s="15">
        <f t="shared" si="92"/>
        <v>2.6150325172155533</v>
      </c>
      <c r="MC14" s="18">
        <f t="shared" si="93"/>
        <v>-3.2720886813035095E-2</v>
      </c>
      <c r="MD14" s="15">
        <f t="shared" si="28"/>
        <v>0.33583217037001933</v>
      </c>
      <c r="ME14" s="18"/>
      <c r="MF14" s="2024" t="s">
        <v>288</v>
      </c>
      <c r="MG14" s="15">
        <f>JT14+'Bloom Cleaner Data'!EY14/CALCULATIONS!DD14</f>
        <v>2.6265018811893839</v>
      </c>
      <c r="MH14" s="15">
        <f>JU14+'Bloom Cleaner Data'!EZ14/CALCULATIONS!DE14</f>
        <v>2.9532542787037821</v>
      </c>
      <c r="MI14" s="15">
        <f>JV14+'Bloom Cleaner Data'!FA14/CALCULATIONS!DF14</f>
        <v>3.2914364886562208</v>
      </c>
      <c r="MJ14" s="15">
        <f>JW14+'Bloom Cleaner Data'!FB14/CALCULATIONS!DG14</f>
        <v>2.8431499992589027</v>
      </c>
      <c r="MK14" s="15">
        <f>JX14+'Bloom Cleaner Data'!FC14/CALCULATIONS!DH14</f>
        <v>2.4165534450752859</v>
      </c>
      <c r="ML14" s="15">
        <f>JY14+'Bloom Cleaner Data'!FD14/CALCULATIONS!DI14</f>
        <v>2.4537874645425353</v>
      </c>
      <c r="MM14" s="15">
        <f>JZ14+'Bloom Cleaner Data'!FE14/CALCULATIONS!DJ14</f>
        <v>2.4920002691956538</v>
      </c>
      <c r="MN14" s="15">
        <f>KA14+'Bloom Cleaner Data'!FF14/CALCULATIONS!DK14</f>
        <v>2.4153064611820971</v>
      </c>
      <c r="MO14" s="15">
        <f>KB14+'Bloom Cleaner Data'!FG14/CALCULATIONS!DL14</f>
        <v>2.3348257014187599</v>
      </c>
      <c r="MP14" s="15">
        <f>KC14+'Bloom Cleaner Data'!FH14/CALCULATIONS!DM14</f>
        <v>2.6382841498728746</v>
      </c>
      <c r="MQ14" s="15">
        <f>KD14+'Bloom Cleaner Data'!FI14/CALCULATIONS!DN14</f>
        <v>2.9563593049613237</v>
      </c>
      <c r="MR14" s="15">
        <f>KE14+'Bloom Cleaner Data'!FJ14/CALCULATIONS!DO14</f>
        <v>3.1691211276760778</v>
      </c>
      <c r="MS14" s="15">
        <f>KF14+'Bloom Cleaner Data'!FK14/CALCULATIONS!DP14</f>
        <v>3.4022891033342142</v>
      </c>
      <c r="MT14" s="15">
        <f>KG14+'Bloom Cleaner Data'!FL14/CALCULATIONS!DQ14</f>
        <v>3.332484459006789</v>
      </c>
      <c r="MU14" s="15">
        <f>KH14+'Bloom Cleaner Data'!FM14/CALCULATIONS!DR14</f>
        <v>3.2623961251190861</v>
      </c>
      <c r="MV14" s="15">
        <f t="shared" si="29"/>
        <v>0.44850506553749447</v>
      </c>
      <c r="MW14" s="15">
        <f t="shared" si="94"/>
        <v>3.3323898958200293</v>
      </c>
      <c r="MX14" s="15">
        <f t="shared" si="30"/>
        <v>0.53732577949199412</v>
      </c>
      <c r="MY14" s="15">
        <f t="shared" si="95"/>
        <v>3.2915727037840417</v>
      </c>
      <c r="MZ14" s="15">
        <f t="shared" si="96"/>
        <v>2.8467687768692178</v>
      </c>
      <c r="NA14" s="18">
        <f t="shared" si="97"/>
        <v>-8.8230058933906289E-3</v>
      </c>
      <c r="NB14" s="15">
        <f t="shared" si="31"/>
        <v>0.31461261802206719</v>
      </c>
      <c r="NC14" s="15"/>
      <c r="ND14" s="13">
        <f>'Bloom Cleaner Data'!GF14+('Bloom Cleaner Data'!T14+'Bloom Cleaner Data'!EY14)+'Bloom Cleaner Data'!CK14</f>
        <v>66093</v>
      </c>
      <c r="NE14" s="13">
        <f>'Bloom Cleaner Data'!GG14+('Bloom Cleaner Data'!U14+'Bloom Cleaner Data'!EZ14)+'Bloom Cleaner Data'!CL14</f>
        <v>71907.5</v>
      </c>
      <c r="NF14" s="13">
        <f>'Bloom Cleaner Data'!GH14+('Bloom Cleaner Data'!V14+'Bloom Cleaner Data'!FA14)+'Bloom Cleaner Data'!CM14</f>
        <v>77722</v>
      </c>
      <c r="NG14" s="13">
        <f>'Bloom Cleaner Data'!GI14+('Bloom Cleaner Data'!W14+'Bloom Cleaner Data'!FB14)+'Bloom Cleaner Data'!CN14</f>
        <v>71950.999999999985</v>
      </c>
      <c r="NH14" s="13">
        <f>'Bloom Cleaner Data'!GJ14+('Bloom Cleaner Data'!X14+'Bloom Cleaner Data'!FC14)+'Bloom Cleaner Data'!CO14</f>
        <v>66180</v>
      </c>
      <c r="NI14" s="13">
        <f>'Bloom Cleaner Data'!GK14+('Bloom Cleaner Data'!Y14+'Bloom Cleaner Data'!FD14)+'Bloom Cleaner Data'!CP14</f>
        <v>65586</v>
      </c>
      <c r="NJ14" s="13">
        <f>'Bloom Cleaner Data'!GL14+('Bloom Cleaner Data'!Z14+'Bloom Cleaner Data'!FE14)+'Bloom Cleaner Data'!CQ14</f>
        <v>64992</v>
      </c>
      <c r="NK14" s="13">
        <f>'Bloom Cleaner Data'!GM14+('Bloom Cleaner Data'!AA14+'Bloom Cleaner Data'!FF14)+'Bloom Cleaner Data'!CR14</f>
        <v>64147.5</v>
      </c>
      <c r="NL14" s="13">
        <f>'Bloom Cleaner Data'!GN14+('Bloom Cleaner Data'!AB14+'Bloom Cleaner Data'!FG14)+'Bloom Cleaner Data'!CS14</f>
        <v>63303</v>
      </c>
      <c r="NM14" s="13">
        <f>'Bloom Cleaner Data'!GO14+('Bloom Cleaner Data'!AC14+'Bloom Cleaner Data'!FH14)+'Bloom Cleaner Data'!CT14</f>
        <v>66451.5</v>
      </c>
      <c r="NN14" s="13">
        <f>'Bloom Cleaner Data'!GP14+('Bloom Cleaner Data'!AD14+'Bloom Cleaner Data'!FI14)+'Bloom Cleaner Data'!CU14</f>
        <v>69600</v>
      </c>
      <c r="NO14" s="13">
        <f>'Bloom Cleaner Data'!GQ14+('Bloom Cleaner Data'!AE14+'Bloom Cleaner Data'!FJ14)+'Bloom Cleaner Data'!CV14</f>
        <v>68567.5</v>
      </c>
      <c r="NP14" s="13">
        <f>'Bloom Cleaner Data'!GR14+('Bloom Cleaner Data'!AF14+'Bloom Cleaner Data'!FK14)+'Bloom Cleaner Data'!CW14</f>
        <v>67535</v>
      </c>
      <c r="NQ14" s="13">
        <f>'Bloom Cleaner Data'!GS14+('Bloom Cleaner Data'!AG14+'Bloom Cleaner Data'!FL14)+'Bloom Cleaner Data'!CX14</f>
        <v>65780</v>
      </c>
      <c r="NR14" s="13">
        <f>'Bloom Cleaner Data'!GT14+('Bloom Cleaner Data'!AH14+'Bloom Cleaner Data'!FM14)+'Bloom Cleaner Data'!CY14</f>
        <v>64025</v>
      </c>
      <c r="NS14" s="168"/>
      <c r="NT14" s="2024" t="s">
        <v>288</v>
      </c>
      <c r="NU14" s="998">
        <f>('Bloom Cleaner Data'!T14+'Bloom Cleaner Data'!EY14+'OPERATING LEASES'!BL14)/CALCULATIONS!ND14</f>
        <v>0.52589532930870142</v>
      </c>
      <c r="NV14" s="998">
        <f>('Bloom Cleaner Data'!U14+'Bloom Cleaner Data'!EZ14+'OPERATING LEASES'!BM14)/CALCULATIONS!NE14</f>
        <v>0.54275501512359625</v>
      </c>
      <c r="NW14" s="998">
        <f>('Bloom Cleaner Data'!V14+'Bloom Cleaner Data'!FA14+'OPERATING LEASES'!BN14)/CALCULATIONS!NF14</f>
        <v>0.55709210390880315</v>
      </c>
      <c r="NX14" s="998">
        <f>('Bloom Cleaner Data'!W14+'Bloom Cleaner Data'!FB14+'OPERATING LEASES'!BO14)/CALCULATIONS!NG14</f>
        <v>0.53033965823963547</v>
      </c>
      <c r="NY14" s="998">
        <f>('Bloom Cleaner Data'!X14+'Bloom Cleaner Data'!FC14+'OPERATING LEASES'!BP14)/CALCULATIONS!NH14</f>
        <v>0.49892150196433965</v>
      </c>
      <c r="NZ14" s="998">
        <f>('Bloom Cleaner Data'!Y14+'Bloom Cleaner Data'!FD14+'OPERATING LEASES'!BQ14)/CALCULATIONS!NI14</f>
        <v>0.50765693135730183</v>
      </c>
      <c r="OA14" s="998">
        <f>('Bloom Cleaner Data'!Z14+'Bloom Cleaner Data'!FE14+'OPERATING LEASES'!BR14)/CALCULATIONS!NJ14</f>
        <v>0.51655203717380604</v>
      </c>
      <c r="OB14" s="998">
        <f>('Bloom Cleaner Data'!AA14+'Bloom Cleaner Data'!FF14+'OPERATING LEASES'!BS14)/CALCULATIONS!NK14</f>
        <v>0.51479500370240461</v>
      </c>
      <c r="OC14" s="998">
        <f>('Bloom Cleaner Data'!AB14+'Bloom Cleaner Data'!FG14+'OPERATING LEASES'!BT14)/CALCULATIONS!NL14</f>
        <v>0.51299109046964597</v>
      </c>
      <c r="OD14" s="998">
        <f>('Bloom Cleaner Data'!AC14+'Bloom Cleaner Data'!FH14+'OPERATING LEASES'!BU14)/CALCULATIONS!NM14</f>
        <v>0.54359664567391253</v>
      </c>
      <c r="OE14" s="998">
        <f>('Bloom Cleaner Data'!AD14+'Bloom Cleaner Data'!FI14+'OPERATING LEASES'!BV14)/CALCULATIONS!NN14</f>
        <v>0.57143318965517242</v>
      </c>
      <c r="OF14" s="998">
        <f>('Bloom Cleaner Data'!AE14+'Bloom Cleaner Data'!FJ14+'OPERATING LEASES'!BW14)/CALCULATIONS!NO14</f>
        <v>0.58173606300360958</v>
      </c>
      <c r="OG14" s="998">
        <f>('Bloom Cleaner Data'!AF14+'Bloom Cleaner Data'!FK14+'OPERATING LEASES'!BX14)/CALCULATIONS!NP14</f>
        <v>0.59235396461094247</v>
      </c>
      <c r="OH14" s="998">
        <f>('Bloom Cleaner Data'!AG14+'Bloom Cleaner Data'!FL14+'OPERATING LEASES'!BY14)/CALCULATIONS!NQ14</f>
        <v>0.58446526299787172</v>
      </c>
      <c r="OI14" s="998">
        <f>('Bloom Cleaner Data'!AH14+'Bloom Cleaner Data'!FM14+'OPERATING LEASES'!BZ14)/CALCULATIONS!NR14</f>
        <v>0.57614408434205389</v>
      </c>
      <c r="OJ14" s="18">
        <f t="shared" si="98"/>
        <v>0.58432110398362269</v>
      </c>
      <c r="OK14" s="18">
        <f t="shared" si="99"/>
        <v>0.58367484373861944</v>
      </c>
      <c r="OL14" s="18">
        <f t="shared" si="100"/>
        <v>0.54523673362303837</v>
      </c>
      <c r="OM14" s="10">
        <f t="shared" si="101"/>
        <v>3.4198977690715171E-2</v>
      </c>
      <c r="ON14" s="10"/>
      <c r="OO14" s="2710"/>
      <c r="OP14" s="526">
        <f>'Bloom Cleaner Data'!D14/'Bloom Cleaner Data'!GF14</f>
        <v>1.5597053352266963</v>
      </c>
      <c r="OQ14" s="526">
        <f>'Bloom Cleaner Data'!E14/'Bloom Cleaner Data'!GG14</f>
        <v>1.3427342355312408</v>
      </c>
      <c r="OR14" s="526">
        <f>'Bloom Cleaner Data'!F14/'Bloom Cleaner Data'!GH14</f>
        <v>1.1478969942617725</v>
      </c>
      <c r="OS14" s="526">
        <f>'Bloom Cleaner Data'!G14/'Bloom Cleaner Data'!GI14</f>
        <v>1.2268889588437801</v>
      </c>
      <c r="OT14" s="526">
        <f>'Bloom Cleaner Data'!H14/'Bloom Cleaner Data'!GJ14</f>
        <v>1.3093561792766808</v>
      </c>
      <c r="OU14" s="526">
        <f>'Bloom Cleaner Data'!I14/'Bloom Cleaner Data'!GK14</f>
        <v>1.2977497311653818</v>
      </c>
      <c r="OV14" s="526">
        <f>'Bloom Cleaner Data'!J14/'Bloom Cleaner Data'!GL14</f>
        <v>1.2856244345839267</v>
      </c>
      <c r="OW14" s="526">
        <f>'Bloom Cleaner Data'!K14/'Bloom Cleaner Data'!GM14</f>
        <v>1.1838108962887393</v>
      </c>
      <c r="OX14" s="526">
        <f>'Bloom Cleaner Data'!L14/'Bloom Cleaner Data'!GN14</f>
        <v>1.0799089280886727</v>
      </c>
      <c r="OY14" s="526">
        <f>'Bloom Cleaner Data'!M14/'Bloom Cleaner Data'!GO14</f>
        <v>1.0106257825159914</v>
      </c>
      <c r="OZ14" s="526">
        <f>'Bloom Cleaner Data'!N14/'Bloom Cleaner Data'!GP14</f>
        <v>0.94000866255640125</v>
      </c>
      <c r="PA14" s="526">
        <f>'Bloom Cleaner Data'!O14/'Bloom Cleaner Data'!GQ14</f>
        <v>0.8878357651984049</v>
      </c>
      <c r="PB14" s="526">
        <f>'Bloom Cleaner Data'!P14/'Bloom Cleaner Data'!GR14</f>
        <v>0.8304246171922377</v>
      </c>
      <c r="PC14" s="526">
        <f>'Bloom Cleaner Data'!Q14/'Bloom Cleaner Data'!GS14</f>
        <v>0.78033157494390137</v>
      </c>
      <c r="PD14" s="526">
        <f>'Bloom Cleaner Data'!R14/'Bloom Cleaner Data'!GT14</f>
        <v>0.72989058468819168</v>
      </c>
      <c r="PE14" s="526">
        <f t="shared" si="102"/>
        <v>1.0546425468926217</v>
      </c>
      <c r="PF14" s="10">
        <f t="shared" si="103"/>
        <v>-0.36414975530309335</v>
      </c>
      <c r="PG14" s="526">
        <f t="shared" si="104"/>
        <v>1.194848764946072</v>
      </c>
      <c r="PH14" s="18"/>
      <c r="PI14" s="2710"/>
      <c r="PJ14" s="526">
        <f>CALCULATIONS!DD14/'Bloom Cleaner Data'!GF14</f>
        <v>0.50667969149339609</v>
      </c>
      <c r="PK14" s="526">
        <f>CALCULATIONS!DE14/'Bloom Cleaner Data'!GG14</f>
        <v>0.47298223917028293</v>
      </c>
      <c r="PL14" s="526">
        <f>CALCULATIONS!DF14/'Bloom Cleaner Data'!GH14</f>
        <v>0.44240300001369426</v>
      </c>
      <c r="PM14" s="526">
        <f>CALCULATIONS!DG14/'Bloom Cleaner Data'!GI14</f>
        <v>0.46743908255820438</v>
      </c>
      <c r="PN14" s="526">
        <f>CALCULATIONS!DH14/'Bloom Cleaner Data'!GJ14</f>
        <v>0.4950289276034926</v>
      </c>
      <c r="PO14" s="526">
        <f>CALCULATIONS!DI14/'Bloom Cleaner Data'!GK14</f>
        <v>0.50082414312560386</v>
      </c>
      <c r="PP14" s="526">
        <f>CALCULATIONS!DJ14/'Bloom Cleaner Data'!GL14</f>
        <v>0.50683293574360855</v>
      </c>
      <c r="PQ14" s="526">
        <f>CALCULATIONS!DK14/'Bloom Cleaner Data'!GM14</f>
        <v>0.51958131431034615</v>
      </c>
      <c r="PR14" s="526">
        <f>CALCULATIONS!DL14/'Bloom Cleaner Data'!GN14</f>
        <v>0.53395962905708216</v>
      </c>
      <c r="PS14" s="526">
        <f>CALCULATIONS!DM14/'Bloom Cleaner Data'!GO14</f>
        <v>0.52696820790074805</v>
      </c>
      <c r="PT14" s="526">
        <f>CALCULATIONS!DN14/'Bloom Cleaner Data'!GP14</f>
        <v>0.51977637916972075</v>
      </c>
      <c r="PU14" s="526">
        <f>CALCULATIONS!DO14/'Bloom Cleaner Data'!GQ14</f>
        <v>0.51179393728400635</v>
      </c>
      <c r="PV14" s="526">
        <f>CALCULATIONS!DP14/'Bloom Cleaner Data'!GR14</f>
        <v>0.50430506141959508</v>
      </c>
      <c r="PW14" s="526">
        <f>CALCULATIONS!DQ14/'Bloom Cleaner Data'!GS14</f>
        <v>0.49886373188521216</v>
      </c>
      <c r="PX14" s="526">
        <f>CALCULATIONS!DR14/'Bloom Cleaner Data'!GT14</f>
        <v>0.4931188969212375</v>
      </c>
      <c r="PY14" s="526">
        <f t="shared" si="105"/>
        <v>0.5016073266917348</v>
      </c>
      <c r="PZ14" s="526">
        <f t="shared" si="106"/>
        <v>0.51280001041017309</v>
      </c>
      <c r="QA14" s="18"/>
      <c r="QC14" s="15">
        <f>'Bloom Cleaner Data'!HZ14</f>
        <v>4.4536999999999995</v>
      </c>
      <c r="QD14" s="15">
        <f>AVERAGE('Bloom Cleaner Data'!HN14:HZ14)</f>
        <v>5.6387923076923077</v>
      </c>
      <c r="QE14" s="504">
        <f>('Bloom Cleaner Data'!HZ14-'Bloom Cleaner Data'!HN14)/'Bloom Cleaner Data'!HN14</f>
        <v>-0.34288918069551627</v>
      </c>
      <c r="QF14" s="15">
        <f>'Bloom Cleaner Data'!HZ14-'Bloom Cleaner Data'!HL14</f>
        <v>-1.3134000000000006</v>
      </c>
    </row>
    <row r="15" spans="1:450">
      <c r="A15" s="11" t="s">
        <v>378</v>
      </c>
      <c r="B15" s="3108" t="s">
        <v>42</v>
      </c>
      <c r="C15" s="1207" t="s">
        <v>1105</v>
      </c>
      <c r="E15" s="13">
        <f>'Bloom Cleaner Data'!D15</f>
        <v>5043.6475</v>
      </c>
      <c r="G15" s="13">
        <f>'Bloom Cleaner Data'!F15</f>
        <v>3038.9324000000001</v>
      </c>
      <c r="H15" s="13">
        <f>'Bloom Cleaner Data'!H15</f>
        <v>3004.6219000000001</v>
      </c>
      <c r="I15" s="13">
        <f>'Bloom Cleaner Data'!J15</f>
        <v>3151.6669999999999</v>
      </c>
      <c r="J15" s="13">
        <f>'Bloom Cleaner Data'!L15</f>
        <v>1411.6331</v>
      </c>
      <c r="K15" s="13">
        <f>'Bloom Cleaner Data'!N15</f>
        <v>980.30079999999998</v>
      </c>
      <c r="L15" s="13">
        <f>'Bloom Cleaner Data'!P15</f>
        <v>2499.7669999999998</v>
      </c>
      <c r="M15" s="13">
        <f>'Bloom Cleaner Data'!R15</f>
        <v>2940.9023000000002</v>
      </c>
      <c r="N15" s="13">
        <f t="shared" si="0"/>
        <v>2432.5463571428577</v>
      </c>
      <c r="O15" s="13">
        <f t="shared" si="32"/>
        <v>2140.323366666667</v>
      </c>
      <c r="P15" s="10">
        <f t="shared" si="1"/>
        <v>-3.2258071946582277E-2</v>
      </c>
      <c r="Q15" s="146">
        <f t="shared" si="107"/>
        <v>-3.2258071946582277E-2</v>
      </c>
      <c r="R15" s="10">
        <f t="shared" si="33"/>
        <v>6.9517506959056674E-2</v>
      </c>
      <c r="S15" s="1363" t="s">
        <v>42</v>
      </c>
      <c r="T15" s="1322">
        <f>'Bloom Cleaner Data'!D15/'Bloom Cleaner Data'!$F15</f>
        <v>1.659677424874604</v>
      </c>
      <c r="U15" s="1322">
        <f>'Bloom Cleaner Data'!E15/'Bloom Cleaner Data'!$F15</f>
        <v>1.482258078527841</v>
      </c>
      <c r="V15" s="1322">
        <f>'Bloom Cleaner Data'!F15/'Bloom Cleaner Data'!$F15</f>
        <v>1</v>
      </c>
      <c r="W15" s="1322">
        <f>'Bloom Cleaner Data'!G15/'Bloom Cleaner Data'!$F15</f>
        <v>0.85161292169579017</v>
      </c>
      <c r="X15" s="1322">
        <f>'Bloom Cleaner Data'!H15/'Bloom Cleaner Data'!$F15</f>
        <v>0.98870968633589873</v>
      </c>
      <c r="Y15" s="1322">
        <f>'Bloom Cleaner Data'!I15/'Bloom Cleaner Data'!$F15</f>
        <v>1.270967758282481</v>
      </c>
      <c r="Z15" s="1322">
        <f>'Bloom Cleaner Data'!J15/'Bloom Cleaner Data'!$F15</f>
        <v>1.0370967778026257</v>
      </c>
      <c r="AA15" s="1322">
        <f>'Bloom Cleaner Data'!K15/'Bloom Cleaner Data'!$F15</f>
        <v>0.51612901952014456</v>
      </c>
      <c r="AB15" s="1322">
        <f>'Bloom Cleaner Data'!L15/'Bloom Cleaner Data'!$F15</f>
        <v>0.46451612414938875</v>
      </c>
      <c r="AC15" s="1322">
        <f>'Bloom Cleaner Data'!M15/'Bloom Cleaner Data'!$F15</f>
        <v>0.5145161175681302</v>
      </c>
      <c r="AD15" s="1322">
        <f>'Bloom Cleaner Data'!N15/'Bloom Cleaner Data'!$F15</f>
        <v>0.3225806536532369</v>
      </c>
      <c r="AE15" s="1322">
        <f>'Bloom Cleaner Data'!O15/'Bloom Cleaner Data'!$F15</f>
        <v>0.46935483000543216</v>
      </c>
      <c r="AF15" s="1322">
        <f>'Bloom Cleaner Data'!P15/'Bloom Cleaner Data'!$F15</f>
        <v>0.82258065365323685</v>
      </c>
      <c r="AG15" s="1322">
        <f>'Bloom Cleaner Data'!Q15/'Bloom Cleaner Data'!$F15</f>
        <v>0.76129031366410116</v>
      </c>
      <c r="AH15" s="1322">
        <f>'Bloom Cleaner Data'!R15/'Bloom Cleaner Data'!$F15</f>
        <v>0.96774192805341774</v>
      </c>
      <c r="AI15" s="13"/>
      <c r="AJ15" s="13">
        <f>AVERAGE('Bloom Cleaner Data'!BW15:CI15)</f>
        <v>6355.7932384615378</v>
      </c>
      <c r="AK15" s="18">
        <f>('Bloom Cleaner Data'!CI15-'Bloom Cleaner Data'!BW15)/'Bloom Cleaner Data'!BW15</f>
        <v>-0.38514677124315083</v>
      </c>
      <c r="AL15" s="18">
        <f>('Bloom Cleaner Data'!CI15+'Bloom Cleaner Data'!CH15-'Bloom Cleaner Data'!BW15-'Bloom Cleaner Data'!BV15)/('Bloom Cleaner Data'!BW15+'Bloom Cleaner Data'!BV15)</f>
        <v>-0.41914262246945622</v>
      </c>
      <c r="AM15" s="13"/>
      <c r="AN15" s="13">
        <f>'Bloom Cleaner Data'!BW15</f>
        <v>8313.5324999999993</v>
      </c>
      <c r="AO15" s="13">
        <f>'Bloom Cleaner Data'!BY15</f>
        <v>7840.6219000000001</v>
      </c>
      <c r="AP15" s="13">
        <f>'Bloom Cleaner Data'!CA15</f>
        <v>7775.8670000000002</v>
      </c>
      <c r="AQ15" s="13">
        <f>'Bloom Cleaner Data'!CC15</f>
        <v>5270.5330999999996</v>
      </c>
      <c r="AR15" s="13">
        <f>'Bloom Cleaner Data'!CE15</f>
        <v>4556.3008</v>
      </c>
      <c r="AS15" s="13">
        <f>'Bloom Cleaner Data'!CG15</f>
        <v>5707.1670000000004</v>
      </c>
      <c r="AT15" s="13">
        <f>'Bloom Cleaner Data'!CI15</f>
        <v>5111.6022999999996</v>
      </c>
      <c r="AU15" s="13">
        <f t="shared" si="2"/>
        <v>6367.9463714285712</v>
      </c>
      <c r="AV15" s="10">
        <f t="shared" si="3"/>
        <v>-0.38514677124315083</v>
      </c>
      <c r="AW15" s="10"/>
      <c r="AX15" s="13">
        <f>'Bloom Cleaner Data'!T15+'OPERATING LEASES'!AU15</f>
        <v>4517.7</v>
      </c>
      <c r="AY15" s="13">
        <f>'Bloom Cleaner Data'!U15+'OPERATING LEASES'!AV15</f>
        <v>4506.4998999999998</v>
      </c>
      <c r="AZ15" s="13">
        <f>'Bloom Cleaner Data'!V15+'OPERATING LEASES'!AW15</f>
        <v>4571.1000999999997</v>
      </c>
      <c r="BA15" s="13">
        <f>'Bloom Cleaner Data'!W15+'OPERATING LEASES'!AX15</f>
        <v>4526.5</v>
      </c>
      <c r="BB15" s="13">
        <f>'Bloom Cleaner Data'!X15+'OPERATING LEASES'!AY15</f>
        <v>4283</v>
      </c>
      <c r="BC15" s="13">
        <f>'Bloom Cleaner Data'!Y15+'OPERATING LEASES'!AZ15</f>
        <v>4429.8680532379503</v>
      </c>
      <c r="BD15" s="13">
        <f>'Bloom Cleaner Data'!Z15+'OPERATING LEASES'!BA15</f>
        <v>4373.9361064759005</v>
      </c>
      <c r="BE15" s="13">
        <f>'Bloom Cleaner Data'!AA15+'OPERATING LEASES'!BB15</f>
        <v>4396.4041597138503</v>
      </c>
      <c r="BF15" s="13">
        <f>'Bloom Cleaner Data'!AB15+'OPERATING LEASES'!BC15</f>
        <v>3991.3722129518001</v>
      </c>
      <c r="BG15" s="13">
        <f>'Bloom Cleaner Data'!AC15+'OPERATING LEASES'!BD15</f>
        <v>3876.315956463618</v>
      </c>
      <c r="BH15" s="13">
        <f>'Bloom Cleaner Data'!AD15+'OPERATING LEASES'!BE15</f>
        <v>3744.9596999754358</v>
      </c>
      <c r="BI15" s="13">
        <f>'Bloom Cleaner Data'!AE15+'OPERATING LEASES'!BF15</f>
        <v>3515.703443487253</v>
      </c>
      <c r="BJ15" s="13">
        <f>'Bloom Cleaner Data'!AF15+'OPERATING LEASES'!BG15</f>
        <v>3401.4471869990712</v>
      </c>
      <c r="BK15" s="13">
        <f>'Bloom Cleaner Data'!AG15+'OPERATING LEASES'!BH15</f>
        <v>3281.2471869990709</v>
      </c>
      <c r="BL15" s="13">
        <f>'Bloom Cleaner Data'!AH15+'OPERATING LEASES'!BI15</f>
        <v>2360.647186999071</v>
      </c>
      <c r="BM15" s="1167">
        <f t="shared" si="34"/>
        <v>3904.0385610233093</v>
      </c>
      <c r="BN15" s="10">
        <f t="shared" si="35"/>
        <v>-0.48357132082951515</v>
      </c>
      <c r="BO15" s="10"/>
      <c r="BP15" s="13">
        <f>'Bloom Cleaner Data'!BU15+'OPERATING LEASES'!AU15</f>
        <v>10319.047500000001</v>
      </c>
      <c r="BQ15" s="13">
        <f>'Bloom Cleaner Data'!BV15+'OPERATING LEASES'!AV15</f>
        <v>9792.482</v>
      </c>
      <c r="BR15" s="13">
        <f>'Bloom Cleaner Data'!BW15+'OPERATING LEASES'!AW15</f>
        <v>8313.5324999999993</v>
      </c>
      <c r="BS15" s="13">
        <f>'Bloom Cleaner Data'!BX15+'OPERATING LEASES'!AX15</f>
        <v>7832.9940999999999</v>
      </c>
      <c r="BT15" s="13">
        <f>'Bloom Cleaner Data'!BY15+'OPERATING LEASES'!AY15</f>
        <v>7840.6219000000001</v>
      </c>
      <c r="BU15" s="13">
        <f>'Bloom Cleaner Data'!BZ15+'OPERATING LEASES'!AZ15</f>
        <v>8816.3531532379493</v>
      </c>
      <c r="BV15" s="13">
        <f>'Bloom Cleaner Data'!CA15+'OPERATING LEASES'!BA15</f>
        <v>8029.0031064759005</v>
      </c>
      <c r="BW15" s="13">
        <f>'Bloom Cleaner Data'!CB15+'OPERATING LEASES'!BB15</f>
        <v>6454.9853597138508</v>
      </c>
      <c r="BX15" s="13">
        <f>'Bloom Cleaner Data'!CC15+'OPERATING LEASES'!BC15</f>
        <v>5776.8053129518003</v>
      </c>
      <c r="BY15" s="13">
        <f>'Bloom Cleaner Data'!CD15+'OPERATING LEASES'!BD15</f>
        <v>5815.6956564636184</v>
      </c>
      <c r="BZ15" s="13">
        <f>'Bloom Cleaner Data'!CE15+'OPERATING LEASES'!BE15</f>
        <v>5101.4604999754356</v>
      </c>
      <c r="CA15" s="13">
        <f>'Bloom Cleaner Data'!CF15+'OPERATING LEASES'!BF15</f>
        <v>5320.841043487254</v>
      </c>
      <c r="CB15" s="13">
        <f>'Bloom Cleaner Data'!CG15+'OPERATING LEASES'!BG15</f>
        <v>6291.2141869990719</v>
      </c>
      <c r="CC15" s="13">
        <f>'Bloom Cleaner Data'!CH15+'OPERATING LEASES'!BH15</f>
        <v>5989.4569869990719</v>
      </c>
      <c r="CD15" s="13">
        <f>'Bloom Cleaner Data'!CI15+'OPERATING LEASES'!BI15</f>
        <v>5695.6494869990711</v>
      </c>
      <c r="CE15" s="1167">
        <f t="shared" si="36"/>
        <v>6713.7394841002333</v>
      </c>
      <c r="CF15" s="10">
        <f t="shared" si="37"/>
        <v>-0.31489418162507077</v>
      </c>
      <c r="CG15" s="18">
        <f t="shared" si="4"/>
        <v>5.6318107309189111E-2</v>
      </c>
      <c r="CH15" s="13"/>
      <c r="CI15" s="18">
        <f>$CI$1*BP15/('Bloom Cleaner Data'!D15+'Bloom Cleaner Data'!T15+'OPERATING LEASES'!AU15)+(1-$CI$1)*'Bloom Cleaner Data'!BU15/('Bloom Cleaner Data'!D15+'Bloom Cleaner Data'!T15)-1</f>
        <v>7.9246152281359894E-2</v>
      </c>
      <c r="CJ15" s="18">
        <f>$CI$1*BQ15/('Bloom Cleaner Data'!E15+'Bloom Cleaner Data'!U15+'OPERATING LEASES'!AV15)+(1-$CI$1)*'Bloom Cleaner Data'!BV15/('Bloom Cleaner Data'!E15+'Bloom Cleaner Data'!U15)-1</f>
        <v>8.6727506502620955E-2</v>
      </c>
      <c r="CK15" s="18">
        <f>$CI$1*BR15/('Bloom Cleaner Data'!F15+'Bloom Cleaner Data'!V15+'OPERATING LEASES'!AW15)+(1-$CI$1)*'Bloom Cleaner Data'!BW15/('Bloom Cleaner Data'!F15+'Bloom Cleaner Data'!V15)-1</f>
        <v>9.2443757631784029E-2</v>
      </c>
      <c r="CL15" s="18">
        <f>$CI$1*BS15/('Bloom Cleaner Data'!G15+'Bloom Cleaner Data'!W15+'OPERATING LEASES'!AX15)+(1-$CI$1)*'Bloom Cleaner Data'!BX15/('Bloom Cleaner Data'!G15+'Bloom Cleaner Data'!W15)-1</f>
        <v>0.10099101775908426</v>
      </c>
      <c r="CM15" s="18">
        <f>$CI$1*BT15/('Bloom Cleaner Data'!H15+'Bloom Cleaner Data'!X15+'OPERATING LEASES'!AY15)+(1-$CI$1)*'Bloom Cleaner Data'!BY15/('Bloom Cleaner Data'!H15+'Bloom Cleaner Data'!X15)-1</f>
        <v>7.5882092620639385E-2</v>
      </c>
      <c r="CN15" s="18">
        <f>$CI$1*BU15/('Bloom Cleaner Data'!I15+'Bloom Cleaner Data'!Y15+'OPERATING LEASES'!AZ15)+(1-$CI$1)*'Bloom Cleaner Data'!BZ15/('Bloom Cleaner Data'!I15+'Bloom Cleaner Data'!Y15)-1</f>
        <v>6.3203569683029759E-2</v>
      </c>
      <c r="CO15" s="18">
        <f>$CI$1*BV15/('Bloom Cleaner Data'!J15+'Bloom Cleaner Data'!Z15+'OPERATING LEASES'!BA15)+(1-$CI$1)*'Bloom Cleaner Data'!CA15/('Bloom Cleaner Data'!J15+'Bloom Cleaner Data'!Z15)-1</f>
        <v>6.6891648799126235E-2</v>
      </c>
      <c r="CP15" s="18">
        <f>$CI$1*BW15/('Bloom Cleaner Data'!K15+'Bloom Cleaner Data'!AA15+'OPERATING LEASES'!BB15)+(1-$CI$1)*'Bloom Cleaner Data'!CB15/('Bloom Cleaner Data'!K15+'Bloom Cleaner Data'!AA15)-1</f>
        <v>8.2164194354862108E-2</v>
      </c>
      <c r="CQ15" s="18">
        <f>$CI$1*BX15/('Bloom Cleaner Data'!L15+'Bloom Cleaner Data'!AB15+'OPERATING LEASES'!BC15)+(1-$CI$1)*'Bloom Cleaner Data'!CC15/('Bloom Cleaner Data'!L15+'Bloom Cleaner Data'!AB15)-1</f>
        <v>6.9183718754439516E-2</v>
      </c>
      <c r="CR15" s="18">
        <f>$CI$1*BY15/('Bloom Cleaner Data'!M15+'Bloom Cleaner Data'!AC15+'OPERATING LEASES'!BD15)+(1-$CI$1)*'Bloom Cleaner Data'!CD15/('Bloom Cleaner Data'!M15+'Bloom Cleaner Data'!AC15)-1</f>
        <v>6.9082207404746798E-2</v>
      </c>
      <c r="CS15" s="18">
        <f>$CI$1*BZ15/('Bloom Cleaner Data'!N15+'Bloom Cleaner Data'!AD15+'OPERATING LEASES'!BE15)+(1-$CI$1)*'Bloom Cleaner Data'!CE15/('Bloom Cleaner Data'!N15+'Bloom Cleaner Data'!AD15)-1</f>
        <v>7.9614658282216588E-2</v>
      </c>
      <c r="CT15" s="18">
        <f>$CI$1*CA15/('Bloom Cleaner Data'!O15+'Bloom Cleaner Data'!AE15+'OPERATING LEASES'!BF15)+(1-$CI$1)*'Bloom Cleaner Data'!CF15/('Bloom Cleaner Data'!O15+'Bloom Cleaner Data'!AE15)-1</f>
        <v>7.6648493338433932E-2</v>
      </c>
      <c r="CU15" s="18">
        <f>$CI$1*CB15/('Bloom Cleaner Data'!P15+'Bloom Cleaner Data'!AF15+'OPERATING LEASES'!BG15)+(1-$CI$1)*'Bloom Cleaner Data'!CG15/('Bloom Cleaner Data'!P15+'Bloom Cleaner Data'!AF15)-1</f>
        <v>6.6088094355091886E-2</v>
      </c>
      <c r="CV15" s="18">
        <f>$CI$1*CC15/('Bloom Cleaner Data'!Q15+'Bloom Cleaner Data'!AG15+'OPERATING LEASES'!BH15)+(1-$CI$1)*'Bloom Cleaner Data'!CH15/('Bloom Cleaner Data'!Q15+'Bloom Cleaner Data'!AG15)-1</f>
        <v>7.0548193767342005E-2</v>
      </c>
      <c r="CW15" s="18">
        <f>$CI$1*CD15/('Bloom Cleaner Data'!R15+'Bloom Cleaner Data'!AH15+'OPERATING LEASES'!BI15)+(1-$CI$1)*'Bloom Cleaner Data'!CI15/('Bloom Cleaner Data'!R15+'Bloom Cleaner Data'!AH15)-1</f>
        <v>7.4336757766092276E-2</v>
      </c>
      <c r="CX15" s="18">
        <f t="shared" si="38"/>
        <v>7.5929108039760676E-2</v>
      </c>
      <c r="CY15" s="13"/>
      <c r="CZ15" s="3112">
        <f>AVERAGE('Bloom Cleaner Data'!GX15:HJ15)</f>
        <v>1724.5343479716187</v>
      </c>
      <c r="DA15" s="2860">
        <f>('Bloom Cleaner Data'!HJ15-'Bloom Cleaner Data'!GX15)/'Bloom Cleaner Data'!GX15</f>
        <v>-0.38951484832705863</v>
      </c>
      <c r="DB15" s="2860">
        <f>('Bloom Cleaner Data'!HJ15+'Bloom Cleaner Data'!HI15-'Bloom Cleaner Data'!GX15-'Bloom Cleaner Data'!GW15)/('Bloom Cleaner Data'!GX15+'Bloom Cleaner Data'!GW15)</f>
        <v>-0.37221169859501985</v>
      </c>
      <c r="DC15" s="13"/>
      <c r="DD15" s="13">
        <f>'Bloom Cleaner Data'!GV15+'OPERATING LEASES'!BL15</f>
        <v>2273.0180844971146</v>
      </c>
      <c r="DE15" s="13">
        <f>'Bloom Cleaner Data'!GW15+'OPERATING LEASES'!BM15</f>
        <v>2218.7062715243792</v>
      </c>
      <c r="DF15" s="13">
        <f>'Bloom Cleaner Data'!GX15+'OPERATING LEASES'!BN15</f>
        <v>2296.6828277805403</v>
      </c>
      <c r="DG15" s="13">
        <f>'Bloom Cleaner Data'!GY15+'OPERATING LEASES'!BO15</f>
        <v>2214.5869663556687</v>
      </c>
      <c r="DH15" s="13">
        <f>'Bloom Cleaner Data'!GZ15+'OPERATING LEASES'!BP15</f>
        <v>1803.6857372900854</v>
      </c>
      <c r="DI15" s="13">
        <f>'Bloom Cleaner Data'!HA15+'OPERATING LEASES'!BQ15</f>
        <v>1752.5333178923415</v>
      </c>
      <c r="DJ15" s="13">
        <f>'Bloom Cleaner Data'!HB15+'OPERATING LEASES'!BR15</f>
        <v>1722.6764003201963</v>
      </c>
      <c r="DK15" s="13">
        <f>'Bloom Cleaner Data'!HC15+'OPERATING LEASES'!BS15</f>
        <v>1711.6096396054118</v>
      </c>
      <c r="DL15" s="13">
        <f>'Bloom Cleaner Data'!HD15+'OPERATING LEASES'!BT15</f>
        <v>1808.8460590395755</v>
      </c>
      <c r="DM15" s="13">
        <f>'Bloom Cleaner Data'!HE15+'OPERATING LEASES'!BU15</f>
        <v>1835.0979016967697</v>
      </c>
      <c r="DN15" s="13">
        <f>'Bloom Cleaner Data'!HF15+'OPERATING LEASES'!BV15</f>
        <v>1789.9651481099404</v>
      </c>
      <c r="DO15" s="13">
        <f>'Bloom Cleaner Data'!HG15+'OPERATING LEASES'!BW15</f>
        <v>1755.8348299903421</v>
      </c>
      <c r="DP15" s="13">
        <f>'Bloom Cleaner Data'!HH15+'OPERATING LEASES'!BX15</f>
        <v>1604.1004927149734</v>
      </c>
      <c r="DQ15" s="13">
        <f>'Bloom Cleaner Data'!HI15+'OPERATING LEASES'!BY15</f>
        <v>1551.8301883729562</v>
      </c>
      <c r="DR15" s="13">
        <f>'Bloom Cleaner Data'!HJ15+'OPERATING LEASES'!BZ15</f>
        <v>1521.3032644622431</v>
      </c>
      <c r="DS15" s="1167">
        <f t="shared" si="39"/>
        <v>1797.5963672023877</v>
      </c>
      <c r="DT15" s="10">
        <f t="shared" si="40"/>
        <v>-0.33760846466884831</v>
      </c>
      <c r="DU15" s="18">
        <f t="shared" si="41"/>
        <v>4.2366230232934406E-2</v>
      </c>
      <c r="DV15" s="167"/>
      <c r="DW15" s="15">
        <f>'Bloom Cleaner Data'!DT15</f>
        <v>1.5479000000000001</v>
      </c>
      <c r="DX15" s="15">
        <f>'Bloom Cleaner Data'!DX15</f>
        <v>1.2915000000000001</v>
      </c>
      <c r="DY15" s="15">
        <f>'Bloom Cleaner Data'!EB15</f>
        <v>0.87039999999999995</v>
      </c>
      <c r="DZ15" s="15">
        <f>'Bloom Cleaner Data'!EF15</f>
        <v>1.1727000000000001</v>
      </c>
      <c r="EA15" s="15">
        <f>AVERAGE('Bloom Cleaner Data'!DT15:EF15)</f>
        <v>1.2066538461538463</v>
      </c>
      <c r="EB15" s="18">
        <f t="shared" si="5"/>
        <v>-0.24239291943924024</v>
      </c>
      <c r="EC15" s="13"/>
      <c r="ED15" s="15">
        <f>'Bloom Cleaner Data'!DC15</f>
        <v>3.6198000000000001</v>
      </c>
      <c r="EE15" s="15">
        <f>'Bloom Cleaner Data'!DG15</f>
        <v>4.6533999999999995</v>
      </c>
      <c r="EF15" s="15">
        <f>'Bloom Cleaner Data'!DK15</f>
        <v>2.7141999999999999</v>
      </c>
      <c r="EG15" s="15">
        <f>'Bloom Cleaner Data'!DO15</f>
        <v>3.6457000000000002</v>
      </c>
      <c r="EH15" s="15">
        <f>AVERAGE('Bloom Cleaner Data'!DC15:DO15)</f>
        <v>3.687323076923076</v>
      </c>
      <c r="EI15" s="22">
        <f t="shared" si="42"/>
        <v>3.6582749999999997</v>
      </c>
      <c r="EJ15" s="22">
        <f t="shared" si="6"/>
        <v>2.9048076923076316E-2</v>
      </c>
      <c r="EK15" s="18">
        <f t="shared" si="43"/>
        <v>7.155091441516115E-3</v>
      </c>
      <c r="EL15" s="241"/>
      <c r="EM15" s="15">
        <f>('Bloom Cleaner Data'!BU15+'OPERATING LEASES'!AU15)/DD15</f>
        <v>4.5397999999999996</v>
      </c>
      <c r="EN15" s="15">
        <f>('Bloom Cleaner Data'!BV15+'OPERATING LEASES'!AV15)/DE15</f>
        <v>4.4135999999999997</v>
      </c>
      <c r="EO15" s="15">
        <f>('Bloom Cleaner Data'!BW15+'OPERATING LEASES'!AW15)/DF15</f>
        <v>3.6197999999999997</v>
      </c>
      <c r="EP15" s="15">
        <f>('Bloom Cleaner Data'!BX15+'OPERATING LEASES'!AX15)/DG15</f>
        <v>3.5369999999999999</v>
      </c>
      <c r="EQ15" s="15">
        <f>('Bloom Cleaner Data'!BY15+'OPERATING LEASES'!AY15)/DH15</f>
        <v>4.3469999999999995</v>
      </c>
      <c r="ER15" s="15">
        <f>('Bloom Cleaner Data'!BZ15+'OPERATING LEASES'!AZ15)/DI15</f>
        <v>5.0306336907995606</v>
      </c>
      <c r="ES15" s="15">
        <f>('Bloom Cleaner Data'!CA15+'OPERATING LEASES'!BA15)/DJ15</f>
        <v>4.6607726819636808</v>
      </c>
      <c r="ET15" s="15">
        <f>('Bloom Cleaner Data'!CB15+'OPERATING LEASES'!BB15)/DK15</f>
        <v>3.7712952827269421</v>
      </c>
      <c r="EU15" s="15">
        <f>('Bloom Cleaner Data'!CC15+'OPERATING LEASES'!BC15)/DL15</f>
        <v>3.1936412079306802</v>
      </c>
      <c r="EV15" s="15">
        <f>('Bloom Cleaner Data'!CD15+'OPERATING LEASES'!BD15)/DM15</f>
        <v>3.1691473523490519</v>
      </c>
      <c r="EW15" s="15">
        <f>('Bloom Cleaner Data'!CE15+'OPERATING LEASES'!BE15)/DN15</f>
        <v>2.8500334240374281</v>
      </c>
      <c r="EX15" s="15">
        <f>('Bloom Cleaner Data'!CF15+'OPERATING LEASES'!BF15)/DO15</f>
        <v>3.0303767487722757</v>
      </c>
      <c r="EY15" s="15">
        <f>('Bloom Cleaner Data'!CG15+'OPERATING LEASES'!BG15)/DP15</f>
        <v>3.9219576426605678</v>
      </c>
      <c r="EZ15" s="15">
        <f>('Bloom Cleaner Data'!CH15+'OPERATING LEASES'!BH15)/DQ15</f>
        <v>3.8596085009010066</v>
      </c>
      <c r="FA15" s="15">
        <f>('Bloom Cleaner Data'!CI15+'OPERATING LEASES'!BI15)/DR15</f>
        <v>3.7439277362047823</v>
      </c>
      <c r="FB15" s="526">
        <f t="shared" si="44"/>
        <v>3.7488610975650749</v>
      </c>
      <c r="FC15" s="10">
        <f t="shared" si="45"/>
        <v>3.4291324439135469E-2</v>
      </c>
      <c r="FD15" s="15">
        <f t="shared" si="7"/>
        <v>6.153802064199887E-2</v>
      </c>
      <c r="FE15" s="15">
        <f t="shared" si="46"/>
        <v>3.7231394268345981</v>
      </c>
      <c r="FF15" s="13"/>
      <c r="FG15" s="15">
        <f>$FG$1*EM15+(1-$FG$1)*'Bloom Cleaner Data'!DA15</f>
        <v>4.5397999999999996</v>
      </c>
      <c r="FH15" s="15">
        <f>$FG$1*EN15+(1-$FG$1)*'Bloom Cleaner Data'!DB15</f>
        <v>4.4135999999999997</v>
      </c>
      <c r="FI15" s="15">
        <f>$FG$1*EO15+(1-$FG$1)*'Bloom Cleaner Data'!DC15</f>
        <v>3.6197999999999997</v>
      </c>
      <c r="FJ15" s="15">
        <f>$FG$1*EP15+(1-$FG$1)*'Bloom Cleaner Data'!DD15</f>
        <v>3.5369999999999999</v>
      </c>
      <c r="FK15" s="15">
        <f>$FG$1*EQ15+(1-$FG$1)*'Bloom Cleaner Data'!DE15</f>
        <v>4.3469999999999995</v>
      </c>
      <c r="FL15" s="15">
        <f>$FG$1*ER15+(1-$FG$1)*'Bloom Cleaner Data'!DF15</f>
        <v>5.0306336907995606</v>
      </c>
      <c r="FM15" s="15">
        <f>$FG$1*ES15+(1-$FG$1)*'Bloom Cleaner Data'!DG15</f>
        <v>4.6607726819636808</v>
      </c>
      <c r="FN15" s="15">
        <f>$FG$1*ET15+(1-$FG$1)*'Bloom Cleaner Data'!DH15</f>
        <v>3.7712952827269421</v>
      </c>
      <c r="FO15" s="15">
        <f>$FG$1*EU15+(1-$FG$1)*'Bloom Cleaner Data'!DI15</f>
        <v>3.1936412079306802</v>
      </c>
      <c r="FP15" s="15">
        <f>$FG$1*EV15+(1-$FG$1)*'Bloom Cleaner Data'!DJ15</f>
        <v>3.1691473523490519</v>
      </c>
      <c r="FQ15" s="15">
        <f>$FG$1*EW15+(1-$FG$1)*'Bloom Cleaner Data'!DK15</f>
        <v>2.8500334240374281</v>
      </c>
      <c r="FR15" s="15">
        <f>$FG$1*EX15+(1-$FG$1)*'Bloom Cleaner Data'!DL15</f>
        <v>3.0303767487722757</v>
      </c>
      <c r="FS15" s="15">
        <f>$FG$1*EY15+(1-$FG$1)*'Bloom Cleaner Data'!DM15</f>
        <v>3.9219576426605678</v>
      </c>
      <c r="FT15" s="15">
        <f>$FG$1*EZ15+(1-$FG$1)*'Bloom Cleaner Data'!DN15</f>
        <v>3.8596085009010066</v>
      </c>
      <c r="FU15" s="15">
        <f>$FG$1*FA15+(1-$FG$1)*'Bloom Cleaner Data'!DO15</f>
        <v>3.7439277362047823</v>
      </c>
      <c r="FV15" s="526">
        <f t="shared" si="47"/>
        <v>3.7488610975650749</v>
      </c>
      <c r="FW15" s="10">
        <f t="shared" si="48"/>
        <v>3.4291324439135469E-2</v>
      </c>
      <c r="FX15" s="526">
        <f t="shared" si="49"/>
        <v>3.7231394268345981</v>
      </c>
      <c r="FY15" s="2710"/>
      <c r="FZ15" s="2710"/>
      <c r="GA15" s="10">
        <f>'Bloom Cleaner Data'!T15/('Bloom Cleaner Data'!T15+'Bloom Cleaner Data'!D15)</f>
        <v>0.4724961622825653</v>
      </c>
      <c r="GB15" s="10">
        <f>'Bloom Cleaner Data'!U15/('Bloom Cleaner Data'!U15+'Bloom Cleaner Data'!E15)</f>
        <v>0.50011196337979591</v>
      </c>
      <c r="GC15" s="10">
        <f>'Bloom Cleaner Data'!V15/('Bloom Cleaner Data'!V15+'Bloom Cleaner Data'!F15)</f>
        <v>0.60066761869939456</v>
      </c>
      <c r="GD15" s="10">
        <f>'Bloom Cleaner Data'!W15/('Bloom Cleaner Data'!W15+'Bloom Cleaner Data'!G15)</f>
        <v>0.63623638397563642</v>
      </c>
      <c r="GE15" s="10">
        <f>'Bloom Cleaner Data'!X15/('Bloom Cleaner Data'!X15+'Bloom Cleaner Data'!H15)</f>
        <v>0.58770886563146207</v>
      </c>
      <c r="GF15" s="10">
        <f>'Bloom Cleaner Data'!Y15/('Bloom Cleaner Data'!Y15+'Bloom Cleaner Data'!I15)</f>
        <v>0.52699803473930185</v>
      </c>
      <c r="GG15" s="10">
        <f>'Bloom Cleaner Data'!Z15/('Bloom Cleaner Data'!Z15+'Bloom Cleaner Data'!J15)</f>
        <v>0.56663027828108392</v>
      </c>
      <c r="GH15" s="10">
        <f>'Bloom Cleaner Data'!AA15/('Bloom Cleaner Data'!AA15+'Bloom Cleaner Data'!K15)</f>
        <v>0.71917093755167694</v>
      </c>
      <c r="GI15" s="10">
        <f>'Bloom Cleaner Data'!AB15/('Bloom Cleaner Data'!AB15+'Bloom Cleaner Data'!L15)</f>
        <v>0.71171941145822304</v>
      </c>
      <c r="GJ15" s="10">
        <f>'Bloom Cleaner Data'!AC15/('Bloom Cleaner Data'!AC15+'Bloom Cleaner Data'!M15)</f>
        <v>0.68182284827720074</v>
      </c>
      <c r="GK15" s="10">
        <f>'Bloom Cleaner Data'!AD15/('Bloom Cleaner Data'!AD15+'Bloom Cleaner Data'!N15)</f>
        <v>0.76548393282764859</v>
      </c>
      <c r="GL15" s="10">
        <f>'Bloom Cleaner Data'!AE15/('Bloom Cleaner Data'!AE15+'Bloom Cleaner Data'!O15)</f>
        <v>0.67416152317054157</v>
      </c>
      <c r="GM15" s="10">
        <f>'Bloom Cleaner Data'!AF15/('Bloom Cleaner Data'!AF15+'Bloom Cleaner Data'!P15)</f>
        <v>0.52986863117144911</v>
      </c>
      <c r="GN15" s="10">
        <f>'Bloom Cleaner Data'!AG15/('Bloom Cleaner Data'!AG15+'Bloom Cleaner Data'!Q15)</f>
        <v>0.53828701075444441</v>
      </c>
      <c r="GO15" s="10">
        <f>'Bloom Cleaner Data'!AH15/('Bloom Cleaner Data'!AH15+'Bloom Cleaner Data'!R15)</f>
        <v>0.37659759063604481</v>
      </c>
      <c r="GP15" s="10">
        <f t="shared" si="50"/>
        <v>0.60887331285954671</v>
      </c>
      <c r="GQ15" s="10">
        <f t="shared" si="51"/>
        <v>-0.37303497156800469</v>
      </c>
      <c r="GR15" s="10"/>
      <c r="GS15" s="496">
        <f t="shared" si="8"/>
        <v>0.89572080523073827</v>
      </c>
      <c r="GT15" s="497">
        <f t="shared" si="9"/>
        <v>1.0004479538280329</v>
      </c>
      <c r="GU15" s="497">
        <f t="shared" si="10"/>
        <v>1.5041795928070005</v>
      </c>
      <c r="GV15" s="497">
        <f t="shared" si="11"/>
        <v>1.7490379904652795</v>
      </c>
      <c r="GW15" s="497">
        <f t="shared" si="12"/>
        <v>1.4254705392382319</v>
      </c>
      <c r="GX15" s="497">
        <f t="shared" si="13"/>
        <v>1.1141561207866091</v>
      </c>
      <c r="GY15" s="497">
        <f t="shared" si="14"/>
        <v>1.3074985396617089</v>
      </c>
      <c r="GZ15" s="497">
        <f t="shared" si="15"/>
        <v>2.5608850141142909</v>
      </c>
      <c r="HA15" s="497">
        <f t="shared" si="16"/>
        <v>2.4688426475689753</v>
      </c>
      <c r="HB15" s="497">
        <f t="shared" si="17"/>
        <v>2.1429032367202003</v>
      </c>
      <c r="HC15" s="497">
        <f t="shared" si="18"/>
        <v>3.264100161909488</v>
      </c>
      <c r="HD15" s="497">
        <f t="shared" si="19"/>
        <v>2.0690052621483157</v>
      </c>
      <c r="HE15" s="497">
        <f t="shared" si="20"/>
        <v>1.1270650424619579</v>
      </c>
      <c r="HF15" s="497">
        <f t="shared" si="21"/>
        <v>1.1658476657414634</v>
      </c>
      <c r="HG15" s="498">
        <f t="shared" si="22"/>
        <v>0.60410031302297929</v>
      </c>
      <c r="HH15" s="10">
        <f t="shared" si="52"/>
        <v>1.7310070866651155</v>
      </c>
      <c r="HI15" s="10">
        <f t="shared" si="53"/>
        <v>-0.59838551466075451</v>
      </c>
      <c r="HJ15" s="10"/>
      <c r="HK15" s="18">
        <f>('Bloom Cleaner Data'!T15+'OPERATING LEASES'!AU15)/('Bloom Cleaner Data'!T15+'OPERATING LEASES'!AU15+'Bloom Cleaner Data'!D15)</f>
        <v>0.4724961622825653</v>
      </c>
      <c r="HL15" s="18">
        <f>('Bloom Cleaner Data'!U15+'OPERATING LEASES'!AV15)/('Bloom Cleaner Data'!U15+'OPERATING LEASES'!AV15+'Bloom Cleaner Data'!E15)</f>
        <v>0.50011196337979591</v>
      </c>
      <c r="HM15" s="18">
        <f>('Bloom Cleaner Data'!V15+'OPERATING LEASES'!AW15)/('Bloom Cleaner Data'!V15+'OPERATING LEASES'!AW15+'Bloom Cleaner Data'!F15)</f>
        <v>0.60066761869939456</v>
      </c>
      <c r="HN15" s="18">
        <f>('Bloom Cleaner Data'!W15+'OPERATING LEASES'!AX15)/('Bloom Cleaner Data'!W15+'OPERATING LEASES'!AX15+'Bloom Cleaner Data'!G15)</f>
        <v>0.63623638397563642</v>
      </c>
      <c r="HO15" s="18">
        <f>('Bloom Cleaner Data'!X15+'OPERATING LEASES'!AY15)/('Bloom Cleaner Data'!X15+'OPERATING LEASES'!AY15+'Bloom Cleaner Data'!H15)</f>
        <v>0.58770886563146207</v>
      </c>
      <c r="HP15" s="18">
        <f>('Bloom Cleaner Data'!Y15+'OPERATING LEASES'!AZ15)/('Bloom Cleaner Data'!Y15+'OPERATING LEASES'!AZ15+'Bloom Cleaner Data'!I15)</f>
        <v>0.53421765729718218</v>
      </c>
      <c r="HQ15" s="18">
        <f>('Bloom Cleaner Data'!Z15+'OPERATING LEASES'!BA15)/('Bloom Cleaner Data'!Z15+'OPERATING LEASES'!BA15+'Bloom Cleaner Data'!J15)</f>
        <v>0.58120738558642016</v>
      </c>
      <c r="HR15" s="18">
        <f>('Bloom Cleaner Data'!AA15+'OPERATING LEASES'!BB15)/('Bloom Cleaner Data'!AA15+'OPERATING LEASES'!BB15+'Bloom Cleaner Data'!K15)</f>
        <v>0.73704755323658999</v>
      </c>
      <c r="HS15" s="18">
        <f>('Bloom Cleaner Data'!AB15+'OPERATING LEASES'!BC15)/('Bloom Cleaner Data'!AB15+'OPERATING LEASES'!BC15+'Bloom Cleaner Data'!L15)</f>
        <v>0.7387318689811192</v>
      </c>
      <c r="HT15" s="18">
        <f>('Bloom Cleaner Data'!AC15+'OPERATING LEASES'!BD15)/('Bloom Cleaner Data'!AC15+'OPERATING LEASES'!BD15+'Bloom Cleaner Data'!M15)</f>
        <v>0.71257174792641953</v>
      </c>
      <c r="HU15" s="18">
        <f>('Bloom Cleaner Data'!AD15+'OPERATING LEASES'!BE15)/('Bloom Cleaner Data'!AD15+'OPERATING LEASES'!BE15+'Bloom Cleaner Data'!N15)</f>
        <v>0.79254036893731128</v>
      </c>
      <c r="HV15" s="18">
        <f>('Bloom Cleaner Data'!AE15+'OPERATING LEASES'!BF15)/('Bloom Cleaner Data'!AE15+'OPERATING LEASES'!BF15+'Bloom Cleaner Data'!O15)</f>
        <v>0.71138693761362748</v>
      </c>
      <c r="HW15" s="18">
        <f>('Bloom Cleaner Data'!AF15+'OPERATING LEASES'!BG15)/('Bloom Cleaner Data'!AF15+'OPERATING LEASES'!BG15+'Bloom Cleaner Data'!P15)</f>
        <v>0.57639785291860424</v>
      </c>
      <c r="HX15" s="18">
        <f>('Bloom Cleaner Data'!AG15+'OPERATING LEASES'!BH15)/('Bloom Cleaner Data'!AG15+'OPERATING LEASES'!BH15+'Bloom Cleaner Data'!Q15)</f>
        <v>0.58648609664797502</v>
      </c>
      <c r="HY15" s="18">
        <f>('Bloom Cleaner Data'!AH15+'OPERATING LEASES'!BI15)/('Bloom Cleaner Data'!AH15+'OPERATING LEASES'!BI15+'Bloom Cleaner Data'!R15)</f>
        <v>0.44527495080222473</v>
      </c>
      <c r="HZ15" s="10">
        <f t="shared" si="54"/>
        <v>0.63388271448107447</v>
      </c>
      <c r="IA15" s="10">
        <f t="shared" si="55"/>
        <v>-0.25869992498286548</v>
      </c>
      <c r="IB15" s="10">
        <f t="shared" si="23"/>
        <v>2.500940162152776E-2</v>
      </c>
      <c r="IC15" s="10">
        <f t="shared" si="24"/>
        <v>4.1074885519406669E-2</v>
      </c>
      <c r="IE15" s="502">
        <f t="shared" si="56"/>
        <v>0.89572080523073827</v>
      </c>
      <c r="IF15" s="467">
        <f t="shared" si="25"/>
        <v>1.0004479538280329</v>
      </c>
      <c r="IG15" s="467">
        <f t="shared" si="25"/>
        <v>1.5041795928070005</v>
      </c>
      <c r="IH15" s="467">
        <f t="shared" si="25"/>
        <v>1.7490379904652795</v>
      </c>
      <c r="II15" s="467">
        <f t="shared" si="25"/>
        <v>1.4254705392382319</v>
      </c>
      <c r="IJ15" s="467">
        <f t="shared" si="25"/>
        <v>1.1469255236195761</v>
      </c>
      <c r="IK15" s="467">
        <f t="shared" si="25"/>
        <v>1.3878167035019562</v>
      </c>
      <c r="IL15" s="467">
        <f t="shared" si="25"/>
        <v>2.8029689866310483</v>
      </c>
      <c r="IM15" s="467">
        <f t="shared" si="25"/>
        <v>2.8274855647347743</v>
      </c>
      <c r="IN15" s="467">
        <f t="shared" si="25"/>
        <v>2.4791291140858487</v>
      </c>
      <c r="IO15" s="467">
        <f t="shared" si="25"/>
        <v>3.8202148768780315</v>
      </c>
      <c r="IP15" s="467">
        <f t="shared" si="25"/>
        <v>2.464846641837986</v>
      </c>
      <c r="IQ15" s="467">
        <f t="shared" si="25"/>
        <v>1.3607056925701762</v>
      </c>
      <c r="IR15" s="467">
        <f t="shared" si="25"/>
        <v>1.4182983737518944</v>
      </c>
      <c r="IS15" s="503">
        <f t="shared" si="25"/>
        <v>0.80269486919000033</v>
      </c>
      <c r="IT15" s="10">
        <f t="shared" si="57"/>
        <v>1.9376749591778311</v>
      </c>
      <c r="IU15" s="10">
        <f t="shared" si="58"/>
        <v>-0.46635702742644963</v>
      </c>
      <c r="IV15" s="10">
        <f t="shared" si="59"/>
        <v>0.20666787251271557</v>
      </c>
      <c r="IW15" s="10">
        <f t="shared" si="60"/>
        <v>0.11939169637420323</v>
      </c>
      <c r="IY15" s="15">
        <f>'Bloom Cleaner Data'!T15/'Bloom Cleaner Data'!BU15*'Bloom Cleaner Data'!DA15</f>
        <v>1.9875336807975732</v>
      </c>
      <c r="IZ15" s="15">
        <f>'Bloom Cleaner Data'!U15/'Bloom Cleaner Data'!BV15*'Bloom Cleaner Data'!DB15</f>
        <v>2.0311385773943726</v>
      </c>
      <c r="JA15" s="15">
        <f>'Bloom Cleaner Data'!V15/'Bloom Cleaner Data'!BW15*'Bloom Cleaner Data'!DC15</f>
        <v>1.9903053415596799</v>
      </c>
      <c r="JB15" s="15">
        <f>'Bloom Cleaner Data'!W15/'Bloom Cleaner Data'!BX15*'Bloom Cleaner Data'!DD15</f>
        <v>2.0439477287490875</v>
      </c>
      <c r="JC15" s="15">
        <f>'Bloom Cleaner Data'!X15/'Bloom Cleaner Data'!BY15*'Bloom Cleaner Data'!DE15</f>
        <v>2.3745821744063438</v>
      </c>
      <c r="JD15" s="15">
        <f>'Bloom Cleaner Data'!Y15/'Bloom Cleaner Data'!BZ15*'Bloom Cleaner Data'!DF15</f>
        <v>2.492212100849307</v>
      </c>
      <c r="JE15" s="15">
        <f>'Bloom Cleaner Data'!Z15/'Bloom Cleaner Data'!CA15*'Bloom Cleaner Data'!DG15</f>
        <v>2.4660569323009249</v>
      </c>
      <c r="JF15" s="15">
        <f>'Bloom Cleaner Data'!AA15/'Bloom Cleaner Data'!CB15*'Bloom Cleaner Data'!DH15</f>
        <v>2.4580405035408073</v>
      </c>
      <c r="JG15" s="15">
        <f>'Bloom Cleaner Data'!AB15/'Bloom Cleaner Data'!CC15*'Bloom Cleaner Data'!DI15</f>
        <v>2.0434374143291123</v>
      </c>
      <c r="JH15" s="15">
        <f>'Bloom Cleaner Data'!AC15/'Bloom Cleaner Data'!CD15*'Bloom Cleaner Data'!DJ15</f>
        <v>1.9392384473611499</v>
      </c>
      <c r="JI15" s="15">
        <f>'Bloom Cleaner Data'!AD15/'Bloom Cleaner Data'!CE15*'Bloom Cleaner Data'!DK15</f>
        <v>1.9061290158893813</v>
      </c>
      <c r="JJ15" s="15">
        <f>'Bloom Cleaner Data'!AE15/'Bloom Cleaner Data'!CF15*'Bloom Cleaner Data'!DL15</f>
        <v>1.7988029046320138</v>
      </c>
      <c r="JK15" s="15">
        <f>'Bloom Cleaner Data'!AF15/'Bloom Cleaner Data'!CG15*'Bloom Cleaner Data'!DM15</f>
        <v>1.8973821687713011</v>
      </c>
      <c r="JL15" s="15">
        <f>'Bloom Cleaner Data'!AG15/'Bloom Cleaner Data'!CH15*'Bloom Cleaner Data'!DN15</f>
        <v>1.8827074535588399</v>
      </c>
      <c r="JM15" s="15">
        <f>'Bloom Cleaner Data'!AH15/'Bloom Cleaner Data'!CI15*'Bloom Cleaner Data'!DO15</f>
        <v>1.2671076973261399</v>
      </c>
      <c r="JN15" s="15">
        <f t="shared" si="61"/>
        <v>1.6823991065520936</v>
      </c>
      <c r="JO15" s="15">
        <f t="shared" si="62"/>
        <v>1.7115000560720737</v>
      </c>
      <c r="JP15" s="15">
        <f t="shared" si="63"/>
        <v>2.0430730679441607</v>
      </c>
      <c r="JQ15" s="18">
        <f t="shared" si="64"/>
        <v>-0.36336014838146113</v>
      </c>
      <c r="JR15" s="18"/>
      <c r="JS15" s="2024" t="s">
        <v>42</v>
      </c>
      <c r="JT15" s="526">
        <f>('Bloom Cleaner Data'!T15+'OPERATING LEASES'!AU15)/DD15</f>
        <v>1.9875336807975734</v>
      </c>
      <c r="JU15" s="526">
        <f>('Bloom Cleaner Data'!U15+'OPERATING LEASES'!AV15)/DE15</f>
        <v>2.0311385773943726</v>
      </c>
      <c r="JV15" s="526">
        <f>('Bloom Cleaner Data'!V15+'OPERATING LEASES'!AW15)/DF15</f>
        <v>1.9903053415596799</v>
      </c>
      <c r="JW15" s="526">
        <f>('Bloom Cleaner Data'!W15+'OPERATING LEASES'!AX15)/DG15</f>
        <v>2.043947728749087</v>
      </c>
      <c r="JX15" s="526">
        <f>('Bloom Cleaner Data'!X15+'OPERATING LEASES'!AY15)/DH15</f>
        <v>2.3745821744063438</v>
      </c>
      <c r="JY15" s="526">
        <f>('Bloom Cleaner Data'!Y15+'OPERATING LEASES'!AZ15)/DI15</f>
        <v>2.5276940575175288</v>
      </c>
      <c r="JZ15" s="526">
        <f>('Bloom Cleaner Data'!Z15+'OPERATING LEASES'!BA15)/DJ15</f>
        <v>2.5390352509983365</v>
      </c>
      <c r="KA15" s="526">
        <f>('Bloom Cleaner Data'!AA15+'OPERATING LEASES'!BB15)/DK15</f>
        <v>2.5685787565016174</v>
      </c>
      <c r="KB15" s="526">
        <f>('Bloom Cleaner Data'!AB15+'OPERATING LEASES'!BC15)/DL15</f>
        <v>2.2065847964259921</v>
      </c>
      <c r="KC15" s="526">
        <f>('Bloom Cleaner Data'!AC15+'OPERATING LEASES'!BD15)/DM15</f>
        <v>2.1123210662927008</v>
      </c>
      <c r="KD15" s="526">
        <f>('Bloom Cleaner Data'!AD15+'OPERATING LEASES'!BE15)/DN15</f>
        <v>2.0921969927346424</v>
      </c>
      <c r="KE15" s="526">
        <f>('Bloom Cleaner Data'!AE15+'OPERATING LEASES'!BF15)/DO15</f>
        <v>2.0022973593174429</v>
      </c>
      <c r="KF15" s="526">
        <f>('Bloom Cleaner Data'!AF15+'OPERATING LEASES'!BG15)/DP15</f>
        <v>2.1204701341635093</v>
      </c>
      <c r="KG15" s="526">
        <f>('Bloom Cleaner Data'!AG15+'OPERATING LEASES'!BH15)/DQ15</f>
        <v>2.1144370122347937</v>
      </c>
      <c r="KH15" s="526">
        <f>('Bloom Cleaner Data'!AH15+'OPERATING LEASES'!BI15)/DR15</f>
        <v>1.5517268924243866</v>
      </c>
      <c r="KI15" s="15">
        <f t="shared" si="65"/>
        <v>1.9288780129408964</v>
      </c>
      <c r="KJ15" s="15">
        <f t="shared" si="66"/>
        <v>1.9472328495350328</v>
      </c>
      <c r="KK15" s="15">
        <f t="shared" si="67"/>
        <v>2.172629043332774</v>
      </c>
      <c r="KL15" s="18">
        <f t="shared" si="68"/>
        <v>-0.22035736928264804</v>
      </c>
      <c r="KM15" s="15">
        <f t="shared" si="69"/>
        <v>0.1295559753886133</v>
      </c>
      <c r="KN15" s="18"/>
      <c r="KO15" s="15">
        <f t="shared" si="70"/>
        <v>1.9875336807975734</v>
      </c>
      <c r="KP15" s="15">
        <f t="shared" si="71"/>
        <v>2.0311385773943726</v>
      </c>
      <c r="KQ15" s="15">
        <f t="shared" si="72"/>
        <v>1.9903053415596799</v>
      </c>
      <c r="KR15" s="15">
        <f t="shared" si="73"/>
        <v>2.043947728749087</v>
      </c>
      <c r="KS15" s="15">
        <f t="shared" si="74"/>
        <v>2.3745821744063438</v>
      </c>
      <c r="KT15" s="15">
        <f t="shared" si="75"/>
        <v>2.5276940575175288</v>
      </c>
      <c r="KU15" s="15">
        <f t="shared" si="76"/>
        <v>2.5390352509983365</v>
      </c>
      <c r="KV15" s="15">
        <f t="shared" si="77"/>
        <v>2.5685787565016174</v>
      </c>
      <c r="KW15" s="15">
        <f t="shared" si="78"/>
        <v>2.2065847964259921</v>
      </c>
      <c r="KX15" s="15">
        <f t="shared" si="79"/>
        <v>2.1123210662927008</v>
      </c>
      <c r="KY15" s="15">
        <f t="shared" si="80"/>
        <v>2.0921969927346424</v>
      </c>
      <c r="KZ15" s="15">
        <f t="shared" si="81"/>
        <v>2.0022973593174429</v>
      </c>
      <c r="LA15" s="15">
        <f t="shared" si="82"/>
        <v>2.1204701341635093</v>
      </c>
      <c r="LB15" s="15">
        <f t="shared" si="83"/>
        <v>2.1144370122347937</v>
      </c>
      <c r="LC15" s="15">
        <f t="shared" si="84"/>
        <v>1.5517268924243866</v>
      </c>
      <c r="LD15" s="15">
        <f t="shared" si="85"/>
        <v>1.9288780129408964</v>
      </c>
      <c r="LE15" s="15">
        <f t="shared" si="86"/>
        <v>1.9472328495350328</v>
      </c>
      <c r="LF15" s="526">
        <f t="shared" si="87"/>
        <v>2.172629043332774</v>
      </c>
      <c r="LG15" s="10">
        <f t="shared" si="88"/>
        <v>-0.22035736928264804</v>
      </c>
      <c r="LH15" s="18"/>
      <c r="LI15" s="15">
        <f>('Bloom Cleaner Data'!T15+'Bloom Cleaner Data'!EY15)/'Bloom Cleaner Data'!GV15</f>
        <v>2.3697567726090996</v>
      </c>
      <c r="LJ15" s="15">
        <f>('Bloom Cleaner Data'!U15+'Bloom Cleaner Data'!EZ15)/'Bloom Cleaner Data'!GW15</f>
        <v>2.4270900430187159</v>
      </c>
      <c r="LK15" s="15">
        <f>('Bloom Cleaner Data'!V15+'Bloom Cleaner Data'!FA15)/'Bloom Cleaner Data'!GX15</f>
        <v>2.3216963332951428</v>
      </c>
      <c r="LL15" s="15">
        <f>('Bloom Cleaner Data'!W15+'Bloom Cleaner Data'!FB15)/'Bloom Cleaner Data'!GY15</f>
        <v>2.4028859922159267</v>
      </c>
      <c r="LM15" s="15">
        <f>('Bloom Cleaner Data'!X15+'Bloom Cleaner Data'!FC15)/'Bloom Cleaner Data'!GZ15</f>
        <v>2.9313864886151437</v>
      </c>
      <c r="LN15" s="15">
        <f>('Bloom Cleaner Data'!Y15+'Bloom Cleaner Data'!FD15)/'Bloom Cleaner Data'!HA15</f>
        <v>2.7638865591739439</v>
      </c>
      <c r="LO15" s="15">
        <f>('Bloom Cleaner Data'!Z15+'Bloom Cleaner Data'!FE15)/'Bloom Cleaner Data'!HB15</f>
        <v>2.9851449208171892</v>
      </c>
      <c r="LP15" s="15">
        <f>('Bloom Cleaner Data'!AA15+'Bloom Cleaner Data'!FF15)/'Bloom Cleaner Data'!HC15</f>
        <v>3.1140564917390159</v>
      </c>
      <c r="LQ15" s="15">
        <f>('Bloom Cleaner Data'!AB15+'Bloom Cleaner Data'!FG15)/'Bloom Cleaner Data'!HD15</f>
        <v>2.4441390093916686</v>
      </c>
      <c r="LR15" s="15">
        <f>('Bloom Cleaner Data'!AC15+'Bloom Cleaner Data'!FH15)/'Bloom Cleaner Data'!HE15</f>
        <v>2.430617138285049</v>
      </c>
      <c r="LS15" s="15">
        <f>('Bloom Cleaner Data'!AD15+'Bloom Cleaner Data'!FI15)/'Bloom Cleaner Data'!HF15</f>
        <v>2.6866184954250607</v>
      </c>
      <c r="LT15" s="15">
        <f>('Bloom Cleaner Data'!AE15+'Bloom Cleaner Data'!FJ15)/'Bloom Cleaner Data'!HG15</f>
        <v>2.4332084019519962</v>
      </c>
      <c r="LU15" s="15">
        <f>('Bloom Cleaner Data'!AF15+'Bloom Cleaner Data'!FK15)/'Bloom Cleaner Data'!HH15</f>
        <v>2.7235050857982608</v>
      </c>
      <c r="LV15" s="15">
        <f>('Bloom Cleaner Data'!AG15+'Bloom Cleaner Data'!FL15)/'Bloom Cleaner Data'!HI15</f>
        <v>2.8815084676836156</v>
      </c>
      <c r="LW15" s="15">
        <f>('Bloom Cleaner Data'!AH15+'Bloom Cleaner Data'!FM15)/'Bloom Cleaner Data'!HJ15</f>
        <v>2.1479351239825526</v>
      </c>
      <c r="LX15" s="15">
        <f t="shared" si="89"/>
        <v>0.88082742665641267</v>
      </c>
      <c r="LY15" s="15">
        <f t="shared" si="90"/>
        <v>2.5843162258214765</v>
      </c>
      <c r="LZ15" s="15">
        <f t="shared" si="27"/>
        <v>0.90191711926938289</v>
      </c>
      <c r="MA15" s="15">
        <f t="shared" si="91"/>
        <v>2.5465392698541063</v>
      </c>
      <c r="MB15" s="15">
        <f t="shared" si="92"/>
        <v>2.6358914237211204</v>
      </c>
      <c r="MC15" s="18">
        <f t="shared" si="93"/>
        <v>-7.4842349889045992E-2</v>
      </c>
      <c r="MD15" s="15">
        <f t="shared" si="28"/>
        <v>0.59281835577695974</v>
      </c>
      <c r="ME15" s="18"/>
      <c r="MF15" s="2024" t="s">
        <v>42</v>
      </c>
      <c r="MG15" s="15">
        <f>JT15+'Bloom Cleaner Data'!EY15/CALCULATIONS!DD15</f>
        <v>2.3697567726090996</v>
      </c>
      <c r="MH15" s="15">
        <f>JU15+'Bloom Cleaner Data'!EZ15/CALCULATIONS!DE15</f>
        <v>2.4270900430187159</v>
      </c>
      <c r="MI15" s="15">
        <f>JV15+'Bloom Cleaner Data'!FA15/CALCULATIONS!DF15</f>
        <v>2.3216963332951424</v>
      </c>
      <c r="MJ15" s="15">
        <f>JW15+'Bloom Cleaner Data'!FB15/CALCULATIONS!DG15</f>
        <v>2.4028859922159267</v>
      </c>
      <c r="MK15" s="15">
        <f>JX15+'Bloom Cleaner Data'!FC15/CALCULATIONS!DH15</f>
        <v>2.9313864886151437</v>
      </c>
      <c r="ML15" s="15">
        <f>JY15+'Bloom Cleaner Data'!FD15/CALCULATIONS!DI15</f>
        <v>2.7953637190359508</v>
      </c>
      <c r="MM15" s="15">
        <f>JZ15+'Bloom Cleaner Data'!FE15/CALCULATIONS!DJ15</f>
        <v>3.0425540777720563</v>
      </c>
      <c r="MN15" s="15">
        <f>KA15+'Bloom Cleaner Data'!FF15/CALCULATIONS!DK15</f>
        <v>3.1948897886404262</v>
      </c>
      <c r="MO15" s="15">
        <f>KB15+'Bloom Cleaner Data'!FG15/CALCULATIONS!DL15</f>
        <v>2.5843947247970434</v>
      </c>
      <c r="MP15" s="15">
        <f>KC15+'Bloom Cleaner Data'!FH15/CALCULATIONS!DM15</f>
        <v>2.5749666827554503</v>
      </c>
      <c r="MQ15" s="15">
        <f>KD15+'Bloom Cleaner Data'!FI15/CALCULATIONS!DN15</f>
        <v>2.824166551685813</v>
      </c>
      <c r="MR15" s="15">
        <f>KE15+'Bloom Cleaner Data'!FJ15/CALCULATIONS!DO15</f>
        <v>2.5950638213005011</v>
      </c>
      <c r="MS15" s="15">
        <f>KF15+'Bloom Cleaner Data'!FK15/CALCULATIONS!DP15</f>
        <v>2.8851977840651593</v>
      </c>
      <c r="MT15" s="15">
        <f>KG15+'Bloom Cleaner Data'!FL15/CALCULATIONS!DQ15</f>
        <v>3.0365095500169414</v>
      </c>
      <c r="MU15" s="15">
        <f>KH15+'Bloom Cleaner Data'!FM15/CALCULATIONS!DR15</f>
        <v>2.363530842925047</v>
      </c>
      <c r="MV15" s="15">
        <f t="shared" si="29"/>
        <v>0.81180395050066045</v>
      </c>
      <c r="MW15" s="15">
        <f t="shared" si="94"/>
        <v>2.7617460590023826</v>
      </c>
      <c r="MX15" s="15">
        <f t="shared" si="30"/>
        <v>0.83286804606148612</v>
      </c>
      <c r="MY15" s="15">
        <f t="shared" si="95"/>
        <v>2.7200754995769119</v>
      </c>
      <c r="MZ15" s="15">
        <f t="shared" si="96"/>
        <v>2.7348158736246613</v>
      </c>
      <c r="NA15" s="18">
        <f t="shared" si="97"/>
        <v>1.8018941163821228E-2</v>
      </c>
      <c r="NB15" s="15">
        <f t="shared" si="31"/>
        <v>0.56218683029188732</v>
      </c>
      <c r="NC15" s="15"/>
      <c r="ND15" s="13">
        <f>'Bloom Cleaner Data'!GF15+('Bloom Cleaner Data'!T15+'Bloom Cleaner Data'!EY15)+'Bloom Cleaner Data'!CK15</f>
        <v>8028.3000000000011</v>
      </c>
      <c r="NE15" s="13">
        <f>'Bloom Cleaner Data'!GG15+('Bloom Cleaner Data'!U15+'Bloom Cleaner Data'!EZ15)+'Bloom Cleaner Data'!CL15</f>
        <v>8191.4998999999998</v>
      </c>
      <c r="NF15" s="13">
        <f>'Bloom Cleaner Data'!GH15+('Bloom Cleaner Data'!V15+'Bloom Cleaner Data'!FA15)+'Bloom Cleaner Data'!CM15</f>
        <v>7733.5001000000002</v>
      </c>
      <c r="NG15" s="13">
        <f>'Bloom Cleaner Data'!GI15+('Bloom Cleaner Data'!W15+'Bloom Cleaner Data'!FB15)+'Bloom Cleaner Data'!CN15</f>
        <v>7895</v>
      </c>
      <c r="NH15" s="13">
        <f>'Bloom Cleaner Data'!GJ15+('Bloom Cleaner Data'!X15+'Bloom Cleaner Data'!FC15)+'Bloom Cleaner Data'!CO15</f>
        <v>7492.9</v>
      </c>
      <c r="NI15" s="13">
        <f>'Bloom Cleaner Data'!GK15+('Bloom Cleaner Data'!Y15+'Bloom Cleaner Data'!FD15)+'Bloom Cleaner Data'!CP15</f>
        <v>7010.2</v>
      </c>
      <c r="NJ15" s="13">
        <f>'Bloom Cleaner Data'!GL15+('Bloom Cleaner Data'!Z15+'Bloom Cleaner Data'!FE15)+'Bloom Cleaner Data'!CQ15</f>
        <v>7152.4000000000005</v>
      </c>
      <c r="NK15" s="13">
        <f>'Bloom Cleaner Data'!GM15+('Bloom Cleaner Data'!AA15+'Bloom Cleaner Data'!FF15)+'Bloom Cleaner Data'!CR15</f>
        <v>7489</v>
      </c>
      <c r="NL15" s="13">
        <f>'Bloom Cleaner Data'!GN15+('Bloom Cleaner Data'!AB15+'Bloom Cleaner Data'!FG15)+'Bloom Cleaner Data'!CS15</f>
        <v>6299.6</v>
      </c>
      <c r="NM15" s="13">
        <f>'Bloom Cleaner Data'!GO15+('Bloom Cleaner Data'!AC15+'Bloom Cleaner Data'!FH15)+'Bloom Cleaner Data'!CT15</f>
        <v>6398.5</v>
      </c>
      <c r="NN15" s="13">
        <f>'Bloom Cleaner Data'!GP15+('Bloom Cleaner Data'!AD15+'Bloom Cleaner Data'!FI15)+'Bloom Cleaner Data'!CU15</f>
        <v>6783.4</v>
      </c>
      <c r="NO15" s="13">
        <f>'Bloom Cleaner Data'!GQ15+('Bloom Cleaner Data'!AE15+'Bloom Cleaner Data'!FJ15)+'Bloom Cleaner Data'!CV15</f>
        <v>6339.6</v>
      </c>
      <c r="NP15" s="13">
        <f>'Bloom Cleaner Data'!GR15+('Bloom Cleaner Data'!AF15+'Bloom Cleaner Data'!FK15)+'Bloom Cleaner Data'!CW15</f>
        <v>6447.9000000000015</v>
      </c>
      <c r="NQ15" s="13">
        <f>'Bloom Cleaner Data'!GS15+('Bloom Cleaner Data'!AG15+'Bloom Cleaner Data'!FL15)+'Bloom Cleaner Data'!CX15</f>
        <v>6695.0000000000009</v>
      </c>
      <c r="NR15" s="13">
        <f>'Bloom Cleaner Data'!GT15+('Bloom Cleaner Data'!AH15+'Bloom Cleaner Data'!FM15)+'Bloom Cleaner Data'!CY15</f>
        <v>5646.7</v>
      </c>
      <c r="NS15" s="168"/>
      <c r="NT15" s="2024" t="s">
        <v>42</v>
      </c>
      <c r="NU15" s="998">
        <f>('Bloom Cleaner Data'!T15+'Bloom Cleaner Data'!EY15+'OPERATING LEASES'!BL15)/CALCULATIONS!ND15</f>
        <v>0.67093905309965984</v>
      </c>
      <c r="NV15" s="998">
        <f>('Bloom Cleaner Data'!U15+'Bloom Cleaner Data'!EZ15+'OPERATING LEASES'!BM15)/CALCULATIONS!NE15</f>
        <v>0.65738875245545692</v>
      </c>
      <c r="NW15" s="998">
        <f>('Bloom Cleaner Data'!V15+'Bloom Cleaner Data'!FA15+'OPERATING LEASES'!BN15)/CALCULATIONS!NF15</f>
        <v>0.68949376492540548</v>
      </c>
      <c r="NX15" s="998">
        <f>('Bloom Cleaner Data'!W15+'Bloom Cleaner Data'!FB15+'OPERATING LEASES'!BO15)/CALCULATIONS!NG15</f>
        <v>0.6740215326155794</v>
      </c>
      <c r="NY15" s="998">
        <f>('Bloom Cleaner Data'!X15+'Bloom Cleaner Data'!FC15+'OPERATING LEASES'!BP15)/CALCULATIONS!NH15</f>
        <v>0.70564134046897731</v>
      </c>
      <c r="NZ15" s="998">
        <f>('Bloom Cleaner Data'!Y15+'Bloom Cleaner Data'!FD15+'OPERATING LEASES'!BQ15)/CALCULATIONS!NI15</f>
        <v>0.68446469073635574</v>
      </c>
      <c r="OA15" s="998">
        <f>('Bloom Cleaner Data'!Z15+'Bloom Cleaner Data'!FE15+'OPERATING LEASES'!BR15)/CALCULATIONS!NJ15</f>
        <v>0.70464022565852014</v>
      </c>
      <c r="OB15" s="998">
        <f>('Bloom Cleaner Data'!AA15+'Bloom Cleaner Data'!FF15+'OPERATING LEASES'!BS15)/CALCULATIONS!NK15</f>
        <v>0.68983884697556419</v>
      </c>
      <c r="OC15" s="998">
        <f>('Bloom Cleaner Data'!AB15+'Bloom Cleaner Data'!FG15+'OPERATING LEASES'!BT15)/CALCULATIONS!NL15</f>
        <v>0.67811249920629868</v>
      </c>
      <c r="OD15" s="998">
        <f>('Bloom Cleaner Data'!AC15+'Bloom Cleaner Data'!FH15+'OPERATING LEASES'!BU15)/CALCULATIONS!NM15</f>
        <v>0.67311186215519259</v>
      </c>
      <c r="OE15" s="998">
        <f>('Bloom Cleaner Data'!AD15+'Bloom Cleaner Data'!FI15+'OPERATING LEASES'!BV15)/CALCULATIONS!NN15</f>
        <v>0.68126234631600668</v>
      </c>
      <c r="OF15" s="998">
        <f>('Bloom Cleaner Data'!AE15+'Bloom Cleaner Data'!FJ15+'OPERATING LEASES'!BW15)/CALCULATIONS!NO15</f>
        <v>0.64785534576313952</v>
      </c>
      <c r="OG15" s="998">
        <f>('Bloom Cleaner Data'!AF15+'Bloom Cleaner Data'!FK15+'OPERATING LEASES'!BX15)/CALCULATIONS!NP15</f>
        <v>0.64568502923432425</v>
      </c>
      <c r="OH15" s="998">
        <f>('Bloom Cleaner Data'!AG15+'Bloom Cleaner Data'!FL15+'OPERATING LEASES'!BY15)/CALCULATIONS!NQ15</f>
        <v>0.63440067214339046</v>
      </c>
      <c r="OI15" s="998">
        <f>('Bloom Cleaner Data'!AH15+'Bloom Cleaner Data'!FM15+'OPERATING LEASES'!BZ15)/CALCULATIONS!NR15</f>
        <v>0.55444994421520533</v>
      </c>
      <c r="OJ15" s="18">
        <f t="shared" si="98"/>
        <v>0.61151188186430672</v>
      </c>
      <c r="OK15" s="18">
        <f t="shared" si="99"/>
        <v>0.620597747839015</v>
      </c>
      <c r="OL15" s="18">
        <f t="shared" si="100"/>
        <v>0.66638293080107391</v>
      </c>
      <c r="OM15" s="10">
        <f t="shared" si="101"/>
        <v>-0.19585937912696019</v>
      </c>
      <c r="ON15" s="10"/>
      <c r="OO15" s="2710"/>
      <c r="OP15" s="526">
        <f>'Bloom Cleaner Data'!D15/'Bloom Cleaner Data'!GF15</f>
        <v>2.6769531871981318</v>
      </c>
      <c r="OQ15" s="526">
        <f>'Bloom Cleaner Data'!E15/'Bloom Cleaner Data'!GG15</f>
        <v>2.2244356049382716</v>
      </c>
      <c r="OR15" s="526">
        <f>'Bloom Cleaner Data'!F15/'Bloom Cleaner Data'!GH15</f>
        <v>1.7899236659206033</v>
      </c>
      <c r="OS15" s="526">
        <f>'Bloom Cleaner Data'!G15/'Bloom Cleaner Data'!GI15</f>
        <v>1.3950698614629939</v>
      </c>
      <c r="OT15" s="526">
        <f>'Bloom Cleaner Data'!H15/'Bloom Cleaner Data'!GJ15</f>
        <v>1.8181180563959822</v>
      </c>
      <c r="OU15" s="526">
        <f>'Bloom Cleaner Data'!I15/'Bloom Cleaner Data'!GK15</f>
        <v>2.2538280329112448</v>
      </c>
      <c r="OV15" s="526">
        <f>'Bloom Cleaner Data'!J15/'Bloom Cleaner Data'!GL15</f>
        <v>1.8976800337186899</v>
      </c>
      <c r="OW15" s="526">
        <f>'Bloom Cleaner Data'!K15/'Bloom Cleaner Data'!GM15</f>
        <v>0.82110836561616585</v>
      </c>
      <c r="OX15" s="526">
        <f>'Bloom Cleaner Data'!L15/'Bloom Cleaner Data'!GN15</f>
        <v>0.80329659136174814</v>
      </c>
      <c r="OY15" s="526">
        <f>'Bloom Cleaner Data'!M15/'Bloom Cleaner Data'!GO15</f>
        <v>0.85764889473972905</v>
      </c>
      <c r="OZ15" s="526">
        <f>'Bloom Cleaner Data'!N15/'Bloom Cleaner Data'!GP15</f>
        <v>0.5167092557453089</v>
      </c>
      <c r="PA15" s="526">
        <f>'Bloom Cleaner Data'!O15/'Bloom Cleaner Data'!GQ15</f>
        <v>0.72443374473056021</v>
      </c>
      <c r="PB15" s="526">
        <f>'Bloom Cleaner Data'!P15/'Bloom Cleaner Data'!GR15</f>
        <v>1.2413184030191677</v>
      </c>
      <c r="PC15" s="526">
        <f>'Bloom Cleaner Data'!Q15/'Bloom Cleaner Data'!GS15</f>
        <v>1.0650537703710523</v>
      </c>
      <c r="PD15" s="526">
        <f>'Bloom Cleaner Data'!R15/'Bloom Cleaner Data'!GT15</f>
        <v>1.312316956715752</v>
      </c>
      <c r="PE15" s="526">
        <f t="shared" si="102"/>
        <v>1.2689619717468461</v>
      </c>
      <c r="PF15" s="10">
        <f t="shared" si="103"/>
        <v>-0.26683076954525098</v>
      </c>
      <c r="PG15" s="526">
        <f t="shared" si="104"/>
        <v>1.6349215594937576</v>
      </c>
      <c r="PH15" s="18"/>
      <c r="PI15" s="2710"/>
      <c r="PJ15" s="526">
        <f>CALCULATIONS!DD15/'Bloom Cleaner Data'!GF15</f>
        <v>1.2064211477613263</v>
      </c>
      <c r="PK15" s="526">
        <f>CALCULATIONS!DE15/'Bloom Cleaner Data'!GG15</f>
        <v>1.0956574180367304</v>
      </c>
      <c r="PL15" s="526">
        <f>CALCULATIONS!DF15/'Bloom Cleaner Data'!GH15</f>
        <v>1.3527405040526213</v>
      </c>
      <c r="PM15" s="526">
        <f>CALCULATIONS!DG15/'Bloom Cleaner Data'!GI15</f>
        <v>1.1937830663337119</v>
      </c>
      <c r="PN15" s="526">
        <f>CALCULATIONS!DH15/'Bloom Cleaner Data'!GJ15</f>
        <v>1.0914230529408722</v>
      </c>
      <c r="PO15" s="526">
        <f>CALCULATIONS!DI15/'Bloom Cleaner Data'!GK15</f>
        <v>1.022660511111829</v>
      </c>
      <c r="PP15" s="526">
        <f>CALCULATIONS!DJ15/'Bloom Cleaner Data'!GL15</f>
        <v>1.0372569847785382</v>
      </c>
      <c r="PQ15" s="526">
        <f>CALCULATIONS!DK15/'Bloom Cleaner Data'!GM15</f>
        <v>0.89603687551325084</v>
      </c>
      <c r="PR15" s="526">
        <f>CALCULATIONS!DL15/'Bloom Cleaner Data'!GN15</f>
        <v>1.0293325323163804</v>
      </c>
      <c r="PS15" s="526">
        <f>CALCULATIONS!DM15/'Bloom Cleaner Data'!GO15</f>
        <v>1.0065810442086389</v>
      </c>
      <c r="PT15" s="526">
        <f>CALCULATIONS!DN15/'Bloom Cleaner Data'!GP15</f>
        <v>0.94347730766916527</v>
      </c>
      <c r="PU15" s="526">
        <f>CALCULATIONS!DO15/'Bloom Cleaner Data'!GQ15</f>
        <v>0.89178466656018185</v>
      </c>
      <c r="PV15" s="526">
        <f>CALCULATIONS!DP15/'Bloom Cleaner Data'!GR15</f>
        <v>0.79655402359468341</v>
      </c>
      <c r="PW15" s="526">
        <f>CALCULATIONS!DQ15/'Bloom Cleaner Data'!GS15</f>
        <v>0.71440483766363883</v>
      </c>
      <c r="PX15" s="526">
        <f>CALCULATIONS!DR15/'Bloom Cleaner Data'!GT15</f>
        <v>0.67885018494522231</v>
      </c>
      <c r="PY15" s="526">
        <f t="shared" si="105"/>
        <v>0.97345273782221031</v>
      </c>
      <c r="PZ15" s="526">
        <f t="shared" si="106"/>
        <v>0.88825316191663328</v>
      </c>
      <c r="QA15" s="18"/>
      <c r="QC15" s="15">
        <f>'Bloom Cleaner Data'!HZ15</f>
        <v>7.5407999999999999</v>
      </c>
      <c r="QD15" s="15">
        <f>AVERAGE('Bloom Cleaner Data'!HN15:HZ15)</f>
        <v>5.3549000000000007</v>
      </c>
      <c r="QE15" s="504">
        <f>('Bloom Cleaner Data'!HZ15-'Bloom Cleaner Data'!HN15)/'Bloom Cleaner Data'!HN15</f>
        <v>0.31834472630640398</v>
      </c>
      <c r="QF15" s="15">
        <f>'Bloom Cleaner Data'!HZ15-'Bloom Cleaner Data'!HL15</f>
        <v>1.8456999999999999</v>
      </c>
    </row>
    <row r="16" spans="1:450">
      <c r="A16" s="11" t="s">
        <v>503</v>
      </c>
      <c r="B16" s="83" t="s">
        <v>286</v>
      </c>
      <c r="C16" s="1207" t="s">
        <v>1105</v>
      </c>
      <c r="E16" s="13">
        <f>'Bloom Cleaner Data'!D16</f>
        <v>20938.354599999999</v>
      </c>
      <c r="G16" s="13">
        <f>'Bloom Cleaner Data'!F16</f>
        <v>17512.778200000001</v>
      </c>
      <c r="H16" s="13">
        <f>'Bloom Cleaner Data'!H16</f>
        <v>18635.895700000001</v>
      </c>
      <c r="I16" s="13">
        <f>'Bloom Cleaner Data'!J16</f>
        <v>18491.3567</v>
      </c>
      <c r="J16" s="13">
        <f>'Bloom Cleaner Data'!L16</f>
        <v>16022.298000000001</v>
      </c>
      <c r="K16" s="13">
        <f>'Bloom Cleaner Data'!N16</f>
        <v>15048.6204</v>
      </c>
      <c r="L16" s="13">
        <f>'Bloom Cleaner Data'!P16</f>
        <v>13168.7479</v>
      </c>
      <c r="M16" s="13">
        <f>'Bloom Cleaner Data'!R16</f>
        <v>10295.917100000001</v>
      </c>
      <c r="N16" s="13">
        <f t="shared" si="0"/>
        <v>15596.516285714286</v>
      </c>
      <c r="O16" s="13">
        <f t="shared" si="32"/>
        <v>12837.7618</v>
      </c>
      <c r="P16" s="10">
        <f t="shared" si="1"/>
        <v>-0.41209116095583281</v>
      </c>
      <c r="Q16" s="146">
        <f t="shared" si="107"/>
        <v>-0.41209116095583281</v>
      </c>
      <c r="R16" s="10">
        <f t="shared" si="33"/>
        <v>-0.31031558205019388</v>
      </c>
      <c r="S16" s="1363" t="s">
        <v>286</v>
      </c>
      <c r="T16" s="1322">
        <f>'Bloom Cleaner Data'!D16/'Bloom Cleaner Data'!$F16</f>
        <v>1.1956043958804889</v>
      </c>
      <c r="U16" s="1322">
        <f>'Bloom Cleaner Data'!E16/'Bloom Cleaner Data'!$F16</f>
        <v>1.1714285743652026</v>
      </c>
      <c r="V16" s="1322">
        <f>'Bloom Cleaner Data'!F16/'Bloom Cleaner Data'!$F16</f>
        <v>1</v>
      </c>
      <c r="W16" s="1322">
        <f>'Bloom Cleaner Data'!G16/'Bloom Cleaner Data'!$F16</f>
        <v>1.1279571849999219</v>
      </c>
      <c r="X16" s="1322">
        <f>'Bloom Cleaner Data'!H16/'Bloom Cleaner Data'!$F16</f>
        <v>1.0641313152701266</v>
      </c>
      <c r="Y16" s="1322">
        <f>'Bloom Cleaner Data'!I16/'Bloom Cleaner Data'!$F16</f>
        <v>1.1939839505304761</v>
      </c>
      <c r="Z16" s="1322">
        <f>'Bloom Cleaner Data'!J16/'Bloom Cleaner Data'!$F16</f>
        <v>1.0558779702925718</v>
      </c>
      <c r="AA16" s="1322">
        <f>'Bloom Cleaner Data'!K16/'Bloom Cleaner Data'!$F16</f>
        <v>0.90223088647351224</v>
      </c>
      <c r="AB16" s="1322">
        <f>'Bloom Cleaner Data'!L16/'Bloom Cleaner Data'!$F16</f>
        <v>0.91489184737119555</v>
      </c>
      <c r="AC16" s="1322">
        <f>'Bloom Cleaner Data'!M16/'Bloom Cleaner Data'!$F16</f>
        <v>0.98149949732133301</v>
      </c>
      <c r="AD16" s="1322">
        <f>'Bloom Cleaner Data'!N16/'Bloom Cleaner Data'!$F16</f>
        <v>0.85929372416764804</v>
      </c>
      <c r="AE16" s="1322">
        <f>'Bloom Cleaner Data'!O16/'Bloom Cleaner Data'!$F16</f>
        <v>0.85874324611728359</v>
      </c>
      <c r="AF16" s="1322">
        <f>'Bloom Cleaner Data'!P16/'Bloom Cleaner Data'!$F16</f>
        <v>0.75195081840298761</v>
      </c>
      <c r="AG16" s="1322">
        <f>'Bloom Cleaner Data'!Q16/'Bloom Cleaner Data'!$F16</f>
        <v>0.60662504136550988</v>
      </c>
      <c r="AH16" s="1322">
        <f>'Bloom Cleaner Data'!R16/'Bloom Cleaner Data'!$F16</f>
        <v>0.58790883904416724</v>
      </c>
      <c r="AI16" s="13"/>
      <c r="AJ16" s="13">
        <f>AVERAGE('Bloom Cleaner Data'!BW16:CI16)</f>
        <v>53016.098176923071</v>
      </c>
      <c r="AK16" s="18">
        <f>('Bloom Cleaner Data'!CI16-'Bloom Cleaner Data'!BW16)/'Bloom Cleaner Data'!BW16</f>
        <v>-0.19556913621070435</v>
      </c>
      <c r="AL16" s="18">
        <f>('Bloom Cleaner Data'!CI16+'Bloom Cleaner Data'!CH16-'Bloom Cleaner Data'!BW16-'Bloom Cleaner Data'!BV16)/('Bloom Cleaner Data'!BW16+'Bloom Cleaner Data'!BV16)</f>
        <v>-0.19678387843994527</v>
      </c>
      <c r="AM16" s="13"/>
      <c r="AN16" s="13">
        <f>'Bloom Cleaner Data'!BW16</f>
        <v>56127.778200000001</v>
      </c>
      <c r="AO16" s="13">
        <f>'Bloom Cleaner Data'!BY16</f>
        <v>56814.895700000001</v>
      </c>
      <c r="AP16" s="13">
        <f>'Bloom Cleaner Data'!CA16</f>
        <v>55517.356699999997</v>
      </c>
      <c r="AQ16" s="13">
        <f>'Bloom Cleaner Data'!CC16</f>
        <v>53694.298000000003</v>
      </c>
      <c r="AR16" s="13">
        <f>'Bloom Cleaner Data'!CE16</f>
        <v>52961.6204</v>
      </c>
      <c r="AS16" s="13">
        <f>'Bloom Cleaner Data'!CG16</f>
        <v>48351.747900000002</v>
      </c>
      <c r="AT16" s="13">
        <f>'Bloom Cleaner Data'!CI16</f>
        <v>45150.917099999999</v>
      </c>
      <c r="AU16" s="13">
        <f t="shared" si="2"/>
        <v>52659.802000000011</v>
      </c>
      <c r="AV16" s="10">
        <f t="shared" si="3"/>
        <v>-0.19556913621070435</v>
      </c>
      <c r="AW16" s="10"/>
      <c r="AX16" s="13">
        <f>'Bloom Cleaner Data'!T16+'OPERATING LEASES'!AU16</f>
        <v>37249.761771266312</v>
      </c>
      <c r="AY16" s="13">
        <f>'Bloom Cleaner Data'!U16+'OPERATING LEASES'!AV16</f>
        <v>36819.093570719662</v>
      </c>
      <c r="AZ16" s="13">
        <f>'Bloom Cleaner Data'!V16+'OPERATING LEASES'!AW16</f>
        <v>38026.425370173005</v>
      </c>
      <c r="BA16" s="13">
        <f>'Bloom Cleaner Data'!W16+'OPERATING LEASES'!AX16</f>
        <v>37412.757169626348</v>
      </c>
      <c r="BB16" s="13">
        <f>'Bloom Cleaner Data'!X16+'OPERATING LEASES'!AY16</f>
        <v>35080.08896907969</v>
      </c>
      <c r="BC16" s="13">
        <f>'Bloom Cleaner Data'!Y16+'OPERATING LEASES'!AZ16</f>
        <v>33503.526229347815</v>
      </c>
      <c r="BD16" s="13">
        <f>'Bloom Cleaner Data'!Z16+'OPERATING LEASES'!BA16</f>
        <v>34165.963489615933</v>
      </c>
      <c r="BE16" s="13">
        <f>'Bloom Cleaner Data'!AA16+'OPERATING LEASES'!BB16</f>
        <v>34311.400749884058</v>
      </c>
      <c r="BF16" s="13">
        <f>'Bloom Cleaner Data'!AB16+'OPERATING LEASES'!BC16</f>
        <v>34541.838010152176</v>
      </c>
      <c r="BG16" s="13">
        <f>'Bloom Cleaner Data'!AC16+'OPERATING LEASES'!BD16</f>
        <v>34147.011809865835</v>
      </c>
      <c r="BH16" s="13">
        <f>'Bloom Cleaner Data'!AD16+'OPERATING LEASES'!BE16</f>
        <v>34733.185609579494</v>
      </c>
      <c r="BI16" s="13">
        <f>'Bloom Cleaner Data'!AE16+'OPERATING LEASES'!BF16</f>
        <v>33684.359409293145</v>
      </c>
      <c r="BJ16" s="13">
        <f>'Bloom Cleaner Data'!AF16+'OPERATING LEASES'!BG16</f>
        <v>32235.533209006804</v>
      </c>
      <c r="BK16" s="13">
        <f>'Bloom Cleaner Data'!AG16+'OPERATING LEASES'!BH16</f>
        <v>32556.533209006804</v>
      </c>
      <c r="BL16" s="13">
        <f>'Bloom Cleaner Data'!AH16+'OPERATING LEASES'!BI16</f>
        <v>32025.533209006804</v>
      </c>
      <c r="BM16" s="1167">
        <f t="shared" si="34"/>
        <v>34340.319726433692</v>
      </c>
      <c r="BN16" s="10">
        <f t="shared" si="35"/>
        <v>-0.15780847404797491</v>
      </c>
      <c r="BO16" s="10"/>
      <c r="BP16" s="13">
        <f>'Bloom Cleaner Data'!BU16+'OPERATING LEASES'!AU16</f>
        <v>59356.116371266311</v>
      </c>
      <c r="BQ16" s="13">
        <f>'Bloom Cleaner Data'!BV16+'OPERATING LEASES'!AV16</f>
        <v>58556.062370719665</v>
      </c>
      <c r="BR16" s="13">
        <f>'Bloom Cleaner Data'!BW16+'OPERATING LEASES'!AW16</f>
        <v>56903.203570173006</v>
      </c>
      <c r="BS16" s="13">
        <f>'Bloom Cleaner Data'!BX16+'OPERATING LEASES'!AX16</f>
        <v>58513.421169626345</v>
      </c>
      <c r="BT16" s="13">
        <f>'Bloom Cleaner Data'!BY16+'OPERATING LEASES'!AY16</f>
        <v>57506.984669079691</v>
      </c>
      <c r="BU16" s="13">
        <f>'Bloom Cleaner Data'!BZ16+'OPERATING LEASES'!AZ16</f>
        <v>57975.502329347815</v>
      </c>
      <c r="BV16" s="13">
        <f>'Bloom Cleaner Data'!CA16+'OPERATING LEASES'!BA16</f>
        <v>56250.32018961593</v>
      </c>
      <c r="BW16" s="13">
        <f>'Bloom Cleaner Data'!CB16+'OPERATING LEASES'!BB16</f>
        <v>53661.970149884059</v>
      </c>
      <c r="BX16" s="13">
        <f>'Bloom Cleaner Data'!CC16+'OPERATING LEASES'!BC16</f>
        <v>54468.136010152179</v>
      </c>
      <c r="BY16" s="13">
        <f>'Bloom Cleaner Data'!CD16+'OPERATING LEASES'!BD16</f>
        <v>55253.794809865838</v>
      </c>
      <c r="BZ16" s="13">
        <f>'Bloom Cleaner Data'!CE16+'OPERATING LEASES'!BE16</f>
        <v>53691.806009579494</v>
      </c>
      <c r="CA16" s="13">
        <f>'Bloom Cleaner Data'!CF16+'OPERATING LEASES'!BF16</f>
        <v>52537.339409293148</v>
      </c>
      <c r="CB16" s="13">
        <f>'Bloom Cleaner Data'!CG16+'OPERATING LEASES'!BG16</f>
        <v>49038.281109006806</v>
      </c>
      <c r="CC16" s="13">
        <f>'Bloom Cleaner Data'!CH16+'OPERATING LEASES'!BH16</f>
        <v>46995.223009006804</v>
      </c>
      <c r="CD16" s="13">
        <f>'Bloom Cleaner Data'!CI16+'OPERATING LEASES'!BI16</f>
        <v>45837.450309006803</v>
      </c>
      <c r="CE16" s="1167">
        <f t="shared" si="36"/>
        <v>53741.033287972161</v>
      </c>
      <c r="CF16" s="10">
        <f t="shared" si="37"/>
        <v>-0.19446626142093951</v>
      </c>
      <c r="CG16" s="18">
        <f t="shared" si="4"/>
        <v>1.3673867673736892E-2</v>
      </c>
      <c r="CH16" s="13"/>
      <c r="CI16" s="18">
        <f>$CI$1*BP16/('Bloom Cleaner Data'!D16+'Bloom Cleaner Data'!T16+'OPERATING LEASES'!AU16)+(1-$CI$1)*'Bloom Cleaner Data'!BU16/('Bloom Cleaner Data'!D16+'Bloom Cleaner Data'!T16)-1</f>
        <v>2.0072827113832625E-2</v>
      </c>
      <c r="CJ16" s="18">
        <f>$CI$1*BQ16/('Bloom Cleaner Data'!E16+'Bloom Cleaner Data'!U16+'OPERATING LEASES'!AV16)+(1-$CI$1)*'Bloom Cleaner Data'!BV16/('Bloom Cleaner Data'!E16+'Bloom Cleaner Data'!U16)-1</f>
        <v>2.1313682468522721E-2</v>
      </c>
      <c r="CK16" s="18">
        <f>$CI$1*BR16/('Bloom Cleaner Data'!F16+'Bloom Cleaner Data'!V16+'OPERATING LEASES'!AW16)+(1-$CI$1)*'Bloom Cleaner Data'!BW16/('Bloom Cleaner Data'!F16+'Bloom Cleaner Data'!V16)-1</f>
        <v>2.4559228658664667E-2</v>
      </c>
      <c r="CL16" s="18">
        <f>$CI$1*BS16/('Bloom Cleaner Data'!G16+'Bloom Cleaner Data'!W16+'OPERATING LEASES'!AX16)+(1-$CI$1)*'Bloom Cleaner Data'!BX16/('Bloom Cleaner Data'!G16+'Bloom Cleaner Data'!W16)-1</f>
        <v>2.3562783403969334E-2</v>
      </c>
      <c r="CM16" s="18">
        <f>$CI$1*BT16/('Bloom Cleaner Data'!H16+'Bloom Cleaner Data'!X16+'OPERATING LEASES'!AY16)+(1-$CI$1)*'Bloom Cleaner Data'!BY16/('Bloom Cleaner Data'!H16+'Bloom Cleaner Data'!X16)-1</f>
        <v>7.0574895412504501E-2</v>
      </c>
      <c r="CN16" s="18">
        <f>$CI$1*BU16/('Bloom Cleaner Data'!I16+'Bloom Cleaner Data'!Y16+'OPERATING LEASES'!AZ16)+(1-$CI$1)*'Bloom Cleaner Data'!BZ16/('Bloom Cleaner Data'!I16+'Bloom Cleaner Data'!Y16)-1</f>
        <v>6.5461693284147193E-2</v>
      </c>
      <c r="CO16" s="18">
        <f>$CI$1*BV16/('Bloom Cleaner Data'!J16+'Bloom Cleaner Data'!Z16+'OPERATING LEASES'!BA16)+(1-$CI$1)*'Bloom Cleaner Data'!CA16/('Bloom Cleaner Data'!J16+'Bloom Cleaner Data'!Z16)-1</f>
        <v>6.8233628051367123E-2</v>
      </c>
      <c r="CP16" s="18">
        <f>$CI$1*BW16/('Bloom Cleaner Data'!K16+'Bloom Cleaner Data'!AA16+'OPERATING LEASES'!BB16)+(1-$CI$1)*'Bloom Cleaner Data'!CB16/('Bloom Cleaner Data'!K16+'Bloom Cleaner Data'!AA16)-1</f>
        <v>7.0841357651315828E-2</v>
      </c>
      <c r="CQ16" s="18">
        <f>$CI$1*BX16/('Bloom Cleaner Data'!L16+'Bloom Cleaner Data'!AB16+'OPERATING LEASES'!BC16)+(1-$CI$1)*'Bloom Cleaner Data'!CC16/('Bloom Cleaner Data'!L16+'Bloom Cleaner Data'!AB16)-1</f>
        <v>7.7208873878833018E-2</v>
      </c>
      <c r="CR16" s="18">
        <f>$CI$1*BY16/('Bloom Cleaner Data'!M16+'Bloom Cleaner Data'!AC16+'OPERATING LEASES'!BD16)+(1-$CI$1)*'Bloom Cleaner Data'!CD16/('Bloom Cleaner Data'!M16+'Bloom Cleaner Data'!AC16)-1</f>
        <v>7.6321015667746739E-2</v>
      </c>
      <c r="CS16" s="18">
        <f>$CI$1*BZ16/('Bloom Cleaner Data'!N16+'Bloom Cleaner Data'!AD16+'OPERATING LEASES'!BE16)+(1-$CI$1)*'Bloom Cleaner Data'!CE16/('Bloom Cleaner Data'!N16+'Bloom Cleaner Data'!AD16)-1</f>
        <v>7.8542751125734611E-2</v>
      </c>
      <c r="CT16" s="18">
        <f>$CI$1*CA16/('Bloom Cleaner Data'!O16+'Bloom Cleaner Data'!AE16+'OPERATING LEASES'!BF16)+(1-$CI$1)*'Bloom Cleaner Data'!CF16/('Bloom Cleaner Data'!O16+'Bloom Cleaner Data'!AE16)-1</f>
        <v>7.8278706801294229E-2</v>
      </c>
      <c r="CU16" s="18">
        <f>$CI$1*CB16/('Bloom Cleaner Data'!P16+'Bloom Cleaner Data'!AF16+'OPERATING LEASES'!BG16)+(1-$CI$1)*'Bloom Cleaner Data'!CG16/('Bloom Cleaner Data'!P16+'Bloom Cleaner Data'!AF16)-1</f>
        <v>8.003650561662834E-2</v>
      </c>
      <c r="CV16" s="18">
        <f>$CI$1*CC16/('Bloom Cleaner Data'!Q16+'Bloom Cleaner Data'!AG16+'OPERATING LEASES'!BH16)+(1-$CI$1)*'Bloom Cleaner Data'!CH16/('Bloom Cleaner Data'!Q16+'Bloom Cleaner Data'!AG16)-1</f>
        <v>8.835063216797745E-2</v>
      </c>
      <c r="CW16" s="18">
        <f>$CI$1*CD16/('Bloom Cleaner Data'!R16+'Bloom Cleaner Data'!AH16+'OPERATING LEASES'!BI16)+(1-$CI$1)*'Bloom Cleaner Data'!CI16/('Bloom Cleaner Data'!R16+'Bloom Cleaner Data'!AH16)-1</f>
        <v>8.307843834103501E-2</v>
      </c>
      <c r="CX16" s="18">
        <f t="shared" si="38"/>
        <v>6.8080808466247547E-2</v>
      </c>
      <c r="CY16" s="13"/>
      <c r="CZ16" s="3112">
        <f>AVERAGE('Bloom Cleaner Data'!GX16:HJ16)</f>
        <v>11680.554192663212</v>
      </c>
      <c r="DA16" s="2860">
        <f>('Bloom Cleaner Data'!HJ16-'Bloom Cleaner Data'!GX16)/'Bloom Cleaner Data'!GX16</f>
        <v>-1.1138645488280269E-2</v>
      </c>
      <c r="DB16" s="2860">
        <f>('Bloom Cleaner Data'!HJ16+'Bloom Cleaner Data'!HI16-'Bloom Cleaner Data'!GX16-'Bloom Cleaner Data'!GW16)/('Bloom Cleaner Data'!GX16+'Bloom Cleaner Data'!GW16)</f>
        <v>7.9552076350968212E-3</v>
      </c>
      <c r="DC16" s="13"/>
      <c r="DD16" s="13">
        <f>'Bloom Cleaner Data'!GV16+'OPERATING LEASES'!BL16</f>
        <v>11274.473074771482</v>
      </c>
      <c r="DE16" s="13">
        <f>'Bloom Cleaner Data'!GW16+'OPERATING LEASES'!BM16</f>
        <v>11350.276552795031</v>
      </c>
      <c r="DF16" s="13">
        <f>'Bloom Cleaner Data'!GX16+'OPERATING LEASES'!BN16</f>
        <v>11437.840464104422</v>
      </c>
      <c r="DG16" s="13">
        <f>'Bloom Cleaner Data'!GY16+'OPERATING LEASES'!BO16</f>
        <v>11189.294006568145</v>
      </c>
      <c r="DH16" s="13">
        <f>'Bloom Cleaner Data'!GZ16+'OPERATING LEASES'!BP16</f>
        <v>11521.050959124233</v>
      </c>
      <c r="DI16" s="13">
        <f>'Bloom Cleaner Data'!HA16+'OPERATING LEASES'!BQ16</f>
        <v>11627.225305530977</v>
      </c>
      <c r="DJ16" s="13">
        <f>'Bloom Cleaner Data'!HB16+'OPERATING LEASES'!BR16</f>
        <v>11750.393636306479</v>
      </c>
      <c r="DK16" s="13">
        <f>'Bloom Cleaner Data'!HC16+'OPERATING LEASES'!BS16</f>
        <v>12199.617409949766</v>
      </c>
      <c r="DL16" s="13">
        <f>'Bloom Cleaner Data'!HD16+'OPERATING LEASES'!BT16</f>
        <v>12292.761052995445</v>
      </c>
      <c r="DM16" s="13">
        <f>'Bloom Cleaner Data'!HE16+'OPERATING LEASES'!BU16</f>
        <v>12323.517110345985</v>
      </c>
      <c r="DN16" s="13">
        <f>'Bloom Cleaner Data'!HF16+'OPERATING LEASES'!BV16</f>
        <v>12189.051705270836</v>
      </c>
      <c r="DO16" s="13">
        <f>'Bloom Cleaner Data'!HG16+'OPERATING LEASES'!BW16</f>
        <v>11995.672378015226</v>
      </c>
      <c r="DP16" s="13">
        <f>'Bloom Cleaner Data'!HH16+'OPERATING LEASES'!BX16</f>
        <v>11911.022012156423</v>
      </c>
      <c r="DQ16" s="13">
        <f>'Bloom Cleaner Data'!HI16+'OPERATING LEASES'!BY16</f>
        <v>11620.253921593001</v>
      </c>
      <c r="DR16" s="13">
        <f>'Bloom Cleaner Data'!HJ16+'OPERATING LEASES'!BZ16</f>
        <v>11288.24561408939</v>
      </c>
      <c r="DS16" s="1167">
        <f t="shared" si="39"/>
        <v>11795.841967388484</v>
      </c>
      <c r="DT16" s="10">
        <f t="shared" si="40"/>
        <v>-1.3078941823371973E-2</v>
      </c>
      <c r="DU16" s="18">
        <f t="shared" si="41"/>
        <v>9.870060343342783E-3</v>
      </c>
      <c r="DV16" s="167"/>
      <c r="DW16" s="15">
        <f>'Bloom Cleaner Data'!DT16</f>
        <v>2.1307</v>
      </c>
      <c r="DX16" s="15">
        <f>'Bloom Cleaner Data'!DX16</f>
        <v>1.9216</v>
      </c>
      <c r="DY16" s="15">
        <f>'Bloom Cleaner Data'!EB16</f>
        <v>1.7532999999999999</v>
      </c>
      <c r="DZ16" s="15">
        <f>'Bloom Cleaner Data'!EF16</f>
        <v>1.5859000000000001</v>
      </c>
      <c r="EA16" s="15">
        <f>AVERAGE('Bloom Cleaner Data'!DT16:EF16)</f>
        <v>1.8478384615384618</v>
      </c>
      <c r="EB16" s="18">
        <f t="shared" si="5"/>
        <v>-0.25569061810672544</v>
      </c>
      <c r="EC16" s="13"/>
      <c r="ED16" s="15">
        <f>'Bloom Cleaner Data'!DC16</f>
        <v>4.9644000000000004</v>
      </c>
      <c r="EE16" s="15">
        <f>'Bloom Cleaner Data'!DG16</f>
        <v>4.7716000000000003</v>
      </c>
      <c r="EF16" s="15">
        <f>'Bloom Cleaner Data'!DK16</f>
        <v>4.3864000000000001</v>
      </c>
      <c r="EG16" s="15">
        <f>'Bloom Cleaner Data'!DO16</f>
        <v>4.0385</v>
      </c>
      <c r="EH16" s="15">
        <f>AVERAGE('Bloom Cleaner Data'!DC16:DO16)</f>
        <v>4.5437999999999992</v>
      </c>
      <c r="EI16" s="22">
        <f t="shared" si="42"/>
        <v>4.5402250000000004</v>
      </c>
      <c r="EJ16" s="22">
        <f t="shared" si="6"/>
        <v>3.5749999999987736E-3</v>
      </c>
      <c r="EK16" s="18">
        <f t="shared" si="43"/>
        <v>-0.18650793650793657</v>
      </c>
      <c r="EL16" s="241"/>
      <c r="EM16" s="15">
        <f>('Bloom Cleaner Data'!BU16+'OPERATING LEASES'!AU16)/DD16</f>
        <v>5.2646466027831975</v>
      </c>
      <c r="EN16" s="15">
        <f>('Bloom Cleaner Data'!BV16+'OPERATING LEASES'!AV16)/DE16</f>
        <v>5.1589987343788648</v>
      </c>
      <c r="EO16" s="15">
        <f>('Bloom Cleaner Data'!BW16+'OPERATING LEASES'!AW16)/DF16</f>
        <v>4.9749953890993099</v>
      </c>
      <c r="EP16" s="15">
        <f>('Bloom Cleaner Data'!BX16+'OPERATING LEASES'!AX16)/DG16</f>
        <v>5.2294113583286679</v>
      </c>
      <c r="EQ16" s="15">
        <f>('Bloom Cleaner Data'!BY16+'OPERATING LEASES'!AY16)/DH16</f>
        <v>4.9914703852200519</v>
      </c>
      <c r="ER16" s="15">
        <f>('Bloom Cleaner Data'!BZ16+'OPERATING LEASES'!AZ16)/DI16</f>
        <v>4.9861855090886849</v>
      </c>
      <c r="ES16" s="15">
        <f>('Bloom Cleaner Data'!CA16+'OPERATING LEASES'!BA16)/DJ16</f>
        <v>4.7871009202460382</v>
      </c>
      <c r="ET16" s="15">
        <f>('Bloom Cleaner Data'!CB16+'OPERATING LEASES'!BB16)/DK16</f>
        <v>4.3986600847103956</v>
      </c>
      <c r="EU16" s="15">
        <f>('Bloom Cleaner Data'!CC16+'OPERATING LEASES'!BC16)/DL16</f>
        <v>4.4309114750814773</v>
      </c>
      <c r="EV16" s="15">
        <f>('Bloom Cleaner Data'!CD16+'OPERATING LEASES'!BD16)/DM16</f>
        <v>4.4836059637129502</v>
      </c>
      <c r="EW16" s="15">
        <f>('Bloom Cleaner Data'!CE16+'OPERATING LEASES'!BE16)/DN16</f>
        <v>4.4049206868457107</v>
      </c>
      <c r="EX16" s="15">
        <f>('Bloom Cleaner Data'!CF16+'OPERATING LEASES'!BF16)/DO16</f>
        <v>4.3796910880610298</v>
      </c>
      <c r="EY16" s="15">
        <f>('Bloom Cleaner Data'!CG16+'OPERATING LEASES'!BG16)/DP16</f>
        <v>4.1170506660938244</v>
      </c>
      <c r="EZ16" s="15">
        <f>('Bloom Cleaner Data'!CH16+'OPERATING LEASES'!BH16)/DQ16</f>
        <v>4.044250954075908</v>
      </c>
      <c r="FA16" s="15">
        <f>('Bloom Cleaner Data'!CI16+'OPERATING LEASES'!BI16)/DR16</f>
        <v>4.0606354500113753</v>
      </c>
      <c r="FB16" s="526">
        <f t="shared" si="44"/>
        <v>4.5606838408134944</v>
      </c>
      <c r="FC16" s="10">
        <f t="shared" si="45"/>
        <v>-0.18379111287045302</v>
      </c>
      <c r="FD16" s="15">
        <f t="shared" si="7"/>
        <v>1.6883840813495254E-2</v>
      </c>
      <c r="FE16" s="15">
        <f t="shared" si="46"/>
        <v>4.4093012797927384</v>
      </c>
      <c r="FF16" s="13"/>
      <c r="FG16" s="15">
        <f>$FG$1*EM16+(1-$FG$1)*'Bloom Cleaner Data'!DA16</f>
        <v>5.2646466027831975</v>
      </c>
      <c r="FH16" s="15">
        <f>$FG$1*EN16+(1-$FG$1)*'Bloom Cleaner Data'!DB16</f>
        <v>5.1589987343788648</v>
      </c>
      <c r="FI16" s="15">
        <f>$FG$1*EO16+(1-$FG$1)*'Bloom Cleaner Data'!DC16</f>
        <v>4.9749953890993099</v>
      </c>
      <c r="FJ16" s="15">
        <f>$FG$1*EP16+(1-$FG$1)*'Bloom Cleaner Data'!DD16</f>
        <v>5.2294113583286679</v>
      </c>
      <c r="FK16" s="15">
        <f>$FG$1*EQ16+(1-$FG$1)*'Bloom Cleaner Data'!DE16</f>
        <v>4.9914703852200519</v>
      </c>
      <c r="FL16" s="15">
        <f>$FG$1*ER16+(1-$FG$1)*'Bloom Cleaner Data'!DF16</f>
        <v>4.9861855090886849</v>
      </c>
      <c r="FM16" s="15">
        <f>$FG$1*ES16+(1-$FG$1)*'Bloom Cleaner Data'!DG16</f>
        <v>4.7871009202460382</v>
      </c>
      <c r="FN16" s="15">
        <f>$FG$1*ET16+(1-$FG$1)*'Bloom Cleaner Data'!DH16</f>
        <v>4.3986600847103956</v>
      </c>
      <c r="FO16" s="15">
        <f>$FG$1*EU16+(1-$FG$1)*'Bloom Cleaner Data'!DI16</f>
        <v>4.4309114750814773</v>
      </c>
      <c r="FP16" s="15">
        <f>$FG$1*EV16+(1-$FG$1)*'Bloom Cleaner Data'!DJ16</f>
        <v>4.4836059637129502</v>
      </c>
      <c r="FQ16" s="15">
        <f>$FG$1*EW16+(1-$FG$1)*'Bloom Cleaner Data'!DK16</f>
        <v>4.4049206868457107</v>
      </c>
      <c r="FR16" s="15">
        <f>$FG$1*EX16+(1-$FG$1)*'Bloom Cleaner Data'!DL16</f>
        <v>4.3796910880610298</v>
      </c>
      <c r="FS16" s="15">
        <f>$FG$1*EY16+(1-$FG$1)*'Bloom Cleaner Data'!DM16</f>
        <v>4.1170506660938244</v>
      </c>
      <c r="FT16" s="15">
        <f>$FG$1*EZ16+(1-$FG$1)*'Bloom Cleaner Data'!DN16</f>
        <v>4.044250954075908</v>
      </c>
      <c r="FU16" s="15">
        <f>$FG$1*FA16+(1-$FG$1)*'Bloom Cleaner Data'!DO16</f>
        <v>4.0606354500113753</v>
      </c>
      <c r="FV16" s="526">
        <f t="shared" si="47"/>
        <v>4.5606838408134944</v>
      </c>
      <c r="FW16" s="10">
        <f t="shared" si="48"/>
        <v>-0.18379111287045302</v>
      </c>
      <c r="FX16" s="526">
        <f t="shared" si="49"/>
        <v>4.4093012797927384</v>
      </c>
      <c r="FY16" s="2710">
        <v>1</v>
      </c>
      <c r="FZ16" s="2710"/>
      <c r="GA16" s="10">
        <f>'Bloom Cleaner Data'!T16/('Bloom Cleaner Data'!T16+'Bloom Cleaner Data'!D16)</f>
        <v>0.6347707950649073</v>
      </c>
      <c r="GB16" s="10">
        <f>'Bloom Cleaner Data'!U16/('Bloom Cleaner Data'!U16+'Bloom Cleaner Data'!E16)</f>
        <v>0.63701222419416093</v>
      </c>
      <c r="GC16" s="10">
        <f>'Bloom Cleaner Data'!V16/('Bloom Cleaner Data'!V16+'Bloom Cleaner Data'!F16)</f>
        <v>0.68021238169429299</v>
      </c>
      <c r="GD16" s="10">
        <f>'Bloom Cleaner Data'!W16/('Bloom Cleaner Data'!W16+'Bloom Cleaner Data'!G16)</f>
        <v>0.64996045552625337</v>
      </c>
      <c r="GE16" s="10">
        <f>'Bloom Cleaner Data'!X16/('Bloom Cleaner Data'!X16+'Bloom Cleaner Data'!H16)</f>
        <v>0.64853778746400181</v>
      </c>
      <c r="GF16" s="10">
        <f>'Bloom Cleaner Data'!Y16/('Bloom Cleaner Data'!Y16+'Bloom Cleaner Data'!I16)</f>
        <v>0.61062204789234731</v>
      </c>
      <c r="GG16" s="10">
        <f>'Bloom Cleaner Data'!Z16/('Bloom Cleaner Data'!Z16+'Bloom Cleaner Data'!J16)</f>
        <v>0.64387894477275243</v>
      </c>
      <c r="GH16" s="10">
        <f>'Bloom Cleaner Data'!AA16/('Bloom Cleaner Data'!AA16+'Bloom Cleaner Data'!K16)</f>
        <v>0.67988194163504256</v>
      </c>
      <c r="GI16" s="10">
        <f>'Bloom Cleaner Data'!AB16/('Bloom Cleaner Data'!AB16+'Bloom Cleaner Data'!L16)</f>
        <v>0.67820441645077112</v>
      </c>
      <c r="GJ16" s="10">
        <f>'Bloom Cleaner Data'!AC16/('Bloom Cleaner Data'!AC16+'Bloom Cleaner Data'!M16)</f>
        <v>0.66019182471979221</v>
      </c>
      <c r="GK16" s="10">
        <f>'Bloom Cleaner Data'!AD16/('Bloom Cleaner Data'!AD16+'Bloom Cleaner Data'!N16)</f>
        <v>0.69320849592157407</v>
      </c>
      <c r="GL16" s="10">
        <f>'Bloom Cleaner Data'!AE16/('Bloom Cleaner Data'!AE16+'Bloom Cleaner Data'!O16)</f>
        <v>0.68678566564018151</v>
      </c>
      <c r="GM16" s="10">
        <f>'Bloom Cleaner Data'!AF16/('Bloom Cleaner Data'!AF16+'Bloom Cleaner Data'!P16)</f>
        <v>0.70551406279563555</v>
      </c>
      <c r="GN16" s="10">
        <f>'Bloom Cleaner Data'!AG16/('Bloom Cleaner Data'!AG16+'Bloom Cleaner Data'!Q16)</f>
        <v>0.74999370847762903</v>
      </c>
      <c r="GO16" s="10">
        <f>'Bloom Cleaner Data'!AH16/('Bloom Cleaner Data'!AH16+'Bloom Cleaner Data'!R16)</f>
        <v>0.75270955685414354</v>
      </c>
      <c r="GP16" s="10">
        <f t="shared" si="50"/>
        <v>0.67997702229572432</v>
      </c>
      <c r="GQ16" s="10">
        <f t="shared" si="51"/>
        <v>0.10658020511075152</v>
      </c>
      <c r="GR16" s="10"/>
      <c r="GS16" s="496">
        <f t="shared" si="8"/>
        <v>1.7380066722148264</v>
      </c>
      <c r="GT16" s="497">
        <f t="shared" si="9"/>
        <v>1.7549137096421026</v>
      </c>
      <c r="GU16" s="497">
        <f t="shared" si="10"/>
        <v>2.1270754174229194</v>
      </c>
      <c r="GV16" s="497">
        <f t="shared" si="11"/>
        <v>1.8568200815808145</v>
      </c>
      <c r="GW16" s="497">
        <f t="shared" si="12"/>
        <v>1.8452560882276241</v>
      </c>
      <c r="GX16" s="497">
        <f t="shared" si="13"/>
        <v>1.5681988273530354</v>
      </c>
      <c r="GY16" s="497">
        <f t="shared" si="14"/>
        <v>1.8080339124062212</v>
      </c>
      <c r="GZ16" s="497">
        <f t="shared" si="15"/>
        <v>2.123847511470061</v>
      </c>
      <c r="HA16" s="497">
        <f t="shared" si="16"/>
        <v>2.1075628477263368</v>
      </c>
      <c r="HB16" s="497">
        <f t="shared" si="17"/>
        <v>1.942836790714038</v>
      </c>
      <c r="HC16" s="497">
        <f t="shared" si="18"/>
        <v>2.2595426754202665</v>
      </c>
      <c r="HD16" s="497">
        <f t="shared" si="19"/>
        <v>2.1927018986660003</v>
      </c>
      <c r="HE16" s="497">
        <f t="shared" si="20"/>
        <v>2.395747890351823</v>
      </c>
      <c r="HF16" s="497">
        <f t="shared" si="21"/>
        <v>2.9998993381753292</v>
      </c>
      <c r="HG16" s="498">
        <f t="shared" si="22"/>
        <v>3.0438279267031016</v>
      </c>
      <c r="HH16" s="10">
        <f t="shared" si="52"/>
        <v>2.1747193235551978</v>
      </c>
      <c r="HI16" s="10">
        <f t="shared" si="53"/>
        <v>0.43099200986060165</v>
      </c>
      <c r="HJ16" s="10"/>
      <c r="HK16" s="18">
        <f>('Bloom Cleaner Data'!T16+'OPERATING LEASES'!AU16)/('Bloom Cleaner Data'!T16+'OPERATING LEASES'!AU16+'Bloom Cleaner Data'!D16)</f>
        <v>0.64016098293328672</v>
      </c>
      <c r="HL16" s="18">
        <f>('Bloom Cleaner Data'!U16+'OPERATING LEASES'!AV16)/('Bloom Cleaner Data'!U16+'OPERATING LEASES'!AV16+'Bloom Cleaner Data'!E16)</f>
        <v>0.64218532663269057</v>
      </c>
      <c r="HM16" s="18">
        <f>('Bloom Cleaner Data'!V16+'OPERATING LEASES'!AW16)/('Bloom Cleaner Data'!V16+'OPERATING LEASES'!AW16+'Bloom Cleaner Data'!F16)</f>
        <v>0.68467718162589686</v>
      </c>
      <c r="HN16" s="18">
        <f>('Bloom Cleaner Data'!W16+'OPERATING LEASES'!AX16)/('Bloom Cleaner Data'!W16+'OPERATING LEASES'!AX16+'Bloom Cleaner Data'!G16)</f>
        <v>0.65445337322435859</v>
      </c>
      <c r="HO16" s="18">
        <f>('Bloom Cleaner Data'!X16+'OPERATING LEASES'!AY16)/('Bloom Cleaner Data'!X16+'OPERATING LEASES'!AY16+'Bloom Cleaner Data'!H16)</f>
        <v>0.6530661065824731</v>
      </c>
      <c r="HP16" s="18">
        <f>('Bloom Cleaner Data'!Y16+'OPERATING LEASES'!AZ16)/('Bloom Cleaner Data'!Y16+'OPERATING LEASES'!AZ16+'Bloom Cleaner Data'!I16)</f>
        <v>0.6157208191922936</v>
      </c>
      <c r="HQ16" s="18">
        <f>('Bloom Cleaner Data'!Z16+'OPERATING LEASES'!BA16)/('Bloom Cleaner Data'!Z16+'OPERATING LEASES'!BA16+'Bloom Cleaner Data'!J16)</f>
        <v>0.64883597126831172</v>
      </c>
      <c r="HR16" s="18">
        <f>('Bloom Cleaner Data'!AA16+'OPERATING LEASES'!BB16)/('Bloom Cleaner Data'!AA16+'OPERATING LEASES'!BB16+'Bloom Cleaner Data'!K16)</f>
        <v>0.6846947076169474</v>
      </c>
      <c r="HS16" s="18">
        <f>('Bloom Cleaner Data'!AB16+'OPERATING LEASES'!BC16)/('Bloom Cleaner Data'!AB16+'OPERATING LEASES'!BC16+'Bloom Cleaner Data'!L16)</f>
        <v>0.68312920452585058</v>
      </c>
      <c r="HT16" s="18">
        <f>('Bloom Cleaner Data'!AC16+'OPERATING LEASES'!BD16)/('Bloom Cleaner Data'!AC16+'OPERATING LEASES'!BD16+'Bloom Cleaner Data'!M16)</f>
        <v>0.66516963331993406</v>
      </c>
      <c r="HU16" s="18">
        <f>('Bloom Cleaner Data'!AD16+'OPERATING LEASES'!BE16)/('Bloom Cleaner Data'!AD16+'OPERATING LEASES'!BE16+'Bloom Cleaner Data'!N16)</f>
        <v>0.69770842791231402</v>
      </c>
      <c r="HV16" s="18">
        <f>('Bloom Cleaner Data'!AE16+'OPERATING LEASES'!BF16)/('Bloom Cleaner Data'!AE16+'OPERATING LEASES'!BF16+'Bloom Cleaner Data'!O16)</f>
        <v>0.69133930099356922</v>
      </c>
      <c r="HW16" s="18">
        <f>('Bloom Cleaner Data'!AF16+'OPERATING LEASES'!BG16)/('Bloom Cleaner Data'!AF16+'OPERATING LEASES'!BG16+'Bloom Cleaner Data'!P16)</f>
        <v>0.70996682298780567</v>
      </c>
      <c r="HX16" s="18">
        <f>('Bloom Cleaner Data'!AG16+'OPERATING LEASES'!BH16)/('Bloom Cleaner Data'!AG16+'OPERATING LEASES'!BH16+'Bloom Cleaner Data'!Q16)</f>
        <v>0.75396862128794373</v>
      </c>
      <c r="HY16" s="18">
        <f>('Bloom Cleaner Data'!AH16+'OPERATING LEASES'!BI16)/('Bloom Cleaner Data'!AH16+'OPERATING LEASES'!BI16+'Bloom Cleaner Data'!R16)</f>
        <v>0.75672107111582532</v>
      </c>
      <c r="HZ16" s="10">
        <f t="shared" si="54"/>
        <v>0.68457317243488636</v>
      </c>
      <c r="IA16" s="10">
        <f t="shared" si="55"/>
        <v>0.10522314957078965</v>
      </c>
      <c r="IB16" s="10">
        <f t="shared" si="23"/>
        <v>4.5961501391620363E-3</v>
      </c>
      <c r="IC16" s="10">
        <f t="shared" si="24"/>
        <v>6.7592727231349809E-3</v>
      </c>
      <c r="IE16" s="502">
        <f t="shared" si="56"/>
        <v>1.779020485748499</v>
      </c>
      <c r="IF16" s="467">
        <f t="shared" si="25"/>
        <v>1.7947428499486509</v>
      </c>
      <c r="IG16" s="467">
        <f t="shared" si="25"/>
        <v>2.1713531077652202</v>
      </c>
      <c r="IH16" s="467">
        <f t="shared" si="25"/>
        <v>1.8939654521625124</v>
      </c>
      <c r="II16" s="467">
        <f t="shared" si="25"/>
        <v>1.8823935019704841</v>
      </c>
      <c r="IJ16" s="467">
        <f t="shared" si="25"/>
        <v>1.6022747261460433</v>
      </c>
      <c r="IK16" s="467">
        <f t="shared" si="25"/>
        <v>1.8476720796595707</v>
      </c>
      <c r="IL16" s="467">
        <f t="shared" si="25"/>
        <v>2.1715293848767288</v>
      </c>
      <c r="IM16" s="467">
        <f t="shared" si="25"/>
        <v>2.155860414664124</v>
      </c>
      <c r="IN16" s="467">
        <f t="shared" si="25"/>
        <v>1.9865869392769591</v>
      </c>
      <c r="IO16" s="467">
        <f t="shared" si="25"/>
        <v>2.3080644395535086</v>
      </c>
      <c r="IP16" s="467">
        <f t="shared" si="25"/>
        <v>2.2398034580332675</v>
      </c>
      <c r="IQ16" s="467">
        <f t="shared" si="25"/>
        <v>2.4478814124011592</v>
      </c>
      <c r="IR16" s="467">
        <f t="shared" si="25"/>
        <v>3.0645221972696159</v>
      </c>
      <c r="IS16" s="503">
        <f t="shared" si="25"/>
        <v>3.1105080681940231</v>
      </c>
      <c r="IT16" s="10">
        <f t="shared" si="57"/>
        <v>2.2217242447671706</v>
      </c>
      <c r="IU16" s="10">
        <f t="shared" si="58"/>
        <v>0.4325206052715172</v>
      </c>
      <c r="IV16" s="10">
        <f t="shared" si="59"/>
        <v>4.700492121197275E-2</v>
      </c>
      <c r="IW16" s="10">
        <f t="shared" si="60"/>
        <v>2.1614247274507968E-2</v>
      </c>
      <c r="IY16" s="15">
        <f>'Bloom Cleaner Data'!T16/'Bloom Cleaner Data'!BU16*'Bloom Cleaner Data'!DA16</f>
        <v>3.2726008878357038</v>
      </c>
      <c r="IZ16" s="15">
        <f>'Bloom Cleaner Data'!U16/'Bloom Cleaner Data'!BV16*'Bloom Cleaner Data'!DB16</f>
        <v>3.2124284145511099</v>
      </c>
      <c r="JA16" s="15">
        <f>'Bloom Cleaner Data'!V16/'Bloom Cleaner Data'!BW16*'Bloom Cleaner Data'!DC16</f>
        <v>3.2947832665145471</v>
      </c>
      <c r="JB16" s="15">
        <f>'Bloom Cleaner Data'!W16/'Bloom Cleaner Data'!BX16*'Bloom Cleaner Data'!DD16</f>
        <v>3.3136983974153948</v>
      </c>
      <c r="JC16" s="15">
        <f>'Bloom Cleaner Data'!X16/'Bloom Cleaner Data'!BY16*'Bloom Cleaner Data'!DE16</f>
        <v>3.0133058573933105</v>
      </c>
      <c r="JD16" s="15">
        <f>'Bloom Cleaner Data'!Y16/'Bloom Cleaner Data'!BZ16*'Bloom Cleaner Data'!DF16</f>
        <v>2.8476753219258542</v>
      </c>
      <c r="JE16" s="15">
        <f>'Bloom Cleaner Data'!Z16/'Bloom Cleaner Data'!CA16*'Bloom Cleaner Data'!DG16</f>
        <v>2.8734960070604374</v>
      </c>
      <c r="JF16" s="15">
        <f>'Bloom Cleaner Data'!AA16/'Bloom Cleaner Data'!CB16*'Bloom Cleaner Data'!DH16</f>
        <v>2.777759116654551</v>
      </c>
      <c r="JG16" s="15">
        <f>'Bloom Cleaner Data'!AB16/'Bloom Cleaner Data'!CC16*'Bloom Cleaner Data'!DI16</f>
        <v>2.7744898648269873</v>
      </c>
      <c r="JH16" s="15">
        <f>'Bloom Cleaner Data'!AC16/'Bloom Cleaner Data'!CD16*'Bloom Cleaner Data'!DJ16</f>
        <v>2.7361558520021263</v>
      </c>
      <c r="JI16" s="15">
        <f>'Bloom Cleaner Data'!AD16/'Bloom Cleaner Data'!CE16*'Bloom Cleaner Data'!DK16</f>
        <v>2.8162046038908581</v>
      </c>
      <c r="JJ16" s="15">
        <f>'Bloom Cleaner Data'!AE16/'Bloom Cleaner Data'!CF16*'Bloom Cleaner Data'!DL16</f>
        <v>2.7747976363802644</v>
      </c>
      <c r="JK16" s="15">
        <f>'Bloom Cleaner Data'!AF16/'Bloom Cleaner Data'!CG16*'Bloom Cleaner Data'!DM16</f>
        <v>2.6729878238796823</v>
      </c>
      <c r="JL16" s="15">
        <f>'Bloom Cleaner Data'!AG16/'Bloom Cleaner Data'!CH16*'Bloom Cleaner Data'!DN16</f>
        <v>2.7683845635382234</v>
      </c>
      <c r="JM16" s="15">
        <f>'Bloom Cleaner Data'!AH16/'Bloom Cleaner Data'!CI16*'Bloom Cleaner Data'!DO16</f>
        <v>2.803100349427897</v>
      </c>
      <c r="JN16" s="15">
        <f t="shared" si="61"/>
        <v>2.7481575789486006</v>
      </c>
      <c r="JO16" s="15">
        <f t="shared" si="62"/>
        <v>2.7548175933065169</v>
      </c>
      <c r="JP16" s="15">
        <f t="shared" si="63"/>
        <v>2.8820645123777022</v>
      </c>
      <c r="JQ16" s="18">
        <f t="shared" si="64"/>
        <v>-0.14923073152753591</v>
      </c>
      <c r="JR16" s="18"/>
      <c r="JS16" s="2024" t="s">
        <v>286</v>
      </c>
      <c r="JT16" s="526">
        <f>('Bloom Cleaner Data'!T16+'OPERATING LEASES'!AU16)/DD16</f>
        <v>3.3039026768017106</v>
      </c>
      <c r="JU16" s="526">
        <f>('Bloom Cleaner Data'!U16+'OPERATING LEASES'!AV16)/DE16</f>
        <v>3.2438939614782232</v>
      </c>
      <c r="JV16" s="526">
        <f>('Bloom Cleaner Data'!V16+'OPERATING LEASES'!AW16)/DF16</f>
        <v>3.3246158214491635</v>
      </c>
      <c r="JW16" s="526">
        <f>('Bloom Cleaner Data'!W16+'OPERATING LEASES'!AX16)/DG16</f>
        <v>3.3436208886516843</v>
      </c>
      <c r="JX16" s="526">
        <f>('Bloom Cleaner Data'!X16+'OPERATING LEASES'!AY16)/DH16</f>
        <v>3.0448688312846666</v>
      </c>
      <c r="JY16" s="526">
        <f>('Bloom Cleaner Data'!Y16+'OPERATING LEASES'!AZ16)/DI16</f>
        <v>2.8814721783545778</v>
      </c>
      <c r="JZ16" s="526">
        <f>('Bloom Cleaner Data'!Z16+'OPERATING LEASES'!BA16)/DJ16</f>
        <v>2.9076441647069262</v>
      </c>
      <c r="KA16" s="526">
        <f>('Bloom Cleaner Data'!AA16+'OPERATING LEASES'!BB16)/DK16</f>
        <v>2.8124980970223183</v>
      </c>
      <c r="KB16" s="526">
        <f>('Bloom Cleaner Data'!AB16+'OPERATING LEASES'!BC16)/DL16</f>
        <v>2.8099332494334277</v>
      </c>
      <c r="KC16" s="526">
        <f>('Bloom Cleaner Data'!AC16+'OPERATING LEASES'!BD16)/DM16</f>
        <v>2.7708820058519112</v>
      </c>
      <c r="KD16" s="526">
        <f>('Bloom Cleaner Data'!AD16+'OPERATING LEASES'!BE16)/DN16</f>
        <v>2.8495396072985759</v>
      </c>
      <c r="KE16" s="526">
        <f>('Bloom Cleaner Data'!AE16+'OPERATING LEASES'!BF16)/DO16</f>
        <v>2.8080426296926322</v>
      </c>
      <c r="KF16" s="526">
        <f>('Bloom Cleaner Data'!AF16+'OPERATING LEASES'!BG16)/DP16</f>
        <v>2.7063616519310538</v>
      </c>
      <c r="KG16" s="526">
        <f>('Bloom Cleaner Data'!AG16+'OPERATING LEASES'!BH16)/DQ16</f>
        <v>2.8017058343716195</v>
      </c>
      <c r="KH16" s="526">
        <f>('Bloom Cleaner Data'!AH16+'OPERATING LEASES'!BI16)/DR16</f>
        <v>2.8370691340232916</v>
      </c>
      <c r="KI16" s="15">
        <f t="shared" si="65"/>
        <v>2.7817122067753215</v>
      </c>
      <c r="KJ16" s="15">
        <f t="shared" si="66"/>
        <v>2.7882948125046494</v>
      </c>
      <c r="KK16" s="15">
        <f t="shared" si="67"/>
        <v>2.9152503149286035</v>
      </c>
      <c r="KL16" s="18">
        <f t="shared" si="68"/>
        <v>-0.14664752669478531</v>
      </c>
      <c r="KM16" s="15">
        <f t="shared" si="69"/>
        <v>3.3185802550901311E-2</v>
      </c>
      <c r="KN16" s="18"/>
      <c r="KO16" s="15">
        <f t="shared" si="70"/>
        <v>3.3039026768017106</v>
      </c>
      <c r="KP16" s="15">
        <f t="shared" si="71"/>
        <v>3.2438939614782232</v>
      </c>
      <c r="KQ16" s="15">
        <f t="shared" si="72"/>
        <v>3.3246158214491635</v>
      </c>
      <c r="KR16" s="15">
        <f t="shared" si="73"/>
        <v>3.3436208886516843</v>
      </c>
      <c r="KS16" s="15">
        <f t="shared" si="74"/>
        <v>3.0448688312846666</v>
      </c>
      <c r="KT16" s="15">
        <f t="shared" si="75"/>
        <v>2.8814721783545778</v>
      </c>
      <c r="KU16" s="15">
        <f t="shared" si="76"/>
        <v>2.9076441647069262</v>
      </c>
      <c r="KV16" s="15">
        <f t="shared" si="77"/>
        <v>2.8124980970223183</v>
      </c>
      <c r="KW16" s="15">
        <f t="shared" si="78"/>
        <v>2.8099332494334277</v>
      </c>
      <c r="KX16" s="15">
        <f t="shared" si="79"/>
        <v>2.7708820058519112</v>
      </c>
      <c r="KY16" s="15">
        <f t="shared" si="80"/>
        <v>2.8495396072985759</v>
      </c>
      <c r="KZ16" s="15">
        <f t="shared" si="81"/>
        <v>2.8080426296926322</v>
      </c>
      <c r="LA16" s="15">
        <f t="shared" si="82"/>
        <v>2.7063616519310538</v>
      </c>
      <c r="LB16" s="15">
        <f t="shared" si="83"/>
        <v>2.8017058343716195</v>
      </c>
      <c r="LC16" s="15">
        <f t="shared" si="84"/>
        <v>2.8370691340232916</v>
      </c>
      <c r="LD16" s="15">
        <f t="shared" si="85"/>
        <v>2.7817122067753215</v>
      </c>
      <c r="LE16" s="15">
        <f t="shared" si="86"/>
        <v>2.7882948125046494</v>
      </c>
      <c r="LF16" s="526">
        <f t="shared" si="87"/>
        <v>2.9152503149286035</v>
      </c>
      <c r="LG16" s="10">
        <f t="shared" si="88"/>
        <v>-0.14664752669478531</v>
      </c>
      <c r="LH16" s="18"/>
      <c r="LI16" s="15">
        <f>('Bloom Cleaner Data'!T16+'Bloom Cleaner Data'!EY16)/'Bloom Cleaner Data'!GV16</f>
        <v>3.7675692944925072</v>
      </c>
      <c r="LJ16" s="15">
        <f>('Bloom Cleaner Data'!U16+'Bloom Cleaner Data'!EZ16)/'Bloom Cleaner Data'!GW16</f>
        <v>3.6193134090056698</v>
      </c>
      <c r="LK16" s="15">
        <f>('Bloom Cleaner Data'!V16+'Bloom Cleaner Data'!FA16)/'Bloom Cleaner Data'!GX16</f>
        <v>3.6049710444444427</v>
      </c>
      <c r="LL16" s="15">
        <f>('Bloom Cleaner Data'!W16+'Bloom Cleaner Data'!FB16)/'Bloom Cleaner Data'!GY16</f>
        <v>3.6586287521505834</v>
      </c>
      <c r="LM16" s="15">
        <f>('Bloom Cleaner Data'!X16+'Bloom Cleaner Data'!FC16)/'Bloom Cleaner Data'!GZ16</f>
        <v>3.4975308244735546</v>
      </c>
      <c r="LN16" s="15">
        <f>('Bloom Cleaner Data'!Y16+'Bloom Cleaner Data'!FD16)/'Bloom Cleaner Data'!HA16</f>
        <v>3.3241839520806886</v>
      </c>
      <c r="LO16" s="15">
        <f>('Bloom Cleaner Data'!Z16+'Bloom Cleaner Data'!FE16)/'Bloom Cleaner Data'!HB16</f>
        <v>3.1966600960308331</v>
      </c>
      <c r="LP16" s="15">
        <f>('Bloom Cleaner Data'!AA16+'Bloom Cleaner Data'!FF16)/'Bloom Cleaner Data'!HC16</f>
        <v>3.1206126317979788</v>
      </c>
      <c r="LQ16" s="15">
        <f>('Bloom Cleaner Data'!AB16+'Bloom Cleaner Data'!FG16)/'Bloom Cleaner Data'!HD16</f>
        <v>3.3261341716396027</v>
      </c>
      <c r="LR16" s="15">
        <f>('Bloom Cleaner Data'!AC16+'Bloom Cleaner Data'!FH16)/'Bloom Cleaner Data'!HE16</f>
        <v>3.1861324335022214</v>
      </c>
      <c r="LS16" s="15">
        <f>('Bloom Cleaner Data'!AD16+'Bloom Cleaner Data'!FI16)/'Bloom Cleaner Data'!HF16</f>
        <v>3.3155398848030715</v>
      </c>
      <c r="LT16" s="15">
        <f>('Bloom Cleaner Data'!AE16+'Bloom Cleaner Data'!FJ16)/'Bloom Cleaner Data'!HG16</f>
        <v>3.3431195443167123</v>
      </c>
      <c r="LU16" s="15">
        <f>('Bloom Cleaner Data'!AF16+'Bloom Cleaner Data'!FK16)/'Bloom Cleaner Data'!HH16</f>
        <v>3.3030026407794035</v>
      </c>
      <c r="LV16" s="15">
        <f>('Bloom Cleaner Data'!AG16+'Bloom Cleaner Data'!FL16)/'Bloom Cleaner Data'!HI16</f>
        <v>3.3309216966876911</v>
      </c>
      <c r="LW16" s="15">
        <f>('Bloom Cleaner Data'!AH16+'Bloom Cleaner Data'!FM16)/'Bloom Cleaner Data'!HJ16</f>
        <v>3.2318077100586735</v>
      </c>
      <c r="LX16" s="15">
        <f t="shared" si="89"/>
        <v>0.42870736063077652</v>
      </c>
      <c r="LY16" s="15">
        <f t="shared" si="90"/>
        <v>3.2885773491752559</v>
      </c>
      <c r="LZ16" s="15">
        <f t="shared" si="27"/>
        <v>0.54041977022665533</v>
      </c>
      <c r="MA16" s="15">
        <f t="shared" si="91"/>
        <v>3.30221289796062</v>
      </c>
      <c r="MB16" s="15">
        <f t="shared" si="92"/>
        <v>3.3414804140588812</v>
      </c>
      <c r="MC16" s="18">
        <f t="shared" si="93"/>
        <v>-0.10351354554174426</v>
      </c>
      <c r="MD16" s="15">
        <f t="shared" si="28"/>
        <v>0.45941590168117896</v>
      </c>
      <c r="ME16" s="18"/>
      <c r="MF16" s="2024" t="s">
        <v>286</v>
      </c>
      <c r="MG16" s="15">
        <f>JT16+'Bloom Cleaner Data'!EY16/CALCULATIONS!DD16</f>
        <v>3.7920851367266999</v>
      </c>
      <c r="MH16" s="15">
        <f>JU16+'Bloom Cleaner Data'!EZ16/CALCULATIONS!DE16</f>
        <v>3.6456462869646971</v>
      </c>
      <c r="MI16" s="15">
        <f>JV16+'Bloom Cleaner Data'!FA16/CALCULATIONS!DF16</f>
        <v>3.6312296451867896</v>
      </c>
      <c r="MJ16" s="15">
        <f>JW16+'Bloom Cleaner Data'!FB16/CALCULATIONS!DG16</f>
        <v>3.6848399144238932</v>
      </c>
      <c r="MK16" s="15">
        <f>JX16+'Bloom Cleaner Data'!FC16/CALCULATIONS!DH16</f>
        <v>3.524512573822201</v>
      </c>
      <c r="ML16" s="15">
        <f>JY16+'Bloom Cleaner Data'!FD16/CALCULATIONS!DI16</f>
        <v>3.3533818434566962</v>
      </c>
      <c r="MM16" s="15">
        <f>JZ16+'Bloom Cleaner Data'!FE16/CALCULATIONS!DJ16</f>
        <v>3.2276334447581339</v>
      </c>
      <c r="MN16" s="15">
        <f>KA16+'Bloom Cleaner Data'!FF16/CALCULATIONS!DK16</f>
        <v>3.152016941000316</v>
      </c>
      <c r="MO16" s="15">
        <f>KB16+'Bloom Cleaner Data'!FG16/CALCULATIONS!DL16</f>
        <v>3.3561083496452682</v>
      </c>
      <c r="MP16" s="15">
        <f>KC16+'Bloom Cleaner Data'!FH16/CALCULATIONS!DM16</f>
        <v>3.2165340020169744</v>
      </c>
      <c r="MQ16" s="15">
        <f>KD16+'Bloom Cleaner Data'!FI16/CALCULATIONS!DN16</f>
        <v>3.3441638115254655</v>
      </c>
      <c r="MR16" s="15">
        <f>KE16+'Bloom Cleaner Data'!FJ16/CALCULATIONS!DO16</f>
        <v>3.3710790137454536</v>
      </c>
      <c r="MS16" s="15">
        <f>KF16+'Bloom Cleaner Data'!FK16/CALCULATIONS!DP16</f>
        <v>3.3306573666405721</v>
      </c>
      <c r="MT16" s="15">
        <f>KG16+'Bloom Cleaner Data'!FL16/CALCULATIONS!DQ16</f>
        <v>3.3590086303084759</v>
      </c>
      <c r="MU16" s="15">
        <f>KH16+'Bloom Cleaner Data'!FM16/CALCULATIONS!DR16</f>
        <v>3.2616701007153726</v>
      </c>
      <c r="MV16" s="15">
        <f t="shared" si="29"/>
        <v>0.42460096669208092</v>
      </c>
      <c r="MW16" s="15">
        <f t="shared" si="94"/>
        <v>3.3171120325548067</v>
      </c>
      <c r="MX16" s="15">
        <f t="shared" si="30"/>
        <v>0.53539982577948519</v>
      </c>
      <c r="MY16" s="15">
        <f t="shared" si="95"/>
        <v>3.3306037778524682</v>
      </c>
      <c r="MZ16" s="15">
        <f t="shared" si="96"/>
        <v>3.3702181259419697</v>
      </c>
      <c r="NA16" s="18">
        <f t="shared" si="97"/>
        <v>-0.10177256207446692</v>
      </c>
      <c r="NB16" s="15">
        <f t="shared" si="31"/>
        <v>0.45496781101336614</v>
      </c>
      <c r="NC16" s="15"/>
      <c r="ND16" s="13">
        <f>'Bloom Cleaner Data'!GF16+('Bloom Cleaner Data'!T16+'Bloom Cleaner Data'!EY16)+'Bloom Cleaner Data'!CK16</f>
        <v>70183</v>
      </c>
      <c r="NE16" s="13">
        <f>'Bloom Cleaner Data'!GG16+('Bloom Cleaner Data'!U16+'Bloom Cleaner Data'!EZ16)+'Bloom Cleaner Data'!CL16</f>
        <v>69691</v>
      </c>
      <c r="NF16" s="13">
        <f>'Bloom Cleaner Data'!GH16+('Bloom Cleaner Data'!V16+'Bloom Cleaner Data'!FA16)+'Bloom Cleaner Data'!CM16</f>
        <v>70356</v>
      </c>
      <c r="NG16" s="13">
        <f>'Bloom Cleaner Data'!GI16+('Bloom Cleaner Data'!W16+'Bloom Cleaner Data'!FB16)+'Bloom Cleaner Data'!CN16</f>
        <v>70362</v>
      </c>
      <c r="NH16" s="13">
        <f>'Bloom Cleaner Data'!GJ16+('Bloom Cleaner Data'!X16+'Bloom Cleaner Data'!FC16)+'Bloom Cleaner Data'!CO16</f>
        <v>76315</v>
      </c>
      <c r="NI16" s="13">
        <f>'Bloom Cleaner Data'!GK16+('Bloom Cleaner Data'!Y16+'Bloom Cleaner Data'!FD16)+'Bloom Cleaner Data'!CP16</f>
        <v>74815</v>
      </c>
      <c r="NJ16" s="13">
        <f>'Bloom Cleaner Data'!GL16+('Bloom Cleaner Data'!Z16+'Bloom Cleaner Data'!FE16)+'Bloom Cleaner Data'!CQ16</f>
        <v>70140</v>
      </c>
      <c r="NK16" s="13">
        <f>'Bloom Cleaner Data'!GM16+('Bloom Cleaner Data'!AA16+'Bloom Cleaner Data'!FF16)+'Bloom Cleaner Data'!CR16</f>
        <v>71068</v>
      </c>
      <c r="NL16" s="13">
        <f>'Bloom Cleaner Data'!GN16+('Bloom Cleaner Data'!AB16+'Bloom Cleaner Data'!FG16)+'Bloom Cleaner Data'!CS16</f>
        <v>71080</v>
      </c>
      <c r="NM16" s="13">
        <f>'Bloom Cleaner Data'!GO16+('Bloom Cleaner Data'!AC16+'Bloom Cleaner Data'!FH16)+'Bloom Cleaner Data'!CT16</f>
        <v>69879</v>
      </c>
      <c r="NN16" s="13">
        <f>'Bloom Cleaner Data'!GP16+('Bloom Cleaner Data'!AD16+'Bloom Cleaner Data'!FI16)+'Bloom Cleaner Data'!CU16</f>
        <v>70770</v>
      </c>
      <c r="NO16" s="13">
        <f>'Bloom Cleaner Data'!GQ16+('Bloom Cleaner Data'!AE16+'Bloom Cleaner Data'!FJ16)+'Bloom Cleaner Data'!CV16</f>
        <v>70694</v>
      </c>
      <c r="NP16" s="13">
        <f>'Bloom Cleaner Data'!GR16+('Bloom Cleaner Data'!AF16+'Bloom Cleaner Data'!FK16)+'Bloom Cleaner Data'!CW16</f>
        <v>65631</v>
      </c>
      <c r="NQ16" s="13">
        <f>'Bloom Cleaner Data'!GS16+('Bloom Cleaner Data'!AG16+'Bloom Cleaner Data'!FL16)+'Bloom Cleaner Data'!CX16</f>
        <v>65919</v>
      </c>
      <c r="NR16" s="13">
        <f>'Bloom Cleaner Data'!GT16+('Bloom Cleaner Data'!AH16+'Bloom Cleaner Data'!FM16)+'Bloom Cleaner Data'!CY16</f>
        <v>60126</v>
      </c>
      <c r="NS16" s="168"/>
      <c r="NT16" s="2024" t="s">
        <v>286</v>
      </c>
      <c r="NU16" s="998">
        <f>('Bloom Cleaner Data'!T16+'Bloom Cleaner Data'!EY16+'OPERATING LEASES'!BL16)/CALCULATIONS!ND16</f>
        <v>0.59914183532438658</v>
      </c>
      <c r="NV16" s="998">
        <f>('Bloom Cleaner Data'!U16+'Bloom Cleaner Data'!EZ16+'OPERATING LEASES'!BM16)/CALCULATIONS!NE16</f>
        <v>0.58408085077597638</v>
      </c>
      <c r="NW16" s="998">
        <f>('Bloom Cleaner Data'!V16+'Bloom Cleaner Data'!FA16+'OPERATING LEASES'!BN16)/CALCULATIONS!NF16</f>
        <v>0.58118405984259647</v>
      </c>
      <c r="NX16" s="998">
        <f>('Bloom Cleaner Data'!W16+'Bloom Cleaner Data'!FB16+'OPERATING LEASES'!BO16)/CALCULATIONS!NG16</f>
        <v>0.57726319401300208</v>
      </c>
      <c r="NY16" s="998">
        <f>('Bloom Cleaner Data'!X16+'Bloom Cleaner Data'!FC16+'OPERATING LEASES'!BP16)/CALCULATIONS!NH16</f>
        <v>0.52444473563519622</v>
      </c>
      <c r="NZ16" s="998">
        <f>('Bloom Cleaner Data'!Y16+'Bloom Cleaner Data'!FD16+'OPERATING LEASES'!BQ16)/CALCULATIONS!NI16</f>
        <v>0.51313531711555171</v>
      </c>
      <c r="OA16" s="998">
        <f>('Bloom Cleaner Data'!Z16+'Bloom Cleaner Data'!FE16+'OPERATING LEASES'!BR16)/CALCULATIONS!NJ16</f>
        <v>0.53191385086968923</v>
      </c>
      <c r="OB16" s="998">
        <f>('Bloom Cleaner Data'!AA16+'Bloom Cleaner Data'!FF16+'OPERATING LEASES'!BS16)/CALCULATIONS!NK16</f>
        <v>0.53214746791805034</v>
      </c>
      <c r="OC16" s="998">
        <f>('Bloom Cleaner Data'!AB16+'Bloom Cleaner Data'!FG16+'OPERATING LEASES'!BT16)/CALCULATIONS!NL16</f>
        <v>0.57124191052335394</v>
      </c>
      <c r="OD16" s="998">
        <f>('Bloom Cleaner Data'!AC16+'Bloom Cleaner Data'!FH16+'OPERATING LEASES'!BU16)/CALCULATIONS!NM16</f>
        <v>0.55818539904692399</v>
      </c>
      <c r="OE16" s="998">
        <f>('Bloom Cleaner Data'!AD16+'Bloom Cleaner Data'!FI16+'OPERATING LEASES'!BV16)/CALCULATIONS!NN16</f>
        <v>0.56728839903914086</v>
      </c>
      <c r="OF16" s="998">
        <f>('Bloom Cleaner Data'!AE16+'Bloom Cleaner Data'!FJ16+'OPERATING LEASES'!BW16)/CALCULATIONS!NO16</f>
        <v>0.56357770815062103</v>
      </c>
      <c r="OG16" s="998">
        <f>('Bloom Cleaner Data'!AF16+'Bloom Cleaner Data'!FK16+'OPERATING LEASES'!BX16)/CALCULATIONS!NP16</f>
        <v>0.595650302448538</v>
      </c>
      <c r="OH16" s="998">
        <f>('Bloom Cleaner Data'!AG16+'Bloom Cleaner Data'!FL16+'OPERATING LEASES'!BY16)/CALCULATIONS!NQ16</f>
        <v>0.58335419226626617</v>
      </c>
      <c r="OI16" s="998">
        <f>('Bloom Cleaner Data'!AH16+'Bloom Cleaner Data'!FM16+'OPERATING LEASES'!BZ16)/CALCULATIONS!NR16</f>
        <v>0.6027363370255796</v>
      </c>
      <c r="OJ16" s="18">
        <f t="shared" si="98"/>
        <v>0.59391361058012793</v>
      </c>
      <c r="OK16" s="18">
        <f t="shared" si="99"/>
        <v>0.58632963497275115</v>
      </c>
      <c r="OL16" s="18">
        <f t="shared" si="100"/>
        <v>0.56170175953034684</v>
      </c>
      <c r="OM16" s="10">
        <f t="shared" si="101"/>
        <v>3.708339349296709E-2</v>
      </c>
      <c r="ON16" s="10"/>
      <c r="OO16" s="2710">
        <v>1</v>
      </c>
      <c r="OP16" s="526">
        <f>'Bloom Cleaner Data'!D16/'Bloom Cleaner Data'!GF16</f>
        <v>0.77206322271386429</v>
      </c>
      <c r="OQ16" s="526">
        <f>'Bloom Cleaner Data'!E16/'Bloom Cleaner Data'!GG16</f>
        <v>0.73511910273408099</v>
      </c>
      <c r="OR16" s="526">
        <f>'Bloom Cleaner Data'!F16/'Bloom Cleaner Data'!GH16</f>
        <v>0.62027265708011614</v>
      </c>
      <c r="OS16" s="526">
        <f>'Bloom Cleaner Data'!G16/'Bloom Cleaner Data'!GI16</f>
        <v>0.69267353951890032</v>
      </c>
      <c r="OT16" s="526">
        <f>'Bloom Cleaner Data'!H16/'Bloom Cleaner Data'!GJ16</f>
        <v>0.57147794234897276</v>
      </c>
      <c r="OU16" s="526">
        <f>'Bloom Cleaner Data'!I16/'Bloom Cleaner Data'!GK16</f>
        <v>0.6341160303260045</v>
      </c>
      <c r="OV16" s="526">
        <f>'Bloom Cleaner Data'!J16/'Bloom Cleaner Data'!GL16</f>
        <v>0.62994333651291134</v>
      </c>
      <c r="OW16" s="526">
        <f>'Bloom Cleaner Data'!K16/'Bloom Cleaner Data'!GM16</f>
        <v>0.52990037561204639</v>
      </c>
      <c r="OX16" s="526">
        <f>'Bloom Cleaner Data'!L16/'Bloom Cleaner Data'!GN16</f>
        <v>0.60022094852775909</v>
      </c>
      <c r="OY16" s="526">
        <f>'Bloom Cleaner Data'!M16/'Bloom Cleaner Data'!GO16</f>
        <v>0.63488154687153719</v>
      </c>
      <c r="OZ16" s="526">
        <f>'Bloom Cleaner Data'!N16/'Bloom Cleaner Data'!GP16</f>
        <v>0.56092964067392281</v>
      </c>
      <c r="PA16" s="526">
        <f>'Bloom Cleaner Data'!O16/'Bloom Cleaner Data'!GQ16</f>
        <v>0.55392191528545121</v>
      </c>
      <c r="PB16" s="526">
        <f>'Bloom Cleaner Data'!P16/'Bloom Cleaner Data'!GR16</f>
        <v>0.57225568833652007</v>
      </c>
      <c r="PC16" s="526">
        <f>'Bloom Cleaner Data'!Q16/'Bloom Cleaner Data'!GS16</f>
        <v>0.44716263153464098</v>
      </c>
      <c r="PD16" s="526">
        <f>'Bloom Cleaner Data'!R16/'Bloom Cleaner Data'!GT16</f>
        <v>0.5027794267018264</v>
      </c>
      <c r="PE16" s="526">
        <f t="shared" si="102"/>
        <v>0.58081043687158529</v>
      </c>
      <c r="PF16" s="10">
        <f t="shared" si="103"/>
        <v>-0.18942190831267608</v>
      </c>
      <c r="PG16" s="526">
        <f t="shared" si="104"/>
        <v>0.629004450481779</v>
      </c>
      <c r="PH16" s="18"/>
      <c r="PI16" s="2710">
        <v>1</v>
      </c>
      <c r="PJ16" s="526">
        <f>CALCULATIONS!DD16/'Bloom Cleaner Data'!GF16</f>
        <v>0.41572540836178029</v>
      </c>
      <c r="PK16" s="526">
        <f>CALCULATIONS!DE16/'Bloom Cleaner Data'!GG16</f>
        <v>0.40671790421023507</v>
      </c>
      <c r="PL16" s="526">
        <f>CALCULATIONS!DF16/'Bloom Cleaner Data'!GH16</f>
        <v>0.4051087505881002</v>
      </c>
      <c r="PM16" s="526">
        <f>CALCULATIONS!DG16/'Bloom Cleaner Data'!GI16</f>
        <v>0.39235900156280751</v>
      </c>
      <c r="PN16" s="526">
        <f>CALCULATIONS!DH16/'Bloom Cleaner Data'!GJ16</f>
        <v>0.35329809748924357</v>
      </c>
      <c r="PO16" s="526">
        <f>CALCULATIONS!DI16/'Bloom Cleaner Data'!GK16</f>
        <v>0.35260728750662557</v>
      </c>
      <c r="PP16" s="526">
        <f>CALCULATIONS!DJ16/'Bloom Cleaner Data'!GL16</f>
        <v>0.40029957199381611</v>
      </c>
      <c r="PQ16" s="526">
        <f>CALCULATIONS!DK16/'Bloom Cleaner Data'!GM16</f>
        <v>0.40913600543127526</v>
      </c>
      <c r="PR16" s="526">
        <f>CALCULATIONS!DL16/'Bloom Cleaner Data'!GN16</f>
        <v>0.46050652030401756</v>
      </c>
      <c r="PS16" s="526">
        <f>CALCULATIONS!DM16/'Bloom Cleaner Data'!GO16</f>
        <v>0.45517903192531528</v>
      </c>
      <c r="PT16" s="526">
        <f>CALCULATIONS!DN16/'Bloom Cleaner Data'!GP16</f>
        <v>0.45434067784668392</v>
      </c>
      <c r="PU16" s="526">
        <f>CALCULATIONS!DO16/'Bloom Cleaner Data'!GQ16</f>
        <v>0.4418295535180562</v>
      </c>
      <c r="PV16" s="526">
        <f>CALCULATIONS!DP16/'Bloom Cleaner Data'!GR16</f>
        <v>0.51760046984861918</v>
      </c>
      <c r="PW16" s="526">
        <f>CALCULATIONS!DQ16/'Bloom Cleaner Data'!GS16</f>
        <v>0.48910909679236469</v>
      </c>
      <c r="PX16" s="526">
        <f>CALCULATIONS!DR16/'Bloom Cleaner Data'!GT16</f>
        <v>0.55123769968206804</v>
      </c>
      <c r="PY16" s="526">
        <f t="shared" si="105"/>
        <v>0.43712398188376872</v>
      </c>
      <c r="PZ16" s="526">
        <f t="shared" si="106"/>
        <v>0.46435984748246845</v>
      </c>
      <c r="QA16" s="18"/>
      <c r="QC16" s="15">
        <f>'Bloom Cleaner Data'!HZ16</f>
        <v>5.3293999999999997</v>
      </c>
      <c r="QD16" s="15">
        <f>AVERAGE('Bloom Cleaner Data'!HN16:HZ16)</f>
        <v>5.3814615384615383</v>
      </c>
      <c r="QE16" s="504">
        <f>('Bloom Cleaner Data'!HZ16-'Bloom Cleaner Data'!HN16)/'Bloom Cleaner Data'!HN16</f>
        <v>-0.18607776657808731</v>
      </c>
      <c r="QF16" s="15">
        <f>'Bloom Cleaner Data'!HZ16-'Bloom Cleaner Data'!HL16</f>
        <v>-0.4361000000000006</v>
      </c>
    </row>
    <row r="17" spans="1:450">
      <c r="A17" s="11" t="s">
        <v>504</v>
      </c>
      <c r="B17" s="83" t="s">
        <v>281</v>
      </c>
      <c r="C17" s="1207" t="s">
        <v>1103</v>
      </c>
      <c r="D17" s="236" t="s">
        <v>61</v>
      </c>
      <c r="E17" s="13">
        <f>'Bloom Cleaner Data'!D17*'Bloom Cleaner Data'!D44</f>
        <v>16173.648201449998</v>
      </c>
      <c r="G17" s="13">
        <f>'Bloom Cleaner Data'!F17*'Bloom Cleaner Data'!F44</f>
        <v>17223.993288450001</v>
      </c>
      <c r="H17" s="13">
        <f>'Bloom Cleaner Data'!H17*'Bloom Cleaner Data'!H44</f>
        <v>19846.976428030001</v>
      </c>
      <c r="I17" s="13">
        <f>'Bloom Cleaner Data'!J17*'Bloom Cleaner Data'!J44</f>
        <v>18748.735116799999</v>
      </c>
      <c r="J17" s="13">
        <f>'Bloom Cleaner Data'!L17*'Bloom Cleaner Data'!L44</f>
        <v>20060.608347096349</v>
      </c>
      <c r="K17" s="13">
        <f>'Bloom Cleaner Data'!N17*'Bloom Cleaner Data'!N44</f>
        <v>21076.23406794955</v>
      </c>
      <c r="L17" s="13">
        <f>'Bloom Cleaner Data'!P17*'Bloom Cleaner Data'!P44</f>
        <v>23597.87984514</v>
      </c>
      <c r="M17" s="13">
        <f>'Bloom Cleaner Data'!R17*'Bloom Cleaner Data'!R44</f>
        <v>23766.623796323693</v>
      </c>
      <c r="N17" s="13">
        <f t="shared" si="0"/>
        <v>20617.292984255655</v>
      </c>
      <c r="O17" s="13">
        <f t="shared" si="32"/>
        <v>22813.57923647108</v>
      </c>
      <c r="P17" s="10">
        <f t="shared" si="1"/>
        <v>0.37985561177970401</v>
      </c>
      <c r="Q17" s="18">
        <f>('Bloom Cleaner Data'!R17-'Bloom Cleaner Data'!F17)/'Bloom Cleaner Data'!F17</f>
        <v>0.37068619466261793</v>
      </c>
      <c r="R17" s="10">
        <f t="shared" si="33"/>
        <v>0.48163119068534294</v>
      </c>
      <c r="S17" s="1363" t="s">
        <v>281</v>
      </c>
      <c r="T17" s="1322">
        <f>'Bloom Cleaner Data'!D17/'Bloom Cleaner Data'!$F17</f>
        <v>0.979540451670037</v>
      </c>
      <c r="U17" s="1322">
        <f>'Bloom Cleaner Data'!E17/'Bloom Cleaner Data'!$F17</f>
        <v>0.97519661222020571</v>
      </c>
      <c r="V17" s="1322">
        <f>'Bloom Cleaner Data'!F17/'Bloom Cleaner Data'!$F17</f>
        <v>1</v>
      </c>
      <c r="W17" s="1322">
        <f>'Bloom Cleaner Data'!G17/'Bloom Cleaner Data'!$F17</f>
        <v>1.1143368959160354</v>
      </c>
      <c r="X17" s="1322">
        <f>'Bloom Cleaner Data'!H17/'Bloom Cleaner Data'!$F17</f>
        <v>1.1289354940941136</v>
      </c>
      <c r="Y17" s="1322">
        <f>'Bloom Cleaner Data'!I17/'Bloom Cleaner Data'!$F17</f>
        <v>1.101028433151845</v>
      </c>
      <c r="Z17" s="1322">
        <f>'Bloom Cleaner Data'!J17/'Bloom Cleaner Data'!$F17</f>
        <v>1.0689648721017875</v>
      </c>
      <c r="AA17" s="1322">
        <f>'Bloom Cleaner Data'!K17/'Bloom Cleaner Data'!$F17</f>
        <v>1.0715455698601759</v>
      </c>
      <c r="AB17" s="1322">
        <f>'Bloom Cleaner Data'!L17/'Bloom Cleaner Data'!$F17</f>
        <v>1.1342037835488505</v>
      </c>
      <c r="AC17" s="1322">
        <f>'Bloom Cleaner Data'!M17/'Bloom Cleaner Data'!$F17</f>
        <v>1.2021965295379771</v>
      </c>
      <c r="AD17" s="1322">
        <f>'Bloom Cleaner Data'!N17/'Bloom Cleaner Data'!$F17</f>
        <v>1.1607432295637612</v>
      </c>
      <c r="AE17" s="1322">
        <f>'Bloom Cleaner Data'!O17/'Bloom Cleaner Data'!$F17</f>
        <v>1.2716415942177277</v>
      </c>
      <c r="AF17" s="1322">
        <f>'Bloom Cleaner Data'!P17/'Bloom Cleaner Data'!$F17</f>
        <v>1.2644373269637914</v>
      </c>
      <c r="AG17" s="1322">
        <f>'Bloom Cleaner Data'!Q17/'Bloom Cleaner Data'!$F17</f>
        <v>1.4537925835416636</v>
      </c>
      <c r="AH17" s="1322">
        <f>'Bloom Cleaner Data'!R17/'Bloom Cleaner Data'!$F17</f>
        <v>1.3706861946626179</v>
      </c>
      <c r="AI17" s="13"/>
      <c r="AJ17" s="13">
        <f>AVERAGE('Bloom Cleaner Data'!BW17:CI17)</f>
        <v>195427.21305384615</v>
      </c>
      <c r="AK17" s="18">
        <f>('Bloom Cleaner Data'!CI17-'Bloom Cleaner Data'!BW17)/'Bloom Cleaner Data'!BW17</f>
        <v>0.32197959476122728</v>
      </c>
      <c r="AL17" s="18">
        <f>('Bloom Cleaner Data'!CI17+'Bloom Cleaner Data'!CH17-'Bloom Cleaner Data'!BW17-'Bloom Cleaner Data'!BV17)/('Bloom Cleaner Data'!BW17+'Bloom Cleaner Data'!BV17)</f>
        <v>0.38080671361932011</v>
      </c>
      <c r="AM17" s="13"/>
      <c r="AN17" s="13">
        <f>'Bloom Cleaner Data'!BW17*'Bloom Cleaner Data'!BW44</f>
        <v>21925.550388450003</v>
      </c>
      <c r="AO17" s="13">
        <f>'Bloom Cleaner Data'!BY17*'Bloom Cleaner Data'!BY44</f>
        <v>23592.95152803</v>
      </c>
      <c r="AP17" s="13">
        <f>'Bloom Cleaner Data'!CA17*'Bloom Cleaner Data'!CA44</f>
        <v>22894.5271168</v>
      </c>
      <c r="AQ17" s="13">
        <f>'Bloom Cleaner Data'!CC17*'Bloom Cleaner Data'!CC44</f>
        <v>23150.105997604347</v>
      </c>
      <c r="AR17" s="13">
        <f>'Bloom Cleaner Data'!CE17*'Bloom Cleaner Data'!CE44</f>
        <v>26105.365102748441</v>
      </c>
      <c r="AS17" s="13">
        <f>'Bloom Cleaner Data'!CG17*'Bloom Cleaner Data'!CG44</f>
        <v>29638.75844514</v>
      </c>
      <c r="AT17" s="13">
        <f>'Bloom Cleaner Data'!CI17*'Bloom Cleaner Data'!CI44</f>
        <v>29179.030725223394</v>
      </c>
      <c r="AU17" s="13">
        <f t="shared" si="2"/>
        <v>25212.327043428028</v>
      </c>
      <c r="AV17" s="10">
        <f t="shared" si="3"/>
        <v>0.3308231815514377</v>
      </c>
      <c r="AW17" s="10"/>
      <c r="AX17" s="13">
        <f>'Bloom Cleaner Data'!T17+'OPERATING LEASES'!AU17</f>
        <v>36969.356202327508</v>
      </c>
      <c r="AY17" s="13">
        <f>'Bloom Cleaner Data'!U17+'OPERATING LEASES'!AV17</f>
        <v>31983.343352425003</v>
      </c>
      <c r="AZ17" s="13">
        <f>'Bloom Cleaner Data'!V17+'OPERATING LEASES'!AW17</f>
        <v>36457.330502522498</v>
      </c>
      <c r="BA17" s="13">
        <f>'Bloom Cleaner Data'!W17+'OPERATING LEASES'!AX17</f>
        <v>31103.317652619997</v>
      </c>
      <c r="BB17" s="13">
        <f>'Bloom Cleaner Data'!X17+'OPERATING LEASES'!AY17</f>
        <v>30692.304802717492</v>
      </c>
      <c r="BC17" s="13">
        <f>'Bloom Cleaner Data'!Y17+'OPERATING LEASES'!AZ17</f>
        <v>29543.459845948481</v>
      </c>
      <c r="BD17" s="13">
        <f>'Bloom Cleaner Data'!Z17+'OPERATING LEASES'!BA17</f>
        <v>35086.614889179473</v>
      </c>
      <c r="BE17" s="13">
        <f>'Bloom Cleaner Data'!AA17+'OPERATING LEASES'!BB17</f>
        <v>30307.769932410461</v>
      </c>
      <c r="BF17" s="13">
        <f>'Bloom Cleaner Data'!AB17+'OPERATING LEASES'!BC17</f>
        <v>29383.92497564145</v>
      </c>
      <c r="BG17" s="13">
        <f>'Bloom Cleaner Data'!AC17+'OPERATING LEASES'!BD17</f>
        <v>33355.2711471726</v>
      </c>
      <c r="BH17" s="13">
        <f>'Bloom Cleaner Data'!AD17+'OPERATING LEASES'!BE17</f>
        <v>41541.617318703749</v>
      </c>
      <c r="BI17" s="13">
        <f>'Bloom Cleaner Data'!AE17+'OPERATING LEASES'!BF17</f>
        <v>40673.963490234906</v>
      </c>
      <c r="BJ17" s="13">
        <f>'Bloom Cleaner Data'!AF17+'OPERATING LEASES'!BG17</f>
        <v>48484.309661766056</v>
      </c>
      <c r="BK17" s="13">
        <f>'Bloom Cleaner Data'!AG17+'OPERATING LEASES'!BH17</f>
        <v>44935.309661766056</v>
      </c>
      <c r="BL17" s="13">
        <f>'Bloom Cleaner Data'!AH17+'OPERATING LEASES'!BI17</f>
        <v>46403.309661766056</v>
      </c>
      <c r="BM17" s="1167">
        <f t="shared" si="34"/>
        <v>36766.807964803789</v>
      </c>
      <c r="BN17" s="10">
        <f t="shared" si="35"/>
        <v>0.27281150380868918</v>
      </c>
      <c r="BO17" s="10"/>
      <c r="BP17" s="13">
        <f>'Bloom Cleaner Data'!BU17+'OPERATING LEASES'!AU17</f>
        <v>180279.50310232749</v>
      </c>
      <c r="BQ17" s="13">
        <f>'Bloom Cleaner Data'!BV17+'OPERATING LEASES'!AV17</f>
        <v>176038.27735242501</v>
      </c>
      <c r="BR17" s="13">
        <f>'Bloom Cleaner Data'!BW17+'OPERATING LEASES'!AW17</f>
        <v>183903.9390025225</v>
      </c>
      <c r="BS17" s="13">
        <f>'Bloom Cleaner Data'!BX17+'OPERATING LEASES'!AX17</f>
        <v>192520.89455261998</v>
      </c>
      <c r="BT17" s="13">
        <f>'Bloom Cleaner Data'!BY17+'OPERATING LEASES'!AY17</f>
        <v>193735.24890271749</v>
      </c>
      <c r="BU17" s="13">
        <f>'Bloom Cleaner Data'!BZ17+'OPERATING LEASES'!AZ17</f>
        <v>188114.44984594846</v>
      </c>
      <c r="BV17" s="13">
        <f>'Bloom Cleaner Data'!CA17+'OPERATING LEASES'!BA17</f>
        <v>187966.10798917947</v>
      </c>
      <c r="BW17" s="13">
        <f>'Bloom Cleaner Data'!CB17+'OPERATING LEASES'!BB17</f>
        <v>183281.88213241045</v>
      </c>
      <c r="BX17" s="13">
        <f>'Bloom Cleaner Data'!CC17+'OPERATING LEASES'!BC17</f>
        <v>187707.75437564144</v>
      </c>
      <c r="BY17" s="13">
        <f>'Bloom Cleaner Data'!CD17+'OPERATING LEASES'!BD17</f>
        <v>199253.77994717262</v>
      </c>
      <c r="BZ17" s="13">
        <f>'Bloom Cleaner Data'!CE17+'OPERATING LEASES'!BE17</f>
        <v>204776.00391870376</v>
      </c>
      <c r="CA17" s="13">
        <f>'Bloom Cleaner Data'!CF17+'OPERATING LEASES'!BF17</f>
        <v>218557.15509023488</v>
      </c>
      <c r="CB17" s="13">
        <f>'Bloom Cleaner Data'!CG17+'OPERATING LEASES'!BG17</f>
        <v>224800.33936176606</v>
      </c>
      <c r="CC17" s="13">
        <f>'Bloom Cleaner Data'!CH17+'OPERATING LEASES'!BH17</f>
        <v>247694.66926176604</v>
      </c>
      <c r="CD17" s="13">
        <f>'Bloom Cleaner Data'!CI17+'OPERATING LEASES'!BI17</f>
        <v>237778.04886176606</v>
      </c>
      <c r="CE17" s="1167">
        <f t="shared" si="36"/>
        <v>203853.09794172691</v>
      </c>
      <c r="CF17" s="10">
        <f t="shared" si="37"/>
        <v>0.29294701435679743</v>
      </c>
      <c r="CG17" s="18">
        <f t="shared" si="4"/>
        <v>4.3115207734959485E-2</v>
      </c>
      <c r="CH17" s="13"/>
      <c r="CI17" s="18">
        <f>$CI$1*BP17/('Bloom Cleaner Data'!D17+'Bloom Cleaner Data'!T17+'OPERATING LEASES'!AU17)+(1-$CI$1)*'Bloom Cleaner Data'!BU17/('Bloom Cleaner Data'!D17+'Bloom Cleaner Data'!T17)-1</f>
        <v>5.3092898468597438E-2</v>
      </c>
      <c r="CJ17" s="18">
        <f>$CI$1*BQ17/('Bloom Cleaner Data'!E17+'Bloom Cleaner Data'!U17+'OPERATING LEASES'!AV17)+(1-$CI$1)*'Bloom Cleaner Data'!BV17/('Bloom Cleaner Data'!E17+'Bloom Cleaner Data'!U17)-1</f>
        <v>6.2973525195732627E-2</v>
      </c>
      <c r="CK17" s="18">
        <f>$CI$1*BR17/('Bloom Cleaner Data'!F17+'Bloom Cleaner Data'!V17+'OPERATING LEASES'!AW17)+(1-$CI$1)*'Bloom Cleaner Data'!BW17/('Bloom Cleaner Data'!F17+'Bloom Cleaner Data'!V17)-1</f>
        <v>6.0075417994079894E-2</v>
      </c>
      <c r="CL17" s="18">
        <f>$CI$1*BS17/('Bloom Cleaner Data'!G17+'Bloom Cleaner Data'!W17+'OPERATING LEASES'!AX17)+(1-$CI$1)*'Bloom Cleaner Data'!BX17/('Bloom Cleaner Data'!G17+'Bloom Cleaner Data'!W17)-1</f>
        <v>4.747683563920635E-2</v>
      </c>
      <c r="CM17" s="18">
        <f>$CI$1*BT17/('Bloom Cleaner Data'!H17+'Bloom Cleaner Data'!X17+'OPERATING LEASES'!AY17)+(1-$CI$1)*'Bloom Cleaner Data'!BY17/('Bloom Cleaner Data'!H17+'Bloom Cleaner Data'!X17)-1</f>
        <v>4.5046977018971424E-2</v>
      </c>
      <c r="CN17" s="18">
        <f>$CI$1*BU17/('Bloom Cleaner Data'!I17+'Bloom Cleaner Data'!Y17+'OPERATING LEASES'!AZ17)+(1-$CI$1)*'Bloom Cleaner Data'!BZ17/('Bloom Cleaner Data'!I17+'Bloom Cleaner Data'!Y17)-1</f>
        <v>4.2696846605786432E-2</v>
      </c>
      <c r="CO17" s="18">
        <f>$CI$1*BV17/('Bloom Cleaner Data'!J17+'Bloom Cleaner Data'!Z17+'OPERATING LEASES'!BA17)+(1-$CI$1)*'Bloom Cleaner Data'!CA17/('Bloom Cleaner Data'!J17+'Bloom Cleaner Data'!Z17)-1</f>
        <v>3.5277378899790213E-2</v>
      </c>
      <c r="CP17" s="18">
        <f>$CI$1*BW17/('Bloom Cleaner Data'!K17+'Bloom Cleaner Data'!AA17+'OPERATING LEASES'!BB17)+(1-$CI$1)*'Bloom Cleaner Data'!CB17/('Bloom Cleaner Data'!K17+'Bloom Cleaner Data'!AA17)-1</f>
        <v>3.4696527468137894E-2</v>
      </c>
      <c r="CQ17" s="18">
        <f>$CI$1*BX17/('Bloom Cleaner Data'!L17+'Bloom Cleaner Data'!AB17+'OPERATING LEASES'!BC17)+(1-$CI$1)*'Bloom Cleaner Data'!CC17/('Bloom Cleaner Data'!L17+'Bloom Cleaner Data'!AB17)-1</f>
        <v>1.5746944598064694E-2</v>
      </c>
      <c r="CR17" s="18">
        <f>$CI$1*BY17/('Bloom Cleaner Data'!M17+'Bloom Cleaner Data'!AC17+'OPERATING LEASES'!BD17)+(1-$CI$1)*'Bloom Cleaner Data'!CD17/('Bloom Cleaner Data'!M17+'Bloom Cleaner Data'!AC17)-1</f>
        <v>5.8964353741670639E-3</v>
      </c>
      <c r="CS17" s="18">
        <f>$CI$1*BZ17/('Bloom Cleaner Data'!N17+'Bloom Cleaner Data'!AD17+'OPERATING LEASES'!BE17)+(1-$CI$1)*'Bloom Cleaner Data'!CE17/('Bloom Cleaner Data'!N17+'Bloom Cleaner Data'!AD17)-1</f>
        <v>2.0858259144246327E-2</v>
      </c>
      <c r="CT17" s="18">
        <f>$CI$1*CA17/('Bloom Cleaner Data'!O17+'Bloom Cleaner Data'!AE17+'OPERATING LEASES'!BF17)+(1-$CI$1)*'Bloom Cleaner Data'!CF17/('Bloom Cleaner Data'!O17+'Bloom Cleaner Data'!AE17)-1</f>
        <v>1.69225636305399E-2</v>
      </c>
      <c r="CU17" s="18">
        <f>$CI$1*CB17/('Bloom Cleaner Data'!P17+'Bloom Cleaner Data'!AF17+'OPERATING LEASES'!BG17)+(1-$CI$1)*'Bloom Cleaner Data'!CG17/('Bloom Cleaner Data'!P17+'Bloom Cleaner Data'!AF17)-1</f>
        <v>1.3786208906201303E-2</v>
      </c>
      <c r="CV17" s="18">
        <f>$CI$1*CC17/('Bloom Cleaner Data'!Q17+'Bloom Cleaner Data'!AG17+'OPERATING LEASES'!BH17)+(1-$CI$1)*'Bloom Cleaner Data'!CH17/('Bloom Cleaner Data'!Q17+'Bloom Cleaner Data'!AG17)-1</f>
        <v>1.45571813608385E-2</v>
      </c>
      <c r="CW17" s="18">
        <f>$CI$1*CD17/('Bloom Cleaner Data'!R17+'Bloom Cleaner Data'!AH17+'OPERATING LEASES'!BI17)+(1-$CI$1)*'Bloom Cleaner Data'!CI17/('Bloom Cleaner Data'!R17+'Bloom Cleaner Data'!AH17)-1</f>
        <v>1.5186508715957947E-2</v>
      </c>
      <c r="CX17" s="18">
        <f t="shared" si="38"/>
        <v>2.8324929642768303E-2</v>
      </c>
      <c r="CY17" s="13"/>
      <c r="CZ17" s="3112">
        <f>AVERAGE('Bloom Cleaner Data'!GX17:HJ17)</f>
        <v>34041.336833039612</v>
      </c>
      <c r="DA17" s="2860">
        <f>('Bloom Cleaner Data'!HJ17-'Bloom Cleaner Data'!GX17)/'Bloom Cleaner Data'!GX17</f>
        <v>0.26356669212410033</v>
      </c>
      <c r="DB17" s="2860">
        <f>('Bloom Cleaner Data'!HJ17+'Bloom Cleaner Data'!HI17-'Bloom Cleaner Data'!GX17-'Bloom Cleaner Data'!GW17)/('Bloom Cleaner Data'!GX17+'Bloom Cleaner Data'!GW17)</f>
        <v>0.1915397182243169</v>
      </c>
      <c r="DC17" s="13"/>
      <c r="DD17" s="13">
        <f>'Bloom Cleaner Data'!GV17+'OPERATING LEASES'!BL17</f>
        <v>34635.899374297907</v>
      </c>
      <c r="DE17" s="13">
        <f>'Bloom Cleaner Data'!GW17+'OPERATING LEASES'!BM17</f>
        <v>33884.624053009313</v>
      </c>
      <c r="DF17" s="13">
        <f>'Bloom Cleaner Data'!GX17+'OPERATING LEASES'!BN17</f>
        <v>31048.512633242404</v>
      </c>
      <c r="DG17" s="13">
        <f>'Bloom Cleaner Data'!GY17+'OPERATING LEASES'!BO17</f>
        <v>30522.643604697627</v>
      </c>
      <c r="DH17" s="13">
        <f>'Bloom Cleaner Data'!GZ17+'OPERATING LEASES'!BP17</f>
        <v>30905.430861362693</v>
      </c>
      <c r="DI17" s="13">
        <f>'Bloom Cleaner Data'!HA17+'OPERATING LEASES'!BQ17</f>
        <v>31084.597591587939</v>
      </c>
      <c r="DJ17" s="13">
        <f>'Bloom Cleaner Data'!HB17+'OPERATING LEASES'!BR17</f>
        <v>31352.55208979431</v>
      </c>
      <c r="DK17" s="13">
        <f>'Bloom Cleaner Data'!HC17+'OPERATING LEASES'!BS17</f>
        <v>31603.521707700649</v>
      </c>
      <c r="DL17" s="13">
        <f>'Bloom Cleaner Data'!HD17+'OPERATING LEASES'!BT17</f>
        <v>35638.474829384249</v>
      </c>
      <c r="DM17" s="13">
        <f>'Bloom Cleaner Data'!HE17+'OPERATING LEASES'!BU17</f>
        <v>39694.998862767206</v>
      </c>
      <c r="DN17" s="13">
        <f>'Bloom Cleaner Data'!HF17+'OPERATING LEASES'!BV17</f>
        <v>40215.464090341506</v>
      </c>
      <c r="DO17" s="13">
        <f>'Bloom Cleaner Data'!HG17+'OPERATING LEASES'!BW17</f>
        <v>40372.10345196259</v>
      </c>
      <c r="DP17" s="13">
        <f>'Bloom Cleaner Data'!HH17+'OPERATING LEASES'!BX17</f>
        <v>40835.952912053785</v>
      </c>
      <c r="DQ17" s="13">
        <f>'Bloom Cleaner Data'!HI17+'OPERATING LEASES'!BY17</f>
        <v>37489.663453532557</v>
      </c>
      <c r="DR17" s="13">
        <f>'Bloom Cleaner Data'!HJ17+'OPERATING LEASES'!BZ17</f>
        <v>38388.779705373177</v>
      </c>
      <c r="DS17" s="1167">
        <f t="shared" si="39"/>
        <v>35319.438137984667</v>
      </c>
      <c r="DT17" s="10">
        <f t="shared" si="40"/>
        <v>0.23641284073208202</v>
      </c>
      <c r="DU17" s="18">
        <f t="shared" si="41"/>
        <v>3.7545567355761561E-2</v>
      </c>
      <c r="DV17" s="167"/>
      <c r="DW17" s="15">
        <f>'Bloom Cleaner Data'!DT17</f>
        <v>1.9931000000000001</v>
      </c>
      <c r="DX17" s="15">
        <f>'Bloom Cleaner Data'!DX17</f>
        <v>1.8995</v>
      </c>
      <c r="DY17" s="15">
        <f>'Bloom Cleaner Data'!EB17</f>
        <v>1.9594</v>
      </c>
      <c r="DZ17" s="15">
        <f>'Bloom Cleaner Data'!EF17</f>
        <v>2.2671999999999999</v>
      </c>
      <c r="EA17" s="15">
        <f>AVERAGE('Bloom Cleaner Data'!DT17:EF17)</f>
        <v>2.0217230769230765</v>
      </c>
      <c r="EB17" s="18">
        <f t="shared" si="5"/>
        <v>0.13752445938487773</v>
      </c>
      <c r="EC17" s="13"/>
      <c r="ED17" s="15">
        <f>'Bloom Cleaner Data'!DC17</f>
        <v>5.9076000000000004</v>
      </c>
      <c r="EE17" s="15">
        <f>'Bloom Cleaner Data'!DG17</f>
        <v>5.9653</v>
      </c>
      <c r="EF17" s="15">
        <f>'Bloom Cleaner Data'!DK17</f>
        <v>5.0453000000000001</v>
      </c>
      <c r="EG17" s="15">
        <f>'Bloom Cleaner Data'!DO17</f>
        <v>6.1806999999999999</v>
      </c>
      <c r="EH17" s="15">
        <f>AVERAGE('Bloom Cleaner Data'!DC17:DO17)</f>
        <v>5.7751384615384618</v>
      </c>
      <c r="EI17" s="22">
        <f t="shared" si="42"/>
        <v>5.7747250000000001</v>
      </c>
      <c r="EJ17" s="22">
        <f t="shared" si="6"/>
        <v>4.13461538461668E-4</v>
      </c>
      <c r="EK17" s="18">
        <f t="shared" si="43"/>
        <v>4.622858690500363E-2</v>
      </c>
      <c r="EL17" s="241"/>
      <c r="EM17" s="15">
        <f>('Bloom Cleaner Data'!BU17+'OPERATING LEASES'!AU17)/DD17</f>
        <v>5.2049898041945069</v>
      </c>
      <c r="EN17" s="15">
        <f>('Bloom Cleaner Data'!BV17+'OPERATING LEASES'!AV17)/DE17</f>
        <v>5.1952259253940563</v>
      </c>
      <c r="EO17" s="15">
        <f>('Bloom Cleaner Data'!BW17+'OPERATING LEASES'!AW17)/DF17</f>
        <v>5.92311590493465</v>
      </c>
      <c r="EP17" s="15">
        <f>('Bloom Cleaner Data'!BX17+'OPERATING LEASES'!AX17)/DG17</f>
        <v>6.3074777219817815</v>
      </c>
      <c r="EQ17" s="15">
        <f>('Bloom Cleaner Data'!BY17+'OPERATING LEASES'!AY17)/DH17</f>
        <v>6.2686474028395169</v>
      </c>
      <c r="ER17" s="15">
        <f>('Bloom Cleaner Data'!BZ17+'OPERATING LEASES'!AZ17)/DI17</f>
        <v>6.0516932635748732</v>
      </c>
      <c r="ES17" s="15">
        <f>('Bloom Cleaner Data'!CA17+'OPERATING LEASES'!BA17)/DJ17</f>
        <v>5.9952410716308178</v>
      </c>
      <c r="ET17" s="15">
        <f>('Bloom Cleaner Data'!CB17+'OPERATING LEASES'!BB17)/DK17</f>
        <v>5.7994132371567693</v>
      </c>
      <c r="EU17" s="15">
        <f>('Bloom Cleaner Data'!CC17+'OPERATING LEASES'!BC17)/DL17</f>
        <v>5.2669974030671671</v>
      </c>
      <c r="EV17" s="15">
        <f>('Bloom Cleaner Data'!CD17+'OPERATING LEASES'!BD17)/DM17</f>
        <v>5.0196192380815781</v>
      </c>
      <c r="EW17" s="15">
        <f>('Bloom Cleaner Data'!CE17+'OPERATING LEASES'!BE17)/DN17</f>
        <v>5.0919716718595458</v>
      </c>
      <c r="EX17" s="15">
        <f>('Bloom Cleaner Data'!CF17+'OPERATING LEASES'!BF17)/DO17</f>
        <v>5.4135686873558297</v>
      </c>
      <c r="EY17" s="15">
        <f>('Bloom Cleaner Data'!CG17+'OPERATING LEASES'!BG17)/DP17</f>
        <v>5.5049612738536204</v>
      </c>
      <c r="EZ17" s="15">
        <f>('Bloom Cleaner Data'!CH17+'OPERATING LEASES'!BH17)/DQ17</f>
        <v>6.6070123453836018</v>
      </c>
      <c r="FA17" s="15">
        <f>('Bloom Cleaner Data'!CI17+'OPERATING LEASES'!BI17)/DR17</f>
        <v>6.1939465303838475</v>
      </c>
      <c r="FB17" s="526">
        <f t="shared" si="44"/>
        <v>5.8033589040079683</v>
      </c>
      <c r="FC17" s="10">
        <f t="shared" si="45"/>
        <v>4.5724350121793801E-2</v>
      </c>
      <c r="FD17" s="15">
        <f t="shared" si="7"/>
        <v>2.8220442469506501E-2</v>
      </c>
      <c r="FE17" s="15">
        <f t="shared" si="46"/>
        <v>5.6944424722347646</v>
      </c>
      <c r="FF17" s="13"/>
      <c r="FG17" s="15">
        <f>$FG$1*EM17+(1-$FG$1)*'Bloom Cleaner Data'!DA17</f>
        <v>5.2049898041945069</v>
      </c>
      <c r="FH17" s="15">
        <f>$FG$1*EN17+(1-$FG$1)*'Bloom Cleaner Data'!DB17</f>
        <v>5.1952259253940563</v>
      </c>
      <c r="FI17" s="15">
        <f>$FG$1*EO17+(1-$FG$1)*'Bloom Cleaner Data'!DC17</f>
        <v>5.92311590493465</v>
      </c>
      <c r="FJ17" s="15">
        <f>$FG$1*EP17+(1-$FG$1)*'Bloom Cleaner Data'!DD17</f>
        <v>6.3074777219817815</v>
      </c>
      <c r="FK17" s="15">
        <f>$FG$1*EQ17+(1-$FG$1)*'Bloom Cleaner Data'!DE17</f>
        <v>6.2686474028395169</v>
      </c>
      <c r="FL17" s="15">
        <f>$FG$1*ER17+(1-$FG$1)*'Bloom Cleaner Data'!DF17</f>
        <v>6.0516932635748732</v>
      </c>
      <c r="FM17" s="15">
        <f>$FG$1*ES17+(1-$FG$1)*'Bloom Cleaner Data'!DG17</f>
        <v>5.9952410716308178</v>
      </c>
      <c r="FN17" s="15">
        <f>$FG$1*ET17+(1-$FG$1)*'Bloom Cleaner Data'!DH17</f>
        <v>5.7994132371567693</v>
      </c>
      <c r="FO17" s="15">
        <f>$FG$1*EU17+(1-$FG$1)*'Bloom Cleaner Data'!DI17</f>
        <v>5.2669974030671671</v>
      </c>
      <c r="FP17" s="15">
        <f>$FG$1*EV17+(1-$FG$1)*'Bloom Cleaner Data'!DJ17</f>
        <v>5.0196192380815781</v>
      </c>
      <c r="FQ17" s="15">
        <f>$FG$1*EW17+(1-$FG$1)*'Bloom Cleaner Data'!DK17</f>
        <v>5.0919716718595458</v>
      </c>
      <c r="FR17" s="15">
        <f>$FG$1*EX17+(1-$FG$1)*'Bloom Cleaner Data'!DL17</f>
        <v>5.4135686873558297</v>
      </c>
      <c r="FS17" s="15">
        <f>$FG$1*EY17+(1-$FG$1)*'Bloom Cleaner Data'!DM17</f>
        <v>5.5049612738536204</v>
      </c>
      <c r="FT17" s="15">
        <f>$FG$1*EZ17+(1-$FG$1)*'Bloom Cleaner Data'!DN17</f>
        <v>6.6070123453836018</v>
      </c>
      <c r="FU17" s="15">
        <f>$FG$1*FA17+(1-$FG$1)*'Bloom Cleaner Data'!DO17</f>
        <v>6.1939465303838475</v>
      </c>
      <c r="FV17" s="526">
        <f t="shared" si="47"/>
        <v>5.8033589040079683</v>
      </c>
      <c r="FW17" s="10">
        <f t="shared" si="48"/>
        <v>4.5724350121793801E-2</v>
      </c>
      <c r="FX17" s="526">
        <f t="shared" si="49"/>
        <v>5.6944424722347646</v>
      </c>
      <c r="FY17" s="2710"/>
      <c r="FZ17" s="2710"/>
      <c r="GA17" s="10">
        <f>'Bloom Cleaner Data'!T17/('Bloom Cleaner Data'!T17+'Bloom Cleaner Data'!D17)</f>
        <v>0.17190453559403596</v>
      </c>
      <c r="GB17" s="10">
        <f>'Bloom Cleaner Data'!U17/('Bloom Cleaner Data'!U17+'Bloom Cleaner Data'!E17)</f>
        <v>0.14516568521178125</v>
      </c>
      <c r="GC17" s="10">
        <f>'Bloom Cleaner Data'!V17/('Bloom Cleaner Data'!V17+'Bloom Cleaner Data'!F17)</f>
        <v>0.16451266665066519</v>
      </c>
      <c r="GD17" s="10">
        <f>'Bloom Cleaner Data'!W17/('Bloom Cleaner Data'!W17+'Bloom Cleaner Data'!G17)</f>
        <v>0.12313535609685165</v>
      </c>
      <c r="GE17" s="10">
        <f>'Bloom Cleaner Data'!X17/('Bloom Cleaner Data'!X17+'Bloom Cleaner Data'!H17)</f>
        <v>0.11875495128349291</v>
      </c>
      <c r="GF17" s="10">
        <f>'Bloom Cleaner Data'!Y17/('Bloom Cleaner Data'!Y17+'Bloom Cleaner Data'!I17)</f>
        <v>0.11740583474647588</v>
      </c>
      <c r="GG17" s="10">
        <f>'Bloom Cleaner Data'!Z17/('Bloom Cleaner Data'!Z17+'Bloom Cleaner Data'!J17)</f>
        <v>0.15066813778161212</v>
      </c>
      <c r="GH17" s="10">
        <f>'Bloom Cleaner Data'!AA17/('Bloom Cleaner Data'!AA17+'Bloom Cleaner Data'!K17)</f>
        <v>0.12812556411218021</v>
      </c>
      <c r="GI17" s="10">
        <f>'Bloom Cleaner Data'!AB17/('Bloom Cleaner Data'!AB17+'Bloom Cleaner Data'!L17)</f>
        <v>0.11916311206267843</v>
      </c>
      <c r="GJ17" s="10">
        <f>'Bloom Cleaner Data'!AC17/('Bloom Cleaner Data'!AC17+'Bloom Cleaner Data'!M17)</f>
        <v>0.13308633497530648</v>
      </c>
      <c r="GK17" s="10">
        <f>'Bloom Cleaner Data'!AD17/('Bloom Cleaner Data'!AD17+'Bloom Cleaner Data'!N17)</f>
        <v>0.17512852687669983</v>
      </c>
      <c r="GL17" s="10">
        <f>'Bloom Cleaner Data'!AE17/('Bloom Cleaner Data'!AE17+'Bloom Cleaner Data'!O17)</f>
        <v>0.16001315732084642</v>
      </c>
      <c r="GM17" s="10">
        <f>'Bloom Cleaner Data'!AF17/('Bloom Cleaner Data'!AF17+'Bloom Cleaner Data'!P17)</f>
        <v>0.19247276588081774</v>
      </c>
      <c r="GN17" s="10">
        <f>'Bloom Cleaner Data'!AG17/('Bloom Cleaner Data'!AG17+'Bloom Cleaner Data'!Q17)</f>
        <v>0.15930206419434195</v>
      </c>
      <c r="GO17" s="10">
        <f>'Bloom Cleaner Data'!AH17/('Bloom Cleaner Data'!AH17+'Bloom Cleaner Data'!R17)</f>
        <v>0.17272839211728983</v>
      </c>
      <c r="GP17" s="10">
        <f t="shared" si="50"/>
        <v>0.14726898954609682</v>
      </c>
      <c r="GQ17" s="10">
        <f t="shared" si="51"/>
        <v>4.9939774449528171E-2</v>
      </c>
      <c r="GR17" s="10"/>
      <c r="GS17" s="496">
        <f t="shared" si="8"/>
        <v>0.20759023926951711</v>
      </c>
      <c r="GT17" s="497">
        <f t="shared" si="9"/>
        <v>0.16981733500923554</v>
      </c>
      <c r="GU17" s="497">
        <f t="shared" si="10"/>
        <v>0.19690623673630128</v>
      </c>
      <c r="GV17" s="497">
        <f t="shared" si="11"/>
        <v>0.14042686856291156</v>
      </c>
      <c r="GW17" s="497">
        <f t="shared" si="12"/>
        <v>0.13475814866302402</v>
      </c>
      <c r="GX17" s="497">
        <f t="shared" si="13"/>
        <v>0.13302357909056786</v>
      </c>
      <c r="GY17" s="497">
        <f t="shared" si="14"/>
        <v>0.17739607388339207</v>
      </c>
      <c r="GZ17" s="497">
        <f t="shared" si="15"/>
        <v>0.14695414710916649</v>
      </c>
      <c r="HA17" s="497">
        <f t="shared" si="16"/>
        <v>0.13528397106724918</v>
      </c>
      <c r="HB17" s="497">
        <f t="shared" si="17"/>
        <v>0.15351740357157201</v>
      </c>
      <c r="HC17" s="497">
        <f t="shared" si="18"/>
        <v>0.21231007809445962</v>
      </c>
      <c r="HD17" s="497">
        <f t="shared" si="19"/>
        <v>0.19049483776493628</v>
      </c>
      <c r="HE17" s="497">
        <f t="shared" si="20"/>
        <v>0.23834832776972428</v>
      </c>
      <c r="HF17" s="497">
        <f t="shared" si="21"/>
        <v>0.18948787359835673</v>
      </c>
      <c r="HG17" s="498">
        <f t="shared" si="22"/>
        <v>0.20879284441945831</v>
      </c>
      <c r="HH17" s="10">
        <f t="shared" si="52"/>
        <v>0.17366926079470152</v>
      </c>
      <c r="HI17" s="10">
        <f t="shared" si="53"/>
        <v>6.0366842006511372E-2</v>
      </c>
      <c r="HJ17" s="10"/>
      <c r="HK17" s="18">
        <f>('Bloom Cleaner Data'!T17+'OPERATING LEASES'!AU17)/('Bloom Cleaner Data'!T17+'OPERATING LEASES'!AU17+'Bloom Cleaner Data'!D17)</f>
        <v>0.21595448072390691</v>
      </c>
      <c r="HL17" s="18">
        <f>('Bloom Cleaner Data'!U17+'OPERATING LEASES'!AV17)/('Bloom Cleaner Data'!U17+'OPERATING LEASES'!AV17+'Bloom Cleaner Data'!E17)</f>
        <v>0.19312531196161681</v>
      </c>
      <c r="HM17" s="18">
        <f>('Bloom Cleaner Data'!V17+'OPERATING LEASES'!AW17)/('Bloom Cleaner Data'!V17+'OPERATING LEASES'!AW17+'Bloom Cleaner Data'!F17)</f>
        <v>0.21015058231504083</v>
      </c>
      <c r="HN17" s="18">
        <f>('Bloom Cleaner Data'!W17+'OPERATING LEASES'!AX17)/('Bloom Cleaner Data'!W17+'OPERATING LEASES'!AX17+'Bloom Cleaner Data'!G17)</f>
        <v>0.16922840935451122</v>
      </c>
      <c r="HO17" s="18">
        <f>('Bloom Cleaner Data'!X17+'OPERATING LEASES'!AY17)/('Bloom Cleaner Data'!X17+'OPERATING LEASES'!AY17+'Bloom Cleaner Data'!H17)</f>
        <v>0.16556047768019186</v>
      </c>
      <c r="HP17" s="18">
        <f>('Bloom Cleaner Data'!Y17+'OPERATING LEASES'!AZ17)/('Bloom Cleaner Data'!Y17+'OPERATING LEASES'!AZ17+'Bloom Cleaner Data'!I17)</f>
        <v>0.16375601366307596</v>
      </c>
      <c r="HQ17" s="18">
        <f>('Bloom Cleaner Data'!Z17+'OPERATING LEASES'!BA17)/('Bloom Cleaner Data'!Z17+'OPERATING LEASES'!BA17+'Bloom Cleaner Data'!J17)</f>
        <v>0.19324961869736187</v>
      </c>
      <c r="HR17" s="18">
        <f>('Bloom Cleaner Data'!AA17+'OPERATING LEASES'!BB17)/('Bloom Cleaner Data'!AA17+'OPERATING LEASES'!BB17+'Bloom Cleaner Data'!K17)</f>
        <v>0.17109898665113579</v>
      </c>
      <c r="HS17" s="18">
        <f>('Bloom Cleaner Data'!AB17+'OPERATING LEASES'!BC17)/('Bloom Cleaner Data'!AB17+'OPERATING LEASES'!BC17+'Bloom Cleaner Data'!L17)</f>
        <v>0.15900585521138022</v>
      </c>
      <c r="HT17" s="18">
        <f>('Bloom Cleaner Data'!AC17+'OPERATING LEASES'!BD17)/('Bloom Cleaner Data'!AC17+'OPERATING LEASES'!BD17+'Bloom Cleaner Data'!M17)</f>
        <v>0.16838801430404593</v>
      </c>
      <c r="HU17" s="18">
        <f>('Bloom Cleaner Data'!AD17+'OPERATING LEASES'!BE17)/('Bloom Cleaner Data'!AD17+'OPERATING LEASES'!BE17+'Bloom Cleaner Data'!N17)</f>
        <v>0.20709508109575395</v>
      </c>
      <c r="HV17" s="18">
        <f>('Bloom Cleaner Data'!AE17+'OPERATING LEASES'!BF17)/('Bloom Cleaner Data'!AE17+'OPERATING LEASES'!BF17+'Bloom Cleaner Data'!O17)</f>
        <v>0.18925150818525055</v>
      </c>
      <c r="HW17" s="18">
        <f>('Bloom Cleaner Data'!AF17+'OPERATING LEASES'!BG17)/('Bloom Cleaner Data'!AF17+'OPERATING LEASES'!BG17+'Bloom Cleaner Data'!P17)</f>
        <v>0.21865057954532605</v>
      </c>
      <c r="HX17" s="18">
        <f>('Bloom Cleaner Data'!AG17+'OPERATING LEASES'!BH17)/('Bloom Cleaner Data'!AG17+'OPERATING LEASES'!BH17+'Bloom Cleaner Data'!Q17)</f>
        <v>0.18405499500612374</v>
      </c>
      <c r="HY17" s="18">
        <f>('Bloom Cleaner Data'!AH17+'OPERATING LEASES'!BI17)/('Bloom Cleaner Data'!AH17+'OPERATING LEASES'!BI17+'Bloom Cleaner Data'!R17)</f>
        <v>0.198117589718218</v>
      </c>
      <c r="HZ17" s="10">
        <f t="shared" si="54"/>
        <v>0.18443136241749356</v>
      </c>
      <c r="IA17" s="10">
        <f t="shared" si="55"/>
        <v>-5.7258906752796622E-2</v>
      </c>
      <c r="IB17" s="10">
        <f t="shared" si="23"/>
        <v>3.7162372871396732E-2</v>
      </c>
      <c r="IC17" s="10">
        <f t="shared" si="24"/>
        <v>0.25234350412762557</v>
      </c>
      <c r="IE17" s="502">
        <f t="shared" si="56"/>
        <v>0.27543615187457104</v>
      </c>
      <c r="IF17" s="467">
        <f t="shared" si="25"/>
        <v>0.2393498207647701</v>
      </c>
      <c r="IG17" s="467">
        <f t="shared" si="25"/>
        <v>0.26606410995527491</v>
      </c>
      <c r="IH17" s="467">
        <f t="shared" si="25"/>
        <v>0.2037002844825555</v>
      </c>
      <c r="II17" s="467">
        <f t="shared" si="25"/>
        <v>0.19840919953062697</v>
      </c>
      <c r="IJ17" s="467">
        <f t="shared" si="25"/>
        <v>0.19582324816515739</v>
      </c>
      <c r="IK17" s="467">
        <f t="shared" si="25"/>
        <v>0.23954078383616867</v>
      </c>
      <c r="IL17" s="467">
        <f t="shared" si="25"/>
        <v>0.20641666965742314</v>
      </c>
      <c r="IM17" s="467">
        <f t="shared" si="25"/>
        <v>0.18906892063005462</v>
      </c>
      <c r="IN17" s="467">
        <f t="shared" si="25"/>
        <v>0.20248387132507051</v>
      </c>
      <c r="IO17" s="467">
        <f t="shared" si="25"/>
        <v>0.26118526466193287</v>
      </c>
      <c r="IP17" s="467">
        <f t="shared" si="25"/>
        <v>0.23342813473712049</v>
      </c>
      <c r="IQ17" s="467">
        <f t="shared" si="25"/>
        <v>0.27983713025357004</v>
      </c>
      <c r="IR17" s="467">
        <f t="shared" si="25"/>
        <v>0.22557279458743068</v>
      </c>
      <c r="IS17" s="503">
        <f t="shared" si="25"/>
        <v>0.24706563852497943</v>
      </c>
      <c r="IT17" s="10">
        <f t="shared" si="57"/>
        <v>0.22681508079595114</v>
      </c>
      <c r="IU17" s="10">
        <f t="shared" si="58"/>
        <v>-7.1405615110918585E-2</v>
      </c>
      <c r="IV17" s="10">
        <f t="shared" si="59"/>
        <v>5.3145820001249622E-2</v>
      </c>
      <c r="IW17" s="10">
        <f t="shared" si="60"/>
        <v>0.30601742506449969</v>
      </c>
      <c r="IY17" s="15">
        <f>'Bloom Cleaner Data'!T17/'Bloom Cleaner Data'!BU17*'Bloom Cleaner Data'!DA17</f>
        <v>0.84251592210460213</v>
      </c>
      <c r="IZ17" s="15">
        <f>'Bloom Cleaner Data'!U17/'Bloom Cleaner Data'!BV17*'Bloom Cleaner Data'!DB17</f>
        <v>0.70164818022980857</v>
      </c>
      <c r="JA17" s="15">
        <f>'Bloom Cleaner Data'!V17/'Bloom Cleaner Data'!BW17*'Bloom Cleaner Data'!DC17</f>
        <v>0.91380577289747111</v>
      </c>
      <c r="JB17" s="15">
        <f>'Bloom Cleaner Data'!W17/'Bloom Cleaner Data'!BX17*'Bloom Cleaner Data'!DD17</f>
        <v>0.73883960627276291</v>
      </c>
      <c r="JC17" s="15">
        <f>'Bloom Cleaner Data'!X17/'Bloom Cleaner Data'!BY17*'Bloom Cleaner Data'!DE17</f>
        <v>0.7084438547276426</v>
      </c>
      <c r="JD17" s="15">
        <f>'Bloom Cleaner Data'!Y17/'Bloom Cleaner Data'!BZ17*'Bloom Cleaner Data'!DF17</f>
        <v>0.67663225966369567</v>
      </c>
      <c r="JE17" s="15">
        <f>'Bloom Cleaner Data'!Z17/'Bloom Cleaner Data'!CA17*'Bloom Cleaner Data'!DG17</f>
        <v>0.86659581848454914</v>
      </c>
      <c r="JF17" s="15">
        <f>'Bloom Cleaner Data'!AA17/'Bloom Cleaner Data'!CB17*'Bloom Cleaner Data'!DH17</f>
        <v>0.71232695645923239</v>
      </c>
      <c r="JG17" s="15">
        <f>'Bloom Cleaner Data'!AB17/'Bloom Cleaner Data'!CC17*'Bloom Cleaner Data'!DI17</f>
        <v>0.61151673176184107</v>
      </c>
      <c r="JH17" s="15">
        <f>'Bloom Cleaner Data'!AC17/'Bloom Cleaner Data'!CD17*'Bloom Cleaner Data'!DJ17</f>
        <v>0.65716013869625767</v>
      </c>
      <c r="JI17" s="15">
        <f>'Bloom Cleaner Data'!AD17/'Bloom Cleaner Data'!CE17*'Bloom Cleaner Data'!DK17</f>
        <v>0.86481028651659997</v>
      </c>
      <c r="JJ17" s="15">
        <f>'Bloom Cleaner Data'!AE17/'Bloom Cleaner Data'!CF17*'Bloom Cleaner Data'!DL17</f>
        <v>0.84573855510097229</v>
      </c>
      <c r="JK17" s="15">
        <f>'Bloom Cleaner Data'!AF17/'Bloom Cleaner Data'!CG17*'Bloom Cleaner Data'!DM17</f>
        <v>1.038757117938871</v>
      </c>
      <c r="JL17" s="15">
        <f>'Bloom Cleaner Data'!AG17/'Bloom Cleaner Data'!CH17*'Bloom Cleaner Data'!DN17</f>
        <v>1.0367516198519682</v>
      </c>
      <c r="JM17" s="15">
        <f>'Bloom Cleaner Data'!AH17/'Bloom Cleaner Data'!CI17*'Bloom Cleaner Data'!DO17</f>
        <v>1.0511142054320861</v>
      </c>
      <c r="JN17" s="15">
        <f t="shared" si="61"/>
        <v>1.0422076477409752</v>
      </c>
      <c r="JO17" s="15">
        <f t="shared" si="62"/>
        <v>0.99309037458097438</v>
      </c>
      <c r="JP17" s="15">
        <f t="shared" si="63"/>
        <v>0.82480714798491916</v>
      </c>
      <c r="JQ17" s="18">
        <f t="shared" si="64"/>
        <v>0.15025997493892063</v>
      </c>
      <c r="JR17" s="18"/>
      <c r="JS17" s="2024" t="s">
        <v>281</v>
      </c>
      <c r="JT17" s="526">
        <f>('Bloom Cleaner Data'!T17+'OPERATING LEASES'!AU17)/DD17</f>
        <v>1.0673710476754987</v>
      </c>
      <c r="JU17" s="526">
        <f>('Bloom Cleaner Data'!U17+'OPERATING LEASES'!AV17)/DE17</f>
        <v>0.94388957370133619</v>
      </c>
      <c r="JV17" s="526">
        <f>('Bloom Cleaner Data'!V17+'OPERATING LEASES'!AW17)/DF17</f>
        <v>1.174205377667241</v>
      </c>
      <c r="JW17" s="526">
        <f>('Bloom Cleaner Data'!W17+'OPERATING LEASES'!AX17)/DG17</f>
        <v>1.0190243694302088</v>
      </c>
      <c r="JX17" s="526">
        <f>('Bloom Cleaner Data'!X17+'OPERATING LEASES'!AY17)/DH17</f>
        <v>0.9931039285748432</v>
      </c>
      <c r="JY17" s="526">
        <f>('Bloom Cleaner Data'!Y17+'OPERATING LEASES'!AZ17)/DI17</f>
        <v>0.95042117752695254</v>
      </c>
      <c r="JZ17" s="526">
        <f>('Bloom Cleaner Data'!Z17+'OPERATING LEASES'!BA17)/DJ17</f>
        <v>1.1190991657932896</v>
      </c>
      <c r="KA17" s="526">
        <f>('Bloom Cleaner Data'!AA17+'OPERATING LEASES'!BB17)/DK17</f>
        <v>0.95899976631482631</v>
      </c>
      <c r="KB17" s="526">
        <f>('Bloom Cleaner Data'!AB17+'OPERATING LEASES'!BC17)/DL17</f>
        <v>0.82450006955443933</v>
      </c>
      <c r="KC17" s="526">
        <f>('Bloom Cleaner Data'!AC17+'OPERATING LEASES'!BD17)/DM17</f>
        <v>0.84028900624201575</v>
      </c>
      <c r="KD17" s="526">
        <f>('Bloom Cleaner Data'!AD17+'OPERATING LEASES'!BE17)/DN17</f>
        <v>1.0329762010301093</v>
      </c>
      <c r="KE17" s="526">
        <f>('Bloom Cleaner Data'!AE17+'OPERATING LEASES'!BF17)/DO17</f>
        <v>1.0074769460211923</v>
      </c>
      <c r="KF17" s="526">
        <f>('Bloom Cleaner Data'!AF17+'OPERATING LEASES'!BG17)/DP17</f>
        <v>1.1872946804053803</v>
      </c>
      <c r="KG17" s="526">
        <f>('Bloom Cleaner Data'!AG17+'OPERATING LEASES'!BH17)/DQ17</f>
        <v>1.1986053093664653</v>
      </c>
      <c r="KH17" s="526">
        <f>('Bloom Cleaner Data'!AH17+'OPERATING LEASES'!BI17)/DR17</f>
        <v>1.2087727199953455</v>
      </c>
      <c r="KI17" s="15">
        <f t="shared" si="65"/>
        <v>1.1982242365890636</v>
      </c>
      <c r="KJ17" s="15">
        <f t="shared" si="66"/>
        <v>1.1505374139470959</v>
      </c>
      <c r="KK17" s="15">
        <f t="shared" si="67"/>
        <v>1.0395975936863313</v>
      </c>
      <c r="KL17" s="18">
        <f t="shared" si="68"/>
        <v>2.9438923535487854E-2</v>
      </c>
      <c r="KM17" s="15">
        <f t="shared" si="69"/>
        <v>0.21479044570141215</v>
      </c>
      <c r="KN17" s="18"/>
      <c r="KO17" s="15">
        <f t="shared" si="70"/>
        <v>1.0673710476754987</v>
      </c>
      <c r="KP17" s="15">
        <f t="shared" si="71"/>
        <v>0.94388957370133619</v>
      </c>
      <c r="KQ17" s="15">
        <f t="shared" si="72"/>
        <v>1.174205377667241</v>
      </c>
      <c r="KR17" s="15">
        <f t="shared" si="73"/>
        <v>1.0190243694302088</v>
      </c>
      <c r="KS17" s="15">
        <f t="shared" si="74"/>
        <v>0.9931039285748432</v>
      </c>
      <c r="KT17" s="15">
        <f t="shared" si="75"/>
        <v>0.95042117752695254</v>
      </c>
      <c r="KU17" s="15">
        <f t="shared" si="76"/>
        <v>1.1190991657932896</v>
      </c>
      <c r="KV17" s="15">
        <f t="shared" si="77"/>
        <v>0.95899976631482631</v>
      </c>
      <c r="KW17" s="15">
        <f t="shared" si="78"/>
        <v>0.82450006955443933</v>
      </c>
      <c r="KX17" s="15">
        <f t="shared" si="79"/>
        <v>0.84028900624201575</v>
      </c>
      <c r="KY17" s="15">
        <f t="shared" si="80"/>
        <v>1.0329762010301093</v>
      </c>
      <c r="KZ17" s="15">
        <f t="shared" si="81"/>
        <v>1.0074769460211923</v>
      </c>
      <c r="LA17" s="15">
        <f t="shared" si="82"/>
        <v>1.1872946804053803</v>
      </c>
      <c r="LB17" s="15">
        <f t="shared" si="83"/>
        <v>1.1986053093664653</v>
      </c>
      <c r="LC17" s="15">
        <f t="shared" si="84"/>
        <v>1.2087727199953455</v>
      </c>
      <c r="LD17" s="15">
        <f t="shared" si="85"/>
        <v>1.1982242365890636</v>
      </c>
      <c r="LE17" s="15">
        <f t="shared" si="86"/>
        <v>1.1505374139470959</v>
      </c>
      <c r="LF17" s="526">
        <f t="shared" si="87"/>
        <v>1.0395975936863313</v>
      </c>
      <c r="LG17" s="10">
        <f t="shared" si="88"/>
        <v>2.9438923535487854E-2</v>
      </c>
      <c r="LH17" s="18"/>
      <c r="LI17" s="15">
        <f>('Bloom Cleaner Data'!T17+'Bloom Cleaner Data'!EY17)/'Bloom Cleaner Data'!GV17</f>
        <v>1.1896156697928886</v>
      </c>
      <c r="LJ17" s="15">
        <f>('Bloom Cleaner Data'!U17+'Bloom Cleaner Data'!EZ17)/'Bloom Cleaner Data'!GW17</f>
        <v>1.2099504204377154</v>
      </c>
      <c r="LK17" s="15">
        <f>('Bloom Cleaner Data'!V17+'Bloom Cleaner Data'!FA17)/'Bloom Cleaner Data'!GX17</f>
        <v>1.4092340685849627</v>
      </c>
      <c r="LL17" s="15">
        <f>('Bloom Cleaner Data'!W17+'Bloom Cleaner Data'!FB17)/'Bloom Cleaner Data'!GY17</f>
        <v>1.1992274422680238</v>
      </c>
      <c r="LM17" s="15">
        <f>('Bloom Cleaner Data'!X17+'Bloom Cleaner Data'!FC17)/'Bloom Cleaner Data'!GZ17</f>
        <v>1.1708388987372513</v>
      </c>
      <c r="LN17" s="15">
        <f>('Bloom Cleaner Data'!Y17+'Bloom Cleaner Data'!FD17)/'Bloom Cleaner Data'!HA17</f>
        <v>1.1893407539935488</v>
      </c>
      <c r="LO17" s="15">
        <f>('Bloom Cleaner Data'!Z17+'Bloom Cleaner Data'!FE17)/'Bloom Cleaner Data'!HB17</f>
        <v>1.2361930652689461</v>
      </c>
      <c r="LP17" s="15">
        <f>('Bloom Cleaner Data'!AA17+'Bloom Cleaner Data'!FF17)/'Bloom Cleaner Data'!HC17</f>
        <v>1.0995063857290048</v>
      </c>
      <c r="LQ17" s="15">
        <f>('Bloom Cleaner Data'!AB17+'Bloom Cleaner Data'!FG17)/'Bloom Cleaner Data'!HD17</f>
        <v>0.98668697304583575</v>
      </c>
      <c r="LR17" s="15">
        <f>('Bloom Cleaner Data'!AC17+'Bloom Cleaner Data'!FH17)/'Bloom Cleaner Data'!HE17</f>
        <v>0.98684461335478191</v>
      </c>
      <c r="LS17" s="15">
        <f>('Bloom Cleaner Data'!AD17+'Bloom Cleaner Data'!FI17)/'Bloom Cleaner Data'!HF17</f>
        <v>1.2219466121939866</v>
      </c>
      <c r="LT17" s="15">
        <f>('Bloom Cleaner Data'!AE17+'Bloom Cleaner Data'!FJ17)/'Bloom Cleaner Data'!HG17</f>
        <v>1.0727092732897308</v>
      </c>
      <c r="LU17" s="15">
        <f>('Bloom Cleaner Data'!AF17+'Bloom Cleaner Data'!FK17)/'Bloom Cleaner Data'!HH17</f>
        <v>1.2602375621332664</v>
      </c>
      <c r="LV17" s="15">
        <f>('Bloom Cleaner Data'!AG17+'Bloom Cleaner Data'!FL17)/'Bloom Cleaner Data'!HI17</f>
        <v>1.3069601777798476</v>
      </c>
      <c r="LW17" s="15">
        <f>('Bloom Cleaner Data'!AH17+'Bloom Cleaner Data'!FM17)/'Bloom Cleaner Data'!HJ17</f>
        <v>1.5052791702884236</v>
      </c>
      <c r="LX17" s="15">
        <f t="shared" si="89"/>
        <v>0.45416496485633751</v>
      </c>
      <c r="LY17" s="15">
        <f t="shared" si="90"/>
        <v>1.3574923034005124</v>
      </c>
      <c r="LZ17" s="15">
        <f t="shared" si="27"/>
        <v>0.31528465565953723</v>
      </c>
      <c r="MA17" s="15">
        <f t="shared" si="91"/>
        <v>1.2862965458728173</v>
      </c>
      <c r="MB17" s="15">
        <f t="shared" si="92"/>
        <v>1.2034619228205854</v>
      </c>
      <c r="MC17" s="18">
        <f t="shared" si="93"/>
        <v>6.8154115660786954E-2</v>
      </c>
      <c r="MD17" s="15">
        <f t="shared" si="28"/>
        <v>0.37865477483566623</v>
      </c>
      <c r="ME17" s="18"/>
      <c r="MF17" s="2024" t="s">
        <v>281</v>
      </c>
      <c r="MG17" s="15">
        <f>JT17+'Bloom Cleaner Data'!EY17/CALCULATIONS!DD17</f>
        <v>1.3987901881444817</v>
      </c>
      <c r="MH17" s="15">
        <f>JU17+'Bloom Cleaner Data'!EZ17/CALCULATIONS!DE17</f>
        <v>1.4290358741083504</v>
      </c>
      <c r="MI17" s="15">
        <f>JV17+'Bloom Cleaner Data'!FA17/CALCULATIONS!DF17</f>
        <v>1.6453390571704061</v>
      </c>
      <c r="MJ17" s="15">
        <f>JW17+'Bloom Cleaner Data'!FB17/CALCULATIONS!DG17</f>
        <v>1.4567649587788869</v>
      </c>
      <c r="MK17" s="15">
        <f>JX17+'Bloom Cleaner Data'!FC17/CALCULATIONS!DH17</f>
        <v>1.4333501772369166</v>
      </c>
      <c r="ML17" s="15">
        <f>JY17+'Bloom Cleaner Data'!FD17/CALCULATIONS!DI17</f>
        <v>1.4396345236284729</v>
      </c>
      <c r="MM17" s="15">
        <f>JZ17+'Bloom Cleaner Data'!FE17/CALCULATIONS!DJ17</f>
        <v>1.4725632145335945</v>
      </c>
      <c r="MN17" s="15">
        <f>KA17+'Bloom Cleaner Data'!FF17/CALCULATIONS!DK17</f>
        <v>1.330097649280898</v>
      </c>
      <c r="MO17" s="15">
        <f>KB17+'Bloom Cleaner Data'!FG17/CALCULATIONS!DL17</f>
        <v>1.1864403619421668</v>
      </c>
      <c r="MP17" s="15">
        <f>KC17+'Bloom Cleaner Data'!FH17/CALCULATIONS!DM17</f>
        <v>1.1599010572175368</v>
      </c>
      <c r="MQ17" s="15">
        <f>KD17+'Bloom Cleaner Data'!FI17/CALCULATIONS!DN17</f>
        <v>1.3797333581444331</v>
      </c>
      <c r="MR17" s="15">
        <f>KE17+'Bloom Cleaner Data'!FJ17/CALCULATIONS!DO17</f>
        <v>1.228124354462502</v>
      </c>
      <c r="MS17" s="15">
        <f>KF17+'Bloom Cleaner Data'!FK17/CALCULATIONS!DP17</f>
        <v>1.4029135008835716</v>
      </c>
      <c r="MT17" s="15">
        <f>KG17+'Bloom Cleaner Data'!FL17/CALCULATIONS!DQ17</f>
        <v>1.4610243095315092</v>
      </c>
      <c r="MU17" s="15">
        <f>KH17+'Bloom Cleaner Data'!FM17/CALCULATIONS!DR17</f>
        <v>1.6501516887993055</v>
      </c>
      <c r="MV17" s="15">
        <f t="shared" si="29"/>
        <v>0.44137896880395999</v>
      </c>
      <c r="MW17" s="15">
        <f t="shared" si="94"/>
        <v>1.5046964997381289</v>
      </c>
      <c r="MX17" s="15">
        <f t="shared" si="30"/>
        <v>0.30647226314906528</v>
      </c>
      <c r="MY17" s="15">
        <f t="shared" si="95"/>
        <v>1.4355534634192222</v>
      </c>
      <c r="MZ17" s="15">
        <f t="shared" si="96"/>
        <v>1.4035414008930922</v>
      </c>
      <c r="NA17" s="18">
        <f t="shared" si="97"/>
        <v>2.9250090477861944E-3</v>
      </c>
      <c r="NB17" s="15">
        <f t="shared" si="31"/>
        <v>0.36394380720676089</v>
      </c>
      <c r="NC17" s="15"/>
      <c r="ND17" s="13">
        <f>'Bloom Cleaner Data'!GF17+('Bloom Cleaner Data'!T17+'Bloom Cleaner Data'!EY17)+'Bloom Cleaner Data'!CK17</f>
        <v>133496</v>
      </c>
      <c r="NE17" s="13">
        <f>'Bloom Cleaner Data'!GG17+('Bloom Cleaner Data'!U17+'Bloom Cleaner Data'!EZ17)+'Bloom Cleaner Data'!CL17</f>
        <v>138163</v>
      </c>
      <c r="NF17" s="13">
        <f>'Bloom Cleaner Data'!GH17+('Bloom Cleaner Data'!V17+'Bloom Cleaner Data'!FA17)+'Bloom Cleaner Data'!CM17</f>
        <v>151030</v>
      </c>
      <c r="NG17" s="13">
        <f>'Bloom Cleaner Data'!GI17+('Bloom Cleaner Data'!W17+'Bloom Cleaner Data'!FB17)+'Bloom Cleaner Data'!CN17</f>
        <v>139094</v>
      </c>
      <c r="NH17" s="13">
        <f>'Bloom Cleaner Data'!GJ17+('Bloom Cleaner Data'!X17+'Bloom Cleaner Data'!FC17)+'Bloom Cleaner Data'!CO17</f>
        <v>139021</v>
      </c>
      <c r="NI17" s="13">
        <f>'Bloom Cleaner Data'!GK17+('Bloom Cleaner Data'!Y17+'Bloom Cleaner Data'!FD17)+'Bloom Cleaner Data'!CP17</f>
        <v>139948</v>
      </c>
      <c r="NJ17" s="13">
        <f>'Bloom Cleaner Data'!GL17+('Bloom Cleaner Data'!Z17+'Bloom Cleaner Data'!FE17)+'Bloom Cleaner Data'!CQ17</f>
        <v>133339</v>
      </c>
      <c r="NK17" s="13">
        <f>'Bloom Cleaner Data'!GM17+('Bloom Cleaner Data'!AA17+'Bloom Cleaner Data'!FF17)+'Bloom Cleaner Data'!CR17</f>
        <v>133067</v>
      </c>
      <c r="NL17" s="13">
        <f>'Bloom Cleaner Data'!GN17+('Bloom Cleaner Data'!AB17+'Bloom Cleaner Data'!FG17)+'Bloom Cleaner Data'!CS17</f>
        <v>123736</v>
      </c>
      <c r="NM17" s="13">
        <f>'Bloom Cleaner Data'!GO17+('Bloom Cleaner Data'!AC17+'Bloom Cleaner Data'!FH17)+'Bloom Cleaner Data'!CT17</f>
        <v>121915</v>
      </c>
      <c r="NN17" s="13">
        <f>'Bloom Cleaner Data'!GP17+('Bloom Cleaner Data'!AD17+'Bloom Cleaner Data'!FI17)+'Bloom Cleaner Data'!CU17</f>
        <v>127384</v>
      </c>
      <c r="NO17" s="13">
        <f>'Bloom Cleaner Data'!GQ17+('Bloom Cleaner Data'!AE17+'Bloom Cleaner Data'!FJ17)+'Bloom Cleaner Data'!CV17</f>
        <v>122390</v>
      </c>
      <c r="NP17" s="13">
        <f>'Bloom Cleaner Data'!GR17+('Bloom Cleaner Data'!AF17+'Bloom Cleaner Data'!FK17)+'Bloom Cleaner Data'!CW17</f>
        <v>130395</v>
      </c>
      <c r="NQ17" s="13">
        <f>'Bloom Cleaner Data'!GS17+('Bloom Cleaner Data'!AG17+'Bloom Cleaner Data'!FL17)+'Bloom Cleaner Data'!CX17</f>
        <v>133038</v>
      </c>
      <c r="NR17" s="13">
        <f>'Bloom Cleaner Data'!GT17+('Bloom Cleaner Data'!AH17+'Bloom Cleaner Data'!FM17)+'Bloom Cleaner Data'!CY17</f>
        <v>134569</v>
      </c>
      <c r="NS17" s="168"/>
      <c r="NT17" s="2024" t="s">
        <v>281</v>
      </c>
      <c r="NU17" s="998">
        <f>('Bloom Cleaner Data'!T17+'Bloom Cleaner Data'!EY17+'OPERATING LEASES'!BL17)/CALCULATIONS!ND17</f>
        <v>0.30642651679237043</v>
      </c>
      <c r="NV17" s="998">
        <f>('Bloom Cleaner Data'!U17+'Bloom Cleaner Data'!EZ17+'OPERATING LEASES'!BM17)/CALCULATIONS!NE17</f>
        <v>0.29439596320495154</v>
      </c>
      <c r="NW17" s="998">
        <f>('Bloom Cleaner Data'!V17+'Bloom Cleaner Data'!FA17+'OPERATING LEASES'!BN17)/CALCULATIONS!NF17</f>
        <v>0.2855826302248371</v>
      </c>
      <c r="NX17" s="998">
        <f>('Bloom Cleaner Data'!W17+'Bloom Cleaner Data'!FB17+'OPERATING LEASES'!BO17)/CALCULATIONS!NG17</f>
        <v>0.26100665608458001</v>
      </c>
      <c r="NY17" s="998">
        <f>('Bloom Cleaner Data'!X17+'Bloom Cleaner Data'!FC17+'OPERATING LEASES'!BP17)/CALCULATIONS!NH17</f>
        <v>0.25846724595564696</v>
      </c>
      <c r="NZ17" s="998">
        <f>('Bloom Cleaner Data'!Y17+'Bloom Cleaner Data'!FD17+'OPERATING LEASES'!BQ17)/CALCULATIONS!NI17</f>
        <v>0.26224361012661845</v>
      </c>
      <c r="OA17" s="998">
        <f>('Bloom Cleaner Data'!Z17+'Bloom Cleaner Data'!FE17+'OPERATING LEASES'!BR17)/CALCULATIONS!NJ17</f>
        <v>0.28824696825384921</v>
      </c>
      <c r="OB17" s="998">
        <f>('Bloom Cleaner Data'!AA17+'Bloom Cleaner Data'!FF17+'OPERATING LEASES'!BS17)/CALCULATIONS!NK17</f>
        <v>0.2601520756461031</v>
      </c>
      <c r="OC17" s="998">
        <f>('Bloom Cleaner Data'!AB17+'Bloom Cleaner Data'!FG17+'OPERATING LEASES'!BT17)/CALCULATIONS!NL17</f>
        <v>0.28432105450313572</v>
      </c>
      <c r="OD17" s="998">
        <f>('Bloom Cleaner Data'!AC17+'Bloom Cleaner Data'!FH17+'OPERATING LEASES'!BU17)/CALCULATIONS!NM17</f>
        <v>0.32144321863593489</v>
      </c>
      <c r="OE17" s="998">
        <f>('Bloom Cleaner Data'!AD17+'Bloom Cleaner Data'!FI17+'OPERATING LEASES'!BV17)/CALCULATIONS!NN17</f>
        <v>0.3837353984801859</v>
      </c>
      <c r="OF17" s="998">
        <f>('Bloom Cleaner Data'!AE17+'Bloom Cleaner Data'!FJ17+'OPERATING LEASES'!BW17)/CALCULATIONS!NO17</f>
        <v>0.35318040689598823</v>
      </c>
      <c r="OG17" s="998">
        <f>('Bloom Cleaner Data'!AF17+'Bloom Cleaner Data'!FK17+'OPERATING LEASES'!BX17)/CALCULATIONS!NP17</f>
        <v>0.3925131331722842</v>
      </c>
      <c r="OH17" s="998">
        <f>('Bloom Cleaner Data'!AG17+'Bloom Cleaner Data'!FL17+'OPERATING LEASES'!BY17)/CALCULATIONS!NQ17</f>
        <v>0.36580337948556052</v>
      </c>
      <c r="OI17" s="998">
        <f>('Bloom Cleaner Data'!AH17+'Bloom Cleaner Data'!FM17+'OPERATING LEASES'!BZ17)/CALCULATIONS!NR17</f>
        <v>0.42535613700034924</v>
      </c>
      <c r="OJ17" s="18">
        <f t="shared" si="98"/>
        <v>0.39455754988606467</v>
      </c>
      <c r="OK17" s="18">
        <f t="shared" si="99"/>
        <v>0.38421326413854551</v>
      </c>
      <c r="OL17" s="18">
        <f t="shared" si="100"/>
        <v>0.31861937803577484</v>
      </c>
      <c r="OM17" s="10">
        <f t="shared" si="101"/>
        <v>0.4894328015169182</v>
      </c>
      <c r="ON17" s="10"/>
      <c r="OO17" s="2710"/>
      <c r="OP17" s="526">
        <f>'Bloom Cleaner Data'!D17/'Bloom Cleaner Data'!GF17</f>
        <v>1.5778657132780813</v>
      </c>
      <c r="OQ17" s="526">
        <f>'Bloom Cleaner Data'!E17/'Bloom Cleaner Data'!GG17</f>
        <v>1.5081423202374638</v>
      </c>
      <c r="OR17" s="526">
        <f>'Bloom Cleaner Data'!F17/'Bloom Cleaner Data'!GH17</f>
        <v>1.3841009353629834</v>
      </c>
      <c r="OS17" s="526">
        <f>'Bloom Cleaner Data'!G17/'Bloom Cleaner Data'!GI17</f>
        <v>1.5977771872547479</v>
      </c>
      <c r="OT17" s="526">
        <f>'Bloom Cleaner Data'!H17/'Bloom Cleaner Data'!GJ17</f>
        <v>1.6077235454904486</v>
      </c>
      <c r="OU17" s="526">
        <f>'Bloom Cleaner Data'!I17/'Bloom Cleaner Data'!GK17</f>
        <v>1.5558373294558054</v>
      </c>
      <c r="OV17" s="526">
        <f>'Bloom Cleaner Data'!J17/'Bloom Cleaner Data'!GL17</f>
        <v>1.6298848655806293</v>
      </c>
      <c r="OW17" s="526">
        <f>'Bloom Cleaner Data'!K17/'Bloom Cleaner Data'!GM17</f>
        <v>1.568408308408819</v>
      </c>
      <c r="OX17" s="526">
        <f>'Bloom Cleaner Data'!L17/'Bloom Cleaner Data'!GN17</f>
        <v>1.7883803525810682</v>
      </c>
      <c r="OY17" s="526">
        <f>'Bloom Cleaner Data'!M17/'Bloom Cleaner Data'!GO17</f>
        <v>1.9901959478561333</v>
      </c>
      <c r="OZ17" s="526">
        <f>'Bloom Cleaner Data'!N17/'Bloom Cleaner Data'!GP17</f>
        <v>2.1069904301402889</v>
      </c>
      <c r="PA17" s="526">
        <f>'Bloom Cleaner Data'!O17/'Bloom Cleaner Data'!GQ17</f>
        <v>2.2732112873767156</v>
      </c>
      <c r="PB17" s="526">
        <f>'Bloom Cleaner Data'!P17/'Bloom Cleaner Data'!GR17</f>
        <v>2.2432128345223146</v>
      </c>
      <c r="PC17" s="526">
        <f>'Bloom Cleaner Data'!Q17/'Bloom Cleaner Data'!GS17</f>
        <v>2.4323295717896434</v>
      </c>
      <c r="PD17" s="526">
        <f>'Bloom Cleaner Data'!R17/'Bloom Cleaner Data'!GT17</f>
        <v>2.509154465418888</v>
      </c>
      <c r="PE17" s="526">
        <f t="shared" si="102"/>
        <v>1.8990159277875758</v>
      </c>
      <c r="PF17" s="10">
        <f t="shared" si="103"/>
        <v>0.81284066884967243</v>
      </c>
      <c r="PG17" s="526">
        <f t="shared" si="104"/>
        <v>1.8042956114679782</v>
      </c>
      <c r="PH17" s="18"/>
      <c r="PI17" s="2710"/>
      <c r="PJ17" s="526">
        <f>CALCULATIONS!DD17/'Bloom Cleaner Data'!GF17</f>
        <v>0.40716980396517849</v>
      </c>
      <c r="PK17" s="526">
        <f>CALCULATIONS!DE17/'Bloom Cleaner Data'!GG17</f>
        <v>0.38243201757287354</v>
      </c>
      <c r="PL17" s="526">
        <f>CALCULATIONS!DF17/'Bloom Cleaner Data'!GH17</f>
        <v>0.31362450765404098</v>
      </c>
      <c r="PM17" s="526">
        <f>CALCULATIONS!DG17/'Bloom Cleaner Data'!GI17</f>
        <v>0.31939144670849817</v>
      </c>
      <c r="PN17" s="526">
        <f>CALCULATIONS!DH17/'Bloom Cleaner Data'!GJ17</f>
        <v>0.32120217486710068</v>
      </c>
      <c r="PO17" s="526">
        <f>CALCULATIONS!DI17/'Bloom Cleaner Data'!GK17</f>
        <v>0.32056221670418317</v>
      </c>
      <c r="PP17" s="526">
        <f>CALCULATIONS!DJ17/'Bloom Cleaner Data'!GL17</f>
        <v>0.34887337083048814</v>
      </c>
      <c r="PQ17" s="526">
        <f>CALCULATIONS!DK17/'Bloom Cleaner Data'!GM17</f>
        <v>0.33758675555140838</v>
      </c>
      <c r="PR17" s="526">
        <f>CALCULATIONS!DL17/'Bloom Cleaner Data'!GN17</f>
        <v>0.41009959298271903</v>
      </c>
      <c r="PS17" s="526">
        <f>CALCULATIONS!DM17/'Bloom Cleaner Data'!GO17</f>
        <v>0.47957616632355787</v>
      </c>
      <c r="PT17" s="526">
        <f>CALCULATIONS!DN17/'Bloom Cleaner Data'!GP17</f>
        <v>0.53274688476613863</v>
      </c>
      <c r="PU17" s="526">
        <f>CALCULATIONS!DO17/'Bloom Cleaner Data'!GQ17</f>
        <v>0.5266934124610263</v>
      </c>
      <c r="PV17" s="526">
        <f>CALCULATIONS!DP17/'Bloom Cleaner Data'!GR17</f>
        <v>0.52870972347519696</v>
      </c>
      <c r="PW17" s="526">
        <f>CALCULATIONS!DQ17/'Bloom Cleaner Data'!GS17</f>
        <v>0.45775483770903869</v>
      </c>
      <c r="PX17" s="526">
        <f>CALCULATIONS!DR17/'Bloom Cleaner Data'!GT17</f>
        <v>0.51285559303398898</v>
      </c>
      <c r="PY17" s="526">
        <f t="shared" si="105"/>
        <v>0.41612897562056816</v>
      </c>
      <c r="PZ17" s="526">
        <f t="shared" si="106"/>
        <v>0.45943292634817368</v>
      </c>
      <c r="QA17" s="18"/>
      <c r="QC17" s="15">
        <f>'Bloom Cleaner Data'!HZ17</f>
        <v>9.6113</v>
      </c>
      <c r="QD17" s="15">
        <f>AVERAGE('Bloom Cleaner Data'!HN17:HZ17)</f>
        <v>10.322746153846156</v>
      </c>
      <c r="QE17" s="504">
        <f>('Bloom Cleaner Data'!HZ17-'Bloom Cleaner Data'!HN17)/'Bloom Cleaner Data'!HN17</f>
        <v>-8.4516030708856396E-2</v>
      </c>
      <c r="QF17" s="15">
        <f>'Bloom Cleaner Data'!HZ17-'Bloom Cleaner Data'!HL17</f>
        <v>0.24849999999999994</v>
      </c>
    </row>
    <row r="18" spans="1:450">
      <c r="A18" s="11" t="s">
        <v>505</v>
      </c>
      <c r="B18" s="83" t="s">
        <v>44</v>
      </c>
      <c r="C18" s="1207" t="s">
        <v>1105</v>
      </c>
      <c r="E18" s="13">
        <f>'Bloom Cleaner Data'!D18</f>
        <v>19285.647000000001</v>
      </c>
      <c r="G18" s="13">
        <f>'Bloom Cleaner Data'!F18</f>
        <v>16950.055</v>
      </c>
      <c r="H18" s="13">
        <f>'Bloom Cleaner Data'!H18</f>
        <v>17172.8999</v>
      </c>
      <c r="I18" s="13">
        <f>'Bloom Cleaner Data'!J18</f>
        <v>15328.3616</v>
      </c>
      <c r="J18" s="13">
        <f>'Bloom Cleaner Data'!L18</f>
        <v>13234.425300000001</v>
      </c>
      <c r="K18" s="13">
        <f>'Bloom Cleaner Data'!N18</f>
        <v>10816.5839</v>
      </c>
      <c r="L18" s="13">
        <f>'Bloom Cleaner Data'!P18</f>
        <v>5319.5375000000004</v>
      </c>
      <c r="M18" s="13">
        <f>'Bloom Cleaner Data'!R18</f>
        <v>6819.5967000000001</v>
      </c>
      <c r="N18" s="13">
        <f t="shared" si="0"/>
        <v>12234.494271428572</v>
      </c>
      <c r="O18" s="13">
        <f t="shared" si="32"/>
        <v>7651.9060333333327</v>
      </c>
      <c r="P18" s="10">
        <f t="shared" si="1"/>
        <v>-0.59766521701552</v>
      </c>
      <c r="Q18" s="146">
        <f>P18</f>
        <v>-0.59766521701552</v>
      </c>
      <c r="R18" s="10">
        <f t="shared" si="33"/>
        <v>-0.49588963810988107</v>
      </c>
      <c r="S18" s="1363" t="s">
        <v>44</v>
      </c>
      <c r="T18" s="1322">
        <f>'Bloom Cleaner Data'!D18/'Bloom Cleaner Data'!$F18</f>
        <v>1.1377925912334799</v>
      </c>
      <c r="U18" s="1322">
        <f>'Bloom Cleaner Data'!E18/'Bloom Cleaner Data'!$F18</f>
        <v>1.1198090684661495</v>
      </c>
      <c r="V18" s="1322">
        <f>'Bloom Cleaner Data'!F18/'Bloom Cleaner Data'!$F18</f>
        <v>1</v>
      </c>
      <c r="W18" s="1322">
        <f>'Bloom Cleaner Data'!G18/'Bloom Cleaner Data'!$F18</f>
        <v>1.0525782423714849</v>
      </c>
      <c r="X18" s="1322">
        <f>'Bloom Cleaner Data'!H18/'Bloom Cleaner Data'!$F18</f>
        <v>1.0131471490800472</v>
      </c>
      <c r="Y18" s="1322">
        <f>'Bloom Cleaner Data'!I18/'Bloom Cleaner Data'!$F18</f>
        <v>1.0837476279575495</v>
      </c>
      <c r="Z18" s="1322">
        <f>'Bloom Cleaner Data'!J18/'Bloom Cleaner Data'!$F18</f>
        <v>0.90432518360559888</v>
      </c>
      <c r="AA18" s="1322">
        <f>'Bloom Cleaner Data'!K18/'Bloom Cleaner Data'!$F18</f>
        <v>0.86306432044025816</v>
      </c>
      <c r="AB18" s="1322">
        <f>'Bloom Cleaner Data'!L18/'Bloom Cleaner Data'!$F18</f>
        <v>0.78078951956203091</v>
      </c>
      <c r="AC18" s="1322">
        <f>'Bloom Cleaner Data'!M18/'Bloom Cleaner Data'!$F18</f>
        <v>0.69658755679553841</v>
      </c>
      <c r="AD18" s="1322">
        <f>'Bloom Cleaner Data'!N18/'Bloom Cleaner Data'!$F18</f>
        <v>0.63814447209758318</v>
      </c>
      <c r="AE18" s="1322">
        <f>'Bloom Cleaner Data'!O18/'Bloom Cleaner Data'!$F18</f>
        <v>0.50217139118427645</v>
      </c>
      <c r="AF18" s="1322">
        <f>'Bloom Cleaner Data'!P18/'Bloom Cleaner Data'!$F18</f>
        <v>0.31383600230205744</v>
      </c>
      <c r="AG18" s="1322">
        <f>'Bloom Cleaner Data'!Q18/'Bloom Cleaner Data'!$F18</f>
        <v>0.22161078533373491</v>
      </c>
      <c r="AH18" s="1322">
        <f>'Bloom Cleaner Data'!R18/'Bloom Cleaner Data'!$F18</f>
        <v>0.40233478298448</v>
      </c>
      <c r="AI18" s="13"/>
      <c r="AJ18" s="13">
        <f>AVERAGE('Bloom Cleaner Data'!BW18:CI18)</f>
        <v>24567.356438461535</v>
      </c>
      <c r="AK18" s="18">
        <f>('Bloom Cleaner Data'!CI18-'Bloom Cleaner Data'!BW18)/'Bloom Cleaner Data'!BW18</f>
        <v>-0.43081505548176807</v>
      </c>
      <c r="AL18" s="18">
        <f>('Bloom Cleaner Data'!CI18+'Bloom Cleaner Data'!CH18-'Bloom Cleaner Data'!BW18-'Bloom Cleaner Data'!BV18)/('Bloom Cleaner Data'!BW18+'Bloom Cleaner Data'!BV18)</f>
        <v>-0.43833438903872729</v>
      </c>
      <c r="AM18" s="13"/>
      <c r="AN18" s="13">
        <f>'Bloom Cleaner Data'!BW18</f>
        <v>29292.055</v>
      </c>
      <c r="AO18" s="13">
        <f>'Bloom Cleaner Data'!BY18</f>
        <v>28886.8999</v>
      </c>
      <c r="AP18" s="13">
        <f>'Bloom Cleaner Data'!CA18</f>
        <v>27593.3616</v>
      </c>
      <c r="AQ18" s="13">
        <f>'Bloom Cleaner Data'!CC18</f>
        <v>25343.425299999999</v>
      </c>
      <c r="AR18" s="13">
        <f>'Bloom Cleaner Data'!CE18</f>
        <v>23777.583900000001</v>
      </c>
      <c r="AS18" s="13">
        <f>'Bloom Cleaner Data'!CG18</f>
        <v>17980.537499999999</v>
      </c>
      <c r="AT18" s="13">
        <f>'Bloom Cleaner Data'!CI18</f>
        <v>16672.596699999998</v>
      </c>
      <c r="AU18" s="13">
        <f t="shared" si="2"/>
        <v>24220.922842857144</v>
      </c>
      <c r="AV18" s="10">
        <f t="shared" si="3"/>
        <v>-0.43081505548176807</v>
      </c>
      <c r="AW18" s="10"/>
      <c r="AX18" s="13">
        <f>'Bloom Cleaner Data'!T18+'OPERATING LEASES'!AU18</f>
        <v>12328.267061637158</v>
      </c>
      <c r="AY18" s="13">
        <f>'Bloom Cleaner Data'!U18+'OPERATING LEASES'!AV18</f>
        <v>12746.074700965552</v>
      </c>
      <c r="AZ18" s="13">
        <f>'Bloom Cleaner Data'!V18+'OPERATING LEASES'!AW18</f>
        <v>13882.882340293945</v>
      </c>
      <c r="BA18" s="13">
        <f>'Bloom Cleaner Data'!W18+'OPERATING LEASES'!AX18</f>
        <v>13677.689979622341</v>
      </c>
      <c r="BB18" s="13">
        <f>'Bloom Cleaner Data'!X18+'OPERATING LEASES'!AY18</f>
        <v>13158.497618950734</v>
      </c>
      <c r="BC18" s="13">
        <f>'Bloom Cleaner Data'!Y18+'OPERATING LEASES'!AZ18</f>
        <v>13175.26245999719</v>
      </c>
      <c r="BD18" s="13">
        <f>'Bloom Cleaner Data'!Z18+'OPERATING LEASES'!BA18</f>
        <v>13877.027301043645</v>
      </c>
      <c r="BE18" s="13">
        <f>'Bloom Cleaner Data'!AA18+'OPERATING LEASES'!BB18</f>
        <v>14578.7921420901</v>
      </c>
      <c r="BF18" s="13">
        <f>'Bloom Cleaner Data'!AB18+'OPERATING LEASES'!BC18</f>
        <v>13872.556983136556</v>
      </c>
      <c r="BG18" s="13">
        <f>'Bloom Cleaner Data'!AC18+'OPERATING LEASES'!BD18</f>
        <v>14037.543023818575</v>
      </c>
      <c r="BH18" s="13">
        <f>'Bloom Cleaner Data'!AD18+'OPERATING LEASES'!BE18</f>
        <v>14828.529064500592</v>
      </c>
      <c r="BI18" s="13">
        <f>'Bloom Cleaner Data'!AE18+'OPERATING LEASES'!BF18</f>
        <v>14935.515105182611</v>
      </c>
      <c r="BJ18" s="13">
        <f>'Bloom Cleaner Data'!AF18+'OPERATING LEASES'!BG18</f>
        <v>14581.50114586463</v>
      </c>
      <c r="BK18" s="13">
        <f>'Bloom Cleaner Data'!AG18+'OPERATING LEASES'!BH18</f>
        <v>14870.50114586463</v>
      </c>
      <c r="BL18" s="13">
        <f>'Bloom Cleaner Data'!AH18+'OPERATING LEASES'!BI18</f>
        <v>11774.50114586463</v>
      </c>
      <c r="BM18" s="1167">
        <f t="shared" si="34"/>
        <v>13942.369188940784</v>
      </c>
      <c r="BN18" s="10">
        <f t="shared" si="35"/>
        <v>-0.15186912506705538</v>
      </c>
      <c r="BO18" s="10"/>
      <c r="BP18" s="13">
        <f>'Bloom Cleaner Data'!BU18+'OPERATING LEASES'!AU18</f>
        <v>31616.914061637159</v>
      </c>
      <c r="BQ18" s="13">
        <f>'Bloom Cleaner Data'!BV18+'OPERATING LEASES'!AV18</f>
        <v>31730.90000096555</v>
      </c>
      <c r="BR18" s="13">
        <f>'Bloom Cleaner Data'!BW18+'OPERATING LEASES'!AW18</f>
        <v>30838.937340293945</v>
      </c>
      <c r="BS18" s="13">
        <f>'Bloom Cleaner Data'!BX18+'OPERATING LEASES'!AX18</f>
        <v>31518.94907962234</v>
      </c>
      <c r="BT18" s="13">
        <f>'Bloom Cleaner Data'!BY18+'OPERATING LEASES'!AY18</f>
        <v>30331.397518950733</v>
      </c>
      <c r="BU18" s="13">
        <f>'Bloom Cleaner Data'!BZ18+'OPERATING LEASES'!AZ18</f>
        <v>31544.844359997191</v>
      </c>
      <c r="BV18" s="13">
        <f>'Bloom Cleaner Data'!CA18+'OPERATING LEASES'!BA18</f>
        <v>29197.388901043647</v>
      </c>
      <c r="BW18" s="13">
        <f>'Bloom Cleaner Data'!CB18+'OPERATING LEASES'!BB18</f>
        <v>29207.779842090102</v>
      </c>
      <c r="BX18" s="13">
        <f>'Bloom Cleaner Data'!CC18+'OPERATING LEASES'!BC18</f>
        <v>27106.982283136556</v>
      </c>
      <c r="BY18" s="13">
        <f>'Bloom Cleaner Data'!CD18+'OPERATING LEASES'!BD18</f>
        <v>25844.740423818574</v>
      </c>
      <c r="BZ18" s="13">
        <f>'Bloom Cleaner Data'!CE18+'OPERATING LEASES'!BE18</f>
        <v>25645.112964500593</v>
      </c>
      <c r="CA18" s="13">
        <f>'Bloom Cleaner Data'!CF18+'OPERATING LEASES'!BF18</f>
        <v>23447.34780518261</v>
      </c>
      <c r="CB18" s="13">
        <f>'Bloom Cleaner Data'!CG18+'OPERATING LEASES'!BG18</f>
        <v>19952.038645864628</v>
      </c>
      <c r="CC18" s="13">
        <f>'Bloom Cleaner Data'!CH18+'OPERATING LEASES'!BH18</f>
        <v>18675.816145864628</v>
      </c>
      <c r="CD18" s="13">
        <f>'Bloom Cleaner Data'!CI18+'OPERATING LEASES'!BI18</f>
        <v>18644.097845864628</v>
      </c>
      <c r="CE18" s="1167">
        <f t="shared" si="36"/>
        <v>26304.264088940781</v>
      </c>
      <c r="CF18" s="10">
        <f t="shared" si="37"/>
        <v>-0.39543643673141821</v>
      </c>
      <c r="CG18" s="18">
        <f t="shared" si="4"/>
        <v>7.0699818876727938E-2</v>
      </c>
      <c r="CH18" s="13"/>
      <c r="CI18" s="18">
        <f>$CI$1*BP18/('Bloom Cleaner Data'!D18+'Bloom Cleaner Data'!T18+'OPERATING LEASES'!AU18)+(1-$CI$1)*'Bloom Cleaner Data'!BU18/('Bloom Cleaner Data'!D18+'Bloom Cleaner Data'!T18)-1</f>
        <v>9.4894924878685671E-5</v>
      </c>
      <c r="CJ18" s="18">
        <f>$CI$1*BQ18/('Bloom Cleaner Data'!E18+'Bloom Cleaner Data'!U18+'OPERATING LEASES'!AV18)+(1-$CI$1)*'Bloom Cleaner Data'!BV18/('Bloom Cleaner Data'!E18+'Bloom Cleaner Data'!U18)-1</f>
        <v>1.2607597968528061E-4</v>
      </c>
      <c r="CK18" s="18">
        <f>$CI$1*BR18/('Bloom Cleaner Data'!F18+'Bloom Cleaner Data'!V18+'OPERATING LEASES'!AW18)+(1-$CI$1)*'Bloom Cleaner Data'!BW18/('Bloom Cleaner Data'!F18+'Bloom Cleaner Data'!V18)-1</f>
        <v>1.9459709380842405E-4</v>
      </c>
      <c r="CL18" s="18">
        <f>$CI$1*BS18/('Bloom Cleaner Data'!G18+'Bloom Cleaner Data'!W18+'OPERATING LEASES'!AX18)+(1-$CI$1)*'Bloom Cleaner Data'!BX18/('Bloom Cleaner Data'!G18+'Bloom Cleaner Data'!W18)-1</f>
        <v>0</v>
      </c>
      <c r="CM18" s="18">
        <f>$CI$1*BT18/('Bloom Cleaner Data'!H18+'Bloom Cleaner Data'!X18+'OPERATING LEASES'!AY18)+(1-$CI$1)*'Bloom Cleaner Data'!BY18/('Bloom Cleaner Data'!H18+'Bloom Cleaner Data'!X18)-1</f>
        <v>0</v>
      </c>
      <c r="CN18" s="18">
        <f>$CI$1*BU18/('Bloom Cleaner Data'!I18+'Bloom Cleaner Data'!Y18+'OPERATING LEASES'!AZ18)+(1-$CI$1)*'Bloom Cleaner Data'!BZ18/('Bloom Cleaner Data'!I18+'Bloom Cleaner Data'!Y18)-1</f>
        <v>0</v>
      </c>
      <c r="CO18" s="18">
        <f>$CI$1*BV18/('Bloom Cleaner Data'!J18+'Bloom Cleaner Data'!Z18+'OPERATING LEASES'!BA18)+(1-$CI$1)*'Bloom Cleaner Data'!CA18/('Bloom Cleaner Data'!J18+'Bloom Cleaner Data'!Z18)-1</f>
        <v>-2.7392205004039827E-4</v>
      </c>
      <c r="CP18" s="18">
        <f>$CI$1*BW18/('Bloom Cleaner Data'!K18+'Bloom Cleaner Data'!AA18+'OPERATING LEASES'!BB18)+(1-$CI$1)*'Bloom Cleaner Data'!CB18/('Bloom Cleaner Data'!K18+'Bloom Cleaner Data'!AA18)-1</f>
        <v>0</v>
      </c>
      <c r="CQ18" s="18">
        <f>$CI$1*BX18/('Bloom Cleaner Data'!L18+'Bloom Cleaner Data'!AB18+'OPERATING LEASES'!BC18)+(1-$CI$1)*'Bloom Cleaner Data'!CC18/('Bloom Cleaner Data'!L18+'Bloom Cleaner Data'!AB18)-1</f>
        <v>0</v>
      </c>
      <c r="CR18" s="18">
        <f>$CI$1*BY18/('Bloom Cleaner Data'!M18+'Bloom Cleaner Data'!AC18+'OPERATING LEASES'!BD18)+(1-$CI$1)*'Bloom Cleaner Data'!CD18/('Bloom Cleaner Data'!M18+'Bloom Cleaner Data'!AC18)-1</f>
        <v>0</v>
      </c>
      <c r="CS18" s="18">
        <f>$CI$1*BZ18/('Bloom Cleaner Data'!N18+'Bloom Cleaner Data'!AD18+'OPERATING LEASES'!BE18)+(1-$CI$1)*'Bloom Cleaner Data'!CE18/('Bloom Cleaner Data'!N18+'Bloom Cleaner Data'!AD18)-1</f>
        <v>0</v>
      </c>
      <c r="CT18" s="18">
        <f>$CI$1*CA18/('Bloom Cleaner Data'!O18+'Bloom Cleaner Data'!AE18+'OPERATING LEASES'!BF18)+(1-$CI$1)*'Bloom Cleaner Data'!CF18/('Bloom Cleaner Data'!O18+'Bloom Cleaner Data'!AE18)-1</f>
        <v>0</v>
      </c>
      <c r="CU18" s="18">
        <f>$CI$1*CB18/('Bloom Cleaner Data'!P18+'Bloom Cleaner Data'!AF18+'OPERATING LEASES'!BG18)+(1-$CI$1)*'Bloom Cleaner Data'!CG18/('Bloom Cleaner Data'!P18+'Bloom Cleaner Data'!AF18)-1</f>
        <v>2.5626803157130507E-3</v>
      </c>
      <c r="CV18" s="18">
        <f>$CI$1*CC18/('Bloom Cleaner Data'!Q18+'Bloom Cleaner Data'!AG18+'OPERATING LEASES'!BH18)+(1-$CI$1)*'Bloom Cleaner Data'!CH18/('Bloom Cleaner Data'!Q18+'Bloom Cleaner Data'!AG18)-1</f>
        <v>2.6306159687348174E-3</v>
      </c>
      <c r="CW18" s="18">
        <f>$CI$1*CD18/('Bloom Cleaner Data'!R18+'Bloom Cleaner Data'!AH18+'OPERATING LEASES'!BI18)+(1-$CI$1)*'Bloom Cleaner Data'!CI18/('Bloom Cleaner Data'!R18+'Bloom Cleaner Data'!AH18)-1</f>
        <v>2.6890253248352813E-3</v>
      </c>
      <c r="CX18" s="18">
        <f t="shared" si="38"/>
        <v>6.0023051177316735E-4</v>
      </c>
      <c r="CY18" s="13"/>
      <c r="CZ18" s="3112">
        <f>AVERAGE('Bloom Cleaner Data'!GX18:HJ18)</f>
        <v>5023.7677381919357</v>
      </c>
      <c r="DA18" s="2860">
        <f>('Bloom Cleaner Data'!HJ18-'Bloom Cleaner Data'!GX18)/'Bloom Cleaner Data'!GX18</f>
        <v>-0.19308165366084643</v>
      </c>
      <c r="DB18" s="2860">
        <f>('Bloom Cleaner Data'!HJ18+'Bloom Cleaner Data'!HI18-'Bloom Cleaner Data'!GX18-'Bloom Cleaner Data'!GW18)/('Bloom Cleaner Data'!GX18+'Bloom Cleaner Data'!GW18)</f>
        <v>-0.17570755489072065</v>
      </c>
      <c r="DC18" s="13"/>
      <c r="DD18" s="13">
        <f>'Bloom Cleaner Data'!GV18+'OPERATING LEASES'!BL18</f>
        <v>5488.847128823636</v>
      </c>
      <c r="DE18" s="13">
        <f>'Bloom Cleaner Data'!GW18+'OPERATING LEASES'!BM18</f>
        <v>5560.5121437584658</v>
      </c>
      <c r="DF18" s="13">
        <f>'Bloom Cleaner Data'!GX18+'OPERATING LEASES'!BN18</f>
        <v>5607.1514743718417</v>
      </c>
      <c r="DG18" s="13">
        <f>'Bloom Cleaner Data'!GY18+'OPERATING LEASES'!BO18</f>
        <v>5668.8016906426537</v>
      </c>
      <c r="DH18" s="13">
        <f>'Bloom Cleaner Data'!GZ18+'OPERATING LEASES'!BP18</f>
        <v>5703.4819343342433</v>
      </c>
      <c r="DI18" s="13">
        <f>'Bloom Cleaner Data'!HA18+'OPERATING LEASES'!BQ18</f>
        <v>5662.0719458893218</v>
      </c>
      <c r="DJ18" s="13">
        <f>'Bloom Cleaner Data'!HB18+'OPERATING LEASES'!BR18</f>
        <v>5596.6544379672305</v>
      </c>
      <c r="DK18" s="13">
        <f>'Bloom Cleaner Data'!HC18+'OPERATING LEASES'!BS18</f>
        <v>5446.1734200000001</v>
      </c>
      <c r="DL18" s="13">
        <f>'Bloom Cleaner Data'!HD18+'OPERATING LEASES'!BT18</f>
        <v>5415.7987176887982</v>
      </c>
      <c r="DM18" s="13">
        <f>'Bloom Cleaner Data'!HE18+'OPERATING LEASES'!BU18</f>
        <v>5285.978575367265</v>
      </c>
      <c r="DN18" s="13">
        <f>'Bloom Cleaner Data'!HF18+'OPERATING LEASES'!BV18</f>
        <v>5153.1387733728425</v>
      </c>
      <c r="DO18" s="13">
        <f>'Bloom Cleaner Data'!HG18+'OPERATING LEASES'!BW18</f>
        <v>5080.3293457031241</v>
      </c>
      <c r="DP18" s="13">
        <f>'Bloom Cleaner Data'!HH18+'OPERATING LEASES'!BX18</f>
        <v>4893.5136619682407</v>
      </c>
      <c r="DQ18" s="13">
        <f>'Bloom Cleaner Data'!HI18+'OPERATING LEASES'!BY18</f>
        <v>4756.4477802618967</v>
      </c>
      <c r="DR18" s="13">
        <f>'Bloom Cleaner Data'!HJ18+'OPERATING LEASES'!BZ18</f>
        <v>4623.4566960705688</v>
      </c>
      <c r="DS18" s="1167">
        <f t="shared" si="39"/>
        <v>5299.4614195106169</v>
      </c>
      <c r="DT18" s="10">
        <f t="shared" si="40"/>
        <v>-0.17543574180176297</v>
      </c>
      <c r="DU18" s="18">
        <f t="shared" si="41"/>
        <v>5.4877871686381731E-2</v>
      </c>
      <c r="DV18" s="167"/>
      <c r="DW18" s="15">
        <f>'Bloom Cleaner Data'!DT18</f>
        <v>2.2067000000000001</v>
      </c>
      <c r="DX18" s="15">
        <f>'Bloom Cleaner Data'!DX18</f>
        <v>2.0941999999999998</v>
      </c>
      <c r="DY18" s="15">
        <f>'Bloom Cleaner Data'!EB18</f>
        <v>1.8485</v>
      </c>
      <c r="DZ18" s="15">
        <f>'Bloom Cleaner Data'!EF18</f>
        <v>1.3995</v>
      </c>
      <c r="EA18" s="15">
        <f>AVERAGE('Bloom Cleaner Data'!DT18:EF18)</f>
        <v>1.8971769230769233</v>
      </c>
      <c r="EB18" s="18">
        <f t="shared" si="5"/>
        <v>-0.36579507862419003</v>
      </c>
      <c r="EC18" s="13"/>
      <c r="ED18" s="15">
        <f>'Bloom Cleaner Data'!DC18</f>
        <v>5.4802999999999997</v>
      </c>
      <c r="EE18" s="15">
        <f>'Bloom Cleaner Data'!DG18</f>
        <v>5.1634000000000002</v>
      </c>
      <c r="EF18" s="15">
        <f>'Bloom Cleaner Data'!DK18</f>
        <v>4.8934999999999995</v>
      </c>
      <c r="EG18" s="15">
        <f>'Bloom Cleaner Data'!DO18</f>
        <v>3.8656999999999999</v>
      </c>
      <c r="EH18" s="15">
        <f>AVERAGE('Bloom Cleaner Data'!DC18:DO18)</f>
        <v>4.8451615384615376</v>
      </c>
      <c r="EI18" s="22">
        <f t="shared" si="42"/>
        <v>4.8507249999999997</v>
      </c>
      <c r="EJ18" s="22">
        <f t="shared" si="6"/>
        <v>-5.5634615384621E-3</v>
      </c>
      <c r="EK18" s="18">
        <f t="shared" si="43"/>
        <v>-0.29461890772402971</v>
      </c>
      <c r="EL18" s="241"/>
      <c r="EM18" s="15">
        <f>('Bloom Cleaner Data'!BU18+'OPERATING LEASES'!AU18)/DD18</f>
        <v>5.7602103537566114</v>
      </c>
      <c r="EN18" s="15">
        <f>('Bloom Cleaner Data'!BV18+'OPERATING LEASES'!AV18)/DE18</f>
        <v>5.7064707675501944</v>
      </c>
      <c r="EO18" s="15">
        <f>('Bloom Cleaner Data'!BW18+'OPERATING LEASES'!AW18)/DF18</f>
        <v>5.499929417146479</v>
      </c>
      <c r="EP18" s="15">
        <f>('Bloom Cleaner Data'!BX18+'OPERATING LEASES'!AX18)/DG18</f>
        <v>5.5600726219881471</v>
      </c>
      <c r="EQ18" s="15">
        <f>('Bloom Cleaner Data'!BY18+'OPERATING LEASES'!AY18)/DH18</f>
        <v>5.3180491966424119</v>
      </c>
      <c r="ER18" s="15">
        <f>('Bloom Cleaner Data'!BZ18+'OPERATING LEASES'!AZ18)/DI18</f>
        <v>5.5712545975151064</v>
      </c>
      <c r="ES18" s="15">
        <f>('Bloom Cleaner Data'!CA18+'OPERATING LEASES'!BA18)/DJ18</f>
        <v>5.2169361579609115</v>
      </c>
      <c r="ET18" s="15">
        <f>('Bloom Cleaner Data'!CB18+'OPERATING LEASES'!BB18)/DK18</f>
        <v>5.3629911480288674</v>
      </c>
      <c r="EU18" s="15">
        <f>('Bloom Cleaner Data'!CC18+'OPERATING LEASES'!BC18)/DL18</f>
        <v>5.0051679717344646</v>
      </c>
      <c r="EV18" s="15">
        <f>('Bloom Cleaner Data'!CD18+'OPERATING LEASES'!BD18)/DM18</f>
        <v>4.8893010168931506</v>
      </c>
      <c r="EW18" s="15">
        <f>('Bloom Cleaner Data'!CE18+'OPERATING LEASES'!BE18)/DN18</f>
        <v>4.976600493860813</v>
      </c>
      <c r="EX18" s="15">
        <f>('Bloom Cleaner Data'!CF18+'OPERATING LEASES'!BF18)/DO18</f>
        <v>4.6153204270140611</v>
      </c>
      <c r="EY18" s="15">
        <f>('Bloom Cleaner Data'!CG18+'OPERATING LEASES'!BG18)/DP18</f>
        <v>4.0772418397294583</v>
      </c>
      <c r="EZ18" s="15">
        <f>('Bloom Cleaner Data'!CH18+'OPERATING LEASES'!BH18)/DQ18</f>
        <v>3.9264209360953632</v>
      </c>
      <c r="FA18" s="15">
        <f>('Bloom Cleaner Data'!CI18+'OPERATING LEASES'!BI18)/DR18</f>
        <v>4.0325018858098245</v>
      </c>
      <c r="FB18" s="526">
        <f t="shared" si="44"/>
        <v>4.9270605931091591</v>
      </c>
      <c r="FC18" s="10">
        <f t="shared" si="45"/>
        <v>-0.26680842971581226</v>
      </c>
      <c r="FD18" s="15">
        <f t="shared" si="7"/>
        <v>8.1899054647621483E-2</v>
      </c>
      <c r="FE18" s="15">
        <f t="shared" si="46"/>
        <v>4.7673736474642023</v>
      </c>
      <c r="FF18" s="13"/>
      <c r="FG18" s="15">
        <f>$FG$1*EM18+(1-$FG$1)*'Bloom Cleaner Data'!DA18</f>
        <v>5.7602103537566114</v>
      </c>
      <c r="FH18" s="15">
        <f>$FG$1*EN18+(1-$FG$1)*'Bloom Cleaner Data'!DB18</f>
        <v>5.7064707675501944</v>
      </c>
      <c r="FI18" s="15">
        <f>$FG$1*EO18+(1-$FG$1)*'Bloom Cleaner Data'!DC18</f>
        <v>5.499929417146479</v>
      </c>
      <c r="FJ18" s="15">
        <f>$FG$1*EP18+(1-$FG$1)*'Bloom Cleaner Data'!DD18</f>
        <v>5.5600726219881471</v>
      </c>
      <c r="FK18" s="15">
        <f>$FG$1*EQ18+(1-$FG$1)*'Bloom Cleaner Data'!DE18</f>
        <v>5.3180491966424119</v>
      </c>
      <c r="FL18" s="15">
        <f>$FG$1*ER18+(1-$FG$1)*'Bloom Cleaner Data'!DF18</f>
        <v>5.5712545975151064</v>
      </c>
      <c r="FM18" s="15">
        <f>$FG$1*ES18+(1-$FG$1)*'Bloom Cleaner Data'!DG18</f>
        <v>5.2169361579609115</v>
      </c>
      <c r="FN18" s="15">
        <f>$FG$1*ET18+(1-$FG$1)*'Bloom Cleaner Data'!DH18</f>
        <v>5.3629911480288674</v>
      </c>
      <c r="FO18" s="15">
        <f>$FG$1*EU18+(1-$FG$1)*'Bloom Cleaner Data'!DI18</f>
        <v>5.0051679717344646</v>
      </c>
      <c r="FP18" s="15">
        <f>$FG$1*EV18+(1-$FG$1)*'Bloom Cleaner Data'!DJ18</f>
        <v>4.8893010168931506</v>
      </c>
      <c r="FQ18" s="15">
        <f>$FG$1*EW18+(1-$FG$1)*'Bloom Cleaner Data'!DK18</f>
        <v>4.976600493860813</v>
      </c>
      <c r="FR18" s="15">
        <f>$FG$1*EX18+(1-$FG$1)*'Bloom Cleaner Data'!DL18</f>
        <v>4.6153204270140611</v>
      </c>
      <c r="FS18" s="15">
        <f>$FG$1*EY18+(1-$FG$1)*'Bloom Cleaner Data'!DM18</f>
        <v>4.0772418397294583</v>
      </c>
      <c r="FT18" s="15">
        <f>$FG$1*EZ18+(1-$FG$1)*'Bloom Cleaner Data'!DN18</f>
        <v>3.9264209360953632</v>
      </c>
      <c r="FU18" s="15">
        <f>$FG$1*FA18+(1-$FG$1)*'Bloom Cleaner Data'!DO18</f>
        <v>4.0325018858098245</v>
      </c>
      <c r="FV18" s="526">
        <f t="shared" si="47"/>
        <v>4.9270605931091591</v>
      </c>
      <c r="FW18" s="10">
        <f t="shared" si="48"/>
        <v>-0.26680842971581226</v>
      </c>
      <c r="FX18" s="526">
        <f t="shared" si="49"/>
        <v>4.7673736474642023</v>
      </c>
      <c r="FY18" s="2710">
        <v>1</v>
      </c>
      <c r="FZ18" s="2710"/>
      <c r="GA18" s="10">
        <f>'Bloom Cleaner Data'!T18/('Bloom Cleaner Data'!T18+'Bloom Cleaner Data'!D18)</f>
        <v>0.35638664456818064</v>
      </c>
      <c r="GB18" s="10">
        <f>'Bloom Cleaner Data'!U18/('Bloom Cleaner Data'!U18+'Bloom Cleaner Data'!E18)</f>
        <v>0.37001110693817857</v>
      </c>
      <c r="GC18" s="10">
        <f>'Bloom Cleaner Data'!V18/('Bloom Cleaner Data'!V18+'Bloom Cleaner Data'!F18)</f>
        <v>0.42122436770674643</v>
      </c>
      <c r="GD18" s="10">
        <f>'Bloom Cleaner Data'!W18/('Bloom Cleaner Data'!W18+'Bloom Cleaner Data'!G18)</f>
        <v>0.40575208572209936</v>
      </c>
      <c r="GE18" s="10">
        <f>'Bloom Cleaner Data'!X18/('Bloom Cleaner Data'!X18+'Bloom Cleaner Data'!H18)</f>
        <v>0.40551253476666771</v>
      </c>
      <c r="GF18" s="10">
        <f>'Bloom Cleaner Data'!Y18/('Bloom Cleaner Data'!Y18+'Bloom Cleaner Data'!I18)</f>
        <v>0.38810040520900096</v>
      </c>
      <c r="GG18" s="10">
        <f>'Bloom Cleaner Data'!Z18/('Bloom Cleaner Data'!Z18+'Bloom Cleaner Data'!J18)</f>
        <v>0.44465197687928554</v>
      </c>
      <c r="GH18" s="10">
        <f>'Bloom Cleaner Data'!AA18/('Bloom Cleaner Data'!AA18+'Bloom Cleaner Data'!K18)</f>
        <v>0.46850042735631658</v>
      </c>
      <c r="GI18" s="10">
        <f>'Bloom Cleaner Data'!AB18/('Bloom Cleaner Data'!AB18+'Bloom Cleaner Data'!L18)</f>
        <v>0.47779650369518117</v>
      </c>
      <c r="GJ18" s="10">
        <f>'Bloom Cleaner Data'!AC18/('Bloom Cleaner Data'!AC18+'Bloom Cleaner Data'!M18)</f>
        <v>0.50863122045016795</v>
      </c>
      <c r="GK18" s="10">
        <f>'Bloom Cleaner Data'!AD18/('Bloom Cleaner Data'!AD18+'Bloom Cleaner Data'!N18)</f>
        <v>0.54509322959428197</v>
      </c>
      <c r="GL18" s="10">
        <f>'Bloom Cleaner Data'!AE18/('Bloom Cleaner Data'!AE18+'Bloom Cleaner Data'!O18)</f>
        <v>0.60461265104498885</v>
      </c>
      <c r="GM18" s="10">
        <f>'Bloom Cleaner Data'!AF18/('Bloom Cleaner Data'!AF18+'Bloom Cleaner Data'!P18)</f>
        <v>0.70330871613392154</v>
      </c>
      <c r="GN18" s="10">
        <f>'Bloom Cleaner Data'!AG18/('Bloom Cleaner Data'!AG18+'Bloom Cleaner Data'!Q18)</f>
        <v>0.77446748980730784</v>
      </c>
      <c r="GO18" s="10">
        <f>'Bloom Cleaner Data'!AH18/('Bloom Cleaner Data'!AH18+'Bloom Cleaner Data'!R18)</f>
        <v>0.58973938770950263</v>
      </c>
      <c r="GP18" s="10">
        <f t="shared" si="50"/>
        <v>0.51826084585195908</v>
      </c>
      <c r="GQ18" s="10">
        <f t="shared" si="51"/>
        <v>0.40005999871326348</v>
      </c>
      <c r="GR18" s="10"/>
      <c r="GS18" s="496">
        <f t="shared" si="8"/>
        <v>0.55372785782089662</v>
      </c>
      <c r="GT18" s="497">
        <f t="shared" si="9"/>
        <v>0.58732957201813563</v>
      </c>
      <c r="GU18" s="497">
        <f t="shared" si="10"/>
        <v>0.727785249074413</v>
      </c>
      <c r="GV18" s="497">
        <f t="shared" si="11"/>
        <v>0.68279934346113491</v>
      </c>
      <c r="GW18" s="497">
        <f t="shared" si="12"/>
        <v>0.68212125314956273</v>
      </c>
      <c r="GX18" s="497">
        <f t="shared" si="13"/>
        <v>0.63425504529311028</v>
      </c>
      <c r="GY18" s="497">
        <f t="shared" si="14"/>
        <v>0.80067265636530915</v>
      </c>
      <c r="GZ18" s="497">
        <f t="shared" si="15"/>
        <v>0.88146905749329474</v>
      </c>
      <c r="HA18" s="497">
        <f t="shared" si="16"/>
        <v>0.91496228400639334</v>
      </c>
      <c r="HB18" s="497">
        <f t="shared" si="17"/>
        <v>1.0351313343842294</v>
      </c>
      <c r="HC18" s="497">
        <f t="shared" si="18"/>
        <v>1.1982526202195876</v>
      </c>
      <c r="HD18" s="497">
        <f t="shared" si="19"/>
        <v>1.5291653934880558</v>
      </c>
      <c r="HE18" s="497">
        <f t="shared" si="20"/>
        <v>2.3705068344757425</v>
      </c>
      <c r="HF18" s="497">
        <f t="shared" si="21"/>
        <v>3.4339505605893024</v>
      </c>
      <c r="HG18" s="498">
        <f t="shared" si="22"/>
        <v>1.4374750342641225</v>
      </c>
      <c r="HH18" s="10">
        <f t="shared" si="52"/>
        <v>1.2560420512510968</v>
      </c>
      <c r="HI18" s="10">
        <f t="shared" si="53"/>
        <v>0.97513625907131662</v>
      </c>
      <c r="HJ18" s="10"/>
      <c r="HK18" s="18">
        <f>('Bloom Cleaner Data'!T18+'OPERATING LEASES'!AU18)/('Bloom Cleaner Data'!T18+'OPERATING LEASES'!AU18+'Bloom Cleaner Data'!D18)</f>
        <v>0.38996332556610758</v>
      </c>
      <c r="HL18" s="18">
        <f>('Bloom Cleaner Data'!U18+'OPERATING LEASES'!AV18)/('Bloom Cleaner Data'!U18+'OPERATING LEASES'!AV18+'Bloom Cleaner Data'!E18)</f>
        <v>0.40174346376663489</v>
      </c>
      <c r="HM18" s="18">
        <f>('Bloom Cleaner Data'!V18+'OPERATING LEASES'!AW18)/('Bloom Cleaner Data'!V18+'OPERATING LEASES'!AW18+'Bloom Cleaner Data'!F18)</f>
        <v>0.45026142618436604</v>
      </c>
      <c r="HN18" s="18">
        <f>('Bloom Cleaner Data'!W18+'OPERATING LEASES'!AX18)/('Bloom Cleaner Data'!W18+'OPERATING LEASES'!AX18+'Bloom Cleaner Data'!G18)</f>
        <v>0.4339513333731439</v>
      </c>
      <c r="HO18" s="18">
        <f>('Bloom Cleaner Data'!X18+'OPERATING LEASES'!AY18)/('Bloom Cleaner Data'!X18+'OPERATING LEASES'!AY18+'Bloom Cleaner Data'!H18)</f>
        <v>0.43382431062497023</v>
      </c>
      <c r="HP18" s="18">
        <f>('Bloom Cleaner Data'!Y18+'OPERATING LEASES'!AZ18)/('Bloom Cleaner Data'!Y18+'OPERATING LEASES'!AZ18+'Bloom Cleaner Data'!I18)</f>
        <v>0.41766769585666652</v>
      </c>
      <c r="HQ18" s="18">
        <f>('Bloom Cleaner Data'!Z18+'OPERATING LEASES'!BA18)/('Bloom Cleaner Data'!Z18+'OPERATING LEASES'!BA18+'Bloom Cleaner Data'!J18)</f>
        <v>0.47515297084599867</v>
      </c>
      <c r="HR18" s="18">
        <f>('Bloom Cleaner Data'!AA18+'OPERATING LEASES'!BB18)/('Bloom Cleaner Data'!AA18+'OPERATING LEASES'!BB18+'Bloom Cleaner Data'!K18)</f>
        <v>0.49914071596366993</v>
      </c>
      <c r="HS18" s="18">
        <f>('Bloom Cleaner Data'!AB18+'OPERATING LEASES'!BC18)/('Bloom Cleaner Data'!AB18+'OPERATING LEASES'!BC18+'Bloom Cleaner Data'!L18)</f>
        <v>0.5117706146053288</v>
      </c>
      <c r="HT18" s="18">
        <f>('Bloom Cleaner Data'!AC18+'OPERATING LEASES'!BD18)/('Bloom Cleaner Data'!AC18+'OPERATING LEASES'!BD18+'Bloom Cleaner Data'!M18)</f>
        <v>0.54314892676892745</v>
      </c>
      <c r="HU18" s="18">
        <f>('Bloom Cleaner Data'!AD18+'OPERATING LEASES'!BE18)/('Bloom Cleaner Data'!AD18+'OPERATING LEASES'!BE18+'Bloom Cleaner Data'!N18)</f>
        <v>0.57822046192688159</v>
      </c>
      <c r="HV18" s="18">
        <f>('Bloom Cleaner Data'!AE18+'OPERATING LEASES'!BF18)/('Bloom Cleaner Data'!AE18+'OPERATING LEASES'!BF18+'Bloom Cleaner Data'!O18)</f>
        <v>0.63698100225567456</v>
      </c>
      <c r="HW18" s="18">
        <f>('Bloom Cleaner Data'!AF18+'OPERATING LEASES'!BG18)/('Bloom Cleaner Data'!AF18+'OPERATING LEASES'!BG18+'Bloom Cleaner Data'!P18)</f>
        <v>0.73270050902064932</v>
      </c>
      <c r="HX18" s="18">
        <f>('Bloom Cleaner Data'!AG18+'OPERATING LEASES'!BH18)/('Bloom Cleaner Data'!AG18+'OPERATING LEASES'!BH18+'Bloom Cleaner Data'!Q18)</f>
        <v>0.79833832198778942</v>
      </c>
      <c r="HY18" s="18">
        <f>('Bloom Cleaner Data'!AH18+'OPERATING LEASES'!BI18)/('Bloom Cleaner Data'!AH18+'OPERATING LEASES'!BI18+'Bloom Cleaner Data'!R18)</f>
        <v>0.63323863537070213</v>
      </c>
      <c r="HZ18" s="10">
        <f t="shared" si="54"/>
        <v>0.5495689942142129</v>
      </c>
      <c r="IA18" s="10">
        <f t="shared" si="55"/>
        <v>0.40637993517884302</v>
      </c>
      <c r="IB18" s="10">
        <f t="shared" si="23"/>
        <v>3.1308148362253818E-2</v>
      </c>
      <c r="IC18" s="10">
        <f t="shared" si="24"/>
        <v>6.0410020577161203E-2</v>
      </c>
      <c r="IE18" s="502">
        <f t="shared" si="56"/>
        <v>0.63924570752732102</v>
      </c>
      <c r="IF18" s="467">
        <f t="shared" si="25"/>
        <v>0.67152373511206342</v>
      </c>
      <c r="IG18" s="467">
        <f t="shared" si="25"/>
        <v>0.81904644794922177</v>
      </c>
      <c r="IH18" s="467">
        <f t="shared" si="25"/>
        <v>0.76663255115342976</v>
      </c>
      <c r="II18" s="467">
        <f t="shared" si="25"/>
        <v>0.76623620329556186</v>
      </c>
      <c r="IJ18" s="467">
        <f t="shared" si="25"/>
        <v>0.7172325713083969</v>
      </c>
      <c r="IK18" s="467">
        <f t="shared" si="25"/>
        <v>0.90531706278664803</v>
      </c>
      <c r="IL18" s="467">
        <f t="shared" si="25"/>
        <v>0.99656876067303668</v>
      </c>
      <c r="IM18" s="467">
        <f t="shared" si="25"/>
        <v>1.048217559030429</v>
      </c>
      <c r="IN18" s="467">
        <f t="shared" si="25"/>
        <v>1.1888971233612622</v>
      </c>
      <c r="IO18" s="467">
        <f t="shared" si="25"/>
        <v>1.3709068594661011</v>
      </c>
      <c r="IP18" s="467">
        <f t="shared" si="25"/>
        <v>1.754676769573092</v>
      </c>
      <c r="IQ18" s="467">
        <f t="shared" si="25"/>
        <v>2.7411219764621686</v>
      </c>
      <c r="IR18" s="467">
        <f t="shared" si="25"/>
        <v>3.9588003524370663</v>
      </c>
      <c r="IS18" s="503">
        <f t="shared" si="25"/>
        <v>1.7265685441288092</v>
      </c>
      <c r="IT18" s="10">
        <f t="shared" si="57"/>
        <v>1.4430940601250173</v>
      </c>
      <c r="IU18" s="10">
        <f t="shared" si="58"/>
        <v>1.1080227482237379</v>
      </c>
      <c r="IV18" s="10">
        <f t="shared" si="59"/>
        <v>0.18705200887392048</v>
      </c>
      <c r="IW18" s="10">
        <f t="shared" si="60"/>
        <v>0.14892177271262927</v>
      </c>
      <c r="IY18" s="15">
        <f>'Bloom Cleaner Data'!T18/'Bloom Cleaner Data'!BU18*'Bloom Cleaner Data'!DA18</f>
        <v>2.0568221488994447</v>
      </c>
      <c r="IZ18" s="15">
        <f>'Bloom Cleaner Data'!U18/'Bloom Cleaner Data'!BV18*'Bloom Cleaner Data'!DB18</f>
        <v>2.1109661164099336</v>
      </c>
      <c r="JA18" s="15">
        <f>'Bloom Cleaner Data'!V18/'Bloom Cleaner Data'!BW18*'Bloom Cleaner Data'!DC18</f>
        <v>2.3079630568766856</v>
      </c>
      <c r="JB18" s="15">
        <f>'Bloom Cleaner Data'!W18/'Bloom Cleaner Data'!BX18*'Bloom Cleaner Data'!DD18</f>
        <v>2.2459595200975366</v>
      </c>
      <c r="JC18" s="15">
        <f>'Bloom Cleaner Data'!X18/'Bloom Cleaner Data'!BY18*'Bloom Cleaner Data'!DE18</f>
        <v>2.1391597234011255</v>
      </c>
      <c r="JD18" s="15">
        <f>'Bloom Cleaner Data'!Y18/'Bloom Cleaner Data'!BZ18*'Bloom Cleaner Data'!DF18</f>
        <v>2.1488343235611969</v>
      </c>
      <c r="JE18" s="15">
        <f>'Bloom Cleaner Data'!Z18/'Bloom Cleaner Data'!CA18*'Bloom Cleaner Data'!DG18</f>
        <v>2.2965816604237159</v>
      </c>
      <c r="JF18" s="15">
        <f>'Bloom Cleaner Data'!AA18/'Bloom Cleaner Data'!CB18*'Bloom Cleaner Data'!DH18</f>
        <v>2.4889085203304315</v>
      </c>
      <c r="JG18" s="15">
        <f>'Bloom Cleaner Data'!AB18/'Bloom Cleaner Data'!CC18*'Bloom Cleaner Data'!DI18</f>
        <v>2.3567312544764816</v>
      </c>
      <c r="JH18" s="15">
        <f>'Bloom Cleaner Data'!AC18/'Bloom Cleaner Data'!CD18*'Bloom Cleaner Data'!DJ18</f>
        <v>2.4443799192394162</v>
      </c>
      <c r="JI18" s="15">
        <f>'Bloom Cleaner Data'!AD18/'Bloom Cleaner Data'!CE18*'Bloom Cleaner Data'!DK18</f>
        <v>2.6674137190196179</v>
      </c>
      <c r="JJ18" s="15">
        <f>'Bloom Cleaner Data'!AE18/'Bloom Cleaner Data'!CF18*'Bloom Cleaner Data'!DL18</f>
        <v>2.7241427605483017</v>
      </c>
      <c r="JK18" s="15">
        <f>'Bloom Cleaner Data'!AF18/'Bloom Cleaner Data'!CG18*'Bloom Cleaner Data'!DM18</f>
        <v>2.7514646322447258</v>
      </c>
      <c r="JL18" s="15">
        <f>'Bloom Cleaner Data'!AG18/'Bloom Cleaner Data'!CH18*'Bloom Cleaner Data'!DN18</f>
        <v>2.9012936358060779</v>
      </c>
      <c r="JM18" s="15">
        <f>'Bloom Cleaner Data'!AH18/'Bloom Cleaner Data'!CI18*'Bloom Cleaner Data'!DO18</f>
        <v>2.2729187169746634</v>
      </c>
      <c r="JN18" s="15">
        <f t="shared" si="61"/>
        <v>2.6418923283418221</v>
      </c>
      <c r="JO18" s="15">
        <f t="shared" si="62"/>
        <v>2.6624549363934422</v>
      </c>
      <c r="JP18" s="15">
        <f t="shared" si="63"/>
        <v>2.4419808802307674</v>
      </c>
      <c r="JQ18" s="18">
        <f t="shared" si="64"/>
        <v>-1.5184099155142836E-2</v>
      </c>
      <c r="JR18" s="18"/>
      <c r="JS18" s="2024" t="s">
        <v>44</v>
      </c>
      <c r="JT18" s="526">
        <f>('Bloom Cleaner Data'!T18+'OPERATING LEASES'!AU18)/DD18</f>
        <v>2.2460576460396591</v>
      </c>
      <c r="JU18" s="526">
        <f>('Bloom Cleaner Data'!U18+'OPERATING LEASES'!AV18)/DE18</f>
        <v>2.292248334584198</v>
      </c>
      <c r="JV18" s="526">
        <f>('Bloom Cleaner Data'!V18+'OPERATING LEASES'!AW18)/DF18</f>
        <v>2.4759242556130907</v>
      </c>
      <c r="JW18" s="526">
        <f>('Bloom Cleaner Data'!W18+'OPERATING LEASES'!AX18)/DG18</f>
        <v>2.4128009279632687</v>
      </c>
      <c r="JX18" s="526">
        <f>('Bloom Cleaner Data'!X18+'OPERATING LEASES'!AY18)/DH18</f>
        <v>2.3070990266030713</v>
      </c>
      <c r="JY18" s="526">
        <f>('Bloom Cleaner Data'!Y18+'OPERATING LEASES'!AZ18)/DI18</f>
        <v>2.3269330707749947</v>
      </c>
      <c r="JZ18" s="526">
        <f>('Bloom Cleaner Data'!Z18+'OPERATING LEASES'!BA18)/DJ18</f>
        <v>2.4795219098937151</v>
      </c>
      <c r="KA18" s="526">
        <f>('Bloom Cleaner Data'!AA18+'OPERATING LEASES'!BB18)/DK18</f>
        <v>2.6768872413339531</v>
      </c>
      <c r="KB18" s="526">
        <f>('Bloom Cleaner Data'!AB18+'OPERATING LEASES'!BC18)/DL18</f>
        <v>2.561497889097454</v>
      </c>
      <c r="KC18" s="526">
        <f>('Bloom Cleaner Data'!AC18+'OPERATING LEASES'!BD18)/DM18</f>
        <v>2.6556185999757402</v>
      </c>
      <c r="KD18" s="526">
        <f>('Bloom Cleaner Data'!AD18+'OPERATING LEASES'!BE18)/DN18</f>
        <v>2.8775722363857463</v>
      </c>
      <c r="KE18" s="526">
        <f>('Bloom Cleaner Data'!AE18+'OPERATING LEASES'!BF18)/DO18</f>
        <v>2.9398714313305048</v>
      </c>
      <c r="KF18" s="526">
        <f>('Bloom Cleaner Data'!AF18+'OPERATING LEASES'!BG18)/DP18</f>
        <v>2.9797609965187557</v>
      </c>
      <c r="KG18" s="526">
        <f>('Bloom Cleaner Data'!AG18+'OPERATING LEASES'!BH18)/DQ18</f>
        <v>3.1263879754075297</v>
      </c>
      <c r="KH18" s="526">
        <f>('Bloom Cleaner Data'!AH18+'OPERATING LEASES'!BI18)/DR18</f>
        <v>2.5466878830879209</v>
      </c>
      <c r="KI18" s="15">
        <f t="shared" si="65"/>
        <v>2.8842789516714018</v>
      </c>
      <c r="KJ18" s="15">
        <f t="shared" si="66"/>
        <v>2.8981770715861779</v>
      </c>
      <c r="KK18" s="15">
        <f t="shared" si="67"/>
        <v>2.643581803383519</v>
      </c>
      <c r="KL18" s="18">
        <f t="shared" si="68"/>
        <v>2.8580691559688957E-2</v>
      </c>
      <c r="KM18" s="15">
        <f t="shared" si="69"/>
        <v>0.20160092315275158</v>
      </c>
      <c r="KN18" s="18"/>
      <c r="KO18" s="15">
        <f t="shared" si="70"/>
        <v>2.2460576460396591</v>
      </c>
      <c r="KP18" s="15">
        <f t="shared" si="71"/>
        <v>2.292248334584198</v>
      </c>
      <c r="KQ18" s="15">
        <f t="shared" si="72"/>
        <v>2.4759242556130907</v>
      </c>
      <c r="KR18" s="15">
        <f t="shared" si="73"/>
        <v>2.4128009279632687</v>
      </c>
      <c r="KS18" s="15">
        <f t="shared" si="74"/>
        <v>2.3070990266030713</v>
      </c>
      <c r="KT18" s="15">
        <f t="shared" si="75"/>
        <v>2.3269330707749947</v>
      </c>
      <c r="KU18" s="15">
        <f t="shared" si="76"/>
        <v>2.4795219098937151</v>
      </c>
      <c r="KV18" s="15">
        <f t="shared" si="77"/>
        <v>2.6768872413339531</v>
      </c>
      <c r="KW18" s="15">
        <f t="shared" si="78"/>
        <v>2.561497889097454</v>
      </c>
      <c r="KX18" s="15">
        <f t="shared" si="79"/>
        <v>2.6556185999757402</v>
      </c>
      <c r="KY18" s="15">
        <f t="shared" si="80"/>
        <v>2.8775722363857463</v>
      </c>
      <c r="KZ18" s="15">
        <f t="shared" si="81"/>
        <v>2.9398714313305048</v>
      </c>
      <c r="LA18" s="15">
        <f t="shared" si="82"/>
        <v>2.9797609965187557</v>
      </c>
      <c r="LB18" s="15">
        <f t="shared" si="83"/>
        <v>3.1263879754075297</v>
      </c>
      <c r="LC18" s="15">
        <f t="shared" si="84"/>
        <v>2.5466878830879209</v>
      </c>
      <c r="LD18" s="15">
        <f t="shared" si="85"/>
        <v>2.8842789516714018</v>
      </c>
      <c r="LE18" s="15">
        <f t="shared" si="86"/>
        <v>2.8981770715861779</v>
      </c>
      <c r="LF18" s="526">
        <f t="shared" si="87"/>
        <v>2.643581803383519</v>
      </c>
      <c r="LG18" s="10">
        <f t="shared" si="88"/>
        <v>2.8580691559688957E-2</v>
      </c>
      <c r="LH18" s="18"/>
      <c r="LI18" s="15">
        <f>('Bloom Cleaner Data'!T18+'Bloom Cleaner Data'!EY18)/'Bloom Cleaner Data'!GV18</f>
        <v>2.5749279247716714</v>
      </c>
      <c r="LJ18" s="15">
        <f>('Bloom Cleaner Data'!U18+'Bloom Cleaner Data'!EZ18)/'Bloom Cleaner Data'!GW18</f>
        <v>2.5587984509371577</v>
      </c>
      <c r="LK18" s="15">
        <f>('Bloom Cleaner Data'!V18+'Bloom Cleaner Data'!FA18)/'Bloom Cleaner Data'!GX18</f>
        <v>2.6114257739854714</v>
      </c>
      <c r="LL18" s="15">
        <f>('Bloom Cleaner Data'!W18+'Bloom Cleaner Data'!FB18)/'Bloom Cleaner Data'!GY18</f>
        <v>2.492089544669053</v>
      </c>
      <c r="LM18" s="15">
        <f>('Bloom Cleaner Data'!X18+'Bloom Cleaner Data'!FC18)/'Bloom Cleaner Data'!GZ18</f>
        <v>2.289452403302024</v>
      </c>
      <c r="LN18" s="15">
        <f>('Bloom Cleaner Data'!Y18+'Bloom Cleaner Data'!FD18)/'Bloom Cleaner Data'!HA18</f>
        <v>2.3229395163722661</v>
      </c>
      <c r="LO18" s="15">
        <f>('Bloom Cleaner Data'!Z18+'Bloom Cleaner Data'!FE18)/'Bloom Cleaner Data'!HB18</f>
        <v>2.5069098431269063</v>
      </c>
      <c r="LP18" s="15">
        <f>('Bloom Cleaner Data'!AA18+'Bloom Cleaner Data'!FF18)/'Bloom Cleaner Data'!HC18</f>
        <v>2.6134021997110541</v>
      </c>
      <c r="LQ18" s="15">
        <f>('Bloom Cleaner Data'!AB18+'Bloom Cleaner Data'!FG18)/'Bloom Cleaner Data'!HD18</f>
        <v>2.5494114049374379</v>
      </c>
      <c r="LR18" s="15">
        <f>('Bloom Cleaner Data'!AC18+'Bloom Cleaner Data'!FH18)/'Bloom Cleaner Data'!HE18</f>
        <v>2.6977778375569046</v>
      </c>
      <c r="LS18" s="15">
        <f>('Bloom Cleaner Data'!AD18+'Bloom Cleaner Data'!FI18)/'Bloom Cleaner Data'!HF18</f>
        <v>2.8481088232013341</v>
      </c>
      <c r="LT18" s="15">
        <f>('Bloom Cleaner Data'!AE18+'Bloom Cleaner Data'!FJ18)/'Bloom Cleaner Data'!HG18</f>
        <v>3.0370340810015684</v>
      </c>
      <c r="LU18" s="15">
        <f>('Bloom Cleaner Data'!AF18+'Bloom Cleaner Data'!FK18)/'Bloom Cleaner Data'!HH18</f>
        <v>3.0320660213856234</v>
      </c>
      <c r="LV18" s="15">
        <f>('Bloom Cleaner Data'!AG18+'Bloom Cleaner Data'!FL18)/'Bloom Cleaner Data'!HI18</f>
        <v>3.1741263499880126</v>
      </c>
      <c r="LW18" s="15">
        <f>('Bloom Cleaner Data'!AH18+'Bloom Cleaner Data'!FM18)/'Bloom Cleaner Data'!HJ18</f>
        <v>3.2803482615278523</v>
      </c>
      <c r="LX18" s="15">
        <f t="shared" si="89"/>
        <v>1.0074295445531889</v>
      </c>
      <c r="LY18" s="15">
        <f t="shared" si="90"/>
        <v>3.1621802109671626</v>
      </c>
      <c r="LZ18" s="15">
        <f t="shared" si="27"/>
        <v>0.52028788262534054</v>
      </c>
      <c r="MA18" s="15">
        <f t="shared" si="91"/>
        <v>3.1308936784757639</v>
      </c>
      <c r="MB18" s="15">
        <f t="shared" si="92"/>
        <v>2.727314773905039</v>
      </c>
      <c r="MC18" s="18">
        <f t="shared" si="93"/>
        <v>0.25615221164088214</v>
      </c>
      <c r="MD18" s="15">
        <f t="shared" si="28"/>
        <v>0.28533389367427153</v>
      </c>
      <c r="ME18" s="18"/>
      <c r="MF18" s="2024" t="s">
        <v>44</v>
      </c>
      <c r="MG18" s="15">
        <f>JT18+'Bloom Cleaner Data'!EY18/CALCULATIONS!DD18</f>
        <v>2.7361423463174237</v>
      </c>
      <c r="MH18" s="15">
        <f>JU18+'Bloom Cleaner Data'!EZ18/CALCULATIONS!DE18</f>
        <v>2.7175688696098526</v>
      </c>
      <c r="MI18" s="15">
        <f>JV18+'Bloom Cleaner Data'!FA18/CALCULATIONS!DF18</f>
        <v>2.7651976963991203</v>
      </c>
      <c r="MJ18" s="15">
        <f>JW18+'Bloom Cleaner Data'!FB18/CALCULATIONS!DG18</f>
        <v>2.648300434358712</v>
      </c>
      <c r="MK18" s="15">
        <f>JX18+'Bloom Cleaner Data'!FC18/CALCULATIONS!DH18</f>
        <v>2.4513968449314936</v>
      </c>
      <c r="ML18" s="15">
        <f>JY18+'Bloom Cleaner Data'!FD18/CALCULATIONS!DI18</f>
        <v>2.4936564909331129</v>
      </c>
      <c r="MM18" s="15">
        <f>JZ18+'Bloom Cleaner Data'!FE18/CALCULATIONS!DJ18</f>
        <v>2.6803561783764858</v>
      </c>
      <c r="MN18" s="15">
        <f>KA18+'Bloom Cleaner Data'!FF18/CALCULATIONS!DK18</f>
        <v>2.795319019071945</v>
      </c>
      <c r="MO18" s="15">
        <f>KB18+'Bloom Cleaner Data'!FG18/CALCULATIONS!DL18</f>
        <v>2.7442964109048678</v>
      </c>
      <c r="MP18" s="15">
        <f>KC18+'Bloom Cleaner Data'!FH18/CALCULATIONS!DM18</f>
        <v>2.8953093179639362</v>
      </c>
      <c r="MQ18" s="15">
        <f>KD18+'Bloom Cleaner Data'!FI18/CALCULATIONS!DN18</f>
        <v>3.0479538307136105</v>
      </c>
      <c r="MR18" s="15">
        <f>KE18+'Bloom Cleaner Data'!FJ18/CALCULATIONS!DO18</f>
        <v>3.2341436917036344</v>
      </c>
      <c r="MS18" s="15">
        <f>KF18+'Bloom Cleaner Data'!FK18/CALCULATIONS!DP18</f>
        <v>3.242557851464646</v>
      </c>
      <c r="MT18" s="15">
        <f>KG18+'Bloom Cleaner Data'!FL18/CALCULATIONS!DQ18</f>
        <v>3.3814102222686548</v>
      </c>
      <c r="MU18" s="15">
        <f>KH18+'Bloom Cleaner Data'!FM18/CALCULATIONS!DR18</f>
        <v>3.4864609329129088</v>
      </c>
      <c r="MV18" s="15">
        <f t="shared" si="29"/>
        <v>0.93977304982498788</v>
      </c>
      <c r="MW18" s="15">
        <f t="shared" si="94"/>
        <v>3.3701430022154035</v>
      </c>
      <c r="MX18" s="15">
        <f t="shared" si="30"/>
        <v>0.48586405054400172</v>
      </c>
      <c r="MY18" s="15">
        <f t="shared" si="95"/>
        <v>3.3361431745874608</v>
      </c>
      <c r="MZ18" s="15">
        <f t="shared" si="96"/>
        <v>2.9127968401540869</v>
      </c>
      <c r="NA18" s="18">
        <f t="shared" si="97"/>
        <v>0.26083604707649938</v>
      </c>
      <c r="NB18" s="15">
        <f t="shared" si="31"/>
        <v>0.26921503677056791</v>
      </c>
      <c r="NC18" s="15"/>
      <c r="ND18" s="13">
        <f>'Bloom Cleaner Data'!GF18+('Bloom Cleaner Data'!T18+'Bloom Cleaner Data'!EY18)+'Bloom Cleaner Data'!CK18</f>
        <v>17213</v>
      </c>
      <c r="NE18" s="13">
        <f>'Bloom Cleaner Data'!GG18+('Bloom Cleaner Data'!U18+'Bloom Cleaner Data'!EZ18)+'Bloom Cleaner Data'!CL18</f>
        <v>17700</v>
      </c>
      <c r="NF18" s="13">
        <f>'Bloom Cleaner Data'!GH18+('Bloom Cleaner Data'!V18+'Bloom Cleaner Data'!FA18)+'Bloom Cleaner Data'!CM18</f>
        <v>17445</v>
      </c>
      <c r="NG18" s="13">
        <f>'Bloom Cleaner Data'!GI18+('Bloom Cleaner Data'!W18+'Bloom Cleaner Data'!FB18)+'Bloom Cleaner Data'!CN18</f>
        <v>16838</v>
      </c>
      <c r="NH18" s="13">
        <f>'Bloom Cleaner Data'!GJ18+('Bloom Cleaner Data'!X18+'Bloom Cleaner Data'!FC18)+'Bloom Cleaner Data'!CO18</f>
        <v>16037</v>
      </c>
      <c r="NI18" s="13">
        <f>'Bloom Cleaner Data'!GK18+('Bloom Cleaner Data'!Y18+'Bloom Cleaner Data'!FD18)+'Bloom Cleaner Data'!CP18</f>
        <v>16514</v>
      </c>
      <c r="NJ18" s="13">
        <f>'Bloom Cleaner Data'!GL18+('Bloom Cleaner Data'!Z18+'Bloom Cleaner Data'!FE18)+'Bloom Cleaner Data'!CQ18</f>
        <v>16448</v>
      </c>
      <c r="NK18" s="13">
        <f>'Bloom Cleaner Data'!GM18+('Bloom Cleaner Data'!AA18+'Bloom Cleaner Data'!FF18)+'Bloom Cleaner Data'!CR18</f>
        <v>16216</v>
      </c>
      <c r="NL18" s="13">
        <f>'Bloom Cleaner Data'!GN18+('Bloom Cleaner Data'!AB18+'Bloom Cleaner Data'!FG18)+'Bloom Cleaner Data'!CS18</f>
        <v>16029</v>
      </c>
      <c r="NM18" s="13">
        <f>'Bloom Cleaner Data'!GO18+('Bloom Cleaner Data'!AC18+'Bloom Cleaner Data'!FH18)+'Bloom Cleaner Data'!CT18</f>
        <v>16496</v>
      </c>
      <c r="NN18" s="13">
        <f>'Bloom Cleaner Data'!GP18+('Bloom Cleaner Data'!AD18+'Bloom Cleaner Data'!FI18)+'Bloom Cleaner Data'!CU18</f>
        <v>16403</v>
      </c>
      <c r="NO18" s="13">
        <f>'Bloom Cleaner Data'!GQ18+('Bloom Cleaner Data'!AE18+'Bloom Cleaner Data'!FJ18)+'Bloom Cleaner Data'!CV18</f>
        <v>17167</v>
      </c>
      <c r="NP18" s="13">
        <f>'Bloom Cleaner Data'!GR18+('Bloom Cleaner Data'!AF18+'Bloom Cleaner Data'!FK18)+'Bloom Cleaner Data'!CW18</f>
        <v>16408</v>
      </c>
      <c r="NQ18" s="13">
        <f>'Bloom Cleaner Data'!GS18+('Bloom Cleaner Data'!AG18+'Bloom Cleaner Data'!FL18)+'Bloom Cleaner Data'!CX18</f>
        <v>16624</v>
      </c>
      <c r="NR18" s="13">
        <f>'Bloom Cleaner Data'!GT18+('Bloom Cleaner Data'!AH18+'Bloom Cleaner Data'!FM18)+'Bloom Cleaner Data'!CY18</f>
        <v>19799</v>
      </c>
      <c r="NS18" s="168"/>
      <c r="NT18" s="2024" t="s">
        <v>44</v>
      </c>
      <c r="NU18" s="998">
        <f>('Bloom Cleaner Data'!T18+'Bloom Cleaner Data'!EY18+'OPERATING LEASES'!BL18)/CALCULATIONS!ND18</f>
        <v>0.79392651733324482</v>
      </c>
      <c r="NV18" s="998">
        <f>('Bloom Cleaner Data'!U18+'Bloom Cleaner Data'!EZ18+'OPERATING LEASES'!BM18)/CALCULATIONS!NE18</f>
        <v>0.77923829701372072</v>
      </c>
      <c r="NW18" s="998">
        <f>('Bloom Cleaner Data'!V18+'Bloom Cleaner Data'!FA18+'OPERATING LEASES'!BN18)/CALCULATIONS!NF18</f>
        <v>0.81514351226303072</v>
      </c>
      <c r="NX18" s="998">
        <f>('Bloom Cleaner Data'!W18+'Bloom Cleaner Data'!FB18+'OPERATING LEASES'!BO18)/CALCULATIONS!NG18</f>
        <v>0.81730842651824953</v>
      </c>
      <c r="NY18" s="998">
        <f>('Bloom Cleaner Data'!X18+'Bloom Cleaner Data'!FC18+'OPERATING LEASES'!BP18)/CALCULATIONS!NH18</f>
        <v>0.7959406372762986</v>
      </c>
      <c r="NZ18" s="998">
        <f>('Bloom Cleaner Data'!Y18+'Bloom Cleaner Data'!FD18+'OPERATING LEASES'!BQ18)/CALCULATIONS!NI18</f>
        <v>0.77722311372169073</v>
      </c>
      <c r="OA18" s="998">
        <f>('Bloom Cleaner Data'!Z18+'Bloom Cleaner Data'!FE18+'OPERATING LEASES'!BR18)/CALCULATIONS!NJ18</f>
        <v>0.82986533317120625</v>
      </c>
      <c r="OB18" s="998">
        <f>('Bloom Cleaner Data'!AA18+'Bloom Cleaner Data'!FF18+'OPERATING LEASES'!BS18)/CALCULATIONS!NK18</f>
        <v>0.85133124691662554</v>
      </c>
      <c r="OC18" s="998">
        <f>('Bloom Cleaner Data'!AB18+'Bloom Cleaner Data'!FG18+'OPERATING LEASES'!BT18)/CALCULATIONS!NL18</f>
        <v>0.83453428161457355</v>
      </c>
      <c r="OD18" s="998">
        <f>('Bloom Cleaner Data'!AC18+'Bloom Cleaner Data'!FH18+'OPERATING LEASES'!BU18)/CALCULATIONS!NM18</f>
        <v>0.83504713263821528</v>
      </c>
      <c r="OE18" s="998">
        <f>('Bloom Cleaner Data'!AD18+'Bloom Cleaner Data'!FI18+'OPERATING LEASES'!BV18)/CALCULATIONS!NN18</f>
        <v>0.86161830153020791</v>
      </c>
      <c r="OF18" s="998">
        <f>('Bloom Cleaner Data'!AE18+'Bloom Cleaner Data'!FJ18+'OPERATING LEASES'!BW18)/CALCULATIONS!NO18</f>
        <v>0.86289465253101882</v>
      </c>
      <c r="OG18" s="998">
        <f>('Bloom Cleaner Data'!AF18+'Bloom Cleaner Data'!FK18+'OPERATING LEASES'!BX18)/CALCULATIONS!NP18</f>
        <v>0.86582764505119458</v>
      </c>
      <c r="OH18" s="998">
        <f>('Bloom Cleaner Data'!AG18+'Bloom Cleaner Data'!FL18+'OPERATING LEASES'!BY18)/CALCULATIONS!NQ18</f>
        <v>0.86757098171318581</v>
      </c>
      <c r="OI18" s="998">
        <f>('Bloom Cleaner Data'!AH18+'Bloom Cleaner Data'!FM18+'OPERATING LEASES'!BZ18)/CALCULATIONS!NR18</f>
        <v>0.73026415475529072</v>
      </c>
      <c r="OJ18" s="18">
        <f t="shared" si="98"/>
        <v>0.8212209271732237</v>
      </c>
      <c r="OK18" s="18">
        <f t="shared" si="99"/>
        <v>0.83163935851267257</v>
      </c>
      <c r="OL18" s="18">
        <f t="shared" si="100"/>
        <v>0.82650533997698372</v>
      </c>
      <c r="OM18" s="10">
        <f t="shared" si="101"/>
        <v>-0.10412811514882193</v>
      </c>
      <c r="ON18" s="10"/>
      <c r="OO18" s="2710">
        <v>1</v>
      </c>
      <c r="OP18" s="526">
        <f>'Bloom Cleaner Data'!D18/'Bloom Cleaner Data'!GF18</f>
        <v>5.0209963551158552</v>
      </c>
      <c r="OQ18" s="526">
        <f>'Bloom Cleaner Data'!E18/'Bloom Cleaner Data'!GG18</f>
        <v>4.5376106382978723</v>
      </c>
      <c r="OR18" s="526">
        <f>'Bloom Cleaner Data'!F18/'Bloom Cleaner Data'!GH18</f>
        <v>4.8693062338408506</v>
      </c>
      <c r="OS18" s="526">
        <f>'Bloom Cleaner Data'!G18/'Bloom Cleaner Data'!GI18</f>
        <v>5.3722550737729593</v>
      </c>
      <c r="OT18" s="526">
        <f>'Bloom Cleaner Data'!H18/'Bloom Cleaner Data'!GJ18</f>
        <v>4.9065428285714283</v>
      </c>
      <c r="OU18" s="526">
        <f>'Bloom Cleaner Data'!I18/'Bloom Cleaner Data'!GK18</f>
        <v>4.6873135748915544</v>
      </c>
      <c r="OV18" s="526">
        <f>'Bloom Cleaner Data'!J18/'Bloom Cleaner Data'!GL18</f>
        <v>5.0109060477280156</v>
      </c>
      <c r="OW18" s="526">
        <f>'Bloom Cleaner Data'!K18/'Bloom Cleaner Data'!GM18</f>
        <v>5.4667368086696557</v>
      </c>
      <c r="OX18" s="526">
        <f>'Bloom Cleaner Data'!L18/'Bloom Cleaner Data'!GN18</f>
        <v>4.5168687030716725</v>
      </c>
      <c r="OY18" s="526">
        <f>'Bloom Cleaner Data'!M18/'Bloom Cleaner Data'!GO18</f>
        <v>3.926570468905886</v>
      </c>
      <c r="OZ18" s="526">
        <f>'Bloom Cleaner Data'!N18/'Bloom Cleaner Data'!GP18</f>
        <v>4.2186364664586584</v>
      </c>
      <c r="PA18" s="526">
        <f>'Bloom Cleaner Data'!O18/'Bloom Cleaner Data'!GQ18</f>
        <v>3.2047562876506026</v>
      </c>
      <c r="PB18" s="526">
        <f>'Bloom Cleaner Data'!P18/'Bloom Cleaner Data'!GR18</f>
        <v>2.1615349451442505</v>
      </c>
      <c r="PC18" s="526">
        <f>'Bloom Cleaner Data'!Q18/'Bloom Cleaner Data'!GS18</f>
        <v>1.5250974421437271</v>
      </c>
      <c r="PD18" s="526">
        <f>'Bloom Cleaner Data'!R18/'Bloom Cleaner Data'!GT18</f>
        <v>1.2175677021960365</v>
      </c>
      <c r="PE18" s="526">
        <f t="shared" si="102"/>
        <v>3.9295455833111754</v>
      </c>
      <c r="PF18" s="10">
        <f t="shared" si="103"/>
        <v>-0.74995047677754423</v>
      </c>
      <c r="PG18" s="526">
        <f t="shared" si="104"/>
        <v>4.1514857079758016</v>
      </c>
      <c r="PH18" s="18"/>
      <c r="PI18" s="2710">
        <v>1</v>
      </c>
      <c r="PJ18" s="526">
        <f>CALCULATIONS!DD18/'Bloom Cleaner Data'!GF18</f>
        <v>1.4290151337734016</v>
      </c>
      <c r="PK18" s="526">
        <f>CALCULATIONS!DE18/'Bloom Cleaner Data'!GG18</f>
        <v>1.3293120114172761</v>
      </c>
      <c r="PL18" s="526">
        <f>CALCULATIONS!DF18/'Bloom Cleaner Data'!GH18</f>
        <v>1.6107875536833789</v>
      </c>
      <c r="PM18" s="526">
        <f>CALCULATIONS!DG18/'Bloom Cleaner Data'!GI18</f>
        <v>1.7069562453004077</v>
      </c>
      <c r="PN18" s="526">
        <f>CALCULATIONS!DH18/'Bloom Cleaner Data'!GJ18</f>
        <v>1.629566266952641</v>
      </c>
      <c r="PO18" s="526">
        <f>CALCULATIONS!DI18/'Bloom Cleaner Data'!GK18</f>
        <v>1.4447746736129936</v>
      </c>
      <c r="PP18" s="526">
        <f>CALCULATIONS!DJ18/'Bloom Cleaner Data'!GL18</f>
        <v>1.8295699372236778</v>
      </c>
      <c r="PQ18" s="526">
        <f>CALCULATIONS!DK18/'Bloom Cleaner Data'!GM18</f>
        <v>2.0351918609865471</v>
      </c>
      <c r="PR18" s="526">
        <f>CALCULATIONS!DL18/'Bloom Cleaner Data'!GN18</f>
        <v>1.8483954667879858</v>
      </c>
      <c r="PS18" s="526">
        <f>CALCULATIONS!DM18/'Bloom Cleaner Data'!GO18</f>
        <v>1.7578911125265264</v>
      </c>
      <c r="PT18" s="526">
        <f>CALCULATIONS!DN18/'Bloom Cleaner Data'!GP18</f>
        <v>2.0098045137959604</v>
      </c>
      <c r="PU18" s="526">
        <f>CALCULATIONS!DO18/'Bloom Cleaner Data'!GQ18</f>
        <v>1.912774603050875</v>
      </c>
      <c r="PV18" s="526">
        <f>CALCULATIONS!DP18/'Bloom Cleaner Data'!GR18</f>
        <v>1.9884248931199677</v>
      </c>
      <c r="PW18" s="526">
        <f>CALCULATIONS!DQ18/'Bloom Cleaner Data'!GS18</f>
        <v>1.931160284312585</v>
      </c>
      <c r="PX18" s="526">
        <f>CALCULATIONS!DR18/'Bloom Cleaner Data'!GT18</f>
        <v>0.82546986182299031</v>
      </c>
      <c r="PY18" s="526">
        <f t="shared" si="105"/>
        <v>1.733135944090503</v>
      </c>
      <c r="PZ18" s="526">
        <f t="shared" si="106"/>
        <v>1.7931869481807905</v>
      </c>
      <c r="QA18" s="18"/>
      <c r="QC18" s="15">
        <f>'Bloom Cleaner Data'!HZ18</f>
        <v>4.806</v>
      </c>
      <c r="QD18" s="15">
        <f>AVERAGE('Bloom Cleaner Data'!HN18:HZ18)</f>
        <v>5.601</v>
      </c>
      <c r="QE18" s="504">
        <f>('Bloom Cleaner Data'!HZ18-'Bloom Cleaner Data'!HN18)/'Bloom Cleaner Data'!HN18</f>
        <v>-0.34874518944116212</v>
      </c>
      <c r="QF18" s="15">
        <f>'Bloom Cleaner Data'!HZ18-'Bloom Cleaner Data'!HL18</f>
        <v>-1.3411999999999997</v>
      </c>
    </row>
    <row r="19" spans="1:450">
      <c r="A19" s="11" t="s">
        <v>506</v>
      </c>
      <c r="B19" s="83" t="s">
        <v>289</v>
      </c>
      <c r="C19" s="1207" t="s">
        <v>1105</v>
      </c>
      <c r="D19" s="236" t="s">
        <v>82</v>
      </c>
      <c r="E19" s="13">
        <f>'Bloom Cleaner Data'!D19*'Bloom Cleaner Data'!D45</f>
        <v>5171.6698944</v>
      </c>
      <c r="G19" s="13">
        <f>'Bloom Cleaner Data'!F19*'Bloom Cleaner Data'!F45</f>
        <v>4605.9121881499996</v>
      </c>
      <c r="H19" s="13">
        <f>'Bloom Cleaner Data'!H19*'Bloom Cleaner Data'!H45</f>
        <v>5509.8296639999999</v>
      </c>
      <c r="I19" s="13">
        <f>'Bloom Cleaner Data'!J19*'Bloom Cleaner Data'!J45</f>
        <v>5594.798410161</v>
      </c>
      <c r="J19" s="13">
        <f>'Bloom Cleaner Data'!L19*'Bloom Cleaner Data'!L45</f>
        <v>5121.8271934145905</v>
      </c>
      <c r="K19" s="13">
        <f>'Bloom Cleaner Data'!N19*'Bloom Cleaner Data'!N45</f>
        <v>4908.4029965966074</v>
      </c>
      <c r="L19" s="13">
        <f>'Bloom Cleaner Data'!P19*'Bloom Cleaner Data'!P45</f>
        <v>4002.7253369999999</v>
      </c>
      <c r="M19" s="13">
        <f>'Bloom Cleaner Data'!R19*'Bloom Cleaner Data'!R45</f>
        <v>2322.4005110115481</v>
      </c>
      <c r="N19" s="13">
        <f t="shared" si="0"/>
        <v>4580.8423286191064</v>
      </c>
      <c r="O19" s="13">
        <f t="shared" si="32"/>
        <v>3744.5096148693851</v>
      </c>
      <c r="P19" s="10">
        <f t="shared" si="1"/>
        <v>-0.49577837871365099</v>
      </c>
      <c r="Q19" s="18">
        <f>('Bloom Cleaner Data'!R19-'Bloom Cleaner Data'!F19)/'Bloom Cleaner Data'!F19</f>
        <v>-0.47436388406757118</v>
      </c>
      <c r="R19" s="10">
        <f t="shared" si="33"/>
        <v>-0.39400279980801206</v>
      </c>
      <c r="S19" s="1363" t="s">
        <v>289</v>
      </c>
      <c r="T19" s="1322">
        <f>'Bloom Cleaner Data'!D19/'Bloom Cleaner Data'!$F19</f>
        <v>1.1100818381111281</v>
      </c>
      <c r="U19" s="1322">
        <f>'Bloom Cleaner Data'!E19/'Bloom Cleaner Data'!$F19</f>
        <v>1.1335664319920735</v>
      </c>
      <c r="V19" s="1322">
        <f>'Bloom Cleaner Data'!F19/'Bloom Cleaner Data'!$F19</f>
        <v>1</v>
      </c>
      <c r="W19" s="1322">
        <f>'Bloom Cleaner Data'!G19/'Bloom Cleaner Data'!$F19</f>
        <v>1.2573426574891096</v>
      </c>
      <c r="X19" s="1322">
        <f>'Bloom Cleaner Data'!H19/'Bloom Cleaner Data'!$F19</f>
        <v>1.1436570921938842</v>
      </c>
      <c r="Y19" s="1322">
        <f>'Bloom Cleaner Data'!I19/'Bloom Cleaner Data'!$F19</f>
        <v>1.2307692323802037</v>
      </c>
      <c r="Z19" s="1322">
        <f>'Bloom Cleaner Data'!J19/'Bloom Cleaner Data'!$F19</f>
        <v>1.1650349655841605</v>
      </c>
      <c r="AA19" s="1322">
        <f>'Bloom Cleaner Data'!K19/'Bloom Cleaner Data'!$F19</f>
        <v>1.2167832186138681</v>
      </c>
      <c r="AB19" s="1322">
        <f>'Bloom Cleaner Data'!L19/'Bloom Cleaner Data'!$F19</f>
        <v>1.1946892270649596</v>
      </c>
      <c r="AC19" s="1322">
        <f>'Bloom Cleaner Data'!M19/'Bloom Cleaner Data'!$F19</f>
        <v>1.1951048967524811</v>
      </c>
      <c r="AD19" s="1322">
        <f>'Bloom Cleaner Data'!N19/'Bloom Cleaner Data'!$F19</f>
        <v>1.0888111910811962</v>
      </c>
      <c r="AE19" s="1322">
        <f>'Bloom Cleaner Data'!O19/'Bloom Cleaner Data'!$F19</f>
        <v>1.1503496506059416</v>
      </c>
      <c r="AF19" s="1322">
        <f>'Bloom Cleaner Data'!P19/'Bloom Cleaner Data'!$F19</f>
        <v>0.85524475385346044</v>
      </c>
      <c r="AG19" s="1322">
        <f>'Bloom Cleaner Data'!Q19/'Bloom Cleaner Data'!$F19</f>
        <v>0.4664335680079264</v>
      </c>
      <c r="AH19" s="1322">
        <f>'Bloom Cleaner Data'!R19/'Bloom Cleaner Data'!$F19</f>
        <v>0.52563611593242876</v>
      </c>
      <c r="AI19" s="13"/>
      <c r="AJ19" s="13">
        <f>AVERAGE('Bloom Cleaner Data'!BW19:CI19)</f>
        <v>23355.715861538461</v>
      </c>
      <c r="AK19" s="18">
        <f>('Bloom Cleaner Data'!CI19-'Bloom Cleaner Data'!BW19)/'Bloom Cleaner Data'!BW19</f>
        <v>-0.3414989398300875</v>
      </c>
      <c r="AL19" s="18">
        <f>('Bloom Cleaner Data'!CI19+'Bloom Cleaner Data'!CH19-'Bloom Cleaner Data'!BW19-'Bloom Cleaner Data'!BV19)/('Bloom Cleaner Data'!BW19+'Bloom Cleaner Data'!BV19)</f>
        <v>-0.4044127166343629</v>
      </c>
      <c r="AM19" s="13"/>
      <c r="AN19" s="13">
        <f>'Bloom Cleaner Data'!BW19*'Bloom Cleaner Data'!BW45</f>
        <v>5325.2626381499995</v>
      </c>
      <c r="AO19" s="13">
        <f>'Bloom Cleaner Data'!BY19*'Bloom Cleaner Data'!BY45</f>
        <v>6398.7234239999998</v>
      </c>
      <c r="AP19" s="13">
        <f>'Bloom Cleaner Data'!CA19*'Bloom Cleaner Data'!CA45</f>
        <v>5802.4795901609996</v>
      </c>
      <c r="AQ19" s="13">
        <f>'Bloom Cleaner Data'!CC19*'Bloom Cleaner Data'!CC45</f>
        <v>5536.1828606517911</v>
      </c>
      <c r="AR19" s="13">
        <f>'Bloom Cleaner Data'!CE19*'Bloom Cleaner Data'!CE45</f>
        <v>5787.1265858885236</v>
      </c>
      <c r="AS19" s="13">
        <f>'Bloom Cleaner Data'!CG19*'Bloom Cleaner Data'!CG45</f>
        <v>5170.3409369999999</v>
      </c>
      <c r="AT19" s="13">
        <f>'Bloom Cleaner Data'!CI19*'Bloom Cleaner Data'!CI45</f>
        <v>3363.8279688571779</v>
      </c>
      <c r="AU19" s="13">
        <f t="shared" si="2"/>
        <v>5340.5634292440709</v>
      </c>
      <c r="AV19" s="10">
        <f t="shared" si="3"/>
        <v>-0.36832637234474985</v>
      </c>
      <c r="AW19" s="10"/>
      <c r="AX19" s="13">
        <f>'Bloom Cleaner Data'!T19+'OPERATING LEASES'!AU19</f>
        <v>4650.7454477767624</v>
      </c>
      <c r="AY19" s="13">
        <f>'Bloom Cleaner Data'!U19+'OPERATING LEASES'!AV19</f>
        <v>3967.9506734126576</v>
      </c>
      <c r="AZ19" s="13">
        <f>'Bloom Cleaner Data'!V19+'OPERATING LEASES'!AW19</f>
        <v>3420.1558990485528</v>
      </c>
      <c r="BA19" s="13">
        <f>'Bloom Cleaner Data'!W19+'OPERATING LEASES'!AX19</f>
        <v>4404.3611246844484</v>
      </c>
      <c r="BB19" s="13">
        <f>'Bloom Cleaner Data'!X19+'OPERATING LEASES'!AY19</f>
        <v>3921.5663503203432</v>
      </c>
      <c r="BC19" s="13">
        <f>'Bloom Cleaner Data'!Y19+'OPERATING LEASES'!AZ19</f>
        <v>3775.3746837295939</v>
      </c>
      <c r="BD19" s="13">
        <f>'Bloom Cleaner Data'!Z19+'OPERATING LEASES'!BA19</f>
        <v>1397.1830171388449</v>
      </c>
      <c r="BE19" s="13">
        <f>'Bloom Cleaner Data'!AA19+'OPERATING LEASES'!BB19</f>
        <v>3115.9913505480954</v>
      </c>
      <c r="BF19" s="13">
        <f>'Bloom Cleaner Data'!AB19+'OPERATING LEASES'!BC19</f>
        <v>2601.7996839573466</v>
      </c>
      <c r="BG19" s="13">
        <f>'Bloom Cleaner Data'!AC19+'OPERATING LEASES'!BD19</f>
        <v>4824.4899056427084</v>
      </c>
      <c r="BH19" s="13">
        <f>'Bloom Cleaner Data'!AD19+'OPERATING LEASES'!BE19</f>
        <v>4459.1801273280707</v>
      </c>
      <c r="BI19" s="13">
        <f>'Bloom Cleaner Data'!AE19+'OPERATING LEASES'!BF19</f>
        <v>6026.870349013433</v>
      </c>
      <c r="BJ19" s="13">
        <f>'Bloom Cleaner Data'!AF19+'OPERATING LEASES'!BG19</f>
        <v>5480.5605706987953</v>
      </c>
      <c r="BK19" s="13">
        <f>'Bloom Cleaner Data'!AG19+'OPERATING LEASES'!BH19</f>
        <v>5403.5605706987953</v>
      </c>
      <c r="BL19" s="13">
        <f>'Bloom Cleaner Data'!AH19+'OPERATING LEASES'!BI19</f>
        <v>5217.5605706987953</v>
      </c>
      <c r="BM19" s="1167">
        <f t="shared" si="34"/>
        <v>4157.588784885218</v>
      </c>
      <c r="BN19" s="10">
        <f t="shared" si="35"/>
        <v>0.52553296536870131</v>
      </c>
      <c r="BO19" s="10"/>
      <c r="BP19" s="13">
        <f>'Bloom Cleaner Data'!BU19+'OPERATING LEASES'!AU19</f>
        <v>25867.06544777676</v>
      </c>
      <c r="BQ19" s="13">
        <f>'Bloom Cleaner Data'!BV19+'OPERATING LEASES'!AV19</f>
        <v>25632.821273412657</v>
      </c>
      <c r="BR19" s="13">
        <f>'Bloom Cleaner Data'!BW19+'OPERATING LEASES'!AW19</f>
        <v>22533.936899048553</v>
      </c>
      <c r="BS19" s="13">
        <f>'Bloom Cleaner Data'!BX19+'OPERATING LEASES'!AX19</f>
        <v>28433.33052468445</v>
      </c>
      <c r="BT19" s="13">
        <f>'Bloom Cleaner Data'!BY19+'OPERATING LEASES'!AY19</f>
        <v>25779.166350320342</v>
      </c>
      <c r="BU19" s="13">
        <f>'Bloom Cleaner Data'!BZ19+'OPERATING LEASES'!AZ19</f>
        <v>27295.797483729595</v>
      </c>
      <c r="BV19" s="13">
        <f>'Bloom Cleaner Data'!CA19+'OPERATING LEASES'!BA19</f>
        <v>23663.095717138847</v>
      </c>
      <c r="BW19" s="13">
        <f>'Bloom Cleaner Data'!CB19+'OPERATING LEASES'!BB19</f>
        <v>26370.284350548096</v>
      </c>
      <c r="BX19" s="13">
        <f>'Bloom Cleaner Data'!CC19+'OPERATING LEASES'!BC19</f>
        <v>25423.102283957345</v>
      </c>
      <c r="BY19" s="13">
        <f>'Bloom Cleaner Data'!CD19+'OPERATING LEASES'!BD19</f>
        <v>27652.731705642709</v>
      </c>
      <c r="BZ19" s="13">
        <f>'Bloom Cleaner Data'!CE19+'OPERATING LEASES'!BE19</f>
        <v>25257.235427328073</v>
      </c>
      <c r="CA19" s="13">
        <f>'Bloom Cleaner Data'!CF19+'OPERATING LEASES'!BF19</f>
        <v>28000.296749013432</v>
      </c>
      <c r="CB19" s="13">
        <f>'Bloom Cleaner Data'!CG19+'OPERATING LEASES'!BG19</f>
        <v>21817.548070698795</v>
      </c>
      <c r="CC19" s="13">
        <f>'Bloom Cleaner Data'!CH19+'OPERATING LEASES'!BH19</f>
        <v>14314.339570698796</v>
      </c>
      <c r="CD19" s="13">
        <f>'Bloom Cleaner Data'!CI19+'OPERATING LEASES'!BI19</f>
        <v>15259.095270698796</v>
      </c>
      <c r="CE19" s="1167">
        <f t="shared" si="36"/>
        <v>23984.612338731371</v>
      </c>
      <c r="CF19" s="10">
        <f t="shared" si="37"/>
        <v>-0.32283935385728901</v>
      </c>
      <c r="CG19" s="18">
        <f t="shared" si="4"/>
        <v>2.6926876526553341E-2</v>
      </c>
      <c r="CH19" s="13"/>
      <c r="CI19" s="18">
        <f>$CI$1*BP19/('Bloom Cleaner Data'!D19+'Bloom Cleaner Data'!T19+'OPERATING LEASES'!AU19)+(1-$CI$1)*'Bloom Cleaner Data'!BU19/('Bloom Cleaner Data'!D19+'Bloom Cleaner Data'!T19)-1</f>
        <v>5.4152185659694929E-4</v>
      </c>
      <c r="CJ19" s="18">
        <f>$CI$1*BQ19/('Bloom Cleaner Data'!E19+'Bloom Cleaner Data'!U19+'OPERATING LEASES'!AV19)+(1-$CI$1)*'Bloom Cleaner Data'!BV19/('Bloom Cleaner Data'!E19+'Bloom Cleaner Data'!U19)-1</f>
        <v>5.4647322960676981E-4</v>
      </c>
      <c r="CK19" s="18">
        <f>$CI$1*BR19/('Bloom Cleaner Data'!F19+'Bloom Cleaner Data'!V19+'OPERATING LEASES'!AW19)+(1-$CI$1)*'Bloom Cleaner Data'!BW19/('Bloom Cleaner Data'!F19+'Bloom Cleaner Data'!V19)-1</f>
        <v>6.2167136891888575E-4</v>
      </c>
      <c r="CL19" s="18">
        <f>$CI$1*BS19/('Bloom Cleaner Data'!G19+'Bloom Cleaner Data'!W19+'OPERATING LEASES'!AX19)+(1-$CI$1)*'Bloom Cleaner Data'!BX19/('Bloom Cleaner Data'!G19+'Bloom Cleaner Data'!W19)-1</f>
        <v>4.9262244189174353E-4</v>
      </c>
      <c r="CM19" s="18">
        <f>$CI$1*BT19/('Bloom Cleaner Data'!H19+'Bloom Cleaner Data'!X19+'OPERATING LEASES'!AY19)+(1-$CI$1)*'Bloom Cleaner Data'!BY19/('Bloom Cleaner Data'!H19+'Bloom Cleaner Data'!X19)-1</f>
        <v>5.4336928431375497E-4</v>
      </c>
      <c r="CN19" s="18">
        <f>$CI$1*BU19/('Bloom Cleaner Data'!I19+'Bloom Cleaner Data'!Y19+'OPERATING LEASES'!AZ19)+(1-$CI$1)*'Bloom Cleaner Data'!BZ19/('Bloom Cleaner Data'!I19+'Bloom Cleaner Data'!Y19)-1</f>
        <v>4.7649072672095727E-4</v>
      </c>
      <c r="CO19" s="18">
        <f>$CI$1*BV19/('Bloom Cleaner Data'!J19+'Bloom Cleaner Data'!Z19+'OPERATING LEASES'!BA19)+(1-$CI$1)*'Bloom Cleaner Data'!CA19/('Bloom Cleaner Data'!J19+'Bloom Cleaner Data'!Z19)-1</f>
        <v>5.9198880868227555E-4</v>
      </c>
      <c r="CP19" s="18">
        <f>$CI$1*BW19/('Bloom Cleaner Data'!K19+'Bloom Cleaner Data'!AA19+'OPERATING LEASES'!BB19)+(1-$CI$1)*'Bloom Cleaner Data'!CB19/('Bloom Cleaner Data'!K19+'Bloom Cleaner Data'!AA19)-1</f>
        <v>5.31182613368264E-4</v>
      </c>
      <c r="CQ19" s="18">
        <f>$CI$1*BX19/('Bloom Cleaner Data'!L19+'Bloom Cleaner Data'!AB19+'OPERATING LEASES'!BC19)+(1-$CI$1)*'Bloom Cleaner Data'!CC19/('Bloom Cleaner Data'!L19+'Bloom Cleaner Data'!AB19)-1</f>
        <v>1.1801683433398935E-4</v>
      </c>
      <c r="CR19" s="18">
        <f>$CI$1*BY19/('Bloom Cleaner Data'!M19+'Bloom Cleaner Data'!AC19+'OPERATING LEASES'!BD19)+(1-$CI$1)*'Bloom Cleaner Data'!CD19/('Bloom Cleaner Data'!M19+'Bloom Cleaner Data'!AC19)-1</f>
        <v>7.2330816460519642E-5</v>
      </c>
      <c r="CS19" s="18">
        <f>$CI$1*BZ19/('Bloom Cleaner Data'!N19+'Bloom Cleaner Data'!AD19+'OPERATING LEASES'!BE19)+(1-$CI$1)*'Bloom Cleaner Data'!CE19/('Bloom Cleaner Data'!N19+'Bloom Cleaner Data'!AD19)-1</f>
        <v>7.9191500936603987E-5</v>
      </c>
      <c r="CT19" s="18">
        <f>$CI$1*CA19/('Bloom Cleaner Data'!O19+'Bloom Cleaner Data'!AE19+'OPERATING LEASES'!BF19)+(1-$CI$1)*'Bloom Cleaner Data'!CF19/('Bloom Cleaner Data'!O19+'Bloom Cleaner Data'!AE19)-1</f>
        <v>7.1432916720848283E-5</v>
      </c>
      <c r="CU19" s="18">
        <f>$CI$1*CB19/('Bloom Cleaner Data'!P19+'Bloom Cleaner Data'!AF19+'OPERATING LEASES'!BG19)+(1-$CI$1)*'Bloom Cleaner Data'!CG19/('Bloom Cleaner Data'!P19+'Bloom Cleaner Data'!AF19)-1</f>
        <v>9.167773339990859E-5</v>
      </c>
      <c r="CV19" s="18">
        <f>$CI$1*CC19/('Bloom Cleaner Data'!Q19+'Bloom Cleaner Data'!AG19+'OPERATING LEASES'!BH19)+(1-$CI$1)*'Bloom Cleaner Data'!CH19/('Bloom Cleaner Data'!Q19+'Bloom Cleaner Data'!AG19)-1</f>
        <v>1.3973955761192869E-4</v>
      </c>
      <c r="CW19" s="18">
        <f>$CI$1*CD19/('Bloom Cleaner Data'!R19+'Bloom Cleaner Data'!AH19+'OPERATING LEASES'!BI19)+(1-$CI$1)*'Bloom Cleaner Data'!CI19/('Bloom Cleaner Data'!R19+'Bloom Cleaner Data'!AH19)-1</f>
        <v>1.3108655117610724E-4</v>
      </c>
      <c r="CX19" s="18">
        <f t="shared" si="38"/>
        <v>3.046770118873682E-4</v>
      </c>
      <c r="CY19" s="13"/>
      <c r="CZ19" s="3112">
        <f>AVERAGE('Bloom Cleaner Data'!GX19:HJ19)</f>
        <v>5339.3976652411793</v>
      </c>
      <c r="DA19" s="2860">
        <f>('Bloom Cleaner Data'!HJ19-'Bloom Cleaner Data'!GX19)/'Bloom Cleaner Data'!GX19</f>
        <v>-0.27229235356769793</v>
      </c>
      <c r="DB19" s="2860">
        <f>('Bloom Cleaner Data'!HJ19+'Bloom Cleaner Data'!HI19-'Bloom Cleaner Data'!GX19-'Bloom Cleaner Data'!GW19)/('Bloom Cleaner Data'!GX19+'Bloom Cleaner Data'!GW19)</f>
        <v>-0.2532372537585077</v>
      </c>
      <c r="DC19" s="13"/>
      <c r="DD19" s="13">
        <f>'Bloom Cleaner Data'!GV19+'OPERATING LEASES'!BL19</f>
        <v>6352.9247147161977</v>
      </c>
      <c r="DE19" s="13">
        <f>'Bloom Cleaner Data'!GW19+'OPERATING LEASES'!BM19</f>
        <v>6114.3785520051324</v>
      </c>
      <c r="DF19" s="13">
        <f>'Bloom Cleaner Data'!GX19+'OPERATING LEASES'!BN19</f>
        <v>6019.6690827028197</v>
      </c>
      <c r="DG19" s="13">
        <f>'Bloom Cleaner Data'!GY19+'OPERATING LEASES'!BO19</f>
        <v>5893.0373658262615</v>
      </c>
      <c r="DH19" s="13">
        <f>'Bloom Cleaner Data'!GZ19+'OPERATING LEASES'!BP19</f>
        <v>5931.3799279318873</v>
      </c>
      <c r="DI19" s="13">
        <f>'Bloom Cleaner Data'!HA19+'OPERATING LEASES'!BQ19</f>
        <v>5873.5802352438441</v>
      </c>
      <c r="DJ19" s="13">
        <f>'Bloom Cleaner Data'!HB19+'OPERATING LEASES'!BR19</f>
        <v>5365.6894664784031</v>
      </c>
      <c r="DK19" s="13">
        <f>'Bloom Cleaner Data'!HC19+'OPERATING LEASES'!BS19</f>
        <v>5294.8868328921317</v>
      </c>
      <c r="DL19" s="13">
        <f>'Bloom Cleaner Data'!HD19+'OPERATING LEASES'!BT19</f>
        <v>5490.0087388584998</v>
      </c>
      <c r="DM19" s="13">
        <f>'Bloom Cleaner Data'!HE19+'OPERATING LEASES'!BU19</f>
        <v>5367.4539040072641</v>
      </c>
      <c r="DN19" s="13">
        <f>'Bloom Cleaner Data'!HF19+'OPERATING LEASES'!BV19</f>
        <v>5705.8736082909363</v>
      </c>
      <c r="DO19" s="13">
        <f>'Bloom Cleaner Data'!HG19+'OPERATING LEASES'!BW19</f>
        <v>5628.3657534800905</v>
      </c>
      <c r="DP19" s="13">
        <f>'Bloom Cleaner Data'!HH19+'OPERATING LEASES'!BX19</f>
        <v>4924.7792842143708</v>
      </c>
      <c r="DQ19" s="13">
        <f>'Bloom Cleaner Data'!HI19+'OPERATING LEASES'!BY19</f>
        <v>4728.7904349303435</v>
      </c>
      <c r="DR19" s="13">
        <f>'Bloom Cleaner Data'!HJ19+'OPERATING LEASES'!BZ19</f>
        <v>4435.6862632784832</v>
      </c>
      <c r="DS19" s="1167">
        <f t="shared" si="39"/>
        <v>5435.3231460104107</v>
      </c>
      <c r="DT19" s="10">
        <f t="shared" si="40"/>
        <v>-0.26313453408524096</v>
      </c>
      <c r="DU19" s="18">
        <f t="shared" si="41"/>
        <v>1.7965599639392746E-2</v>
      </c>
      <c r="DV19" s="167"/>
      <c r="DW19" s="15">
        <f>'Bloom Cleaner Data'!DT19</f>
        <v>1.3868</v>
      </c>
      <c r="DX19" s="15">
        <f>'Bloom Cleaner Data'!DX19</f>
        <v>1.5011000000000001</v>
      </c>
      <c r="DY19" s="15">
        <f>'Bloom Cleaner Data'!EB19</f>
        <v>1.6804999999999999</v>
      </c>
      <c r="DZ19" s="15">
        <f>'Bloom Cleaner Data'!EF19</f>
        <v>1.075</v>
      </c>
      <c r="EA19" s="15">
        <f>AVERAGE('Bloom Cleaner Data'!DT19:EF19)</f>
        <v>1.5614461538461539</v>
      </c>
      <c r="EB19" s="18">
        <f t="shared" si="5"/>
        <v>-0.22483415056244596</v>
      </c>
      <c r="EC19" s="13"/>
      <c r="ED19" s="15">
        <f>'Bloom Cleaner Data'!DC19</f>
        <v>3.7138999999999998</v>
      </c>
      <c r="EE19" s="15">
        <f>'Bloom Cleaner Data'!DG19</f>
        <v>4.3733000000000004</v>
      </c>
      <c r="EF19" s="15">
        <f>'Bloom Cleaner Data'!DK19</f>
        <v>4.3830999999999998</v>
      </c>
      <c r="EG19" s="15">
        <f>'Bloom Cleaner Data'!DO19</f>
        <v>3.3607</v>
      </c>
      <c r="EH19" s="15">
        <f>AVERAGE('Bloom Cleaner Data'!DC19:DO19)</f>
        <v>4.3466846153846159</v>
      </c>
      <c r="EI19" s="22">
        <f t="shared" si="42"/>
        <v>3.9577499999999994</v>
      </c>
      <c r="EJ19" s="22">
        <f t="shared" si="6"/>
        <v>0.38893461538461649</v>
      </c>
      <c r="EK19" s="18">
        <f t="shared" si="43"/>
        <v>-9.510218368830603E-2</v>
      </c>
      <c r="EL19" s="241"/>
      <c r="EM19" s="15">
        <f>('Bloom Cleaner Data'!BU19+'OPERATING LEASES'!AU19)/DD19</f>
        <v>4.071678259913444</v>
      </c>
      <c r="EN19" s="15">
        <f>('Bloom Cleaner Data'!BV19+'OPERATING LEASES'!AV19)/DE19</f>
        <v>4.1922201995502393</v>
      </c>
      <c r="EO19" s="15">
        <f>('Bloom Cleaner Data'!BW19+'OPERATING LEASES'!AW19)/DF19</f>
        <v>3.7433846594322855</v>
      </c>
      <c r="EP19" s="15">
        <f>('Bloom Cleaner Data'!BX19+'OPERATING LEASES'!AX19)/DG19</f>
        <v>4.8249024670315865</v>
      </c>
      <c r="EQ19" s="15">
        <f>('Bloom Cleaner Data'!BY19+'OPERATING LEASES'!AY19)/DH19</f>
        <v>4.3462342091630006</v>
      </c>
      <c r="ER19" s="15">
        <f>('Bloom Cleaner Data'!BZ19+'OPERATING LEASES'!AZ19)/DI19</f>
        <v>4.6472162446924328</v>
      </c>
      <c r="ES19" s="15">
        <f>('Bloom Cleaner Data'!CA19+'OPERATING LEASES'!BA19)/DJ19</f>
        <v>4.4100755112593859</v>
      </c>
      <c r="ET19" s="15">
        <f>('Bloom Cleaner Data'!CB19+'OPERATING LEASES'!BB19)/DK19</f>
        <v>4.9803301152225616</v>
      </c>
      <c r="EU19" s="15">
        <f>('Bloom Cleaner Data'!CC19+'OPERATING LEASES'!BC19)/DL19</f>
        <v>4.6307945020217582</v>
      </c>
      <c r="EV19" s="15">
        <f>('Bloom Cleaner Data'!CD19+'OPERATING LEASES'!BD19)/DM19</f>
        <v>5.1519271893509089</v>
      </c>
      <c r="EW19" s="15">
        <f>('Bloom Cleaner Data'!CE19+'OPERATING LEASES'!BE19)/DN19</f>
        <v>4.4265325805023039</v>
      </c>
      <c r="EX19" s="15">
        <f>('Bloom Cleaner Data'!CF19+'OPERATING LEASES'!BF19)/DO19</f>
        <v>4.9748537986715755</v>
      </c>
      <c r="EY19" s="15">
        <f>('Bloom Cleaner Data'!CG19+'OPERATING LEASES'!BG19)/DP19</f>
        <v>4.4301575383553979</v>
      </c>
      <c r="EZ19" s="15">
        <f>('Bloom Cleaner Data'!CH19+'OPERATING LEASES'!BH19)/DQ19</f>
        <v>3.0270615218983901</v>
      </c>
      <c r="FA19" s="15">
        <f>('Bloom Cleaner Data'!CI19+'OPERATING LEASES'!BI19)/DR19</f>
        <v>3.4400754167452243</v>
      </c>
      <c r="FB19" s="526">
        <f t="shared" si="44"/>
        <v>4.3871958272574467</v>
      </c>
      <c r="FC19" s="10">
        <f t="shared" si="45"/>
        <v>-8.1025400882275472E-2</v>
      </c>
      <c r="FD19" s="15">
        <f t="shared" si="7"/>
        <v>4.0511211872830799E-2</v>
      </c>
      <c r="FE19" s="15">
        <f t="shared" si="46"/>
        <v>4.4119024418719928</v>
      </c>
      <c r="FF19" s="13"/>
      <c r="FG19" s="15">
        <f>$FG$1*EM19+(1-$FG$1)*'Bloom Cleaner Data'!DA19</f>
        <v>4.071678259913444</v>
      </c>
      <c r="FH19" s="15">
        <f>$FG$1*EN19+(1-$FG$1)*'Bloom Cleaner Data'!DB19</f>
        <v>4.1922201995502393</v>
      </c>
      <c r="FI19" s="15">
        <f>$FG$1*EO19+(1-$FG$1)*'Bloom Cleaner Data'!DC19</f>
        <v>3.7433846594322855</v>
      </c>
      <c r="FJ19" s="15">
        <f>$FG$1*EP19+(1-$FG$1)*'Bloom Cleaner Data'!DD19</f>
        <v>4.8249024670315865</v>
      </c>
      <c r="FK19" s="15">
        <f>$FG$1*EQ19+(1-$FG$1)*'Bloom Cleaner Data'!DE19</f>
        <v>4.3462342091630006</v>
      </c>
      <c r="FL19" s="15">
        <f>$FG$1*ER19+(1-$FG$1)*'Bloom Cleaner Data'!DF19</f>
        <v>4.6472162446924328</v>
      </c>
      <c r="FM19" s="15">
        <f>$FG$1*ES19+(1-$FG$1)*'Bloom Cleaner Data'!DG19</f>
        <v>4.4100755112593859</v>
      </c>
      <c r="FN19" s="15">
        <f>$FG$1*ET19+(1-$FG$1)*'Bloom Cleaner Data'!DH19</f>
        <v>4.9803301152225616</v>
      </c>
      <c r="FO19" s="15">
        <f>$FG$1*EU19+(1-$FG$1)*'Bloom Cleaner Data'!DI19</f>
        <v>4.6307945020217582</v>
      </c>
      <c r="FP19" s="15">
        <f>$FG$1*EV19+(1-$FG$1)*'Bloom Cleaner Data'!DJ19</f>
        <v>5.1519271893509089</v>
      </c>
      <c r="FQ19" s="15">
        <f>$FG$1*EW19+(1-$FG$1)*'Bloom Cleaner Data'!DK19</f>
        <v>4.4265325805023039</v>
      </c>
      <c r="FR19" s="15">
        <f>$FG$1*EX19+(1-$FG$1)*'Bloom Cleaner Data'!DL19</f>
        <v>4.9748537986715755</v>
      </c>
      <c r="FS19" s="15">
        <f>$FG$1*EY19+(1-$FG$1)*'Bloom Cleaner Data'!DM19</f>
        <v>4.4301575383553979</v>
      </c>
      <c r="FT19" s="15">
        <f>$FG$1*EZ19+(1-$FG$1)*'Bloom Cleaner Data'!DN19</f>
        <v>3.0270615218983901</v>
      </c>
      <c r="FU19" s="15">
        <f>$FG$1*FA19+(1-$FG$1)*'Bloom Cleaner Data'!DO19</f>
        <v>3.4400754167452243</v>
      </c>
      <c r="FV19" s="526">
        <f t="shared" si="47"/>
        <v>4.3871958272574467</v>
      </c>
      <c r="FW19" s="10">
        <f t="shared" si="48"/>
        <v>-8.1025400882275472E-2</v>
      </c>
      <c r="FX19" s="526">
        <f t="shared" si="49"/>
        <v>4.4119024418719928</v>
      </c>
      <c r="FY19" s="2710">
        <v>1</v>
      </c>
      <c r="FZ19" s="2710"/>
      <c r="GA19" s="10">
        <f>'Bloom Cleaner Data'!T19/('Bloom Cleaner Data'!T19+'Bloom Cleaner Data'!D19)</f>
        <v>0.16402284964466973</v>
      </c>
      <c r="GB19" s="10">
        <f>'Bloom Cleaner Data'!U19/('Bloom Cleaner Data'!U19+'Bloom Cleaner Data'!E19)</f>
        <v>0.1390574993653737</v>
      </c>
      <c r="GC19" s="10">
        <f>'Bloom Cleaner Data'!V19/('Bloom Cleaner Data'!V19+'Bloom Cleaner Data'!F19)</f>
        <v>0.13453393732984165</v>
      </c>
      <c r="GD19" s="10">
        <f>'Bloom Cleaner Data'!W19/('Bloom Cleaner Data'!W19+'Bloom Cleaner Data'!G19)</f>
        <v>0.14195384964226807</v>
      </c>
      <c r="GE19" s="10">
        <f>'Bloom Cleaner Data'!X19/('Bloom Cleaner Data'!X19+'Bloom Cleaner Data'!H19)</f>
        <v>0.1384418780764862</v>
      </c>
      <c r="GF19" s="10">
        <f>'Bloom Cleaner Data'!Y19/('Bloom Cleaner Data'!Y19+'Bloom Cleaner Data'!I19)</f>
        <v>0.12234723236223705</v>
      </c>
      <c r="GG19" s="10">
        <f>'Bloom Cleaner Data'!Z19/('Bloom Cleaner Data'!Z19+'Bloom Cleaner Data'!J19)</f>
        <v>3.5206515501595703E-2</v>
      </c>
      <c r="GH19" s="10">
        <f>'Bloom Cleaner Data'!AA19/('Bloom Cleaner Data'!AA19+'Bloom Cleaner Data'!K19)</f>
        <v>9.5155432154585676E-2</v>
      </c>
      <c r="GI19" s="10">
        <f>'Bloom Cleaner Data'!AB19/('Bloom Cleaner Data'!AB19+'Bloom Cleaner Data'!L19)</f>
        <v>7.4732467700226027E-2</v>
      </c>
      <c r="GJ19" s="10">
        <f>'Bloom Cleaner Data'!AC19/('Bloom Cleaner Data'!AC19+'Bloom Cleaner Data'!M19)</f>
        <v>0.151511536856382</v>
      </c>
      <c r="GK19" s="10">
        <f>'Bloom Cleaner Data'!AD19/('Bloom Cleaner Data'!AD19+'Bloom Cleaner Data'!N19)</f>
        <v>0.15177189733711619</v>
      </c>
      <c r="GL19" s="10">
        <f>'Bloom Cleaner Data'!AE19/('Bloom Cleaner Data'!AE19+'Bloom Cleaner Data'!O19)</f>
        <v>0.19431305995274059</v>
      </c>
      <c r="GM19" s="10">
        <f>'Bloom Cleaner Data'!AF19/('Bloom Cleaner Data'!AF19+'Bloom Cleaner Data'!P19)</f>
        <v>0.22575612958344962</v>
      </c>
      <c r="GN19" s="10">
        <f>'Bloom Cleaner Data'!AG19/('Bloom Cleaner Data'!AG19+'Bloom Cleaner Data'!Q19)</f>
        <v>0.34469114944788731</v>
      </c>
      <c r="GO19" s="10">
        <f>'Bloom Cleaner Data'!AH19/('Bloom Cleaner Data'!AH19+'Bloom Cleaner Data'!R19)</f>
        <v>0.30950096360373897</v>
      </c>
      <c r="GP19" s="10">
        <f t="shared" si="50"/>
        <v>0.16307046534988884</v>
      </c>
      <c r="GQ19" s="10">
        <f t="shared" si="51"/>
        <v>1.3005419282788433</v>
      </c>
      <c r="GR19" s="10"/>
      <c r="GS19" s="496">
        <f t="shared" si="8"/>
        <v>0.19620494360994459</v>
      </c>
      <c r="GT19" s="497">
        <f t="shared" si="9"/>
        <v>0.16151775439459695</v>
      </c>
      <c r="GU19" s="497">
        <f t="shared" si="10"/>
        <v>0.15544680852623388</v>
      </c>
      <c r="GV19" s="497">
        <f t="shared" si="11"/>
        <v>0.16543847855163205</v>
      </c>
      <c r="GW19" s="497">
        <f t="shared" si="12"/>
        <v>0.16068779871449765</v>
      </c>
      <c r="GX19" s="497">
        <f t="shared" si="13"/>
        <v>0.13940277621585975</v>
      </c>
      <c r="GY19" s="497">
        <f t="shared" si="14"/>
        <v>3.6491245087439159E-2</v>
      </c>
      <c r="GZ19" s="497">
        <f t="shared" si="15"/>
        <v>0.10516218534766321</v>
      </c>
      <c r="HA19" s="497">
        <f t="shared" si="16"/>
        <v>8.0768496776793555E-2</v>
      </c>
      <c r="HB19" s="497">
        <f t="shared" si="17"/>
        <v>0.17856640772113438</v>
      </c>
      <c r="HC19" s="497">
        <f t="shared" si="18"/>
        <v>0.17892816432354844</v>
      </c>
      <c r="HD19" s="497">
        <f t="shared" si="19"/>
        <v>0.24117687689134285</v>
      </c>
      <c r="HE19" s="497">
        <f t="shared" si="20"/>
        <v>0.29158271470976027</v>
      </c>
      <c r="HF19" s="497">
        <f t="shared" si="21"/>
        <v>0.525998007134311</v>
      </c>
      <c r="HG19" s="498">
        <f t="shared" si="22"/>
        <v>0.44822794426917006</v>
      </c>
      <c r="HH19" s="10">
        <f t="shared" si="52"/>
        <v>0.20829830032841434</v>
      </c>
      <c r="HI19" s="10">
        <f t="shared" si="53"/>
        <v>1.8834811632271315</v>
      </c>
      <c r="HJ19" s="10"/>
      <c r="HK19" s="18">
        <f>('Bloom Cleaner Data'!T19+'OPERATING LEASES'!AU19)/('Bloom Cleaner Data'!T19+'OPERATING LEASES'!AU19+'Bloom Cleaner Data'!D19)</f>
        <v>0.17989145067424506</v>
      </c>
      <c r="HL19" s="18">
        <f>('Bloom Cleaner Data'!U19+'OPERATING LEASES'!AV19)/('Bloom Cleaner Data'!U19+'OPERATING LEASES'!AV19+'Bloom Cleaner Data'!E19)</f>
        <v>0.15488420138715034</v>
      </c>
      <c r="HM19" s="18">
        <f>('Bloom Cleaner Data'!V19+'OPERATING LEASES'!AW19)/('Bloom Cleaner Data'!V19+'OPERATING LEASES'!AW19+'Bloom Cleaner Data'!F19)</f>
        <v>0.15187235711983951</v>
      </c>
      <c r="HN19" s="18">
        <f>('Bloom Cleaner Data'!W19+'OPERATING LEASES'!AX19)/('Bloom Cleaner Data'!W19+'OPERATING LEASES'!AX19+'Bloom Cleaner Data'!G19)</f>
        <v>0.1549776523010952</v>
      </c>
      <c r="HO19" s="18">
        <f>('Bloom Cleaner Data'!X19+'OPERATING LEASES'!AY19)/('Bloom Cleaner Data'!X19+'OPERATING LEASES'!AY19+'Bloom Cleaner Data'!H19)</f>
        <v>0.15220419294019369</v>
      </c>
      <c r="HP19" s="18">
        <f>('Bloom Cleaner Data'!Y19+'OPERATING LEASES'!AZ19)/('Bloom Cleaner Data'!Y19+'OPERATING LEASES'!AZ19+'Bloom Cleaner Data'!I19)</f>
        <v>0.13837930974567697</v>
      </c>
      <c r="HQ19" s="18">
        <f>('Bloom Cleaner Data'!Z19+'OPERATING LEASES'!BA19)/('Bloom Cleaner Data'!Z19+'OPERATING LEASES'!BA19+'Bloom Cleaner Data'!J19)</f>
        <v>5.9079764987643307E-2</v>
      </c>
      <c r="HR19" s="18">
        <f>('Bloom Cleaner Data'!AA19+'OPERATING LEASES'!BB19)/('Bloom Cleaner Data'!AA19+'OPERATING LEASES'!BB19+'Bloom Cleaner Data'!K19)</f>
        <v>0.11822574491549286</v>
      </c>
      <c r="HS19" s="18">
        <f>('Bloom Cleaner Data'!AB19+'OPERATING LEASES'!BC19)/('Bloom Cleaner Data'!AB19+'OPERATING LEASES'!BC19+'Bloom Cleaner Data'!L19)</f>
        <v>0.10235205409064563</v>
      </c>
      <c r="HT19" s="18">
        <f>('Bloom Cleaner Data'!AC19+'OPERATING LEASES'!BD19)/('Bloom Cleaner Data'!AC19+'OPERATING LEASES'!BD19+'Bloom Cleaner Data'!M19)</f>
        <v>0.17447964694034374</v>
      </c>
      <c r="HU19" s="18">
        <f>('Bloom Cleaner Data'!AD19+'OPERATING LEASES'!BE19)/('Bloom Cleaner Data'!AD19+'OPERATING LEASES'!BE19+'Bloom Cleaner Data'!N19)</f>
        <v>0.17656458361512248</v>
      </c>
      <c r="HV19" s="18">
        <f>('Bloom Cleaner Data'!AE19+'OPERATING LEASES'!BF19)/('Bloom Cleaner Data'!AE19+'OPERATING LEASES'!BF19+'Bloom Cleaner Data'!O19)</f>
        <v>0.21525846386444203</v>
      </c>
      <c r="HW19" s="18">
        <f>('Bloom Cleaner Data'!AF19+'OPERATING LEASES'!BG19)/('Bloom Cleaner Data'!AF19+'OPERATING LEASES'!BG19+'Bloom Cleaner Data'!P19)</f>
        <v>0.25122268544148668</v>
      </c>
      <c r="HX19" s="18">
        <f>('Bloom Cleaner Data'!AG19+'OPERATING LEASES'!BH19)/('Bloom Cleaner Data'!AG19+'OPERATING LEASES'!BH19+'Bloom Cleaner Data'!Q19)</f>
        <v>0.377545581839138</v>
      </c>
      <c r="HY19" s="18">
        <f>('Bloom Cleaner Data'!AH19+'OPERATING LEASES'!BI19)/('Bloom Cleaner Data'!AH19+'OPERATING LEASES'!BI19+'Bloom Cleaner Data'!R19)</f>
        <v>0.34197601038246805</v>
      </c>
      <c r="HZ19" s="10">
        <f t="shared" si="54"/>
        <v>0.18570292678335293</v>
      </c>
      <c r="IA19" s="10">
        <f t="shared" si="55"/>
        <v>1.251733079461073</v>
      </c>
      <c r="IB19" s="10">
        <f t="shared" si="23"/>
        <v>2.2632461433464091E-2</v>
      </c>
      <c r="IC19" s="10">
        <f t="shared" si="24"/>
        <v>0.13878945758144007</v>
      </c>
      <c r="IE19" s="502">
        <f t="shared" si="56"/>
        <v>0.21935078084741494</v>
      </c>
      <c r="IF19" s="467">
        <f t="shared" si="25"/>
        <v>0.18326979763172466</v>
      </c>
      <c r="IG19" s="467">
        <f t="shared" si="25"/>
        <v>0.1790678070627382</v>
      </c>
      <c r="IH19" s="467">
        <f t="shared" si="25"/>
        <v>0.1834006552881324</v>
      </c>
      <c r="II19" s="467">
        <f t="shared" si="25"/>
        <v>0.17952930608143089</v>
      </c>
      <c r="IJ19" s="467">
        <f t="shared" si="25"/>
        <v>0.16060351302013395</v>
      </c>
      <c r="IK19" s="467">
        <f t="shared" si="25"/>
        <v>6.2789344717267603E-2</v>
      </c>
      <c r="IL19" s="467">
        <f t="shared" si="25"/>
        <v>0.13407711127170796</v>
      </c>
      <c r="IM19" s="467">
        <f t="shared" si="25"/>
        <v>0.11402249017231224</v>
      </c>
      <c r="IN19" s="467">
        <f t="shared" si="25"/>
        <v>0.21135717162352624</v>
      </c>
      <c r="IO19" s="467">
        <f t="shared" si="25"/>
        <v>0.21442432533481823</v>
      </c>
      <c r="IP19" s="467">
        <f t="shared" si="25"/>
        <v>0.27430491945727442</v>
      </c>
      <c r="IQ19" s="467">
        <f t="shared" si="25"/>
        <v>0.33551054573496281</v>
      </c>
      <c r="IR19" s="467">
        <f t="shared" si="25"/>
        <v>0.60654334008047517</v>
      </c>
      <c r="IS19" s="503">
        <f t="shared" si="25"/>
        <v>0.51970143304537764</v>
      </c>
      <c r="IT19" s="10">
        <f t="shared" si="57"/>
        <v>0.24425630483770444</v>
      </c>
      <c r="IU19" s="10">
        <f t="shared" si="58"/>
        <v>1.9022605546472966</v>
      </c>
      <c r="IV19" s="10">
        <f t="shared" si="59"/>
        <v>3.5958004509290098E-2</v>
      </c>
      <c r="IW19" s="10">
        <f t="shared" si="60"/>
        <v>0.17262745040452451</v>
      </c>
      <c r="IY19" s="15">
        <f>'Bloom Cleaner Data'!T19/'Bloom Cleaner Data'!BU19*'Bloom Cleaner Data'!DA19</f>
        <v>0.66369654859333438</v>
      </c>
      <c r="IZ19" s="15">
        <f>'Bloom Cleaner Data'!U19/'Bloom Cleaner Data'!BV19*'Bloom Cleaner Data'!DB19</f>
        <v>0.57944984821597489</v>
      </c>
      <c r="JA19" s="15">
        <f>'Bloom Cleaner Data'!V19/'Bloom Cleaner Data'!BW19*'Bloom Cleaner Data'!DC19</f>
        <v>0.49932882547718965</v>
      </c>
      <c r="JB19" s="15">
        <f>'Bloom Cleaner Data'!W19/'Bloom Cleaner Data'!BX19*'Bloom Cleaner Data'!DD19</f>
        <v>0.68205936972418801</v>
      </c>
      <c r="JC19" s="15">
        <f>'Bloom Cleaner Data'!X19/'Bloom Cleaner Data'!BY19*'Bloom Cleaner Data'!DE19</f>
        <v>0.59805708856967155</v>
      </c>
      <c r="JD19" s="15">
        <f>'Bloom Cleaner Data'!Y19/'Bloom Cleaner Data'!BZ19*'Bloom Cleaner Data'!DF19</f>
        <v>0.56519011970061539</v>
      </c>
      <c r="JE19" s="15">
        <f>'Bloom Cleaner Data'!Z19/'Bloom Cleaner Data'!CA19*'Bloom Cleaner Data'!DG19</f>
        <v>0.15387525059837842</v>
      </c>
      <c r="JF19" s="15">
        <f>'Bloom Cleaner Data'!AA19/'Bloom Cleaner Data'!CB19*'Bloom Cleaner Data'!DH19</f>
        <v>0.470629640653564</v>
      </c>
      <c r="JG19" s="15">
        <f>'Bloom Cleaner Data'!AB19/'Bloom Cleaner Data'!CC19*'Bloom Cleaner Data'!DI19</f>
        <v>0.34288316345907954</v>
      </c>
      <c r="JH19" s="15">
        <f>'Bloom Cleaner Data'!AC19/'Bloom Cleaner Data'!CD19*'Bloom Cleaner Data'!DJ19</f>
        <v>0.77578745222249679</v>
      </c>
      <c r="JI19" s="15">
        <f>'Bloom Cleaner Data'!AD19/'Bloom Cleaner Data'!CE19*'Bloom Cleaner Data'!DK19</f>
        <v>0.66517714081749302</v>
      </c>
      <c r="JJ19" s="15">
        <f>'Bloom Cleaner Data'!AE19/'Bloom Cleaner Data'!CF19*'Bloom Cleaner Data'!DL19</f>
        <v>0.96030243938984472</v>
      </c>
      <c r="JK19" s="15">
        <f>'Bloom Cleaner Data'!AF19/'Bloom Cleaner Data'!CG19*'Bloom Cleaner Data'!DM19</f>
        <v>0.98898900295557046</v>
      </c>
      <c r="JL19" s="15">
        <f>'Bloom Cleaner Data'!AG19/'Bloom Cleaner Data'!CH19*'Bloom Cleaner Data'!DN19</f>
        <v>1.0142768371832771</v>
      </c>
      <c r="JM19" s="15">
        <f>'Bloom Cleaner Data'!AH19/'Bloom Cleaner Data'!CI19*'Bloom Cleaner Data'!DO19</f>
        <v>1.0399968305958791</v>
      </c>
      <c r="JN19" s="15">
        <f t="shared" si="61"/>
        <v>1.014420890244909</v>
      </c>
      <c r="JO19" s="15">
        <f t="shared" si="62"/>
        <v>1.0008912775311427</v>
      </c>
      <c r="JP19" s="15">
        <f t="shared" si="63"/>
        <v>0.67358101241132673</v>
      </c>
      <c r="JQ19" s="18">
        <f t="shared" si="64"/>
        <v>1.0827894916781411</v>
      </c>
      <c r="JR19" s="18"/>
      <c r="JS19" s="2024" t="s">
        <v>289</v>
      </c>
      <c r="JT19" s="526">
        <f>('Bloom Cleaner Data'!T19+'OPERATING LEASES'!AU19)/DD19</f>
        <v>0.73206368037127345</v>
      </c>
      <c r="JU19" s="526">
        <f>('Bloom Cleaner Data'!U19+'OPERATING LEASES'!AV19)/DE19</f>
        <v>0.64895404163541992</v>
      </c>
      <c r="JV19" s="526">
        <f>('Bloom Cleaner Data'!V19+'OPERATING LEASES'!AW19)/DF19</f>
        <v>0.56816344089016091</v>
      </c>
      <c r="JW19" s="526">
        <f>('Bloom Cleaner Data'!W19+'OPERATING LEASES'!AX19)/DG19</f>
        <v>0.74738387885088764</v>
      </c>
      <c r="JX19" s="526">
        <f>('Bloom Cleaner Data'!X19+'OPERATING LEASES'!AY19)/DH19</f>
        <v>0.66115581837086734</v>
      </c>
      <c r="JY19" s="526">
        <f>('Bloom Cleaner Data'!Y19+'OPERATING LEASES'!AZ19)/DI19</f>
        <v>0.64277230113855044</v>
      </c>
      <c r="JZ19" s="526">
        <f>('Bloom Cleaner Data'!Z19+'OPERATING LEASES'!BA19)/DJ19</f>
        <v>0.26039207558834759</v>
      </c>
      <c r="KA19" s="526">
        <f>('Bloom Cleaner Data'!AA19+'OPERATING LEASES'!BB19)/DK19</f>
        <v>0.58849064180019561</v>
      </c>
      <c r="KB19" s="526">
        <f>('Bloom Cleaner Data'!AB19+'OPERATING LEASES'!BC19)/DL19</f>
        <v>0.47391539935842092</v>
      </c>
      <c r="KC19" s="526">
        <f>('Bloom Cleaner Data'!AC19+'OPERATING LEASES'!BD19)/DM19</f>
        <v>0.89884142312630078</v>
      </c>
      <c r="KD19" s="526">
        <f>('Bloom Cleaner Data'!AD19+'OPERATING LEASES'!BE19)/DN19</f>
        <v>0.78150699322337702</v>
      </c>
      <c r="KE19" s="526">
        <f>('Bloom Cleaner Data'!AE19+'OPERATING LEASES'!BF19)/DO19</f>
        <v>1.0708028960781275</v>
      </c>
      <c r="KF19" s="526">
        <f>('Bloom Cleaner Data'!AF19+'OPERATING LEASES'!BG19)/DP19</f>
        <v>1.1128540497776005</v>
      </c>
      <c r="KG19" s="526">
        <f>('Bloom Cleaner Data'!AG19+'OPERATING LEASES'!BH19)/DQ19</f>
        <v>1.1426940239905961</v>
      </c>
      <c r="KH19" s="526">
        <f>('Bloom Cleaner Data'!AH19+'OPERATING LEASES'!BI19)/DR19</f>
        <v>1.1762690733772538</v>
      </c>
      <c r="KI19" s="15">
        <f t="shared" si="65"/>
        <v>1.1439390490484833</v>
      </c>
      <c r="KJ19" s="15">
        <f t="shared" si="66"/>
        <v>1.1256550108058945</v>
      </c>
      <c r="KK19" s="15">
        <f t="shared" si="67"/>
        <v>0.77886477042851432</v>
      </c>
      <c r="KL19" s="18">
        <f t="shared" si="68"/>
        <v>1.0703005310133176</v>
      </c>
      <c r="KM19" s="15">
        <f t="shared" si="69"/>
        <v>0.10528375801718759</v>
      </c>
      <c r="KN19" s="18"/>
      <c r="KO19" s="15">
        <f t="shared" si="70"/>
        <v>0.73206368037127345</v>
      </c>
      <c r="KP19" s="15">
        <f t="shared" si="71"/>
        <v>0.64895404163541992</v>
      </c>
      <c r="KQ19" s="15">
        <f t="shared" si="72"/>
        <v>0.56816344089016091</v>
      </c>
      <c r="KR19" s="15">
        <f t="shared" si="73"/>
        <v>0.74738387885088764</v>
      </c>
      <c r="KS19" s="15">
        <f t="shared" si="74"/>
        <v>0.66115581837086734</v>
      </c>
      <c r="KT19" s="15">
        <f t="shared" si="75"/>
        <v>0.64277230113855044</v>
      </c>
      <c r="KU19" s="15">
        <f t="shared" si="76"/>
        <v>0.26039207558834759</v>
      </c>
      <c r="KV19" s="15">
        <f t="shared" si="77"/>
        <v>0.58849064180019561</v>
      </c>
      <c r="KW19" s="15">
        <f t="shared" si="78"/>
        <v>0.47391539935842092</v>
      </c>
      <c r="KX19" s="15">
        <f t="shared" si="79"/>
        <v>0.89884142312630078</v>
      </c>
      <c r="KY19" s="15">
        <f t="shared" si="80"/>
        <v>0.78150699322337702</v>
      </c>
      <c r="KZ19" s="15">
        <f t="shared" si="81"/>
        <v>1.0708028960781275</v>
      </c>
      <c r="LA19" s="15">
        <f t="shared" si="82"/>
        <v>1.1128540497776005</v>
      </c>
      <c r="LB19" s="15">
        <f t="shared" si="83"/>
        <v>1.1426940239905961</v>
      </c>
      <c r="LC19" s="15">
        <f t="shared" si="84"/>
        <v>1.1762690733772538</v>
      </c>
      <c r="LD19" s="15">
        <f t="shared" si="85"/>
        <v>1.1439390490484833</v>
      </c>
      <c r="LE19" s="15">
        <f t="shared" si="86"/>
        <v>1.1256550108058945</v>
      </c>
      <c r="LF19" s="526">
        <f t="shared" si="87"/>
        <v>0.77886477042851432</v>
      </c>
      <c r="LG19" s="10">
        <f t="shared" si="88"/>
        <v>1.0703005310133176</v>
      </c>
      <c r="LH19" s="18"/>
      <c r="LI19" s="15">
        <f>('Bloom Cleaner Data'!T19+'Bloom Cleaner Data'!EY19)/'Bloom Cleaner Data'!GV19</f>
        <v>1.0175616795500688</v>
      </c>
      <c r="LJ19" s="15">
        <f>('Bloom Cleaner Data'!U19+'Bloom Cleaner Data'!EZ19)/'Bloom Cleaner Data'!GW19</f>
        <v>1.0192153321065089</v>
      </c>
      <c r="LK19" s="15">
        <f>('Bloom Cleaner Data'!V19+'Bloom Cleaner Data'!FA19)/'Bloom Cleaner Data'!GX19</f>
        <v>1.0405346726936249</v>
      </c>
      <c r="LL19" s="15">
        <f>('Bloom Cleaner Data'!W19+'Bloom Cleaner Data'!FB19)/'Bloom Cleaner Data'!GY19</f>
        <v>1.0406856026347917</v>
      </c>
      <c r="LM19" s="15">
        <f>('Bloom Cleaner Data'!X19+'Bloom Cleaner Data'!FC19)/'Bloom Cleaner Data'!GZ19</f>
        <v>1.0149931842192403</v>
      </c>
      <c r="LN19" s="15">
        <f>('Bloom Cleaner Data'!Y19+'Bloom Cleaner Data'!FD19)/'Bloom Cleaner Data'!HA19</f>
        <v>1.0524229815114907</v>
      </c>
      <c r="LO19" s="15">
        <f>('Bloom Cleaner Data'!Z19+'Bloom Cleaner Data'!FE19)/'Bloom Cleaner Data'!HB19</f>
        <v>1.1000564405462891</v>
      </c>
      <c r="LP19" s="15">
        <f>('Bloom Cleaner Data'!AA19+'Bloom Cleaner Data'!FF19)/'Bloom Cleaner Data'!HC19</f>
        <v>0.90313134806269024</v>
      </c>
      <c r="LQ19" s="15">
        <f>('Bloom Cleaner Data'!AB19+'Bloom Cleaner Data'!FG19)/'Bloom Cleaner Data'!HD19</f>
        <v>0.87497532162129743</v>
      </c>
      <c r="LR19" s="15">
        <f>('Bloom Cleaner Data'!AC19+'Bloom Cleaner Data'!FH19)/'Bloom Cleaner Data'!HE19</f>
        <v>0.89569571888102795</v>
      </c>
      <c r="LS19" s="15">
        <f>('Bloom Cleaner Data'!AD19+'Bloom Cleaner Data'!FI19)/'Bloom Cleaner Data'!HF19</f>
        <v>0.82052219197857912</v>
      </c>
      <c r="LT19" s="15">
        <f>('Bloom Cleaner Data'!AE19+'Bloom Cleaner Data'!FJ19)/'Bloom Cleaner Data'!HG19</f>
        <v>1.0460210757045072</v>
      </c>
      <c r="LU19" s="15">
        <f>('Bloom Cleaner Data'!AF19+'Bloom Cleaner Data'!FK19)/'Bloom Cleaner Data'!HH19</f>
        <v>1.0699685769956024</v>
      </c>
      <c r="LV19" s="15">
        <f>('Bloom Cleaner Data'!AG19+'Bloom Cleaner Data'!FL19)/'Bloom Cleaner Data'!HI19</f>
        <v>1.0707698492415005</v>
      </c>
      <c r="LW19" s="15">
        <f>('Bloom Cleaner Data'!AH19+'Bloom Cleaner Data'!FM19)/'Bloom Cleaner Data'!HJ19</f>
        <v>1.1111788358899972</v>
      </c>
      <c r="LX19" s="15">
        <f t="shared" si="89"/>
        <v>7.1182005294118111E-2</v>
      </c>
      <c r="LY19" s="15">
        <f t="shared" si="90"/>
        <v>1.0839724207090333</v>
      </c>
      <c r="LZ19" s="15">
        <f t="shared" si="27"/>
        <v>6.9551530464124323E-2</v>
      </c>
      <c r="MA19" s="15">
        <f t="shared" si="91"/>
        <v>1.0744845844579018</v>
      </c>
      <c r="MB19" s="15">
        <f t="shared" si="92"/>
        <v>1.003150446152357</v>
      </c>
      <c r="MC19" s="18">
        <f t="shared" si="93"/>
        <v>6.7892176061270779E-2</v>
      </c>
      <c r="MD19" s="15">
        <f t="shared" si="28"/>
        <v>0.32956943374103032</v>
      </c>
      <c r="ME19" s="18"/>
      <c r="MF19" s="2024" t="s">
        <v>289</v>
      </c>
      <c r="MG19" s="15">
        <f>JT19+'Bloom Cleaner Data'!EY19/CALCULATIONS!DD19</f>
        <v>1.0811942146686697</v>
      </c>
      <c r="MH19" s="15">
        <f>JU19+'Bloom Cleaner Data'!EZ19/CALCULATIONS!DE19</f>
        <v>1.0830128715601153</v>
      </c>
      <c r="MI19" s="15">
        <f>JV19+'Bloom Cleaner Data'!FA19/CALCULATIONS!DF19</f>
        <v>1.1027443216310544</v>
      </c>
      <c r="MJ19" s="15">
        <f>JW19+'Bloom Cleaner Data'!FB19/CALCULATIONS!DG19</f>
        <v>1.1018700071951804</v>
      </c>
      <c r="MK19" s="15">
        <f>JX19+'Bloom Cleaner Data'!FC19/CALCULATIONS!DH19</f>
        <v>1.0737073712526271</v>
      </c>
      <c r="ML19" s="15">
        <f>JY19+'Bloom Cleaner Data'!FD19/CALCULATIONS!DI19</f>
        <v>1.1237395965283135</v>
      </c>
      <c r="MM19" s="15">
        <f>JZ19+'Bloom Cleaner Data'!FE19/CALCULATIONS!DJ19</f>
        <v>1.1909341860092464</v>
      </c>
      <c r="MN19" s="15">
        <f>KA19+'Bloom Cleaner Data'!FF19/CALCULATIONS!DK19</f>
        <v>1.0126734564446416</v>
      </c>
      <c r="MO19" s="15">
        <f>KB19+'Bloom Cleaner Data'!FG19/CALCULATIONS!DL19</f>
        <v>0.99486174681262551</v>
      </c>
      <c r="MP19" s="15">
        <f>KC19+'Bloom Cleaner Data'!FH19/CALCULATIONS!DM19</f>
        <v>1.016215509847316</v>
      </c>
      <c r="MQ19" s="15">
        <f>KD19+'Bloom Cleaner Data'!FI19/CALCULATIONS!DN19</f>
        <v>0.9338061957043603</v>
      </c>
      <c r="MR19" s="15">
        <f>KE19+'Bloom Cleaner Data'!FJ19/CALCULATIONS!DO19</f>
        <v>1.1548414999495156</v>
      </c>
      <c r="MS19" s="15">
        <f>KF19+'Bloom Cleaner Data'!FK19/CALCULATIONS!DP19</f>
        <v>1.1920454160282841</v>
      </c>
      <c r="MT19" s="15">
        <f>KG19+'Bloom Cleaner Data'!FL19/CALCULATIONS!DQ19</f>
        <v>1.1978878422812229</v>
      </c>
      <c r="MU19" s="15">
        <f>KH19+'Bloom Cleaner Data'!FM19/CALCULATIONS!DR19</f>
        <v>1.2457059049561294</v>
      </c>
      <c r="MV19" s="15">
        <f t="shared" si="29"/>
        <v>6.9436831578875591E-2</v>
      </c>
      <c r="MW19" s="15">
        <f t="shared" si="94"/>
        <v>1.2118797210885457</v>
      </c>
      <c r="MX19" s="15">
        <f t="shared" si="30"/>
        <v>6.7940672040062378E-2</v>
      </c>
      <c r="MY19" s="15">
        <f t="shared" si="95"/>
        <v>1.1976201658037882</v>
      </c>
      <c r="MZ19" s="15">
        <f t="shared" si="96"/>
        <v>1.1031563888185012</v>
      </c>
      <c r="NA19" s="18">
        <f t="shared" si="97"/>
        <v>0.12964164087793484</v>
      </c>
      <c r="NB19" s="15">
        <f t="shared" si="31"/>
        <v>0.32429161838998688</v>
      </c>
      <c r="NC19" s="15"/>
      <c r="ND19" s="13">
        <f>'Bloom Cleaner Data'!GF19+('Bloom Cleaner Data'!T19+'Bloom Cleaner Data'!EY19)+'Bloom Cleaner Data'!CK19</f>
        <v>22945</v>
      </c>
      <c r="NE19" s="13">
        <f>'Bloom Cleaner Data'!GG19+('Bloom Cleaner Data'!U19+'Bloom Cleaner Data'!EZ19)+'Bloom Cleaner Data'!CL19</f>
        <v>23024</v>
      </c>
      <c r="NF19" s="13">
        <f>'Bloom Cleaner Data'!GH19+('Bloom Cleaner Data'!V19+'Bloom Cleaner Data'!FA19)+'Bloom Cleaner Data'!CM19</f>
        <v>21376</v>
      </c>
      <c r="NG19" s="13">
        <f>'Bloom Cleaner Data'!GI19+('Bloom Cleaner Data'!W19+'Bloom Cleaner Data'!FB19)+'Bloom Cleaner Data'!CN19</f>
        <v>20492</v>
      </c>
      <c r="NH19" s="13">
        <f>'Bloom Cleaner Data'!GJ19+('Bloom Cleaner Data'!X19+'Bloom Cleaner Data'!FC19)+'Bloom Cleaner Data'!CO19</f>
        <v>20605</v>
      </c>
      <c r="NI19" s="13">
        <f>'Bloom Cleaner Data'!GK19+('Bloom Cleaner Data'!Y19+'Bloom Cleaner Data'!FD19)+'Bloom Cleaner Data'!CP19</f>
        <v>20931</v>
      </c>
      <c r="NJ19" s="13">
        <f>'Bloom Cleaner Data'!GL19+('Bloom Cleaner Data'!Z19+'Bloom Cleaner Data'!FE19)+'Bloom Cleaner Data'!CQ19</f>
        <v>19626</v>
      </c>
      <c r="NK19" s="13">
        <f>'Bloom Cleaner Data'!GM19+('Bloom Cleaner Data'!AA19+'Bloom Cleaner Data'!FF19)+'Bloom Cleaner Data'!CR19</f>
        <v>18918</v>
      </c>
      <c r="NL19" s="13">
        <f>'Bloom Cleaner Data'!GN19+('Bloom Cleaner Data'!AB19+'Bloom Cleaner Data'!FG19)+'Bloom Cleaner Data'!CS19</f>
        <v>19040</v>
      </c>
      <c r="NM19" s="13">
        <f>'Bloom Cleaner Data'!GO19+('Bloom Cleaner Data'!AC19+'Bloom Cleaner Data'!FH19)+'Bloom Cleaner Data'!CT19</f>
        <v>19202</v>
      </c>
      <c r="NN19" s="13">
        <f>'Bloom Cleaner Data'!GP19+('Bloom Cleaner Data'!AD19+'Bloom Cleaner Data'!FI19)+'Bloom Cleaner Data'!CU19</f>
        <v>17264</v>
      </c>
      <c r="NO19" s="13">
        <f>'Bloom Cleaner Data'!GQ19+('Bloom Cleaner Data'!AE19+'Bloom Cleaner Data'!FJ19)+'Bloom Cleaner Data'!CV19</f>
        <v>18721</v>
      </c>
      <c r="NP19" s="13">
        <f>'Bloom Cleaner Data'!GR19+('Bloom Cleaner Data'!AF19+'Bloom Cleaner Data'!FK19)+'Bloom Cleaner Data'!CW19</f>
        <v>18113</v>
      </c>
      <c r="NQ19" s="13">
        <f>'Bloom Cleaner Data'!GS19+('Bloom Cleaner Data'!AG19+'Bloom Cleaner Data'!FL19)+'Bloom Cleaner Data'!CX19</f>
        <v>17994</v>
      </c>
      <c r="NR19" s="13">
        <f>'Bloom Cleaner Data'!GT19+('Bloom Cleaner Data'!AH19+'Bloom Cleaner Data'!FM19)+'Bloom Cleaner Data'!CY19</f>
        <v>17271</v>
      </c>
      <c r="NS19" s="168"/>
      <c r="NT19" s="2024" t="s">
        <v>289</v>
      </c>
      <c r="NU19" s="998">
        <f>('Bloom Cleaner Data'!T19+'Bloom Cleaner Data'!EY19+'OPERATING LEASES'!BL19)/CALCULATIONS!ND19</f>
        <v>0.28167356722597514</v>
      </c>
      <c r="NV19" s="998">
        <f>('Bloom Cleaner Data'!U19+'Bloom Cleaner Data'!EZ19+'OPERATING LEASES'!BM19)/CALCULATIONS!NE19</f>
        <v>0.27060214341556638</v>
      </c>
      <c r="NW19" s="998">
        <f>('Bloom Cleaner Data'!V19+'Bloom Cleaner Data'!FA19+'OPERATING LEASES'!BN19)/CALCULATIONS!NF19</f>
        <v>0.29288395864520961</v>
      </c>
      <c r="NX19" s="998">
        <f>('Bloom Cleaner Data'!W19+'Bloom Cleaner Data'!FB19+'OPERATING LEASES'!BO19)/CALCULATIONS!NG19</f>
        <v>0.29914265323052897</v>
      </c>
      <c r="NY19" s="998">
        <f>('Bloom Cleaner Data'!X19+'Bloom Cleaner Data'!FC19+'OPERATING LEASES'!BP19)/CALCULATIONS!NH19</f>
        <v>0.2921317641349187</v>
      </c>
      <c r="NZ19" s="998">
        <f>('Bloom Cleaner Data'!Y19+'Bloom Cleaner Data'!FD19+'OPERATING LEASES'!BQ19)/CALCULATIONS!NI19</f>
        <v>0.29513789355501407</v>
      </c>
      <c r="OA19" s="998">
        <f>('Bloom Cleaner Data'!Z19+'Bloom Cleaner Data'!FE19+'OPERATING LEASES'!BR19)/CALCULATIONS!NJ19</f>
        <v>0.3002999847141547</v>
      </c>
      <c r="OB19" s="998">
        <f>('Bloom Cleaner Data'!AA19+'Bloom Cleaner Data'!FF19+'OPERATING LEASES'!BS19)/CALCULATIONS!NK19</f>
        <v>0.25329547256581036</v>
      </c>
      <c r="OC19" s="998">
        <f>('Bloom Cleaner Data'!AB19+'Bloom Cleaner Data'!FG19+'OPERATING LEASES'!BT19)/CALCULATIONS!NL19</f>
        <v>0.25304621848739495</v>
      </c>
      <c r="OD19" s="998">
        <f>('Bloom Cleaner Data'!AC19+'Bloom Cleaner Data'!FH19+'OPERATING LEASES'!BU19)/CALCULATIONS!NM19</f>
        <v>0.25098622539318821</v>
      </c>
      <c r="OE19" s="998">
        <f>('Bloom Cleaner Data'!AD19+'Bloom Cleaner Data'!FI19+'OPERATING LEASES'!BV19)/CALCULATIONS!NN19</f>
        <v>0.27235142493049119</v>
      </c>
      <c r="OF19" s="998">
        <f>('Bloom Cleaner Data'!AE19+'Bloom Cleaner Data'!FJ19+'OPERATING LEASES'!BW19)/CALCULATIONS!NO19</f>
        <v>0.31420931040008548</v>
      </c>
      <c r="OG19" s="998">
        <f>('Bloom Cleaner Data'!AF19+'Bloom Cleaner Data'!FK19+'OPERATING LEASES'!BX19)/CALCULATIONS!NP19</f>
        <v>0.29049577651410591</v>
      </c>
      <c r="OH19" s="998">
        <f>('Bloom Cleaner Data'!AG19+'Bloom Cleaner Data'!FL19+'OPERATING LEASES'!BY19)/CALCULATIONS!NQ19</f>
        <v>0.28096865621873957</v>
      </c>
      <c r="OI19" s="998">
        <f>('Bloom Cleaner Data'!AH19+'Bloom Cleaner Data'!FM19+'OPERATING LEASES'!BZ19)/CALCULATIONS!NR19</f>
        <v>0.28468241560998203</v>
      </c>
      <c r="OJ19" s="18">
        <f t="shared" si="98"/>
        <v>0.28538228278094252</v>
      </c>
      <c r="OK19" s="18">
        <f t="shared" si="99"/>
        <v>0.29258903968572825</v>
      </c>
      <c r="OL19" s="18">
        <f t="shared" si="100"/>
        <v>0.28304859649227876</v>
      </c>
      <c r="OM19" s="10">
        <f t="shared" si="101"/>
        <v>-2.8002704802152265E-2</v>
      </c>
      <c r="ON19" s="10"/>
      <c r="OO19" s="2710">
        <v>1</v>
      </c>
      <c r="OP19" s="526">
        <f>'Bloom Cleaner Data'!D19/'Bloom Cleaner Data'!GF19</f>
        <v>1.2808747659034616</v>
      </c>
      <c r="OQ19" s="526">
        <f>'Bloom Cleaner Data'!E19/'Bloom Cleaner Data'!GG19</f>
        <v>1.2842321964529331</v>
      </c>
      <c r="OR19" s="526">
        <f>'Bloom Cleaner Data'!F19/'Bloom Cleaner Data'!GH19</f>
        <v>1.2586346622734761</v>
      </c>
      <c r="OS19" s="526">
        <f>'Bloom Cleaner Data'!G19/'Bloom Cleaner Data'!GI19</f>
        <v>1.6658552580466151</v>
      </c>
      <c r="OT19" s="526">
        <f>'Bloom Cleaner Data'!H19/'Bloom Cleaner Data'!GJ19</f>
        <v>1.4926609266092661</v>
      </c>
      <c r="OU19" s="526">
        <f>'Bloom Cleaner Data'!I19/'Bloom Cleaner Data'!GK19</f>
        <v>1.5866241090712743</v>
      </c>
      <c r="OV19" s="526">
        <f>'Bloom Cleaner Data'!J19/'Bloom Cleaner Data'!GL19</f>
        <v>1.6116399435069169</v>
      </c>
      <c r="OW19" s="526">
        <f>'Bloom Cleaner Data'!K19/'Bloom Cleaner Data'!GM19</f>
        <v>1.6350283523286901</v>
      </c>
      <c r="OX19" s="526">
        <f>'Bloom Cleaner Data'!L19/'Bloom Cleaner Data'!GN19</f>
        <v>1.5919005581135761</v>
      </c>
      <c r="OY19" s="526">
        <f>'Bloom Cleaner Data'!M19/'Bloom Cleaner Data'!GO19</f>
        <v>1.574875244928936</v>
      </c>
      <c r="OZ19" s="526">
        <f>'Bloom Cleaner Data'!N19/'Bloom Cleaner Data'!GP19</f>
        <v>1.6411028488005051</v>
      </c>
      <c r="PA19" s="526">
        <f>'Bloom Cleaner Data'!O19/'Bloom Cleaner Data'!GQ19</f>
        <v>1.6970283772302464</v>
      </c>
      <c r="PB19" s="526">
        <f>'Bloom Cleaner Data'!P19/'Bloom Cleaner Data'!GR19</f>
        <v>1.2606102407778979</v>
      </c>
      <c r="PC19" s="526">
        <f>'Bloom Cleaner Data'!Q19/'Bloom Cleaner Data'!GS19</f>
        <v>0.68292671521655812</v>
      </c>
      <c r="PD19" s="526">
        <f>'Bloom Cleaner Data'!R19/'Bloom Cleaner Data'!GT19</f>
        <v>0.8056764866383116</v>
      </c>
      <c r="PE19" s="526">
        <f t="shared" si="102"/>
        <v>1.4234279787340207</v>
      </c>
      <c r="PF19" s="10">
        <f t="shared" si="103"/>
        <v>-0.3598805826759805</v>
      </c>
      <c r="PG19" s="526">
        <f t="shared" si="104"/>
        <v>1.4065116228510506</v>
      </c>
      <c r="PH19" s="18"/>
      <c r="PI19" s="2710">
        <v>1</v>
      </c>
      <c r="PJ19" s="526">
        <f>CALCULATIONS!DD19/'Bloom Cleaner Data'!GF19</f>
        <v>0.38379295080747888</v>
      </c>
      <c r="PK19" s="526">
        <f>CALCULATIONS!DE19/'Bloom Cleaner Data'!GG19</f>
        <v>0.3626774157426379</v>
      </c>
      <c r="PL19" s="526">
        <f>CALCULATIONS!DF19/'Bloom Cleaner Data'!GH19</f>
        <v>0.39668330034285465</v>
      </c>
      <c r="PM19" s="526">
        <f>CALCULATIONS!DG19/'Bloom Cleaner Data'!GI19</f>
        <v>0.40878450095909141</v>
      </c>
      <c r="PN19" s="526">
        <f>CALCULATIONS!DH19/'Bloom Cleaner Data'!GJ19</f>
        <v>0.40531501489216121</v>
      </c>
      <c r="PO19" s="526">
        <f>CALCULATIONS!DI19/'Bloom Cleaner Data'!GK19</f>
        <v>0.39643495108287286</v>
      </c>
      <c r="PP19" s="526">
        <f>CALCULATIONS!DJ19/'Bloom Cleaner Data'!GL19</f>
        <v>0.38862095071184205</v>
      </c>
      <c r="PQ19" s="526">
        <f>CALCULATIONS!DK19/'Bloom Cleaner Data'!GM19</f>
        <v>0.37251208898917487</v>
      </c>
      <c r="PR19" s="526">
        <f>CALCULATIONS!DL19/'Bloom Cleaner Data'!GN19</f>
        <v>0.38300605126681314</v>
      </c>
      <c r="PS19" s="526">
        <f>CALCULATIONS!DM19/'Bloom Cleaner Data'!GO19</f>
        <v>0.37032247164393983</v>
      </c>
      <c r="PT19" s="526">
        <f>CALCULATIONS!DN19/'Bloom Cleaner Data'!GP19</f>
        <v>0.4502741168158883</v>
      </c>
      <c r="PU19" s="526">
        <f>CALCULATIONS!DO19/'Bloom Cleaner Data'!GQ19</f>
        <v>0.43472354626400639</v>
      </c>
      <c r="PV19" s="526">
        <f>CALCULATIONS!DP19/'Bloom Cleaner Data'!GR19</f>
        <v>0.38005705233943282</v>
      </c>
      <c r="PW19" s="526">
        <f>CALCULATIONS!DQ19/'Bloom Cleaner Data'!GS19</f>
        <v>0.36249830854199644</v>
      </c>
      <c r="PX19" s="526">
        <f>CALCULATIONS!DR19/'Bloom Cleaner Data'!GT19</f>
        <v>0.35596551346428723</v>
      </c>
      <c r="PY19" s="526">
        <f t="shared" si="105"/>
        <v>0.39270752825495087</v>
      </c>
      <c r="PZ19" s="526">
        <f t="shared" si="106"/>
        <v>0.38866445555970902</v>
      </c>
      <c r="QA19" s="18"/>
      <c r="QC19" s="15">
        <f>'Bloom Cleaner Data'!HZ19</f>
        <v>5.6787999999999998</v>
      </c>
      <c r="QD19" s="15">
        <f>AVERAGE('Bloom Cleaner Data'!HN19:HZ19)</f>
        <v>8.5167000000000002</v>
      </c>
      <c r="QE19" s="504">
        <f>('Bloom Cleaner Data'!HZ19-'Bloom Cleaner Data'!HN19)/'Bloom Cleaner Data'!HN19</f>
        <v>-0.33999674577531908</v>
      </c>
      <c r="QF19" s="15">
        <f>'Bloom Cleaner Data'!HZ19-'Bloom Cleaner Data'!HL19</f>
        <v>-4.4436000000000009</v>
      </c>
    </row>
    <row r="20" spans="1:450">
      <c r="A20" s="11" t="s">
        <v>27</v>
      </c>
      <c r="B20" s="83" t="s">
        <v>54</v>
      </c>
      <c r="C20" s="1207" t="s">
        <v>1104</v>
      </c>
      <c r="E20" s="13">
        <f>'Bloom Cleaner Data'!D20</f>
        <v>7462.4336999999996</v>
      </c>
      <c r="G20" s="13">
        <f>'Bloom Cleaner Data'!F20</f>
        <v>7333.4517999999998</v>
      </c>
      <c r="H20" s="13">
        <f>'Bloom Cleaner Data'!H20</f>
        <v>7339.8116</v>
      </c>
      <c r="I20" s="13">
        <f>'Bloom Cleaner Data'!J20</f>
        <v>6129.4525000000003</v>
      </c>
      <c r="J20" s="13">
        <f>'Bloom Cleaner Data'!L20</f>
        <v>3610.3515000000002</v>
      </c>
      <c r="K20" s="13">
        <f>'Bloom Cleaner Data'!N20</f>
        <v>3097.4506999999999</v>
      </c>
      <c r="L20" s="13">
        <f>'Bloom Cleaner Data'!P20</f>
        <v>3024.9229999999998</v>
      </c>
      <c r="M20" s="13">
        <f>'Bloom Cleaner Data'!R20</f>
        <v>2680.5724</v>
      </c>
      <c r="N20" s="13">
        <f t="shared" si="0"/>
        <v>4745.1447857142857</v>
      </c>
      <c r="O20" s="13">
        <f t="shared" si="32"/>
        <v>2934.3153666666672</v>
      </c>
      <c r="P20" s="10">
        <f t="shared" si="1"/>
        <v>-0.63447330491761056</v>
      </c>
      <c r="Q20" s="146">
        <f>P20</f>
        <v>-0.63447330491761056</v>
      </c>
      <c r="R20" s="10">
        <f t="shared" si="33"/>
        <v>-0.53269772601197163</v>
      </c>
      <c r="S20" s="1363" t="s">
        <v>54</v>
      </c>
      <c r="T20" s="1322">
        <f>'Bloom Cleaner Data'!D20/'Bloom Cleaner Data'!$F20</f>
        <v>1.0175881567804128</v>
      </c>
      <c r="U20" s="1322">
        <f>'Bloom Cleaner Data'!E20/'Bloom Cleaner Data'!$F20</f>
        <v>1.011982692788681</v>
      </c>
      <c r="V20" s="1322">
        <f>'Bloom Cleaner Data'!F20/'Bloom Cleaner Data'!$F20</f>
        <v>1</v>
      </c>
      <c r="W20" s="1322">
        <f>'Bloom Cleaner Data'!G20/'Bloom Cleaner Data'!$F20</f>
        <v>1.1968241885765174</v>
      </c>
      <c r="X20" s="1322">
        <f>'Bloom Cleaner Data'!H20/'Bloom Cleaner Data'!$F20</f>
        <v>1.0008672314448157</v>
      </c>
      <c r="Y20" s="1322">
        <f>'Bloom Cleaner Data'!I20/'Bloom Cleaner Data'!$F20</f>
        <v>0.99560123924179877</v>
      </c>
      <c r="Z20" s="1322">
        <f>'Bloom Cleaner Data'!J20/'Bloom Cleaner Data'!$F20</f>
        <v>0.83582092951098419</v>
      </c>
      <c r="AA20" s="1322">
        <f>'Bloom Cleaner Data'!K20/'Bloom Cleaner Data'!$F20</f>
        <v>0.67237313811757782</v>
      </c>
      <c r="AB20" s="1322">
        <f>'Bloom Cleaner Data'!L20/'Bloom Cleaner Data'!$F20</f>
        <v>0.49231270600292215</v>
      </c>
      <c r="AC20" s="1322">
        <f>'Bloom Cleaner Data'!M20/'Bloom Cleaner Data'!$F20</f>
        <v>0.49892780368448048</v>
      </c>
      <c r="AD20" s="1322">
        <f>'Bloom Cleaner Data'!N20/'Bloom Cleaner Data'!$F20</f>
        <v>0.42237281766820911</v>
      </c>
      <c r="AE20" s="1322">
        <f>'Bloom Cleaner Data'!O20/'Bloom Cleaner Data'!$F20</f>
        <v>0.47029445260688835</v>
      </c>
      <c r="AF20" s="1322">
        <f>'Bloom Cleaner Data'!P20/'Bloom Cleaner Data'!$F20</f>
        <v>0.41248283652726808</v>
      </c>
      <c r="AG20" s="1322">
        <f>'Bloom Cleaner Data'!Q20/'Bloom Cleaner Data'!$F20</f>
        <v>0.4689415153720653</v>
      </c>
      <c r="AH20" s="1322">
        <f>'Bloom Cleaner Data'!R20/'Bloom Cleaner Data'!$F20</f>
        <v>0.36552669508238944</v>
      </c>
      <c r="AI20" s="13"/>
      <c r="AJ20" s="13">
        <f>AVERAGE('Bloom Cleaner Data'!BW20:CI20)</f>
        <v>12327.062853846153</v>
      </c>
      <c r="AK20" s="18">
        <f>('Bloom Cleaner Data'!CI20-'Bloom Cleaner Data'!BW20)/'Bloom Cleaner Data'!BW20</f>
        <v>-0.24274022759190655</v>
      </c>
      <c r="AL20" s="18">
        <f>('Bloom Cleaner Data'!CI20+'Bloom Cleaner Data'!CH20-'Bloom Cleaner Data'!BW20-'Bloom Cleaner Data'!BV20)/('Bloom Cleaner Data'!BW20+'Bloom Cleaner Data'!BV20)</f>
        <v>-0.19620161270952033</v>
      </c>
      <c r="AM20" s="13"/>
      <c r="AN20" s="13">
        <f>'Bloom Cleaner Data'!BW20</f>
        <v>14702.051799999999</v>
      </c>
      <c r="AO20" s="13">
        <f>'Bloom Cleaner Data'!BY20</f>
        <v>9656.3045000000002</v>
      </c>
      <c r="AP20" s="13">
        <f>'Bloom Cleaner Data'!CA20</f>
        <v>15824.1525</v>
      </c>
      <c r="AQ20" s="13">
        <f>'Bloom Cleaner Data'!CC20</f>
        <v>11137.288500000001</v>
      </c>
      <c r="AR20" s="13">
        <f>'Bloom Cleaner Data'!CE20</f>
        <v>11550.1507</v>
      </c>
      <c r="AS20" s="13">
        <f>'Bloom Cleaner Data'!CG20</f>
        <v>11296.8127</v>
      </c>
      <c r="AT20" s="13">
        <f>'Bloom Cleaner Data'!CI20</f>
        <v>11133.2724</v>
      </c>
      <c r="AU20" s="13">
        <f t="shared" si="2"/>
        <v>12185.719014285714</v>
      </c>
      <c r="AV20" s="10">
        <f t="shared" si="3"/>
        <v>-0.24274022759190655</v>
      </c>
      <c r="AW20" s="10"/>
      <c r="AX20" s="13">
        <f>'Bloom Cleaner Data'!T20+'OPERATING LEASES'!AU20</f>
        <v>6324.9891477013016</v>
      </c>
      <c r="AY20" s="13">
        <f>'Bloom Cleaner Data'!U20+'OPERATING LEASES'!AV20</f>
        <v>6268.0611213239335</v>
      </c>
      <c r="AZ20" s="13">
        <f>'Bloom Cleaner Data'!V20+'OPERATING LEASES'!AW20</f>
        <v>6553.9972949465655</v>
      </c>
      <c r="BA20" s="13">
        <f>'Bloom Cleaner Data'!W20+'OPERATING LEASES'!AX20</f>
        <v>1095.6334685691975</v>
      </c>
      <c r="BB20" s="13">
        <f>'Bloom Cleaner Data'!X20+'OPERATING LEASES'!AY20</f>
        <v>2266.8660421918298</v>
      </c>
      <c r="BC20" s="13">
        <f>'Bloom Cleaner Data'!Y20+'OPERATING LEASES'!AZ20</f>
        <v>7587.2256842423631</v>
      </c>
      <c r="BD20" s="13">
        <f>'Bloom Cleaner Data'!Z20+'OPERATING LEASES'!BA20</f>
        <v>9025.1817262928962</v>
      </c>
      <c r="BE20" s="13">
        <f>'Bloom Cleaner Data'!AA20+'OPERATING LEASES'!BB20</f>
        <v>8682.6509683434306</v>
      </c>
      <c r="BF20" s="13">
        <f>'Bloom Cleaner Data'!AB20+'OPERATING LEASES'!BC20</f>
        <v>6746.5278103939636</v>
      </c>
      <c r="BG20" s="13">
        <f>'Bloom Cleaner Data'!AC20+'OPERATING LEASES'!BD20</f>
        <v>7206.4984063754</v>
      </c>
      <c r="BH20" s="13">
        <f>'Bloom Cleaner Data'!AD20+'OPERATING LEASES'!BE20</f>
        <v>8070.8030023568363</v>
      </c>
      <c r="BI20" s="13">
        <f>'Bloom Cleaner Data'!AE20+'OPERATING LEASES'!BF20</f>
        <v>7897.7075983382729</v>
      </c>
      <c r="BJ20" s="13">
        <f>'Bloom Cleaner Data'!AF20+'OPERATING LEASES'!BG20</f>
        <v>7844.124094319709</v>
      </c>
      <c r="BK20" s="13">
        <f>'Bloom Cleaner Data'!AG20+'OPERATING LEASES'!BH20</f>
        <v>8233.51219431971</v>
      </c>
      <c r="BL20" s="13">
        <f>'Bloom Cleaner Data'!AH20+'OPERATING LEASES'!BI20</f>
        <v>8070.4121943197088</v>
      </c>
      <c r="BM20" s="1167">
        <f t="shared" si="34"/>
        <v>6867.7800373084528</v>
      </c>
      <c r="BN20" s="10">
        <f t="shared" si="35"/>
        <v>0.23137252445044021</v>
      </c>
      <c r="BO20" s="10"/>
      <c r="BP20" s="13">
        <f>'Bloom Cleaner Data'!BU20+'OPERATING LEASES'!AU20</f>
        <v>14856.558047701301</v>
      </c>
      <c r="BQ20" s="13">
        <f>'Bloom Cleaner Data'!BV20+'OPERATING LEASES'!AV20</f>
        <v>14836.887421323932</v>
      </c>
      <c r="BR20" s="13">
        <f>'Bloom Cleaner Data'!BW20+'OPERATING LEASES'!AW20</f>
        <v>15163.249094946565</v>
      </c>
      <c r="BS20" s="13">
        <f>'Bloom Cleaner Data'!BX20+'OPERATING LEASES'!AX20</f>
        <v>10077.085968569198</v>
      </c>
      <c r="BT20" s="13">
        <f>'Bloom Cleaner Data'!BY20+'OPERATING LEASES'!AY20</f>
        <v>9823.3741421918294</v>
      </c>
      <c r="BU20" s="13">
        <f>'Bloom Cleaner Data'!BZ20+'OPERATING LEASES'!AZ20</f>
        <v>15817.219384242364</v>
      </c>
      <c r="BV20" s="13">
        <f>'Bloom Cleaner Data'!CA20+'OPERATING LEASES'!BA20</f>
        <v>15974.534226292897</v>
      </c>
      <c r="BW20" s="13">
        <f>'Bloom Cleaner Data'!CB20+'OPERATING LEASES'!BB20</f>
        <v>14401.070868343431</v>
      </c>
      <c r="BX20" s="13">
        <f>'Bloom Cleaner Data'!CC20+'OPERATING LEASES'!BC20</f>
        <v>11270.982310393963</v>
      </c>
      <c r="BY20" s="13">
        <f>'Bloom Cleaner Data'!CD20+'OPERATING LEASES'!BD20</f>
        <v>11490.361406375399</v>
      </c>
      <c r="BZ20" s="13">
        <f>'Bloom Cleaner Data'!CE20+'OPERATING LEASES'!BE20</f>
        <v>11683.453702356837</v>
      </c>
      <c r="CA20" s="13">
        <f>'Bloom Cleaner Data'!CF20+'OPERATING LEASES'!BF20</f>
        <v>11926.389298338272</v>
      </c>
      <c r="CB20" s="13">
        <f>'Bloom Cleaner Data'!CG20+'OPERATING LEASES'!BG20</f>
        <v>11429.72489431971</v>
      </c>
      <c r="CC20" s="13">
        <f>'Bloom Cleaner Data'!CH20+'OPERATING LEASES'!BH20</f>
        <v>12254.07219431971</v>
      </c>
      <c r="CD20" s="13">
        <f>'Bloom Cleaner Data'!CI20+'OPERATING LEASES'!BI20</f>
        <v>11266.18459431971</v>
      </c>
      <c r="CE20" s="1167">
        <f t="shared" si="36"/>
        <v>12505.9770834623</v>
      </c>
      <c r="CF20" s="10">
        <f t="shared" si="37"/>
        <v>-0.25700722030119683</v>
      </c>
      <c r="CG20" s="18">
        <f t="shared" si="4"/>
        <v>1.4513938294743376E-2</v>
      </c>
      <c r="CH20" s="13"/>
      <c r="CI20" s="18">
        <f>$CI$1*BP20/('Bloom Cleaner Data'!D20+'Bloom Cleaner Data'!T20+'OPERATING LEASES'!AU20)+(1-$CI$1)*'Bloom Cleaner Data'!BU20/('Bloom Cleaner Data'!D20+'Bloom Cleaner Data'!T20)-1</f>
        <v>7.7544238093651296E-2</v>
      </c>
      <c r="CJ20" s="18">
        <f>$CI$1*BQ20/('Bloom Cleaner Data'!E20+'Bloom Cleaner Data'!U20+'OPERATING LEASES'!AV20)+(1-$CI$1)*'Bloom Cleaner Data'!BV20/('Bloom Cleaner Data'!E20+'Bloom Cleaner Data'!U20)-1</f>
        <v>8.382405762090861E-2</v>
      </c>
      <c r="CK20" s="18">
        <f>$CI$1*BR20/('Bloom Cleaner Data'!F20+'Bloom Cleaner Data'!V20+'OPERATING LEASES'!AW20)+(1-$CI$1)*'Bloom Cleaner Data'!BW20/('Bloom Cleaner Data'!F20+'Bloom Cleaner Data'!V20)-1</f>
        <v>9.1867123420401597E-2</v>
      </c>
      <c r="CL20" s="18">
        <f>$CI$1*BS20/('Bloom Cleaner Data'!G20+'Bloom Cleaner Data'!W20+'OPERATING LEASES'!AX20)+(1-$CI$1)*'Bloom Cleaner Data'!BX20/('Bloom Cleaner Data'!G20+'Bloom Cleaner Data'!W20)-1</f>
        <v>2.0724263437940538E-2</v>
      </c>
      <c r="CM20" s="18">
        <f>$CI$1*BT20/('Bloom Cleaner Data'!H20+'Bloom Cleaner Data'!X20+'OPERATING LEASES'!AY20)+(1-$CI$1)*'Bloom Cleaner Data'!BY20/('Bloom Cleaner Data'!H20+'Bloom Cleaner Data'!X20)-1</f>
        <v>2.255686180707106E-2</v>
      </c>
      <c r="CN20" s="18">
        <f>$CI$1*BU20/('Bloom Cleaner Data'!I20+'Bloom Cleaner Data'!Y20+'OPERATING LEASES'!AZ20)+(1-$CI$1)*'Bloom Cleaner Data'!BZ20/('Bloom Cleaner Data'!I20+'Bloom Cleaner Data'!Y20)-1</f>
        <v>6.2384056764482665E-2</v>
      </c>
      <c r="CO20" s="18">
        <f>$CI$1*BV20/('Bloom Cleaner Data'!J20+'Bloom Cleaner Data'!Z20+'OPERATING LEASES'!BA20)+(1-$CI$1)*'Bloom Cleaner Data'!CA20/('Bloom Cleaner Data'!J20+'Bloom Cleaner Data'!Z20)-1</f>
        <v>5.4102262565829395E-2</v>
      </c>
      <c r="CP20" s="18">
        <f>$CI$1*BW20/('Bloom Cleaner Data'!K20+'Bloom Cleaner Data'!AA20+'OPERATING LEASES'!BB20)+(1-$CI$1)*'Bloom Cleaner Data'!CB20/('Bloom Cleaner Data'!K20+'Bloom Cleaner Data'!AA20)-1</f>
        <v>5.7854762628174461E-2</v>
      </c>
      <c r="CQ20" s="18">
        <f>$CI$1*BX20/('Bloom Cleaner Data'!L20+'Bloom Cleaner Data'!AB20+'OPERATING LEASES'!BC20)+(1-$CI$1)*'Bloom Cleaner Data'!CC20/('Bloom Cleaner Data'!L20+'Bloom Cleaner Data'!AB20)-1</f>
        <v>8.8260466556043138E-2</v>
      </c>
      <c r="CR20" s="18">
        <f>$CI$1*BY20/('Bloom Cleaner Data'!M20+'Bloom Cleaner Data'!AC20+'OPERATING LEASES'!BD20)+(1-$CI$1)*'Bloom Cleaner Data'!CD20/('Bloom Cleaner Data'!M20+'Bloom Cleaner Data'!AC20)-1</f>
        <v>5.7522246764223794E-2</v>
      </c>
      <c r="CS20" s="18">
        <f>$CI$1*BZ20/('Bloom Cleaner Data'!N20+'Bloom Cleaner Data'!AD20+'OPERATING LEASES'!BE20)+(1-$CI$1)*'Bloom Cleaner Data'!CE20/('Bloom Cleaner Data'!N20+'Bloom Cleaner Data'!AD20)-1</f>
        <v>4.6130757209721818E-2</v>
      </c>
      <c r="CT20" s="18">
        <f>$CI$1*CA20/('Bloom Cleaner Data'!O20+'Bloom Cleaner Data'!AE20+'OPERATING LEASES'!BF20)+(1-$CI$1)*'Bloom Cleaner Data'!CF20/('Bloom Cleaner Data'!O20+'Bloom Cleaner Data'!AE20)-1</f>
        <v>5.1099055826838713E-2</v>
      </c>
      <c r="CU20" s="18">
        <f>$CI$1*CB20/('Bloom Cleaner Data'!P20+'Bloom Cleaner Data'!AF20+'OPERATING LEASES'!BG20)+(1-$CI$1)*'Bloom Cleaner Data'!CG20/('Bloom Cleaner Data'!P20+'Bloom Cleaner Data'!AF20)-1</f>
        <v>5.1584816510089171E-2</v>
      </c>
      <c r="CV20" s="18">
        <f>$CI$1*CC20/('Bloom Cleaner Data'!Q20+'Bloom Cleaner Data'!AG20+'OPERATING LEASES'!BH20)+(1-$CI$1)*'Bloom Cleaner Data'!CH20/('Bloom Cleaner Data'!Q20+'Bloom Cleaner Data'!AG20)-1</f>
        <v>4.9826634008434567E-2</v>
      </c>
      <c r="CW20" s="18">
        <f>$CI$1*CD20/('Bloom Cleaner Data'!R20+'Bloom Cleaner Data'!AH20+'OPERATING LEASES'!BI20)+(1-$CI$1)*'Bloom Cleaner Data'!CI20/('Bloom Cleaner Data'!R20+'Bloom Cleaner Data'!AH20)-1</f>
        <v>4.7921192285235392E-2</v>
      </c>
      <c r="CX20" s="18">
        <f t="shared" si="38"/>
        <v>5.3987269214191252E-2</v>
      </c>
      <c r="CY20" s="13"/>
      <c r="CZ20" s="3112">
        <f>AVERAGE('Bloom Cleaner Data'!GX20:HJ20)</f>
        <v>1978.7124078973163</v>
      </c>
      <c r="DA20" s="2860">
        <f>('Bloom Cleaner Data'!HJ20-'Bloom Cleaner Data'!GX20)/'Bloom Cleaner Data'!GX20</f>
        <v>1.8591980546801817E-2</v>
      </c>
      <c r="DB20" s="2860">
        <f>('Bloom Cleaner Data'!HJ20+'Bloom Cleaner Data'!HI20-'Bloom Cleaner Data'!GX20-'Bloom Cleaner Data'!GW20)/('Bloom Cleaner Data'!GX20+'Bloom Cleaner Data'!GW20)</f>
        <v>-1.682725635222156E-2</v>
      </c>
      <c r="DC20" s="13"/>
      <c r="DD20" s="13">
        <f>'Bloom Cleaner Data'!GV20+'OPERATING LEASES'!BL20</f>
        <v>2638.0534857142861</v>
      </c>
      <c r="DE20" s="13">
        <f>'Bloom Cleaner Data'!GW20+'OPERATING LEASES'!BM20</f>
        <v>2385.1432392857141</v>
      </c>
      <c r="DF20" s="13">
        <f>'Bloom Cleaner Data'!GX20+'OPERATING LEASES'!BN20</f>
        <v>2133.0329928571427</v>
      </c>
      <c r="DG20" s="13">
        <f>'Bloom Cleaner Data'!GY20+'OPERATING LEASES'!BO20</f>
        <v>1830.7227464285713</v>
      </c>
      <c r="DH20" s="13">
        <f>'Bloom Cleaner Data'!GZ20+'OPERATING LEASES'!BP20</f>
        <v>1517.7125000000001</v>
      </c>
      <c r="DI20" s="13">
        <f>'Bloom Cleaner Data'!HA20+'OPERATING LEASES'!BQ20</f>
        <v>1612.4690962230582</v>
      </c>
      <c r="DJ20" s="13">
        <f>'Bloom Cleaner Data'!HB20+'OPERATING LEASES'!BR20</f>
        <v>1593.5562229362395</v>
      </c>
      <c r="DK20" s="13">
        <f>'Bloom Cleaner Data'!HC20+'OPERATING LEASES'!BS20</f>
        <v>1868.1518652785687</v>
      </c>
      <c r="DL20" s="13">
        <f>'Bloom Cleaner Data'!HD20+'OPERATING LEASES'!BT20</f>
        <v>2150.7195497934836</v>
      </c>
      <c r="DM20" s="13">
        <f>'Bloom Cleaner Data'!HE20+'OPERATING LEASES'!BU20</f>
        <v>2361.3918325918062</v>
      </c>
      <c r="DN20" s="13">
        <f>'Bloom Cleaner Data'!HF20+'OPERATING LEASES'!BV20</f>
        <v>2287.0628627918381</v>
      </c>
      <c r="DO20" s="13">
        <f>'Bloom Cleaner Data'!HG20+'OPERATING LEASES'!BW20</f>
        <v>2221.1207027228461</v>
      </c>
      <c r="DP20" s="13">
        <f>'Bloom Cleaner Data'!HH20+'OPERATING LEASES'!BX20</f>
        <v>2228.8509494478644</v>
      </c>
      <c r="DQ20" s="13">
        <f>'Bloom Cleaner Data'!HI20+'OPERATING LEASES'!BY20</f>
        <v>2186.547235995426</v>
      </c>
      <c r="DR20" s="13">
        <f>'Bloom Cleaner Data'!HJ20+'OPERATING LEASES'!BZ20</f>
        <v>2110.9817848839825</v>
      </c>
      <c r="DS20" s="1167">
        <f t="shared" si="39"/>
        <v>2007.8707955346786</v>
      </c>
      <c r="DT20" s="10">
        <f t="shared" si="40"/>
        <v>-1.0337959162845949E-2</v>
      </c>
      <c r="DU20" s="18">
        <f t="shared" si="41"/>
        <v>1.4736041236203432E-2</v>
      </c>
      <c r="DV20" s="167"/>
      <c r="DW20" s="15">
        <f>'Bloom Cleaner Data'!DT20</f>
        <v>2.7625000000000002</v>
      </c>
      <c r="DX20" s="15">
        <f>'Bloom Cleaner Data'!DX20</f>
        <v>3.6478000000000002</v>
      </c>
      <c r="DY20" s="15">
        <f>'Bloom Cleaner Data'!EB20</f>
        <v>1.7433000000000001</v>
      </c>
      <c r="DZ20" s="15">
        <f>'Bloom Cleaner Data'!EF20</f>
        <v>1.7985</v>
      </c>
      <c r="EA20" s="15">
        <f>AVERAGE('Bloom Cleaner Data'!DT20:EF20)</f>
        <v>2.2663538461538462</v>
      </c>
      <c r="EB20" s="18">
        <f t="shared" si="5"/>
        <v>-0.34895927601809962</v>
      </c>
      <c r="EC20" s="13"/>
      <c r="ED20" s="15">
        <f>'Bloom Cleaner Data'!DC20</f>
        <v>7.1650917686047073</v>
      </c>
      <c r="EE20" s="15">
        <f>'Bloom Cleaner Data'!DG20</f>
        <v>10.0799</v>
      </c>
      <c r="EF20" s="15">
        <f>'Bloom Cleaner Data'!DK20</f>
        <v>5.0970000000000004</v>
      </c>
      <c r="EG20" s="15">
        <f>'Bloom Cleaner Data'!DO20</f>
        <v>5.3268000000000004</v>
      </c>
      <c r="EH20" s="15">
        <f>AVERAGE('Bloom Cleaner Data'!DC20:DO20)</f>
        <v>6.4140395313242591</v>
      </c>
      <c r="EI20" s="22">
        <f t="shared" si="42"/>
        <v>6.9171979421511764</v>
      </c>
      <c r="EJ20" s="22">
        <f t="shared" si="6"/>
        <v>-0.50315841082691737</v>
      </c>
      <c r="EK20" s="18">
        <f t="shared" si="43"/>
        <v>-0.25656220854833328</v>
      </c>
      <c r="EL20" s="241"/>
      <c r="EM20" s="15">
        <f>('Bloom Cleaner Data'!BU20+'OPERATING LEASES'!AU20)/DD20</f>
        <v>5.6316364047026521</v>
      </c>
      <c r="EN20" s="15">
        <f>('Bloom Cleaner Data'!BV20+'OPERATING LEASES'!AV20)/DE20</f>
        <v>6.2205435618898841</v>
      </c>
      <c r="EO20" s="15">
        <f>('Bloom Cleaner Data'!BW20+'OPERATING LEASES'!AW20)/DF20</f>
        <v>7.1087738191221241</v>
      </c>
      <c r="EP20" s="15">
        <f>('Bloom Cleaner Data'!BX20+'OPERATING LEASES'!AX20)/DG20</f>
        <v>5.5044304159261026</v>
      </c>
      <c r="EQ20" s="15">
        <f>('Bloom Cleaner Data'!BY20+'OPERATING LEASES'!AY20)/DH20</f>
        <v>6.4724868130109154</v>
      </c>
      <c r="ER20" s="15">
        <f>('Bloom Cleaner Data'!BZ20+'OPERATING LEASES'!AZ20)/DI20</f>
        <v>9.8093162971566912</v>
      </c>
      <c r="ES20" s="15">
        <f>('Bloom Cleaner Data'!CA20+'OPERATING LEASES'!BA20)/DJ20</f>
        <v>10.024455991178456</v>
      </c>
      <c r="ET20" s="15">
        <f>('Bloom Cleaner Data'!CB20+'OPERATING LEASES'!BB20)/DK20</f>
        <v>7.7087260067028982</v>
      </c>
      <c r="EU20" s="15">
        <f>('Bloom Cleaner Data'!CC20+'OPERATING LEASES'!BC20)/DL20</f>
        <v>5.2405634716419565</v>
      </c>
      <c r="EV20" s="15">
        <f>('Bloom Cleaner Data'!CD20+'OPERATING LEASES'!BD20)/DM20</f>
        <v>4.8659274787801134</v>
      </c>
      <c r="EW20" s="15">
        <f>('Bloom Cleaner Data'!CE20+'OPERATING LEASES'!BE20)/DN20</f>
        <v>5.1084969689441504</v>
      </c>
      <c r="EX20" s="15">
        <f>('Bloom Cleaner Data'!CF20+'OPERATING LEASES'!BF20)/DO20</f>
        <v>5.3695367765100972</v>
      </c>
      <c r="EY20" s="15">
        <f>('Bloom Cleaner Data'!CG20+'OPERATING LEASES'!BG20)/DP20</f>
        <v>5.1280795143125681</v>
      </c>
      <c r="EZ20" s="15">
        <f>('Bloom Cleaner Data'!CH20+'OPERATING LEASES'!BH20)/DQ20</f>
        <v>5.6043025243591593</v>
      </c>
      <c r="FA20" s="15">
        <f>('Bloom Cleaner Data'!CI20+'OPERATING LEASES'!BI20)/DR20</f>
        <v>5.3369406950798908</v>
      </c>
      <c r="FB20" s="526">
        <f t="shared" si="44"/>
        <v>6.4063105209788551</v>
      </c>
      <c r="FC20" s="10">
        <f t="shared" si="45"/>
        <v>-0.24924595564935845</v>
      </c>
      <c r="FD20" s="15">
        <f t="shared" si="7"/>
        <v>-7.7290103454039638E-3</v>
      </c>
      <c r="FE20" s="15">
        <f t="shared" si="46"/>
        <v>6.4196345724665971</v>
      </c>
      <c r="FF20" s="13"/>
      <c r="FG20" s="15">
        <f>$FG$1*EM20+(1-$FG$1)*'Bloom Cleaner Data'!DA20</f>
        <v>5.6316364047026521</v>
      </c>
      <c r="FH20" s="15">
        <f>$FG$1*EN20+(1-$FG$1)*'Bloom Cleaner Data'!DB20</f>
        <v>6.2205435618898841</v>
      </c>
      <c r="FI20" s="15">
        <f>$FG$1*EO20+(1-$FG$1)*'Bloom Cleaner Data'!DC20</f>
        <v>7.1087738191221241</v>
      </c>
      <c r="FJ20" s="15">
        <f>$FG$1*EP20+(1-$FG$1)*'Bloom Cleaner Data'!DD20</f>
        <v>5.5044304159261026</v>
      </c>
      <c r="FK20" s="15">
        <f>$FG$1*EQ20+(1-$FG$1)*'Bloom Cleaner Data'!DE20</f>
        <v>6.4724868130109154</v>
      </c>
      <c r="FL20" s="15">
        <f>$FG$1*ER20+(1-$FG$1)*'Bloom Cleaner Data'!DF20</f>
        <v>9.8093162971566912</v>
      </c>
      <c r="FM20" s="15">
        <f>$FG$1*ES20+(1-$FG$1)*'Bloom Cleaner Data'!DG20</f>
        <v>10.024455991178456</v>
      </c>
      <c r="FN20" s="15">
        <f>$FG$1*ET20+(1-$FG$1)*'Bloom Cleaner Data'!DH20</f>
        <v>7.7087260067028982</v>
      </c>
      <c r="FO20" s="15">
        <f>$FG$1*EU20+(1-$FG$1)*'Bloom Cleaner Data'!DI20</f>
        <v>5.2405634716419565</v>
      </c>
      <c r="FP20" s="15">
        <f>$FG$1*EV20+(1-$FG$1)*'Bloom Cleaner Data'!DJ20</f>
        <v>4.8659274787801134</v>
      </c>
      <c r="FQ20" s="15">
        <f>$FG$1*EW20+(1-$FG$1)*'Bloom Cleaner Data'!DK20</f>
        <v>5.1084969689441504</v>
      </c>
      <c r="FR20" s="15">
        <f>$FG$1*EX20+(1-$FG$1)*'Bloom Cleaner Data'!DL20</f>
        <v>5.3695367765100972</v>
      </c>
      <c r="FS20" s="15">
        <f>$FG$1*EY20+(1-$FG$1)*'Bloom Cleaner Data'!DM20</f>
        <v>5.1280795143125681</v>
      </c>
      <c r="FT20" s="15">
        <f>$FG$1*EZ20+(1-$FG$1)*'Bloom Cleaner Data'!DN20</f>
        <v>5.6043025243591593</v>
      </c>
      <c r="FU20" s="15">
        <f>$FG$1*FA20+(1-$FG$1)*'Bloom Cleaner Data'!DO20</f>
        <v>5.3369406950798908</v>
      </c>
      <c r="FV20" s="526">
        <f t="shared" si="47"/>
        <v>6.4063105209788551</v>
      </c>
      <c r="FW20" s="10">
        <f t="shared" si="48"/>
        <v>-0.24924595564935845</v>
      </c>
      <c r="FX20" s="526">
        <f t="shared" si="49"/>
        <v>6.4196345724665971</v>
      </c>
      <c r="FY20" s="2710"/>
      <c r="FZ20" s="2710"/>
      <c r="GA20" s="10">
        <f>'Bloom Cleaner Data'!T20/('Bloom Cleaner Data'!T20+'Bloom Cleaner Data'!D20)</f>
        <v>0.42738047570990084</v>
      </c>
      <c r="GB20" s="10">
        <f>'Bloom Cleaner Data'!U20/('Bloom Cleaner Data'!U20+'Bloom Cleaner Data'!E20)</f>
        <v>0.4326691654983868</v>
      </c>
      <c r="GC20" s="10">
        <f>'Bloom Cleaner Data'!V20/('Bloom Cleaner Data'!V20+'Bloom Cleaner Data'!F20)</f>
        <v>0.45379753715031623</v>
      </c>
      <c r="GD20" s="10">
        <f>'Bloom Cleaner Data'!W20/('Bloom Cleaner Data'!W20+'Bloom Cleaner Data'!G20)</f>
        <v>8.1760952005065723E-2</v>
      </c>
      <c r="GE20" s="10">
        <f>'Bloom Cleaner Data'!X20/('Bloom Cleaner Data'!X20+'Bloom Cleaner Data'!H20)</f>
        <v>0.22244529645722577</v>
      </c>
      <c r="GF20" s="10">
        <f>'Bloom Cleaner Data'!Y20/('Bloom Cleaner Data'!Y20+'Bloom Cleaner Data'!I20)</f>
        <v>0.50432141708418554</v>
      </c>
      <c r="GG20" s="10">
        <f>'Bloom Cleaner Data'!Z20/('Bloom Cleaner Data'!Z20+'Bloom Cleaner Data'!J20)</f>
        <v>0.59148564715236562</v>
      </c>
      <c r="GH20" s="10">
        <f>'Bloom Cleaner Data'!AA20/('Bloom Cleaner Data'!AA20+'Bloom Cleaner Data'!K20)</f>
        <v>0.63397974136255719</v>
      </c>
      <c r="GI20" s="10">
        <f>'Bloom Cleaner Data'!AB20/('Bloom Cleaner Data'!AB20+'Bloom Cleaner Data'!L20)</f>
        <v>0.64684671915617686</v>
      </c>
      <c r="GJ20" s="10">
        <f>'Bloom Cleaner Data'!AC20/('Bloom Cleaner Data'!AC20+'Bloom Cleaner Data'!M20)</f>
        <v>0.6590654390575057</v>
      </c>
      <c r="GK20" s="10">
        <f>'Bloom Cleaner Data'!AD20/('Bloom Cleaner Data'!AD20+'Bloom Cleaner Data'!N20)</f>
        <v>0.71930543377959999</v>
      </c>
      <c r="GL20" s="10">
        <f>'Bloom Cleaner Data'!AE20/('Bloom Cleaner Data'!AE20+'Bloom Cleaner Data'!O20)</f>
        <v>0.69243435783196583</v>
      </c>
      <c r="GM20" s="10">
        <f>'Bloom Cleaner Data'!AF20/('Bloom Cleaner Data'!AF20+'Bloom Cleaner Data'!P20)</f>
        <v>0.71824841731450295</v>
      </c>
      <c r="GN20" s="10">
        <f>'Bloom Cleaner Data'!AG20/('Bloom Cleaner Data'!AG20+'Bloom Cleaner Data'!Q20)</f>
        <v>0.70198517101171964</v>
      </c>
      <c r="GO20" s="10">
        <f>'Bloom Cleaner Data'!AH20/('Bloom Cleaner Data'!AH20+'Bloom Cleaner Data'!R20)</f>
        <v>0.74754623070756221</v>
      </c>
      <c r="GP20" s="10">
        <f t="shared" si="50"/>
        <v>0.56717095077467305</v>
      </c>
      <c r="GQ20" s="10">
        <f t="shared" si="51"/>
        <v>0.64731222518720821</v>
      </c>
      <c r="GR20" s="10"/>
      <c r="GS20" s="496">
        <f t="shared" si="8"/>
        <v>0.74636029262142722</v>
      </c>
      <c r="GT20" s="497">
        <f t="shared" si="9"/>
        <v>0.76263996099996301</v>
      </c>
      <c r="GU20" s="497">
        <f t="shared" si="10"/>
        <v>0.83082294206938134</v>
      </c>
      <c r="GV20" s="497">
        <f t="shared" si="11"/>
        <v>8.9041031508732771E-2</v>
      </c>
      <c r="GW20" s="497">
        <f t="shared" si="12"/>
        <v>0.2860831468753231</v>
      </c>
      <c r="GX20" s="497">
        <f t="shared" si="13"/>
        <v>1.0174363679736369</v>
      </c>
      <c r="GY20" s="497">
        <f t="shared" si="14"/>
        <v>1.4478944081873544</v>
      </c>
      <c r="GZ20" s="497">
        <f t="shared" si="15"/>
        <v>1.7320892120087228</v>
      </c>
      <c r="HA20" s="497">
        <f t="shared" si="16"/>
        <v>1.8316316292194814</v>
      </c>
      <c r="HB20" s="497">
        <f t="shared" si="17"/>
        <v>1.9331141942182588</v>
      </c>
      <c r="HC20" s="497">
        <f t="shared" si="18"/>
        <v>2.5625912302655864</v>
      </c>
      <c r="HD20" s="497">
        <f t="shared" si="19"/>
        <v>2.2513384555927218</v>
      </c>
      <c r="HE20" s="497">
        <f t="shared" si="20"/>
        <v>2.5492258480629086</v>
      </c>
      <c r="HF20" s="497">
        <f t="shared" si="21"/>
        <v>2.3555377207062596</v>
      </c>
      <c r="HG20" s="498">
        <f t="shared" si="22"/>
        <v>2.961121288870987</v>
      </c>
      <c r="HH20" s="10">
        <f t="shared" si="52"/>
        <v>1.6806098058122581</v>
      </c>
      <c r="HI20" s="10">
        <f t="shared" si="53"/>
        <v>2.5640822357355009</v>
      </c>
      <c r="HJ20" s="10"/>
      <c r="HK20" s="18">
        <f>('Bloom Cleaner Data'!T20+'OPERATING LEASES'!AU20)/('Bloom Cleaner Data'!T20+'OPERATING LEASES'!AU20+'Bloom Cleaner Data'!D20)</f>
        <v>0.45875064669941784</v>
      </c>
      <c r="HL20" s="18">
        <f>('Bloom Cleaner Data'!U20+'OPERATING LEASES'!AV20)/('Bloom Cleaner Data'!U20+'OPERATING LEASES'!AV20+'Bloom Cleaner Data'!E20)</f>
        <v>0.45787740009170802</v>
      </c>
      <c r="HM20" s="18">
        <f>('Bloom Cleaner Data'!V20+'OPERATING LEASES'!AW20)/('Bloom Cleaner Data'!V20+'OPERATING LEASES'!AW20+'Bloom Cleaner Data'!F20)</f>
        <v>0.47193672863445219</v>
      </c>
      <c r="HN20" s="18">
        <f>('Bloom Cleaner Data'!W20+'OPERATING LEASES'!AX20)/('Bloom Cleaner Data'!W20+'OPERATING LEASES'!AX20+'Bloom Cleaner Data'!G20)</f>
        <v>0.11097847817230026</v>
      </c>
      <c r="HO20" s="18">
        <f>('Bloom Cleaner Data'!X20+'OPERATING LEASES'!AY20)/('Bloom Cleaner Data'!X20+'OPERATING LEASES'!AY20+'Bloom Cleaner Data'!H20)</f>
        <v>0.23596774312858371</v>
      </c>
      <c r="HP20" s="18">
        <f>('Bloom Cleaner Data'!Y20+'OPERATING LEASES'!AZ20)/('Bloom Cleaner Data'!Y20+'OPERATING LEASES'!AZ20+'Bloom Cleaner Data'!I20)</f>
        <v>0.50960585461963459</v>
      </c>
      <c r="HQ20" s="18">
        <f>('Bloom Cleaner Data'!Z20+'OPERATING LEASES'!BA20)/('Bloom Cleaner Data'!Z20+'OPERATING LEASES'!BA20+'Bloom Cleaner Data'!J20)</f>
        <v>0.59553939682915213</v>
      </c>
      <c r="HR20" s="18">
        <f>('Bloom Cleaner Data'!AA20+'OPERATING LEASES'!BB20)/('Bloom Cleaner Data'!AA20+'OPERATING LEASES'!BB20+'Bloom Cleaner Data'!K20)</f>
        <v>0.63779865838246408</v>
      </c>
      <c r="HS20" s="18">
        <f>('Bloom Cleaner Data'!AB20+'OPERATING LEASES'!BC20)/('Bloom Cleaner Data'!AB20+'OPERATING LEASES'!BC20+'Bloom Cleaner Data'!L20)</f>
        <v>0.65140546763186458</v>
      </c>
      <c r="HT20" s="18">
        <f>('Bloom Cleaner Data'!AC20+'OPERATING LEASES'!BD20)/('Bloom Cleaner Data'!AC20+'OPERATING LEASES'!BD20+'Bloom Cleaner Data'!M20)</f>
        <v>0.66325436742001864</v>
      </c>
      <c r="HU20" s="18">
        <f>('Bloom Cleaner Data'!AD20+'OPERATING LEASES'!BE20)/('Bloom Cleaner Data'!AD20+'OPERATING LEASES'!BE20+'Bloom Cleaner Data'!N20)</f>
        <v>0.72265577210639964</v>
      </c>
      <c r="HV20" s="18">
        <f>('Bloom Cleaner Data'!AE20+'OPERATING LEASES'!BF20)/('Bloom Cleaner Data'!AE20+'OPERATING LEASES'!BF20+'Bloom Cleaner Data'!O20)</f>
        <v>0.69604243096160234</v>
      </c>
      <c r="HW20" s="18">
        <f>('Bloom Cleaner Data'!AF20+'OPERATING LEASES'!BG20)/('Bloom Cleaner Data'!AF20+'OPERATING LEASES'!BG20+'Bloom Cleaner Data'!P20)</f>
        <v>0.72169381788943943</v>
      </c>
      <c r="HX20" s="18">
        <f>('Bloom Cleaner Data'!AG20+'OPERATING LEASES'!BH20)/('Bloom Cleaner Data'!AG20+'OPERATING LEASES'!BH20+'Bloom Cleaner Data'!Q20)</f>
        <v>0.70537860851161116</v>
      </c>
      <c r="HY20" s="18">
        <f>('Bloom Cleaner Data'!AH20+'OPERATING LEASES'!BI20)/('Bloom Cleaner Data'!AH20+'OPERATING LEASES'!BI20+'Bloom Cleaner Data'!R20)</f>
        <v>0.7506672643344422</v>
      </c>
      <c r="HZ20" s="10">
        <f t="shared" si="54"/>
        <v>0.5748403529709204</v>
      </c>
      <c r="IA20" s="10">
        <f t="shared" si="55"/>
        <v>0.5906099669472562</v>
      </c>
      <c r="IB20" s="10">
        <f t="shared" si="23"/>
        <v>7.6694021962473435E-3</v>
      </c>
      <c r="IC20" s="10">
        <f t="shared" si="24"/>
        <v>1.3522205581530675E-2</v>
      </c>
      <c r="IE20" s="502">
        <f t="shared" si="56"/>
        <v>0.84757726526954613</v>
      </c>
      <c r="IF20" s="467">
        <f t="shared" si="25"/>
        <v>0.84460120306580977</v>
      </c>
      <c r="IG20" s="467">
        <f t="shared" si="25"/>
        <v>0.8937124663376893</v>
      </c>
      <c r="IH20" s="467">
        <f t="shared" si="25"/>
        <v>0.12483216148034813</v>
      </c>
      <c r="II20" s="467">
        <f t="shared" si="25"/>
        <v>0.30884526275740237</v>
      </c>
      <c r="IJ20" s="467">
        <f t="shared" si="25"/>
        <v>1.0391760575044549</v>
      </c>
      <c r="IK20" s="467">
        <f t="shared" si="25"/>
        <v>1.4724286918436673</v>
      </c>
      <c r="IL20" s="467">
        <f t="shared" si="25"/>
        <v>1.7608953504538458</v>
      </c>
      <c r="IM20" s="467">
        <f t="shared" si="25"/>
        <v>1.8686623201076022</v>
      </c>
      <c r="IN20" s="467">
        <f t="shared" si="25"/>
        <v>1.9696005033190365</v>
      </c>
      <c r="IO20" s="467">
        <f t="shared" si="25"/>
        <v>2.6056275899263981</v>
      </c>
      <c r="IP20" s="467">
        <f t="shared" si="25"/>
        <v>2.2899328783409052</v>
      </c>
      <c r="IQ20" s="467">
        <f t="shared" si="25"/>
        <v>2.5931648819886353</v>
      </c>
      <c r="IR20" s="467">
        <f t="shared" si="25"/>
        <v>2.39418667106326</v>
      </c>
      <c r="IS20" s="503">
        <f t="shared" si="25"/>
        <v>3.0107048010789441</v>
      </c>
      <c r="IT20" s="10">
        <f t="shared" si="57"/>
        <v>1.7178284335540146</v>
      </c>
      <c r="IU20" s="10">
        <f t="shared" si="58"/>
        <v>2.3687622300004363</v>
      </c>
      <c r="IV20" s="10">
        <f t="shared" si="59"/>
        <v>3.7218627741756549E-2</v>
      </c>
      <c r="IW20" s="10">
        <f t="shared" si="60"/>
        <v>2.2145906570959436E-2</v>
      </c>
      <c r="IY20" s="15">
        <f>'Bloom Cleaner Data'!T20/'Bloom Cleaner Data'!BU20*'Bloom Cleaner Data'!DA20</f>
        <v>2.2259958434914671</v>
      </c>
      <c r="IZ20" s="15">
        <f>'Bloom Cleaner Data'!U20/'Bloom Cleaner Data'!BV20*'Bloom Cleaner Data'!DB20</f>
        <v>2.4860757269612583</v>
      </c>
      <c r="JA20" s="15">
        <f>'Bloom Cleaner Data'!V20/'Bloom Cleaner Data'!BW20*'Bloom Cleaner Data'!DC20</f>
        <v>2.9693454846727425</v>
      </c>
      <c r="JB20" s="15">
        <f>'Bloom Cleaner Data'!W20/'Bloom Cleaner Data'!BX20*'Bloom Cleaner Data'!DD20</f>
        <v>0.43978615644344399</v>
      </c>
      <c r="JC20" s="15">
        <f>'Bloom Cleaner Data'!X20/'Bloom Cleaner Data'!BY20*'Bloom Cleaner Data'!DE20</f>
        <v>1.4079364355638997</v>
      </c>
      <c r="JD20" s="15">
        <f>'Bloom Cleaner Data'!Y20/'Bloom Cleaner Data'!BZ20*'Bloom Cleaner Data'!DF20</f>
        <v>4.6794563834706517</v>
      </c>
      <c r="JE20" s="15">
        <f>'Bloom Cleaner Data'!Z20/'Bloom Cleaner Data'!CA20*'Bloom Cleaner Data'!DG20</f>
        <v>5.6531998487754711</v>
      </c>
      <c r="JF20" s="15">
        <f>'Bloom Cleaner Data'!AA20/'Bloom Cleaner Data'!CB20*'Bloom Cleaner Data'!DH20</f>
        <v>4.6270981089622412</v>
      </c>
      <c r="JG20" s="15">
        <f>'Bloom Cleaner Data'!AB20/'Bloom Cleaner Data'!CC20*'Bloom Cleaner Data'!DI20</f>
        <v>3.1051073774734306</v>
      </c>
      <c r="JH20" s="15">
        <f>'Bloom Cleaner Data'!AC20/'Bloom Cleaner Data'!CD20*'Bloom Cleaner Data'!DJ20</f>
        <v>3.022176088590661</v>
      </c>
      <c r="JI20" s="15">
        <f>'Bloom Cleaner Data'!AD20/'Bloom Cleaner Data'!CE20*'Bloom Cleaner Data'!DK20</f>
        <v>3.5027627388446114</v>
      </c>
      <c r="JJ20" s="15">
        <f>'Bloom Cleaner Data'!AE20/'Bloom Cleaner Data'!CF20*'Bloom Cleaner Data'!DL20</f>
        <v>3.529111741645246</v>
      </c>
      <c r="JK20" s="15">
        <f>'Bloom Cleaner Data'!AF20/'Bloom Cleaner Data'!CG20*'Bloom Cleaner Data'!DM20</f>
        <v>3.4925263199548313</v>
      </c>
      <c r="JL20" s="15">
        <f>'Bloom Cleaner Data'!AG20/'Bloom Cleaner Data'!CH20*'Bloom Cleaner Data'!DN20</f>
        <v>3.7405552158374284</v>
      </c>
      <c r="JM20" s="15">
        <f>'Bloom Cleaner Data'!AH20/'Bloom Cleaner Data'!CI20*'Bloom Cleaner Data'!DO20</f>
        <v>3.7977580607836385</v>
      </c>
      <c r="JN20" s="15">
        <f t="shared" si="61"/>
        <v>3.6769465321919661</v>
      </c>
      <c r="JO20" s="15">
        <f t="shared" si="62"/>
        <v>3.6399878345552859</v>
      </c>
      <c r="JP20" s="15">
        <f t="shared" si="63"/>
        <v>3.3820630739244848</v>
      </c>
      <c r="JQ20" s="18">
        <f t="shared" si="64"/>
        <v>0.27898827549270411</v>
      </c>
      <c r="JR20" s="18"/>
      <c r="JS20" s="2024" t="s">
        <v>54</v>
      </c>
      <c r="JT20" s="526">
        <f>('Bloom Cleaner Data'!T20+'OPERATING LEASES'!AU20)/DD20</f>
        <v>2.397597009292149</v>
      </c>
      <c r="JU20" s="526">
        <f>('Bloom Cleaner Data'!U20+'OPERATING LEASES'!AV20)/DE20</f>
        <v>2.627960039498948</v>
      </c>
      <c r="JV20" s="526">
        <f>('Bloom Cleaner Data'!V20+'OPERATING LEASES'!AW20)/DF20</f>
        <v>3.0726188094107512</v>
      </c>
      <c r="JW20" s="526">
        <f>('Bloom Cleaner Data'!W20+'OPERATING LEASES'!AX20)/DG20</f>
        <v>0.59847045146873934</v>
      </c>
      <c r="JX20" s="526">
        <f>('Bloom Cleaner Data'!X20+'OPERATING LEASES'!AY20)/DH20</f>
        <v>1.4936070185834469</v>
      </c>
      <c r="JY20" s="526">
        <f>('Bloom Cleaner Data'!Y20+'OPERATING LEASES'!AZ20)/DI20</f>
        <v>4.7053464168796681</v>
      </c>
      <c r="JZ20" s="526">
        <f>('Bloom Cleaner Data'!Z20+'OPERATING LEASES'!BA20)/DJ20</f>
        <v>5.6635477282774271</v>
      </c>
      <c r="KA20" s="526">
        <f>('Bloom Cleaner Data'!AA20+'OPERATING LEASES'!BB20)/DK20</f>
        <v>4.647722238068007</v>
      </c>
      <c r="KB20" s="526">
        <f>('Bloom Cleaner Data'!AB20+'OPERATING LEASES'!BC20)/DL20</f>
        <v>3.1368700819415429</v>
      </c>
      <c r="KC20" s="526">
        <f>('Bloom Cleaner Data'!AC20+'OPERATING LEASES'!BD20)/DM20</f>
        <v>3.0518011906841074</v>
      </c>
      <c r="KD20" s="526">
        <f>('Bloom Cleaner Data'!AD20+'OPERATING LEASES'!BE20)/DN20</f>
        <v>3.5288942571979569</v>
      </c>
      <c r="KE20" s="526">
        <f>('Bloom Cleaner Data'!AE20+'OPERATING LEASES'!BF20)/DO20</f>
        <v>3.5557309373851518</v>
      </c>
      <c r="KF20" s="526">
        <f>('Bloom Cleaner Data'!AF20+'OPERATING LEASES'!BG20)/DP20</f>
        <v>3.5193578539932746</v>
      </c>
      <c r="KG20" s="526">
        <f>('Bloom Cleaner Data'!AG20+'OPERATING LEASES'!BH20)/DQ20</f>
        <v>3.7655313632277432</v>
      </c>
      <c r="KH20" s="526">
        <f>('Bloom Cleaner Data'!AH20+'OPERATING LEASES'!BI20)/DR20</f>
        <v>3.8230610288109381</v>
      </c>
      <c r="KI20" s="15">
        <f t="shared" si="65"/>
        <v>3.7026500820106523</v>
      </c>
      <c r="KJ20" s="15">
        <f t="shared" si="66"/>
        <v>3.6659202958542774</v>
      </c>
      <c r="KK20" s="15">
        <f t="shared" si="67"/>
        <v>3.4278891827637503</v>
      </c>
      <c r="KL20" s="18">
        <f t="shared" si="68"/>
        <v>0.24423537898737996</v>
      </c>
      <c r="KM20" s="15">
        <f t="shared" si="69"/>
        <v>4.5826108839265522E-2</v>
      </c>
      <c r="KN20" s="18"/>
      <c r="KO20" s="15">
        <f t="shared" si="70"/>
        <v>2.397597009292149</v>
      </c>
      <c r="KP20" s="15">
        <f t="shared" si="71"/>
        <v>2.627960039498948</v>
      </c>
      <c r="KQ20" s="15">
        <f t="shared" si="72"/>
        <v>3.0726188094107512</v>
      </c>
      <c r="KR20" s="15">
        <f t="shared" si="73"/>
        <v>0.59847045146873934</v>
      </c>
      <c r="KS20" s="15">
        <f t="shared" si="74"/>
        <v>1.4936070185834469</v>
      </c>
      <c r="KT20" s="15">
        <f t="shared" si="75"/>
        <v>4.7053464168796681</v>
      </c>
      <c r="KU20" s="15">
        <f t="shared" si="76"/>
        <v>5.6635477282774271</v>
      </c>
      <c r="KV20" s="15">
        <f t="shared" si="77"/>
        <v>4.647722238068007</v>
      </c>
      <c r="KW20" s="15">
        <f t="shared" si="78"/>
        <v>3.1368700819415429</v>
      </c>
      <c r="KX20" s="15">
        <f t="shared" si="79"/>
        <v>3.0518011906841074</v>
      </c>
      <c r="KY20" s="15">
        <f t="shared" si="80"/>
        <v>3.5288942571979569</v>
      </c>
      <c r="KZ20" s="15">
        <f t="shared" si="81"/>
        <v>3.5557309373851518</v>
      </c>
      <c r="LA20" s="15">
        <f t="shared" si="82"/>
        <v>3.5193578539932746</v>
      </c>
      <c r="LB20" s="15">
        <f t="shared" si="83"/>
        <v>3.7655313632277432</v>
      </c>
      <c r="LC20" s="15">
        <f t="shared" si="84"/>
        <v>3.8230610288109381</v>
      </c>
      <c r="LD20" s="15">
        <f t="shared" si="85"/>
        <v>3.7026500820106523</v>
      </c>
      <c r="LE20" s="15">
        <f t="shared" si="86"/>
        <v>3.6659202958542774</v>
      </c>
      <c r="LF20" s="526">
        <f t="shared" si="87"/>
        <v>3.4278891827637503</v>
      </c>
      <c r="LG20" s="10">
        <f t="shared" si="88"/>
        <v>0.24423537898737996</v>
      </c>
      <c r="LH20" s="18"/>
      <c r="LI20" s="15">
        <f>('Bloom Cleaner Data'!T20+'Bloom Cleaner Data'!EY20)/'Bloom Cleaner Data'!GV20</f>
        <v>2.8053158147156383</v>
      </c>
      <c r="LJ20" s="15">
        <f>('Bloom Cleaner Data'!U20+'Bloom Cleaner Data'!EZ20)/'Bloom Cleaner Data'!GW20</f>
        <v>3.4247562154089435</v>
      </c>
      <c r="LK20" s="15">
        <f>('Bloom Cleaner Data'!V20+'Bloom Cleaner Data'!FA20)/'Bloom Cleaner Data'!GX20</f>
        <v>3.9448316194746331</v>
      </c>
      <c r="LL20" s="15">
        <f>('Bloom Cleaner Data'!W20+'Bloom Cleaner Data'!FB20)/'Bloom Cleaner Data'!GY20</f>
        <v>3.9554305008441193</v>
      </c>
      <c r="LM20" s="15">
        <f>('Bloom Cleaner Data'!X20+'Bloom Cleaner Data'!FC20)/'Bloom Cleaner Data'!GZ20</f>
        <v>4.6027417862411149</v>
      </c>
      <c r="LN20" s="15">
        <f>('Bloom Cleaner Data'!Y20+'Bloom Cleaner Data'!FD20)/'Bloom Cleaner Data'!HA20</f>
        <v>7.5101857568841375</v>
      </c>
      <c r="LO20" s="15">
        <f>('Bloom Cleaner Data'!Z20+'Bloom Cleaner Data'!FE20)/'Bloom Cleaner Data'!HB20</f>
        <v>7.8859296894415039</v>
      </c>
      <c r="LP20" s="15">
        <f>('Bloom Cleaner Data'!AA20+'Bloom Cleaner Data'!FF20)/'Bloom Cleaner Data'!HC20</f>
        <v>6.3626867921163592</v>
      </c>
      <c r="LQ20" s="15">
        <f>('Bloom Cleaner Data'!AB20+'Bloom Cleaner Data'!FG20)/'Bloom Cleaner Data'!HD20</f>
        <v>5.4200328503154056</v>
      </c>
      <c r="LR20" s="15">
        <f>('Bloom Cleaner Data'!AC20+'Bloom Cleaner Data'!FH20)/'Bloom Cleaner Data'!HE20</f>
        <v>4.7569470372232194</v>
      </c>
      <c r="LS20" s="15">
        <f>('Bloom Cleaner Data'!AD20+'Bloom Cleaner Data'!FI20)/'Bloom Cleaner Data'!HF20</f>
        <v>4.8176833225214981</v>
      </c>
      <c r="LT20" s="15">
        <f>('Bloom Cleaner Data'!AE20+'Bloom Cleaner Data'!FJ20)/'Bloom Cleaner Data'!HG20</f>
        <v>5.1141804235881176</v>
      </c>
      <c r="LU20" s="15">
        <f>('Bloom Cleaner Data'!AF20+'Bloom Cleaner Data'!FK20)/'Bloom Cleaner Data'!HH20</f>
        <v>4.6280300587040806</v>
      </c>
      <c r="LV20" s="15">
        <f>('Bloom Cleaner Data'!AG20+'Bloom Cleaner Data'!FL20)/'Bloom Cleaner Data'!HI20</f>
        <v>5.0962906074996122</v>
      </c>
      <c r="LW20" s="15">
        <f>('Bloom Cleaner Data'!AH20+'Bloom Cleaner Data'!FM20)/'Bloom Cleaner Data'!HJ20</f>
        <v>5.22341849463775</v>
      </c>
      <c r="LX20" s="15">
        <f t="shared" si="89"/>
        <v>1.4256604338541115</v>
      </c>
      <c r="LY20" s="15">
        <f t="shared" si="90"/>
        <v>4.9825797202804809</v>
      </c>
      <c r="LZ20" s="15">
        <f t="shared" si="27"/>
        <v>1.3056331880885148</v>
      </c>
      <c r="MA20" s="15">
        <f t="shared" si="91"/>
        <v>5.0154798961073901</v>
      </c>
      <c r="MB20" s="15">
        <f t="shared" si="92"/>
        <v>5.3321837645762731</v>
      </c>
      <c r="MC20" s="18">
        <f t="shared" si="93"/>
        <v>0.32411697088693414</v>
      </c>
      <c r="MD20" s="15">
        <f t="shared" si="28"/>
        <v>1.9501206906517883</v>
      </c>
      <c r="ME20" s="18"/>
      <c r="MF20" s="2024" t="s">
        <v>54</v>
      </c>
      <c r="MG20" s="15">
        <f>JT20+'Bloom Cleaner Data'!EY20/CALCULATIONS!DD20</f>
        <v>2.947061418505037</v>
      </c>
      <c r="MH20" s="15">
        <f>JU20+'Bloom Cleaner Data'!EZ20/CALCULATIONS!DE20</f>
        <v>3.5239230008848534</v>
      </c>
      <c r="MI20" s="15">
        <f>JV20+'Bloom Cleaner Data'!FA20/CALCULATIONS!DF20</f>
        <v>4.0110009191590432</v>
      </c>
      <c r="MJ20" s="15">
        <f>JW20+'Bloom Cleaner Data'!FB20/CALCULATIONS!DG20</f>
        <v>4.010947852641265</v>
      </c>
      <c r="MK20" s="15">
        <f>JX20+'Bloom Cleaner Data'!FC20/CALCULATIONS!DH20</f>
        <v>4.6330242006913886</v>
      </c>
      <c r="ML20" s="15">
        <f>JY20+'Bloom Cleaner Data'!FD20/CALCULATIONS!DI20</f>
        <v>7.4921905247920293</v>
      </c>
      <c r="MM20" s="15">
        <f>JZ20+'Bloom Cleaner Data'!FE20/CALCULATIONS!DJ20</f>
        <v>7.8630935927726293</v>
      </c>
      <c r="MN20" s="15">
        <f>KA20+'Bloom Cleaner Data'!FF20/CALCULATIONS!DK20</f>
        <v>6.3625281698236185</v>
      </c>
      <c r="MO20" s="15">
        <f>KB20+'Bloom Cleaner Data'!FG20/CALCULATIONS!DL20</f>
        <v>5.4291319440115604</v>
      </c>
      <c r="MP20" s="15">
        <f>KC20+'Bloom Cleaner Data'!FH20/CALCULATIONS!DM20</f>
        <v>4.7711261853605915</v>
      </c>
      <c r="MQ20" s="15">
        <f>KD20+'Bloom Cleaner Data'!FI20/CALCULATIONS!DN20</f>
        <v>4.8317443224395626</v>
      </c>
      <c r="MR20" s="15">
        <f>KE20+'Bloom Cleaner Data'!FJ20/CALCULATIONS!DO20</f>
        <v>5.1258392145827107</v>
      </c>
      <c r="MS20" s="15">
        <f>KF20+'Bloom Cleaner Data'!FK20/CALCULATIONS!DP20</f>
        <v>4.6441971801137871</v>
      </c>
      <c r="MT20" s="15">
        <f>KG20+'Bloom Cleaner Data'!FL20/CALCULATIONS!DQ20</f>
        <v>5.1082876282957539</v>
      </c>
      <c r="MU20" s="15">
        <f>KH20+'Bloom Cleaner Data'!FM20/CALCULATIONS!DR20</f>
        <v>5.2345843405403958</v>
      </c>
      <c r="MV20" s="15">
        <f t="shared" si="29"/>
        <v>1.4115233117294577</v>
      </c>
      <c r="MW20" s="15">
        <f t="shared" si="94"/>
        <v>4.9956897163166456</v>
      </c>
      <c r="MX20" s="15">
        <f t="shared" si="30"/>
        <v>1.2930396343059933</v>
      </c>
      <c r="MY20" s="15">
        <f t="shared" si="95"/>
        <v>5.0282270908831617</v>
      </c>
      <c r="MZ20" s="15">
        <f t="shared" si="96"/>
        <v>5.3475150827095632</v>
      </c>
      <c r="NA20" s="18">
        <f t="shared" si="97"/>
        <v>0.30505687882960952</v>
      </c>
      <c r="NB20" s="15">
        <f t="shared" si="31"/>
        <v>1.9196258999458129</v>
      </c>
      <c r="NC20" s="15"/>
      <c r="ND20" s="13">
        <f>'Bloom Cleaner Data'!GF20+('Bloom Cleaner Data'!T20+'Bloom Cleaner Data'!EY20)+'Bloom Cleaner Data'!CK20</f>
        <v>10475.7624</v>
      </c>
      <c r="NE20" s="13">
        <f>'Bloom Cleaner Data'!GG20+('Bloom Cleaner Data'!U20+'Bloom Cleaner Data'!EZ20)+'Bloom Cleaner Data'!CL20</f>
        <v>11643.1</v>
      </c>
      <c r="NF20" s="13">
        <f>'Bloom Cleaner Data'!GH20+('Bloom Cleaner Data'!V20+'Bloom Cleaner Data'!FA20)+'Bloom Cleaner Data'!CM20</f>
        <v>12037.3</v>
      </c>
      <c r="NG20" s="13">
        <f>'Bloom Cleaner Data'!GI20+('Bloom Cleaner Data'!W20+'Bloom Cleaner Data'!FB20)+'Bloom Cleaner Data'!CN20</f>
        <v>12927.699999999999</v>
      </c>
      <c r="NH20" s="13">
        <f>'Bloom Cleaner Data'!GJ20+('Bloom Cleaner Data'!X20+'Bloom Cleaner Data'!FC20)+'Bloom Cleaner Data'!CO20</f>
        <v>11690.370699999999</v>
      </c>
      <c r="NI20" s="13">
        <f>'Bloom Cleaner Data'!GK20+('Bloom Cleaner Data'!Y20+'Bloom Cleaner Data'!FD20)+'Bloom Cleaner Data'!CP20</f>
        <v>18095.300000000003</v>
      </c>
      <c r="NJ20" s="13">
        <f>'Bloom Cleaner Data'!GL20+('Bloom Cleaner Data'!Z20+'Bloom Cleaner Data'!FE20)+'Bloom Cleaner Data'!CQ20</f>
        <v>17300.600000000002</v>
      </c>
      <c r="NK20" s="13">
        <f>'Bloom Cleaner Data'!GM20+('Bloom Cleaner Data'!AA20+'Bloom Cleaner Data'!FF20)+'Bloom Cleaner Data'!CR20</f>
        <v>16311.83</v>
      </c>
      <c r="NL20" s="13">
        <f>'Bloom Cleaner Data'!GN20+('Bloom Cleaner Data'!AB20+'Bloom Cleaner Data'!FG20)+'Bloom Cleaner Data'!CS20</f>
        <v>16199.122199999998</v>
      </c>
      <c r="NM20" s="13">
        <f>'Bloom Cleaner Data'!GO20+('Bloom Cleaner Data'!AC20+'Bloom Cleaner Data'!FH20)+'Bloom Cleaner Data'!CT20</f>
        <v>15288</v>
      </c>
      <c r="NN20" s="13">
        <f>'Bloom Cleaner Data'!GP20+('Bloom Cleaner Data'!AD20+'Bloom Cleaner Data'!FI20)+'Bloom Cleaner Data'!CU20</f>
        <v>14026.7</v>
      </c>
      <c r="NO20" s="13">
        <f>'Bloom Cleaner Data'!GQ20+('Bloom Cleaner Data'!AE20+'Bloom Cleaner Data'!FJ20)+'Bloom Cleaner Data'!CV20</f>
        <v>14822.3</v>
      </c>
      <c r="NP20" s="13">
        <f>'Bloom Cleaner Data'!GR20+('Bloom Cleaner Data'!AF20+'Bloom Cleaner Data'!FK20)+'Bloom Cleaner Data'!CW20</f>
        <v>13633.0332</v>
      </c>
      <c r="NQ20" s="13">
        <f>'Bloom Cleaner Data'!GS20+('Bloom Cleaner Data'!AG20+'Bloom Cleaner Data'!FL20)+'Bloom Cleaner Data'!CX20</f>
        <v>14676.4</v>
      </c>
      <c r="NR20" s="13">
        <f>'Bloom Cleaner Data'!GT20+('Bloom Cleaner Data'!AH20+'Bloom Cleaner Data'!FM20)+'Bloom Cleaner Data'!CY20</f>
        <v>14026.7</v>
      </c>
      <c r="NS20" s="168"/>
      <c r="NT20" s="2024" t="s">
        <v>54</v>
      </c>
      <c r="NU20" s="998">
        <f>('Bloom Cleaner Data'!T20+'Bloom Cleaner Data'!EY20+'OPERATING LEASES'!BL20)/CALCULATIONS!ND20</f>
        <v>0.68301799072058811</v>
      </c>
      <c r="NV20" s="998">
        <f>('Bloom Cleaner Data'!U20+'Bloom Cleaner Data'!EZ20+'OPERATING LEASES'!BM20)/CALCULATIONS!NE20</f>
        <v>0.67897237327564952</v>
      </c>
      <c r="NW20" s="998">
        <f>('Bloom Cleaner Data'!V20+'Bloom Cleaner Data'!FA20+'OPERATING LEASES'!BN20)/CALCULATIONS!NF20</f>
        <v>0.67918328801783978</v>
      </c>
      <c r="NX20" s="998">
        <f>('Bloom Cleaner Data'!W20+'Bloom Cleaner Data'!FB20+'OPERATING LEASES'!BO20)/CALCULATIONS!NG20</f>
        <v>0.54785636628546242</v>
      </c>
      <c r="NY20" s="998">
        <f>('Bloom Cleaner Data'!X20+'Bloom Cleaner Data'!FC20+'OPERATING LEASES'!BP20)/CALCULATIONS!NH20</f>
        <v>0.58944594460122635</v>
      </c>
      <c r="NZ20" s="998">
        <f>('Bloom Cleaner Data'!Y20+'Bloom Cleaner Data'!FD20+'OPERATING LEASES'!BQ20)/CALCULATIONS!NI20</f>
        <v>0.66023765148961322</v>
      </c>
      <c r="OA20" s="998">
        <f>('Bloom Cleaner Data'!Z20+'Bloom Cleaner Data'!FE20+'OPERATING LEASES'!BR20)/CALCULATIONS!NJ20</f>
        <v>0.71694532270557076</v>
      </c>
      <c r="OB20" s="998">
        <f>('Bloom Cleaner Data'!AA20+'Bloom Cleaner Data'!FF20+'OPERATING LEASES'!BS20)/CALCULATIONS!NK20</f>
        <v>0.72134771052665447</v>
      </c>
      <c r="OC20" s="998">
        <f>('Bloom Cleaner Data'!AB20+'Bloom Cleaner Data'!FG20+'OPERATING LEASES'!BT20)/CALCULATIONS!NL20</f>
        <v>0.71385981642881857</v>
      </c>
      <c r="OD20" s="998">
        <f>('Bloom Cleaner Data'!AC20+'Bloom Cleaner Data'!FH20+'OPERATING LEASES'!BU20)/CALCULATIONS!NM20</f>
        <v>0.72959348672161173</v>
      </c>
      <c r="OE20" s="998">
        <f>('Bloom Cleaner Data'!AD20+'Bloom Cleaner Data'!FI20+'OPERATING LEASES'!BV20)/CALCULATIONS!NN20</f>
        <v>0.77981238994203916</v>
      </c>
      <c r="OF20" s="998">
        <f>('Bloom Cleaner Data'!AE20+'Bloom Cleaner Data'!FJ20+'OPERATING LEASES'!BW20)/CALCULATIONS!NO20</f>
        <v>0.76054078483096421</v>
      </c>
      <c r="OG20" s="998">
        <f>('Bloom Cleaner Data'!AF20+'Bloom Cleaner Data'!FK20+'OPERATING LEASES'!BX20)/CALCULATIONS!NP20</f>
        <v>0.75106132654323765</v>
      </c>
      <c r="OH20" s="998">
        <f>('Bloom Cleaner Data'!AG20+'Bloom Cleaner Data'!FL20+'OPERATING LEASES'!BY20)/CALCULATIONS!NQ20</f>
        <v>0.75342269902700942</v>
      </c>
      <c r="OI20" s="998">
        <f>('Bloom Cleaner Data'!AH20+'Bloom Cleaner Data'!FM20+'OPERATING LEASES'!BZ20)/CALCULATIONS!NR20</f>
        <v>0.77980800188212485</v>
      </c>
      <c r="OJ20" s="18">
        <f t="shared" si="98"/>
        <v>0.76143067581745727</v>
      </c>
      <c r="OK20" s="18">
        <f t="shared" si="99"/>
        <v>0.76120820307083403</v>
      </c>
      <c r="OL20" s="18">
        <f t="shared" si="100"/>
        <v>0.70639344530785952</v>
      </c>
      <c r="OM20" s="10">
        <f t="shared" si="101"/>
        <v>0.14815546206673155</v>
      </c>
      <c r="ON20" s="10"/>
      <c r="OO20" s="2710"/>
      <c r="OP20" s="526">
        <f>'Bloom Cleaner Data'!D20/'Bloom Cleaner Data'!GF20</f>
        <v>3.1256967224187013</v>
      </c>
      <c r="OQ20" s="526">
        <f>'Bloom Cleaner Data'!E20/'Bloom Cleaner Data'!GG20</f>
        <v>2.7498615310508372</v>
      </c>
      <c r="OR20" s="526">
        <f>'Bloom Cleaner Data'!F20/'Bloom Cleaner Data'!GH20</f>
        <v>2.7495976153874997</v>
      </c>
      <c r="OS20" s="526">
        <f>'Bloom Cleaner Data'!G20/'Bloom Cleaner Data'!GI20</f>
        <v>1.5413400242347612</v>
      </c>
      <c r="OT20" s="526">
        <f>'Bloom Cleaner Data'!H20/'Bloom Cleaner Data'!GJ20</f>
        <v>1.5924453322157293</v>
      </c>
      <c r="OU20" s="526">
        <f>'Bloom Cleaner Data'!I20/'Bloom Cleaner Data'!GK20</f>
        <v>1.3922151097381918</v>
      </c>
      <c r="OV20" s="526">
        <f>'Bloom Cleaner Data'!J20/'Bloom Cleaner Data'!GL20</f>
        <v>1.4946967664845885</v>
      </c>
      <c r="OW20" s="526">
        <f>'Bloom Cleaner Data'!K20/'Bloom Cleaner Data'!GM20</f>
        <v>1.3044158943095345</v>
      </c>
      <c r="OX20" s="526">
        <f>'Bloom Cleaner Data'!L20/'Bloom Cleaner Data'!GN20</f>
        <v>0.96477412801461238</v>
      </c>
      <c r="OY20" s="526">
        <f>'Bloom Cleaner Data'!M20/'Bloom Cleaner Data'!GO20</f>
        <v>1.0365050991501417</v>
      </c>
      <c r="OZ20" s="526">
        <f>'Bloom Cleaner Data'!N20/'Bloom Cleaner Data'!GP20</f>
        <v>1.1939446864279379</v>
      </c>
      <c r="PA20" s="526">
        <f>'Bloom Cleaner Data'!O20/'Bloom Cleaner Data'!GQ20</f>
        <v>1.1532792844006019</v>
      </c>
      <c r="PB20" s="526">
        <f>'Bloom Cleaner Data'!P20/'Bloom Cleaner Data'!GR20</f>
        <v>1.0598724764012948</v>
      </c>
      <c r="PC20" s="526">
        <f>'Bloom Cleaner Data'!Q20/'Bloom Cleaner Data'!GS20</f>
        <v>1.1245046105552285</v>
      </c>
      <c r="PD20" s="526">
        <f>'Bloom Cleaner Data'!R20/'Bloom Cleaner Data'!GT20</f>
        <v>1.0332545966156574</v>
      </c>
      <c r="PE20" s="526">
        <f t="shared" si="102"/>
        <v>1.3569881249181368</v>
      </c>
      <c r="PF20" s="10">
        <f t="shared" si="103"/>
        <v>-0.62421607044125937</v>
      </c>
      <c r="PG20" s="526">
        <f t="shared" si="104"/>
        <v>1.6856971647625845</v>
      </c>
      <c r="PH20" s="18"/>
      <c r="PI20" s="2710"/>
      <c r="PJ20" s="526">
        <f>CALCULATIONS!DD20/'Bloom Cleaner Data'!GF20</f>
        <v>1.104968628915574</v>
      </c>
      <c r="PK20" s="526">
        <f>CALCULATIONS!DE20/'Bloom Cleaner Data'!GG20</f>
        <v>0.88377917566537501</v>
      </c>
      <c r="PL20" s="526">
        <f>CALCULATIONS!DF20/'Bloom Cleaner Data'!GH20</f>
        <v>0.79975741174202053</v>
      </c>
      <c r="PM20" s="526">
        <f>CALCULATIONS!DG20/'Bloom Cleaner Data'!GI20</f>
        <v>0.32150093012812309</v>
      </c>
      <c r="PN20" s="526">
        <f>CALCULATIONS!DH20/'Bloom Cleaner Data'!GJ20</f>
        <v>0.32928286419101888</v>
      </c>
      <c r="PO20" s="526">
        <f>CALCULATIONS!DI20/'Bloom Cleaner Data'!GK20</f>
        <v>0.30747079614496847</v>
      </c>
      <c r="PP20" s="526">
        <f>CALCULATIONS!DJ20/'Bloom Cleaner Data'!GL20</f>
        <v>0.38859642580380399</v>
      </c>
      <c r="PQ20" s="526">
        <f>CALCULATIONS!DK20/'Bloom Cleaner Data'!GM20</f>
        <v>0.4942076496168929</v>
      </c>
      <c r="PR20" s="526">
        <f>CALCULATIONS!DL20/'Bloom Cleaner Data'!GN20</f>
        <v>0.57472480955275063</v>
      </c>
      <c r="PS20" s="526">
        <f>CALCULATIONS!DM20/'Bloom Cleaner Data'!GO20</f>
        <v>0.66894952764640403</v>
      </c>
      <c r="PT20" s="526">
        <f>CALCULATIONS!DN20/'Bloom Cleaner Data'!GP20</f>
        <v>0.88157224021579539</v>
      </c>
      <c r="PU20" s="526">
        <f>CALCULATIONS!DO20/'Bloom Cleaner Data'!GQ20</f>
        <v>0.7427255317581829</v>
      </c>
      <c r="PV20" s="526">
        <f>CALCULATIONS!DP20/'Bloom Cleaner Data'!GR20</f>
        <v>0.78094476299749949</v>
      </c>
      <c r="PW20" s="526">
        <f>CALCULATIONS!DQ20/'Bloom Cleaner Data'!GS20</f>
        <v>0.71497849584573481</v>
      </c>
      <c r="PX20" s="526">
        <f>CALCULATIONS!DR20/'Bloom Cleaner Data'!GT20</f>
        <v>0.81369995177272569</v>
      </c>
      <c r="PY20" s="526">
        <f t="shared" si="105"/>
        <v>0.60141626133968629</v>
      </c>
      <c r="PZ20" s="526">
        <f t="shared" si="106"/>
        <v>0.67337771057886564</v>
      </c>
      <c r="QA20" s="18"/>
      <c r="QC20" s="15">
        <f>'Bloom Cleaner Data'!HZ20</f>
        <v>7.3448000000000002</v>
      </c>
      <c r="QD20" s="15">
        <f>AVERAGE('Bloom Cleaner Data'!HN20:HZ20)</f>
        <v>6.8492307692307701</v>
      </c>
      <c r="QE20" s="504">
        <f>('Bloom Cleaner Data'!HZ20-'Bloom Cleaner Data'!HN20)/'Bloom Cleaner Data'!HN20</f>
        <v>-0.15856522585892832</v>
      </c>
      <c r="QF20" s="15">
        <f>'Bloom Cleaner Data'!HZ20-'Bloom Cleaner Data'!HL20</f>
        <v>-0.11379999999999946</v>
      </c>
    </row>
    <row r="21" spans="1:450">
      <c r="A21" s="11" t="s">
        <v>32</v>
      </c>
      <c r="B21" s="83" t="s">
        <v>50</v>
      </c>
      <c r="C21" s="1207" t="s">
        <v>32</v>
      </c>
      <c r="D21" s="236" t="s">
        <v>64</v>
      </c>
      <c r="E21" s="13">
        <f>'Bloom Cleaner Data'!D21*'Bloom Cleaner Data'!D46</f>
        <v>11800.137071250001</v>
      </c>
      <c r="G21" s="13">
        <f>'Bloom Cleaner Data'!F21*'Bloom Cleaner Data'!F46</f>
        <v>12953.6977276</v>
      </c>
      <c r="H21" s="13">
        <f>'Bloom Cleaner Data'!H21*'Bloom Cleaner Data'!H46</f>
        <v>16365.549964319998</v>
      </c>
      <c r="I21" s="13">
        <f>'Bloom Cleaner Data'!J21*'Bloom Cleaner Data'!J46</f>
        <v>18182.167807499998</v>
      </c>
      <c r="J21" s="13">
        <f>'Bloom Cleaner Data'!L21*'Bloom Cleaner Data'!L46</f>
        <v>17779.096174847302</v>
      </c>
      <c r="K21" s="13">
        <f>'Bloom Cleaner Data'!N21*'Bloom Cleaner Data'!N46</f>
        <v>20424.937992540152</v>
      </c>
      <c r="L21" s="13">
        <f>'Bloom Cleaner Data'!P21*'Bloom Cleaner Data'!P46</f>
        <v>22410.465322609998</v>
      </c>
      <c r="M21" s="13">
        <f>'Bloom Cleaner Data'!R21*'Bloom Cleaner Data'!R46</f>
        <v>28491.576306321644</v>
      </c>
      <c r="N21" s="13">
        <f t="shared" si="0"/>
        <v>19515.355899391296</v>
      </c>
      <c r="O21" s="13">
        <f t="shared" si="32"/>
        <v>23775.65987382393</v>
      </c>
      <c r="P21" s="10">
        <f t="shared" si="1"/>
        <v>1.1994936816856254</v>
      </c>
      <c r="Q21" s="18">
        <f>('Bloom Cleaner Data'!R21-'Bloom Cleaner Data'!F21)/'Bloom Cleaner Data'!F21</f>
        <v>1.2980141891936237</v>
      </c>
      <c r="R21" s="10">
        <f t="shared" si="33"/>
        <v>1.3012692605912644</v>
      </c>
      <c r="S21" s="1363" t="s">
        <v>50</v>
      </c>
      <c r="T21" s="1322">
        <f>'Bloom Cleaner Data'!D21/'Bloom Cleaner Data'!$F21</f>
        <v>0.98689333108427757</v>
      </c>
      <c r="U21" s="1322">
        <f>'Bloom Cleaner Data'!E21/'Bloom Cleaner Data'!$F21</f>
        <v>0.95234434837593107</v>
      </c>
      <c r="V21" s="1322">
        <f>'Bloom Cleaner Data'!F21/'Bloom Cleaner Data'!$F21</f>
        <v>1</v>
      </c>
      <c r="W21" s="1322">
        <f>'Bloom Cleaner Data'!G21/'Bloom Cleaner Data'!$F21</f>
        <v>1.024390173064393</v>
      </c>
      <c r="X21" s="1322">
        <f>'Bloom Cleaner Data'!H21/'Bloom Cleaner Data'!$F21</f>
        <v>1.3230699510174049</v>
      </c>
      <c r="Y21" s="1322">
        <f>'Bloom Cleaner Data'!I21/'Bloom Cleaner Data'!$F21</f>
        <v>1.4265949254571519</v>
      </c>
      <c r="Z21" s="1322">
        <f>'Bloom Cleaner Data'!J21/'Bloom Cleaner Data'!$F21</f>
        <v>1.5488086070591938</v>
      </c>
      <c r="AA21" s="1322">
        <f>'Bloom Cleaner Data'!K21/'Bloom Cleaner Data'!$F21</f>
        <v>1.2732817542907013</v>
      </c>
      <c r="AB21" s="1322">
        <f>'Bloom Cleaner Data'!L21/'Bloom Cleaner Data'!$F21</f>
        <v>1.3995590785650471</v>
      </c>
      <c r="AC21" s="1322">
        <f>'Bloom Cleaner Data'!M21/'Bloom Cleaner Data'!$F21</f>
        <v>1.6618492640238904</v>
      </c>
      <c r="AD21" s="1322">
        <f>'Bloom Cleaner Data'!N21/'Bloom Cleaner Data'!$F21</f>
        <v>1.5528689116035814</v>
      </c>
      <c r="AE21" s="1322">
        <f>'Bloom Cleaner Data'!O21/'Bloom Cleaner Data'!$F21</f>
        <v>1.7132663728762054</v>
      </c>
      <c r="AF21" s="1322">
        <f>'Bloom Cleaner Data'!P21/'Bloom Cleaner Data'!$F21</f>
        <v>1.7157169642453682</v>
      </c>
      <c r="AG21" s="1322">
        <f>'Bloom Cleaner Data'!Q21/'Bloom Cleaner Data'!$F21</f>
        <v>2.065776047223534</v>
      </c>
      <c r="AH21" s="1322">
        <f>'Bloom Cleaner Data'!R21/'Bloom Cleaner Data'!$F21</f>
        <v>2.2980141891936237</v>
      </c>
      <c r="AI21" s="13"/>
      <c r="AJ21" s="13">
        <f>AVERAGE('Bloom Cleaner Data'!BW21:CI21)</f>
        <v>25604.909484615382</v>
      </c>
      <c r="AK21" s="18">
        <f>('Bloom Cleaner Data'!CI21-'Bloom Cleaner Data'!BW21)/'Bloom Cleaner Data'!BW21</f>
        <v>0.58793748625840481</v>
      </c>
      <c r="AL21" s="18">
        <f>('Bloom Cleaner Data'!CI21+'Bloom Cleaner Data'!CH21-'Bloom Cleaner Data'!BW21-'Bloom Cleaner Data'!BV21)/('Bloom Cleaner Data'!BW21+'Bloom Cleaner Data'!BV21)</f>
        <v>0.51704196619347975</v>
      </c>
      <c r="AM21" s="13"/>
      <c r="AN21" s="13">
        <f>'Bloom Cleaner Data'!BW21*'Bloom Cleaner Data'!BW46</f>
        <v>25471.6297276</v>
      </c>
      <c r="AO21" s="13">
        <f>'Bloom Cleaner Data'!BY21*'Bloom Cleaner Data'!BY46</f>
        <v>27523.332364319998</v>
      </c>
      <c r="AP21" s="13">
        <f>'Bloom Cleaner Data'!CA21*'Bloom Cleaner Data'!CA46</f>
        <v>28481.6958075</v>
      </c>
      <c r="AQ21" s="13">
        <f>'Bloom Cleaner Data'!CC21*'Bloom Cleaner Data'!CC46</f>
        <v>27807.859351279298</v>
      </c>
      <c r="AR21" s="13">
        <f>'Bloom Cleaner Data'!CE21*'Bloom Cleaner Data'!CE46</f>
        <v>32413.647985458632</v>
      </c>
      <c r="AS21" s="13">
        <f>'Bloom Cleaner Data'!CG21*'Bloom Cleaner Data'!CG46</f>
        <v>32910.707822609998</v>
      </c>
      <c r="AT21" s="13">
        <f>'Bloom Cleaner Data'!CI21*'Bloom Cleaner Data'!CI46</f>
        <v>38713.295887645676</v>
      </c>
      <c r="AU21" s="13">
        <f t="shared" si="2"/>
        <v>30474.595563773375</v>
      </c>
      <c r="AV21" s="10">
        <f t="shared" si="3"/>
        <v>0.51985940050383017</v>
      </c>
      <c r="AW21" s="10"/>
      <c r="AX21" s="13">
        <f>'Bloom Cleaner Data'!T21+'OPERATING LEASES'!AU21</f>
        <v>17646.966063629818</v>
      </c>
      <c r="AY21" s="13">
        <f>'Bloom Cleaner Data'!U21+'OPERATING LEASES'!AV21</f>
        <v>17067.591788831563</v>
      </c>
      <c r="AZ21" s="13">
        <f>'Bloom Cleaner Data'!V21+'OPERATING LEASES'!AW21</f>
        <v>16263.217514033307</v>
      </c>
      <c r="BA21" s="13">
        <f>'Bloom Cleaner Data'!W21+'OPERATING LEASES'!AX21</f>
        <v>16043.843239235051</v>
      </c>
      <c r="BB21" s="13">
        <f>'Bloom Cleaner Data'!X21+'OPERATING LEASES'!AY21</f>
        <v>15375.468964436797</v>
      </c>
      <c r="BC21" s="13">
        <f>'Bloom Cleaner Data'!Y21+'OPERATING LEASES'!AZ21</f>
        <v>15400.78226583902</v>
      </c>
      <c r="BD21" s="13">
        <f>'Bloom Cleaner Data'!Z21+'OPERATING LEASES'!BA21</f>
        <v>15253.095567241242</v>
      </c>
      <c r="BE21" s="13">
        <f>'Bloom Cleaner Data'!AA21+'OPERATING LEASES'!BB21</f>
        <v>15105.408868643466</v>
      </c>
      <c r="BF21" s="13">
        <f>'Bloom Cleaner Data'!AB21+'OPERATING LEASES'!BC21</f>
        <v>14520.72217004569</v>
      </c>
      <c r="BG21" s="13">
        <f>'Bloom Cleaner Data'!AC21+'OPERATING LEASES'!BD21</f>
        <v>15717.38110551623</v>
      </c>
      <c r="BH21" s="13">
        <f>'Bloom Cleaner Data'!AD21+'OPERATING LEASES'!BE21</f>
        <v>15658.040040986769</v>
      </c>
      <c r="BI21" s="13">
        <f>'Bloom Cleaner Data'!AE21+'OPERATING LEASES'!BF21</f>
        <v>15323.698976457308</v>
      </c>
      <c r="BJ21" s="13">
        <f>'Bloom Cleaner Data'!AF21+'OPERATING LEASES'!BG21</f>
        <v>14340.357911927847</v>
      </c>
      <c r="BK21" s="13">
        <f>'Bloom Cleaner Data'!AG21+'OPERATING LEASES'!BH21</f>
        <v>14383.357911927847</v>
      </c>
      <c r="BL21" s="13">
        <f>'Bloom Cleaner Data'!AH21+'OPERATING LEASES'!BI21</f>
        <v>14568.357911927847</v>
      </c>
      <c r="BM21" s="1167">
        <f t="shared" si="34"/>
        <v>15227.210188324496</v>
      </c>
      <c r="BN21" s="10">
        <f t="shared" si="35"/>
        <v>-0.10421428605028427</v>
      </c>
      <c r="BO21" s="10"/>
      <c r="BP21" s="13">
        <f>'Bloom Cleaner Data'!BU21+'OPERATING LEASES'!AU21</f>
        <v>28135.719563629817</v>
      </c>
      <c r="BQ21" s="13">
        <f>'Bloom Cleaner Data'!BV21+'OPERATING LEASES'!AV21</f>
        <v>27190.962088831562</v>
      </c>
      <c r="BR21" s="13">
        <f>'Bloom Cleaner Data'!BW21+'OPERATING LEASES'!AW21</f>
        <v>26886.963914033309</v>
      </c>
      <c r="BS21" s="13">
        <f>'Bloom Cleaner Data'!BX21+'OPERATING LEASES'!AX21</f>
        <v>26931.241239235052</v>
      </c>
      <c r="BT21" s="13">
        <f>'Bloom Cleaner Data'!BY21+'OPERATING LEASES'!AY21</f>
        <v>29430.290264436797</v>
      </c>
      <c r="BU21" s="13">
        <f>'Bloom Cleaner Data'!BZ21+'OPERATING LEASES'!AZ21</f>
        <v>30555.459665839022</v>
      </c>
      <c r="BV21" s="13">
        <f>'Bloom Cleaner Data'!CA21+'OPERATING LEASES'!BA21</f>
        <v>31724.818067241242</v>
      </c>
      <c r="BW21" s="13">
        <f>'Bloom Cleaner Data'!CB21+'OPERATING LEASES'!BB21</f>
        <v>28620.238968643465</v>
      </c>
      <c r="BX21" s="13">
        <f>'Bloom Cleaner Data'!CC21+'OPERATING LEASES'!BC21</f>
        <v>29372.691270045689</v>
      </c>
      <c r="BY21" s="13">
        <f>'Bloom Cleaner Data'!CD21+'OPERATING LEASES'!BD21</f>
        <v>33340.871105516228</v>
      </c>
      <c r="BZ21" s="13">
        <f>'Bloom Cleaner Data'!CE21+'OPERATING LEASES'!BE21</f>
        <v>32125.821040986768</v>
      </c>
      <c r="CA21" s="13">
        <f>'Bloom Cleaner Data'!CF21+'OPERATING LEASES'!BF21</f>
        <v>33502.454376457303</v>
      </c>
      <c r="CB21" s="13">
        <f>'Bloom Cleaner Data'!CG21+'OPERATING LEASES'!BG21</f>
        <v>32545.101211927846</v>
      </c>
      <c r="CC21" s="13">
        <f>'Bloom Cleaner Data'!CH21+'OPERATING LEASES'!BH21</f>
        <v>36290.389011927844</v>
      </c>
      <c r="CD21" s="13">
        <f>'Bloom Cleaner Data'!CI21+'OPERATING LEASES'!BI21</f>
        <v>38938.215611927844</v>
      </c>
      <c r="CE21" s="1167">
        <f t="shared" si="36"/>
        <v>31558.811980632185</v>
      </c>
      <c r="CF21" s="10">
        <f t="shared" si="37"/>
        <v>0.44821913461209123</v>
      </c>
      <c r="CG21" s="18">
        <f t="shared" si="4"/>
        <v>0.23252972245788189</v>
      </c>
      <c r="CH21" s="13"/>
      <c r="CI21" s="18">
        <f>$CI$1*BP21/('Bloom Cleaner Data'!D21+'Bloom Cleaner Data'!T21+'OPERATING LEASES'!AU21)+(1-$CI$1)*'Bloom Cleaner Data'!BU21/('Bloom Cleaner Data'!D21+'Bloom Cleaner Data'!T21)-1</f>
        <v>8.1813500639604797E-4</v>
      </c>
      <c r="CJ21" s="18">
        <f>$CI$1*BQ21/('Bloom Cleaner Data'!E21+'Bloom Cleaner Data'!U21+'OPERATING LEASES'!AV21)+(1-$CI$1)*'Bloom Cleaner Data'!BV21/('Bloom Cleaner Data'!E21+'Bloom Cleaner Data'!U21)-1</f>
        <v>8.8342597606305695E-4</v>
      </c>
      <c r="CK21" s="18">
        <f>$CI$1*BR21/('Bloom Cleaner Data'!F21+'Bloom Cleaner Data'!V21+'OPERATING LEASES'!AW21)+(1-$CI$1)*'Bloom Cleaner Data'!BW21/('Bloom Cleaner Data'!F21+'Bloom Cleaner Data'!V21)-1</f>
        <v>7.0716188471853236E-4</v>
      </c>
      <c r="CL21" s="18">
        <f>$CI$1*BS21/('Bloom Cleaner Data'!G21+'Bloom Cleaner Data'!W21+'OPERATING LEASES'!AX21)+(1-$CI$1)*'Bloom Cleaner Data'!BX21/('Bloom Cleaner Data'!G21+'Bloom Cleaner Data'!W21)-1</f>
        <v>8.9195320273138812E-4</v>
      </c>
      <c r="CM21" s="18">
        <f>$CI$1*BT21/('Bloom Cleaner Data'!H21+'Bloom Cleaner Data'!X21+'OPERATING LEASES'!AY21)+(1-$CI$1)*'Bloom Cleaner Data'!BY21/('Bloom Cleaner Data'!H21+'Bloom Cleaner Data'!X21)-1</f>
        <v>8.1615191117889729E-4</v>
      </c>
      <c r="CN21" s="18">
        <f>$CI$1*BU21/('Bloom Cleaner Data'!I21+'Bloom Cleaner Data'!Y21+'OPERATING LEASES'!AZ21)+(1-$CI$1)*'Bloom Cleaner Data'!BZ21/('Bloom Cleaner Data'!I21+'Bloom Cleaner Data'!Y21)-1</f>
        <v>8.5163642870145218E-4</v>
      </c>
      <c r="CO21" s="18">
        <f>$CI$1*BV21/('Bloom Cleaner Data'!J21+'Bloom Cleaner Data'!Z21+'OPERATING LEASES'!BA21)+(1-$CI$1)*'Bloom Cleaner Data'!CA21/('Bloom Cleaner Data'!J21+'Bloom Cleaner Data'!Z21)-1</f>
        <v>1.4836880463242608E-3</v>
      </c>
      <c r="CP21" s="18">
        <f>$CI$1*BW21/('Bloom Cleaner Data'!K21+'Bloom Cleaner Data'!AA21+'OPERATING LEASES'!BB21)+(1-$CI$1)*'Bloom Cleaner Data'!CB21/('Bloom Cleaner Data'!K21+'Bloom Cleaner Data'!AA21)-1</f>
        <v>4.1945958341416123E-4</v>
      </c>
      <c r="CQ21" s="18">
        <f>$CI$1*BX21/('Bloom Cleaner Data'!L21+'Bloom Cleaner Data'!AB21+'OPERATING LEASES'!BC21)+(1-$CI$1)*'Bloom Cleaner Data'!CC21/('Bloom Cleaner Data'!L21+'Bloom Cleaner Data'!AB21)-1</f>
        <v>3.4056823701988925E-4</v>
      </c>
      <c r="CR21" s="18">
        <f>$CI$1*BY21/('Bloom Cleaner Data'!M21+'Bloom Cleaner Data'!AC21+'OPERATING LEASES'!BD21)+(1-$CI$1)*'Bloom Cleaner Data'!CD21/('Bloom Cleaner Data'!M21+'Bloom Cleaner Data'!AC21)-1</f>
        <v>0</v>
      </c>
      <c r="CS21" s="18">
        <f>$CI$1*BZ21/('Bloom Cleaner Data'!N21+'Bloom Cleaner Data'!AD21+'OPERATING LEASES'!BE21)+(1-$CI$1)*'Bloom Cleaner Data'!CE21/('Bloom Cleaner Data'!N21+'Bloom Cleaner Data'!AD21)-1</f>
        <v>0</v>
      </c>
      <c r="CT21" s="18">
        <f>$CI$1*CA21/('Bloom Cleaner Data'!O21+'Bloom Cleaner Data'!AE21+'OPERATING LEASES'!BF21)+(1-$CI$1)*'Bloom Cleaner Data'!CF21/('Bloom Cleaner Data'!O21+'Bloom Cleaner Data'!AE21)-1</f>
        <v>2.9857471439975747E-4</v>
      </c>
      <c r="CU21" s="18">
        <f>$CI$1*CB21/('Bloom Cleaner Data'!P21+'Bloom Cleaner Data'!AF21+'OPERATING LEASES'!BG21)+(1-$CI$1)*'Bloom Cleaner Data'!CG21/('Bloom Cleaner Data'!P21+'Bloom Cleaner Data'!AF21)-1</f>
        <v>3.0736034705602933E-4</v>
      </c>
      <c r="CV21" s="18">
        <f>$CI$1*CC21/('Bloom Cleaner Data'!Q21+'Bloom Cleaner Data'!AG21+'OPERATING LEASES'!BH21)+(1-$CI$1)*'Bloom Cleaner Data'!CH21/('Bloom Cleaner Data'!Q21+'Bloom Cleaner Data'!AG21)-1</f>
        <v>0</v>
      </c>
      <c r="CW21" s="18">
        <f>$CI$1*CD21/('Bloom Cleaner Data'!R21+'Bloom Cleaner Data'!AH21+'OPERATING LEASES'!BI21)+(1-$CI$1)*'Bloom Cleaner Data'!CI21/('Bloom Cleaner Data'!R21+'Bloom Cleaner Data'!AH21)-1</f>
        <v>0</v>
      </c>
      <c r="CX21" s="18">
        <f t="shared" si="38"/>
        <v>4.705041811957206E-4</v>
      </c>
      <c r="CY21" s="13"/>
      <c r="CZ21" s="3112">
        <f>AVERAGE('Bloom Cleaner Data'!GX21:HJ21)</f>
        <v>5797.8487973031724</v>
      </c>
      <c r="DA21" s="2860">
        <f>('Bloom Cleaner Data'!HJ21-'Bloom Cleaner Data'!GX21)/'Bloom Cleaner Data'!GX21</f>
        <v>4.6280834637076926E-2</v>
      </c>
      <c r="DB21" s="2860">
        <f>('Bloom Cleaner Data'!HJ21+'Bloom Cleaner Data'!HI21-'Bloom Cleaner Data'!GX21-'Bloom Cleaner Data'!GW21)/('Bloom Cleaner Data'!GX21+'Bloom Cleaner Data'!GW21)</f>
        <v>5.4138982247428934E-2</v>
      </c>
      <c r="DC21" s="13"/>
      <c r="DD21" s="13">
        <f>'Bloom Cleaner Data'!GV21+'OPERATING LEASES'!BL21</f>
        <v>5109.1229494471681</v>
      </c>
      <c r="DE21" s="13">
        <f>'Bloom Cleaner Data'!GW21+'OPERATING LEASES'!BM21</f>
        <v>6635.3796168541712</v>
      </c>
      <c r="DF21" s="13">
        <f>'Bloom Cleaner Data'!GX21+'OPERATING LEASES'!BN21</f>
        <v>6658.6187658495346</v>
      </c>
      <c r="DG21" s="13">
        <f>'Bloom Cleaner Data'!GY21+'OPERATING LEASES'!BO21</f>
        <v>6751.7367423644228</v>
      </c>
      <c r="DH21" s="13">
        <f>'Bloom Cleaner Data'!GZ21+'OPERATING LEASES'!BP21</f>
        <v>6799.9756176853052</v>
      </c>
      <c r="DI21" s="13">
        <f>'Bloom Cleaner Data'!HA21+'OPERATING LEASES'!BQ21</f>
        <v>6797.5588638833815</v>
      </c>
      <c r="DJ21" s="13">
        <f>'Bloom Cleaner Data'!HB21+'OPERATING LEASES'!BR21</f>
        <v>6847.0171030065158</v>
      </c>
      <c r="DK21" s="13">
        <f>'Bloom Cleaner Data'!HC21+'OPERATING LEASES'!BS21</f>
        <v>6902.5150171359764</v>
      </c>
      <c r="DL21" s="13">
        <f>'Bloom Cleaner Data'!HD21+'OPERATING LEASES'!BT21</f>
        <v>6955.1711825049797</v>
      </c>
      <c r="DM21" s="13">
        <f>'Bloom Cleaner Data'!HE21+'OPERATING LEASES'!BU21</f>
        <v>6590.3239267310209</v>
      </c>
      <c r="DN21" s="13">
        <f>'Bloom Cleaner Data'!HF21+'OPERATING LEASES'!BV21</f>
        <v>6593.4774210257965</v>
      </c>
      <c r="DO21" s="13">
        <f>'Bloom Cleaner Data'!HG21+'OPERATING LEASES'!BW21</f>
        <v>6497.6182696298765</v>
      </c>
      <c r="DP21" s="13">
        <f>'Bloom Cleaner Data'!HH21+'OPERATING LEASES'!BX21</f>
        <v>6357.7788738582258</v>
      </c>
      <c r="DQ21" s="13">
        <f>'Bloom Cleaner Data'!HI21+'OPERATING LEASES'!BY21</f>
        <v>6831.72567199065</v>
      </c>
      <c r="DR21" s="13">
        <f>'Bloom Cleaner Data'!HJ21+'OPERATING LEASES'!BZ21</f>
        <v>6819.7490521327018</v>
      </c>
      <c r="DS21" s="1167">
        <f t="shared" si="39"/>
        <v>6723.3281929075683</v>
      </c>
      <c r="DT21" s="10">
        <f t="shared" si="40"/>
        <v>2.4198755319881943E-2</v>
      </c>
      <c r="DU21" s="18">
        <f t="shared" si="41"/>
        <v>0.15962461732959921</v>
      </c>
      <c r="DV21" s="167"/>
      <c r="DW21" s="15">
        <f>'Bloom Cleaner Data'!DT21</f>
        <v>1.0083</v>
      </c>
      <c r="DX21" s="15">
        <f>'Bloom Cleaner Data'!DX21</f>
        <v>1.2972000000000001</v>
      </c>
      <c r="DY21" s="15">
        <f>'Bloom Cleaner Data'!EB21</f>
        <v>1.3721000000000001</v>
      </c>
      <c r="DZ21" s="15">
        <f>'Bloom Cleaner Data'!EF21</f>
        <v>1.8414000000000001</v>
      </c>
      <c r="EA21" s="15">
        <f>AVERAGE('Bloom Cleaner Data'!DT21:EF21)</f>
        <v>1.3321076923076924</v>
      </c>
      <c r="EB21" s="18">
        <f t="shared" si="5"/>
        <v>0.82624218982445718</v>
      </c>
      <c r="EC21" s="13"/>
      <c r="ED21" s="15">
        <f>'Bloom Cleaner Data'!DC21</f>
        <v>3.6842000000000001</v>
      </c>
      <c r="EE21" s="15">
        <f>'Bloom Cleaner Data'!DG21</f>
        <v>4.3438999999999997</v>
      </c>
      <c r="EF21" s="15">
        <f>'Bloom Cleaner Data'!DK21</f>
        <v>4.6090999999999998</v>
      </c>
      <c r="EG21" s="15">
        <f>'Bloom Cleaner Data'!DO21</f>
        <v>5.5914999999999999</v>
      </c>
      <c r="EH21" s="15">
        <f>AVERAGE('Bloom Cleaner Data'!DC21:DO21)</f>
        <v>4.4203692307692313</v>
      </c>
      <c r="EI21" s="22">
        <f t="shared" si="42"/>
        <v>4.557175</v>
      </c>
      <c r="EJ21" s="22">
        <f t="shared" si="6"/>
        <v>-0.1368057692307687</v>
      </c>
      <c r="EK21" s="18">
        <f t="shared" si="43"/>
        <v>0.51769719342055254</v>
      </c>
      <c r="EL21" s="241"/>
      <c r="EM21" s="15">
        <f>('Bloom Cleaner Data'!BU21+'OPERATING LEASES'!AU21)/DD21</f>
        <v>5.5069568381935765</v>
      </c>
      <c r="EN21" s="15">
        <f>('Bloom Cleaner Data'!BV21+'OPERATING LEASES'!AV21)/DE21</f>
        <v>4.0978758803437954</v>
      </c>
      <c r="EO21" s="15">
        <f>('Bloom Cleaner Data'!BW21+'OPERATING LEASES'!AW21)/DF21</f>
        <v>4.0379191029722445</v>
      </c>
      <c r="EP21" s="15">
        <f>('Bloom Cleaner Data'!BX21+'OPERATING LEASES'!AX21)/DG21</f>
        <v>3.9887872212570707</v>
      </c>
      <c r="EQ21" s="15">
        <f>('Bloom Cleaner Data'!BY21+'OPERATING LEASES'!AY21)/DH21</f>
        <v>4.327999381041133</v>
      </c>
      <c r="ER21" s="15">
        <f>('Bloom Cleaner Data'!BZ21+'OPERATING LEASES'!AZ21)/DI21</f>
        <v>4.4950636364747822</v>
      </c>
      <c r="ES21" s="15">
        <f>('Bloom Cleaner Data'!CA21+'OPERATING LEASES'!BA21)/DJ21</f>
        <v>4.6333779498390504</v>
      </c>
      <c r="ET21" s="15">
        <f>('Bloom Cleaner Data'!CB21+'OPERATING LEASES'!BB21)/DK21</f>
        <v>4.1463493954872561</v>
      </c>
      <c r="EU21" s="15">
        <f>('Bloom Cleaner Data'!CC21+'OPERATING LEASES'!BC21)/DL21</f>
        <v>4.2231442619169002</v>
      </c>
      <c r="EV21" s="15">
        <f>('Bloom Cleaner Data'!CD21+'OPERATING LEASES'!BD21)/DM21</f>
        <v>5.0590640879247646</v>
      </c>
      <c r="EW21" s="15">
        <f>('Bloom Cleaner Data'!CE21+'OPERATING LEASES'!BE21)/DN21</f>
        <v>4.8723638513633851</v>
      </c>
      <c r="EX21" s="15">
        <f>('Bloom Cleaner Data'!CF21+'OPERATING LEASES'!BF21)/DO21</f>
        <v>5.1561130534628496</v>
      </c>
      <c r="EY21" s="15">
        <f>('Bloom Cleaner Data'!CG21+'OPERATING LEASES'!BG21)/DP21</f>
        <v>5.118941985501583</v>
      </c>
      <c r="EZ21" s="15">
        <f>('Bloom Cleaner Data'!CH21+'OPERATING LEASES'!BH21)/DQ21</f>
        <v>5.3120383859548967</v>
      </c>
      <c r="FA21" s="15">
        <f>('Bloom Cleaner Data'!CI21+'OPERATING LEASES'!BI21)/DR21</f>
        <v>5.7096258695546744</v>
      </c>
      <c r="FB21" s="526">
        <f t="shared" si="44"/>
        <v>4.6985221679038922</v>
      </c>
      <c r="FC21" s="10">
        <f t="shared" si="45"/>
        <v>0.4140020451008824</v>
      </c>
      <c r="FD21" s="15">
        <f t="shared" si="7"/>
        <v>0.27815293713466094</v>
      </c>
      <c r="FE21" s="15">
        <f t="shared" si="46"/>
        <v>4.8726082477480146</v>
      </c>
      <c r="FF21" s="13"/>
      <c r="FG21" s="15">
        <f>$FG$1*EM21+(1-$FG$1)*'Bloom Cleaner Data'!DA21</f>
        <v>5.5069568381935765</v>
      </c>
      <c r="FH21" s="15">
        <f>$FG$1*EN21+(1-$FG$1)*'Bloom Cleaner Data'!DB21</f>
        <v>4.0978758803437954</v>
      </c>
      <c r="FI21" s="15">
        <f>$FG$1*EO21+(1-$FG$1)*'Bloom Cleaner Data'!DC21</f>
        <v>4.0379191029722445</v>
      </c>
      <c r="FJ21" s="15">
        <f>$FG$1*EP21+(1-$FG$1)*'Bloom Cleaner Data'!DD21</f>
        <v>3.9887872212570707</v>
      </c>
      <c r="FK21" s="15">
        <f>$FG$1*EQ21+(1-$FG$1)*'Bloom Cleaner Data'!DE21</f>
        <v>4.327999381041133</v>
      </c>
      <c r="FL21" s="15">
        <f>$FG$1*ER21+(1-$FG$1)*'Bloom Cleaner Data'!DF21</f>
        <v>4.4950636364747822</v>
      </c>
      <c r="FM21" s="15">
        <f>$FG$1*ES21+(1-$FG$1)*'Bloom Cleaner Data'!DG21</f>
        <v>4.6333779498390504</v>
      </c>
      <c r="FN21" s="15">
        <f>$FG$1*ET21+(1-$FG$1)*'Bloom Cleaner Data'!DH21</f>
        <v>4.1463493954872561</v>
      </c>
      <c r="FO21" s="15">
        <f>$FG$1*EU21+(1-$FG$1)*'Bloom Cleaner Data'!DI21</f>
        <v>4.2231442619169002</v>
      </c>
      <c r="FP21" s="15">
        <f>$FG$1*EV21+(1-$FG$1)*'Bloom Cleaner Data'!DJ21</f>
        <v>5.0590640879247646</v>
      </c>
      <c r="FQ21" s="15">
        <f>$FG$1*EW21+(1-$FG$1)*'Bloom Cleaner Data'!DK21</f>
        <v>4.8723638513633851</v>
      </c>
      <c r="FR21" s="15">
        <f>$FG$1*EX21+(1-$FG$1)*'Bloom Cleaner Data'!DL21</f>
        <v>5.1561130534628496</v>
      </c>
      <c r="FS21" s="15">
        <f>$FG$1*EY21+(1-$FG$1)*'Bloom Cleaner Data'!DM21</f>
        <v>5.118941985501583</v>
      </c>
      <c r="FT21" s="15">
        <f>$FG$1*EZ21+(1-$FG$1)*'Bloom Cleaner Data'!DN21</f>
        <v>5.3120383859548967</v>
      </c>
      <c r="FU21" s="15">
        <f>$FG$1*FA21+(1-$FG$1)*'Bloom Cleaner Data'!DO21</f>
        <v>5.7096258695546744</v>
      </c>
      <c r="FV21" s="526">
        <f t="shared" si="47"/>
        <v>4.6985221679038922</v>
      </c>
      <c r="FW21" s="10">
        <f t="shared" si="48"/>
        <v>0.4140020451008824</v>
      </c>
      <c r="FX21" s="526">
        <f t="shared" si="49"/>
        <v>4.8726082477480146</v>
      </c>
      <c r="FY21" s="2710"/>
      <c r="FZ21" s="2710"/>
      <c r="GA21" s="10">
        <f>'Bloom Cleaner Data'!T21/('Bloom Cleaner Data'!T21+'Bloom Cleaner Data'!D21)</f>
        <v>0.5216257693003078</v>
      </c>
      <c r="GB21" s="10">
        <f>'Bloom Cleaner Data'!U21/('Bloom Cleaner Data'!U21+'Bloom Cleaner Data'!E21)</f>
        <v>0.51981777821779784</v>
      </c>
      <c r="GC21" s="10">
        <f>'Bloom Cleaner Data'!V21/('Bloom Cleaner Data'!V21+'Bloom Cleaner Data'!F21)</f>
        <v>0.49098226519643151</v>
      </c>
      <c r="GD21" s="10">
        <f>'Bloom Cleaner Data'!W21/('Bloom Cleaner Data'!W21+'Bloom Cleaner Data'!G21)</f>
        <v>0.48203920032414393</v>
      </c>
      <c r="GE21" s="10">
        <f>'Bloom Cleaner Data'!X21/('Bloom Cleaner Data'!X21+'Bloom Cleaner Data'!H21)</f>
        <v>0.40478820411708633</v>
      </c>
      <c r="GF21" s="10">
        <f>'Bloom Cleaner Data'!Y21/('Bloom Cleaner Data'!Y21+'Bloom Cleaner Data'!I21)</f>
        <v>0.38537982220315425</v>
      </c>
      <c r="GG21" s="10">
        <f>'Bloom Cleaner Data'!Z21/('Bloom Cleaner Data'!Z21+'Bloom Cleaner Data'!J21)</f>
        <v>0.36045090044096534</v>
      </c>
      <c r="GH21" s="10">
        <f>'Bloom Cleaner Data'!AA21/('Bloom Cleaner Data'!AA21+'Bloom Cleaner Data'!K21)</f>
        <v>0.40069540092089195</v>
      </c>
      <c r="GI21" s="10">
        <f>'Bloom Cleaner Data'!AB21/('Bloom Cleaner Data'!AB21+'Bloom Cleaner Data'!L21)</f>
        <v>0.36036938180546013</v>
      </c>
      <c r="GJ21" s="10">
        <f>'Bloom Cleaner Data'!AC21/('Bloom Cleaner Data'!AC21+'Bloom Cleaner Data'!M21)</f>
        <v>0.3536338426340403</v>
      </c>
      <c r="GK21" s="10">
        <f>'Bloom Cleaner Data'!AD21/('Bloom Cleaner Data'!AD21+'Bloom Cleaner Data'!N21)</f>
        <v>0.36986611313533241</v>
      </c>
      <c r="GL21" s="10">
        <f>'Bloom Cleaner Data'!AE21/('Bloom Cleaner Data'!AE21+'Bloom Cleaner Data'!O21)</f>
        <v>0.34132408236189626</v>
      </c>
      <c r="GM21" s="10">
        <f>'Bloom Cleaner Data'!AF21/('Bloom Cleaner Data'!AF21+'Bloom Cleaner Data'!P21)</f>
        <v>0.31879752285002305</v>
      </c>
      <c r="GN21" s="10">
        <f>'Bloom Cleaner Data'!AG21/('Bloom Cleaner Data'!AG21+'Bloom Cleaner Data'!Q21)</f>
        <v>0.28091223579942448</v>
      </c>
      <c r="GO21" s="10">
        <f>'Bloom Cleaner Data'!AH21/('Bloom Cleaner Data'!AH21+'Bloom Cleaner Data'!R21)</f>
        <v>0.26403640782716253</v>
      </c>
      <c r="GP21" s="10">
        <f t="shared" si="50"/>
        <v>0.37025195227815472</v>
      </c>
      <c r="GQ21" s="10">
        <f t="shared" si="51"/>
        <v>-0.46222821771061889</v>
      </c>
      <c r="GR21" s="10"/>
      <c r="GS21" s="496">
        <f t="shared" si="8"/>
        <v>1.0904136047156092</v>
      </c>
      <c r="GT21" s="497">
        <f t="shared" si="9"/>
        <v>1.0825427403132248</v>
      </c>
      <c r="GU21" s="497">
        <f t="shared" si="10"/>
        <v>0.96456809188760995</v>
      </c>
      <c r="GV21" s="497">
        <f t="shared" si="11"/>
        <v>0.93064803480457947</v>
      </c>
      <c r="GW21" s="497">
        <f t="shared" si="12"/>
        <v>0.68007423057978789</v>
      </c>
      <c r="GX21" s="497">
        <f t="shared" si="13"/>
        <v>0.62702110364254304</v>
      </c>
      <c r="GY21" s="497">
        <f t="shared" si="14"/>
        <v>0.56360160727220798</v>
      </c>
      <c r="GZ21" s="497">
        <f t="shared" si="15"/>
        <v>0.66860057729675504</v>
      </c>
      <c r="HA21" s="497">
        <f t="shared" si="16"/>
        <v>0.56340233183749167</v>
      </c>
      <c r="HB21" s="497">
        <f t="shared" si="17"/>
        <v>0.54711070281765983</v>
      </c>
      <c r="HC21" s="497">
        <f t="shared" si="18"/>
        <v>0.58696432749500382</v>
      </c>
      <c r="HD21" s="497">
        <f t="shared" si="19"/>
        <v>0.51819730040506795</v>
      </c>
      <c r="HE21" s="497">
        <f t="shared" si="20"/>
        <v>0.46799231292260113</v>
      </c>
      <c r="HF21" s="497">
        <f t="shared" si="21"/>
        <v>0.39065083538407908</v>
      </c>
      <c r="HG21" s="498">
        <f t="shared" si="22"/>
        <v>0.35876286630922755</v>
      </c>
      <c r="HH21" s="10">
        <f t="shared" si="52"/>
        <v>0.60519956328112423</v>
      </c>
      <c r="HI21" s="10">
        <f t="shared" si="53"/>
        <v>-0.62805853798548616</v>
      </c>
      <c r="HJ21" s="10"/>
      <c r="HK21" s="18">
        <f>('Bloom Cleaner Data'!T21+'OPERATING LEASES'!AU21)/('Bloom Cleaner Data'!T21+'OPERATING LEASES'!AU21+'Bloom Cleaner Data'!D21)</f>
        <v>0.62772176927557632</v>
      </c>
      <c r="HL21" s="18">
        <f>('Bloom Cleaner Data'!U21+'OPERATING LEASES'!AV21)/('Bloom Cleaner Data'!U21+'OPERATING LEASES'!AV21+'Bloom Cleaner Data'!E21)</f>
        <v>0.62824808062908566</v>
      </c>
      <c r="HM21" s="18">
        <f>('Bloom Cleaner Data'!V21+'OPERATING LEASES'!AW21)/('Bloom Cleaner Data'!V21+'OPERATING LEASES'!AW21+'Bloom Cleaner Data'!F21)</f>
        <v>0.60530144993751922</v>
      </c>
      <c r="HN21" s="18">
        <f>('Bloom Cleaner Data'!W21+'OPERATING LEASES'!AX21)/('Bloom Cleaner Data'!W21+'OPERATING LEASES'!AX21+'Bloom Cleaner Data'!G21)</f>
        <v>0.59626489005645689</v>
      </c>
      <c r="HO21" s="18">
        <f>('Bloom Cleaner Data'!X21+'OPERATING LEASES'!AY21)/('Bloom Cleaner Data'!X21+'OPERATING LEASES'!AY21+'Bloom Cleaner Data'!H21)</f>
        <v>0.52286326585817222</v>
      </c>
      <c r="HP21" s="18">
        <f>('Bloom Cleaner Data'!Y21+'OPERATING LEASES'!AZ21)/('Bloom Cleaner Data'!Y21+'OPERATING LEASES'!AZ21+'Bloom Cleaner Data'!I21)</f>
        <v>0.5044564310802967</v>
      </c>
      <c r="HQ21" s="18">
        <f>('Bloom Cleaner Data'!Z21+'OPERATING LEASES'!BA21)/('Bloom Cleaner Data'!Z21+'OPERATING LEASES'!BA21+'Bloom Cleaner Data'!J21)</f>
        <v>0.48150713962887542</v>
      </c>
      <c r="HR21" s="18">
        <f>('Bloom Cleaner Data'!AA21+'OPERATING LEASES'!BB21)/('Bloom Cleaner Data'!AA21+'OPERATING LEASES'!BB21+'Bloom Cleaner Data'!K21)</f>
        <v>0.52800904261181547</v>
      </c>
      <c r="HS21" s="18">
        <f>('Bloom Cleaner Data'!AB21+'OPERATING LEASES'!BC21)/('Bloom Cleaner Data'!AB21+'OPERATING LEASES'!BC21+'Bloom Cleaner Data'!L21)</f>
        <v>0.4945296749708698</v>
      </c>
      <c r="HT21" s="18">
        <f>('Bloom Cleaner Data'!AC21+'OPERATING LEASES'!BD21)/('Bloom Cleaner Data'!AC21+'OPERATING LEASES'!BD21+'Bloom Cleaner Data'!M21)</f>
        <v>0.47141483063757739</v>
      </c>
      <c r="HU21" s="18">
        <f>('Bloom Cleaner Data'!AD21+'OPERATING LEASES'!BE21)/('Bloom Cleaner Data'!AD21+'OPERATING LEASES'!BE21+'Bloom Cleaner Data'!N21)</f>
        <v>0.4873973499699798</v>
      </c>
      <c r="HV21" s="18">
        <f>('Bloom Cleaner Data'!AE21+'OPERATING LEASES'!BF21)/('Bloom Cleaner Data'!AE21+'OPERATING LEASES'!BF21+'Bloom Cleaner Data'!O21)</f>
        <v>0.45752690454446737</v>
      </c>
      <c r="HW21" s="18">
        <f>('Bloom Cleaner Data'!AF21+'OPERATING LEASES'!BG21)/('Bloom Cleaner Data'!AF21+'OPERATING LEASES'!BG21+'Bloom Cleaner Data'!P21)</f>
        <v>0.44076573847172978</v>
      </c>
      <c r="HX21" s="18">
        <f>('Bloom Cleaner Data'!AG21+'OPERATING LEASES'!BH21)/('Bloom Cleaner Data'!AG21+'OPERATING LEASES'!BH21+'Bloom Cleaner Data'!Q21)</f>
        <v>0.39634069249575571</v>
      </c>
      <c r="HY21" s="18">
        <f>('Bloom Cleaner Data'!AH21+'OPERATING LEASES'!BI21)/('Bloom Cleaner Data'!AH21+'OPERATING LEASES'!BI21+'Bloom Cleaner Data'!R21)</f>
        <v>0.37414035756341019</v>
      </c>
      <c r="HZ21" s="10">
        <f t="shared" si="54"/>
        <v>0.48927059752514818</v>
      </c>
      <c r="IA21" s="10">
        <f t="shared" si="55"/>
        <v>-0.38189416595312975</v>
      </c>
      <c r="IB21" s="10">
        <f t="shared" si="23"/>
        <v>0.11901864524699346</v>
      </c>
      <c r="IC21" s="10">
        <f t="shared" si="24"/>
        <v>0.32145312000294263</v>
      </c>
      <c r="IE21" s="502">
        <f t="shared" si="56"/>
        <v>1.6861629756165972</v>
      </c>
      <c r="IF21" s="467">
        <f t="shared" ref="IF21:IF27" si="108">HL21/(1-HL21)</f>
        <v>1.6899659366714743</v>
      </c>
      <c r="IG21" s="467">
        <f t="shared" ref="IG21:IG27" si="109">HM21/(1-HM21)</f>
        <v>1.5335791069962126</v>
      </c>
      <c r="IH21" s="467">
        <f t="shared" ref="IH21:IH27" si="110">HN21/(1-HN21)</f>
        <v>1.4768715312865321</v>
      </c>
      <c r="II21" s="467">
        <f t="shared" ref="II21:II27" si="111">HO21/(1-HO21)</f>
        <v>1.0958352783266365</v>
      </c>
      <c r="IJ21" s="467">
        <f t="shared" ref="IJ21:IJ27" si="112">HP21/(1-HP21)</f>
        <v>1.0179860313393303</v>
      </c>
      <c r="IK21" s="467">
        <f t="shared" ref="IK21:IK27" si="113">HQ21/(1-HQ21)</f>
        <v>0.92866686589324365</v>
      </c>
      <c r="IL21" s="467">
        <f t="shared" ref="IL21:IL27" si="114">HR21/(1-HR21)</f>
        <v>1.1186846577180489</v>
      </c>
      <c r="IM21" s="467">
        <f t="shared" ref="IM21:IM27" si="115">HS21/(1-HS21)</f>
        <v>0.97835550473189536</v>
      </c>
      <c r="IN21" s="467">
        <f t="shared" ref="IN21:IN27" si="116">HT21/(1-HT21)</f>
        <v>0.89184271137647719</v>
      </c>
      <c r="IO21" s="467">
        <f t="shared" ref="IO21:IO27" si="117">HU21/(1-HU21)</f>
        <v>0.95082877535150412</v>
      </c>
      <c r="IP21" s="467">
        <f t="shared" ref="IP21:IP27" si="118">HV21/(1-HV21)</f>
        <v>0.84340939371429458</v>
      </c>
      <c r="IQ21" s="467">
        <f t="shared" ref="IQ21:IQ27" si="119">HW21/(1-HW21)</f>
        <v>0.78815939722149586</v>
      </c>
      <c r="IR21" s="467">
        <f t="shared" ref="IR21:IR27" si="120">HX21/(1-HX21)</f>
        <v>0.65656354100523684</v>
      </c>
      <c r="IS21" s="503">
        <f t="shared" ref="IS21:IS27" si="121">HY21/(1-HY21)</f>
        <v>0.59780233808783556</v>
      </c>
      <c r="IT21" s="10">
        <f t="shared" si="57"/>
        <v>0.9906603948499032</v>
      </c>
      <c r="IU21" s="10">
        <f t="shared" si="58"/>
        <v>-0.61019139126201472</v>
      </c>
      <c r="IV21" s="10">
        <f t="shared" si="59"/>
        <v>0.38546083156877897</v>
      </c>
      <c r="IW21" s="10">
        <f t="shared" si="60"/>
        <v>0.6369152506967799</v>
      </c>
      <c r="IY21" s="15">
        <f>'Bloom Cleaner Data'!T21/'Bloom Cleaner Data'!BU21*'Bloom Cleaner Data'!DA21</f>
        <v>2.8451898881013387</v>
      </c>
      <c r="IZ21" s="15">
        <f>'Bloom Cleaner Data'!U21/'Bloom Cleaner Data'!BV21*'Bloom Cleaner Data'!DB21</f>
        <v>1.9568562773613456</v>
      </c>
      <c r="JA21" s="15">
        <f>'Bloom Cleaner Data'!V21/'Bloom Cleaner Data'!BW21*'Bloom Cleaner Data'!DC21</f>
        <v>1.8072287015392849</v>
      </c>
      <c r="JB21" s="15">
        <f>'Bloom Cleaner Data'!W21/'Bloom Cleaner Data'!BX21*'Bloom Cleaner Data'!DD21</f>
        <v>1.7422170118411813</v>
      </c>
      <c r="JC21" s="15">
        <f>'Bloom Cleaner Data'!X21/'Bloom Cleaner Data'!BY21*'Bloom Cleaner Data'!DE21</f>
        <v>1.6170207467732107</v>
      </c>
      <c r="JD21" s="15">
        <f>'Bloom Cleaner Data'!Y21/'Bloom Cleaner Data'!BZ21*'Bloom Cleaner Data'!DF21</f>
        <v>1.6116132343017484</v>
      </c>
      <c r="JE21" s="15">
        <f>'Bloom Cleaner Data'!Z21/'Bloom Cleaner Data'!CA21*'Bloom Cleaner Data'!DG21</f>
        <v>1.562902406056111</v>
      </c>
      <c r="JF21" s="15">
        <f>'Bloom Cleaner Data'!AA21/'Bloom Cleaner Data'!CB21*'Bloom Cleaner Data'!DH21</f>
        <v>1.5132616733867856</v>
      </c>
      <c r="JG21" s="15">
        <f>'Bloom Cleaner Data'!AB21/'Bloom Cleaner Data'!CC21*'Bloom Cleaner Data'!DI21</f>
        <v>1.3922636866092839</v>
      </c>
      <c r="JH21" s="15">
        <f>'Bloom Cleaner Data'!AC21/'Bloom Cleaner Data'!CD21*'Bloom Cleaner Data'!DJ21</f>
        <v>1.7053284793341326</v>
      </c>
      <c r="JI21" s="15">
        <f>'Bloom Cleaner Data'!AD21/'Bloom Cleaner Data'!CE21*'Bloom Cleaner Data'!DK21</f>
        <v>1.7047499020520605</v>
      </c>
      <c r="JJ21" s="15">
        <f>'Bloom Cleaner Data'!AE21/'Bloom Cleaner Data'!CF21*'Bloom Cleaner Data'!DL21</f>
        <v>1.6851545875484568</v>
      </c>
      <c r="JK21" s="15">
        <f>'Bloom Cleaner Data'!AF21/'Bloom Cleaner Data'!CG21*'Bloom Cleaner Data'!DM21</f>
        <v>1.5595155624118588</v>
      </c>
      <c r="JL21" s="15">
        <f>'Bloom Cleaner Data'!AG21/'Bloom Cleaner Data'!CH21*'Bloom Cleaner Data'!DN21</f>
        <v>1.4422034185942454</v>
      </c>
      <c r="JM21" s="15">
        <f>'Bloom Cleaner Data'!AH21/'Bloom Cleaner Data'!CI21*'Bloom Cleaner Data'!DO21</f>
        <v>1.4763595743655793</v>
      </c>
      <c r="JN21" s="15">
        <f t="shared" si="61"/>
        <v>1.4926928517905613</v>
      </c>
      <c r="JO21" s="15">
        <f t="shared" si="62"/>
        <v>1.5408082857300351</v>
      </c>
      <c r="JP21" s="15">
        <f t="shared" si="63"/>
        <v>1.60152453729338</v>
      </c>
      <c r="JQ21" s="18">
        <f t="shared" si="64"/>
        <v>-0.18308093872783887</v>
      </c>
      <c r="JR21" s="18"/>
      <c r="JS21" s="2024" t="s">
        <v>50</v>
      </c>
      <c r="JT21" s="526">
        <f>('Bloom Cleaner Data'!T21+'OPERATING LEASES'!AU21)/DD21</f>
        <v>3.4540108426122931</v>
      </c>
      <c r="JU21" s="526">
        <f>('Bloom Cleaner Data'!U21+'OPERATING LEASES'!AV21)/DE21</f>
        <v>2.5722102990881019</v>
      </c>
      <c r="JV21" s="526">
        <f>('Bloom Cleaner Data'!V21+'OPERATING LEASES'!AW21)/DF21</f>
        <v>2.4424310935840725</v>
      </c>
      <c r="JW21" s="526">
        <f>('Bloom Cleaner Data'!W21+'OPERATING LEASES'!AX21)/DG21</f>
        <v>2.376254266338083</v>
      </c>
      <c r="JX21" s="526">
        <f>('Bloom Cleaner Data'!X21+'OPERATING LEASES'!AY21)/DH21</f>
        <v>2.2611064846245092</v>
      </c>
      <c r="JY21" s="526">
        <f>('Bloom Cleaner Data'!Y21+'OPERATING LEASES'!AZ21)/DI21</f>
        <v>2.265634262862521</v>
      </c>
      <c r="JZ21" s="526">
        <f>('Bloom Cleaner Data'!Z21+'OPERATING LEASES'!BA21)/DJ21</f>
        <v>2.2276993525463267</v>
      </c>
      <c r="KA21" s="526">
        <f>('Bloom Cleaner Data'!AA21+'OPERATING LEASES'!BB21)/DK21</f>
        <v>2.1883920326349502</v>
      </c>
      <c r="KB21" s="526">
        <f>('Bloom Cleaner Data'!AB21+'OPERATING LEASES'!BC21)/DL21</f>
        <v>2.0877591347530133</v>
      </c>
      <c r="KC21" s="526">
        <f>('Bloom Cleaner Data'!AC21+'OPERATING LEASES'!BD21)/DM21</f>
        <v>2.3849178401937028</v>
      </c>
      <c r="KD21" s="526">
        <f>('Bloom Cleaner Data'!AD21+'OPERATING LEASES'!BE21)/DN21</f>
        <v>2.3747772292440383</v>
      </c>
      <c r="KE21" s="526">
        <f>('Bloom Cleaner Data'!AE21+'OPERATING LEASES'!BF21)/DO21</f>
        <v>2.3583562992736709</v>
      </c>
      <c r="KF21" s="526">
        <f>('Bloom Cleaner Data'!AF21+'OPERATING LEASES'!BG21)/DP21</f>
        <v>2.2555609744296414</v>
      </c>
      <c r="KG21" s="526">
        <f>('Bloom Cleaner Data'!AG21+'OPERATING LEASES'!BH21)/DQ21</f>
        <v>2.1053769724534006</v>
      </c>
      <c r="KH21" s="526">
        <f>('Bloom Cleaner Data'!AH21+'OPERATING LEASES'!BI21)/DR21</f>
        <v>2.136201464388483</v>
      </c>
      <c r="KI21" s="15">
        <f t="shared" si="65"/>
        <v>2.1657131370905085</v>
      </c>
      <c r="KJ21" s="15">
        <f t="shared" si="66"/>
        <v>2.2138739276362989</v>
      </c>
      <c r="KK21" s="15">
        <f t="shared" si="67"/>
        <v>2.2664974928712622</v>
      </c>
      <c r="KL21" s="18">
        <f t="shared" si="68"/>
        <v>-0.12537902502142731</v>
      </c>
      <c r="KM21" s="15">
        <f t="shared" si="69"/>
        <v>0.66497295557788227</v>
      </c>
      <c r="KN21" s="18"/>
      <c r="KO21" s="15">
        <f t="shared" si="70"/>
        <v>3.4540108426122931</v>
      </c>
      <c r="KP21" s="15">
        <f t="shared" ref="KP21:KP27" si="122">$KO$1*JU21+(1-$KO$1)*IZ21</f>
        <v>2.5722102990881019</v>
      </c>
      <c r="KQ21" s="15">
        <f t="shared" ref="KQ21:KQ27" si="123">$KO$1*JV21+(1-$KO$1)*JA21</f>
        <v>2.4424310935840725</v>
      </c>
      <c r="KR21" s="15">
        <f t="shared" ref="KR21:KR27" si="124">$KO$1*JW21+(1-$KO$1)*JB21</f>
        <v>2.376254266338083</v>
      </c>
      <c r="KS21" s="15">
        <f t="shared" ref="KS21:KS27" si="125">$KO$1*JX21+(1-$KO$1)*JC21</f>
        <v>2.2611064846245092</v>
      </c>
      <c r="KT21" s="15">
        <f t="shared" ref="KT21:KT27" si="126">$KO$1*JY21+(1-$KO$1)*JD21</f>
        <v>2.265634262862521</v>
      </c>
      <c r="KU21" s="15">
        <f t="shared" ref="KU21:KU27" si="127">$KO$1*JZ21+(1-$KO$1)*JE21</f>
        <v>2.2276993525463267</v>
      </c>
      <c r="KV21" s="15">
        <f t="shared" ref="KV21:KV27" si="128">$KO$1*KA21+(1-$KO$1)*JF21</f>
        <v>2.1883920326349502</v>
      </c>
      <c r="KW21" s="15">
        <f t="shared" ref="KW21:KW27" si="129">$KO$1*KB21+(1-$KO$1)*JG21</f>
        <v>2.0877591347530133</v>
      </c>
      <c r="KX21" s="15">
        <f t="shared" ref="KX21:KX27" si="130">$KO$1*KC21+(1-$KO$1)*JH21</f>
        <v>2.3849178401937028</v>
      </c>
      <c r="KY21" s="15">
        <f t="shared" ref="KY21:KY27" si="131">$KO$1*KD21+(1-$KO$1)*JI21</f>
        <v>2.3747772292440383</v>
      </c>
      <c r="KZ21" s="15">
        <f t="shared" ref="KZ21:KZ27" si="132">$KO$1*KE21+(1-$KO$1)*JJ21</f>
        <v>2.3583562992736709</v>
      </c>
      <c r="LA21" s="15">
        <f t="shared" ref="LA21:LA27" si="133">$KO$1*KF21+(1-$KO$1)*JK21</f>
        <v>2.2555609744296414</v>
      </c>
      <c r="LB21" s="15">
        <f t="shared" ref="LB21:LB27" si="134">$KO$1*KG21+(1-$KO$1)*JL21</f>
        <v>2.1053769724534006</v>
      </c>
      <c r="LC21" s="15">
        <f t="shared" ref="LC21:LC27" si="135">$KO$1*KH21+(1-$KO$1)*JM21</f>
        <v>2.136201464388483</v>
      </c>
      <c r="LD21" s="15">
        <f t="shared" si="85"/>
        <v>2.1657131370905085</v>
      </c>
      <c r="LE21" s="15">
        <f t="shared" si="86"/>
        <v>2.2138739276362989</v>
      </c>
      <c r="LF21" s="526">
        <f t="shared" si="87"/>
        <v>2.2664974928712622</v>
      </c>
      <c r="LG21" s="10">
        <f t="shared" si="88"/>
        <v>-0.12537902502142731</v>
      </c>
      <c r="LH21" s="18"/>
      <c r="LI21" s="15">
        <f>('Bloom Cleaner Data'!T21+'Bloom Cleaner Data'!EY21)/'Bloom Cleaner Data'!GV21</f>
        <v>2.9212311530742543</v>
      </c>
      <c r="LJ21" s="15">
        <f>('Bloom Cleaner Data'!U21+'Bloom Cleaner Data'!EZ21)/'Bloom Cleaner Data'!GW21</f>
        <v>2.216744260049416</v>
      </c>
      <c r="LK21" s="15">
        <f>('Bloom Cleaner Data'!V21+'Bloom Cleaner Data'!FA21)/'Bloom Cleaner Data'!GX21</f>
        <v>1.8499845276975124</v>
      </c>
      <c r="LL21" s="15">
        <f>('Bloom Cleaner Data'!W21+'Bloom Cleaner Data'!FB21)/'Bloom Cleaner Data'!GY21</f>
        <v>1.7894343670582422</v>
      </c>
      <c r="LM21" s="15">
        <f>('Bloom Cleaner Data'!X21+'Bloom Cleaner Data'!FC21)/'Bloom Cleaner Data'!GZ21</f>
        <v>1.6620980386031912</v>
      </c>
      <c r="LN21" s="15">
        <f>('Bloom Cleaner Data'!Y21+'Bloom Cleaner Data'!FD21)/'Bloom Cleaner Data'!HA21</f>
        <v>1.6712459820605419</v>
      </c>
      <c r="LO21" s="15">
        <f>('Bloom Cleaner Data'!Z21+'Bloom Cleaner Data'!FE21)/'Bloom Cleaner Data'!HB21</f>
        <v>1.6019032114789218</v>
      </c>
      <c r="LP21" s="15">
        <f>('Bloom Cleaner Data'!AA21+'Bloom Cleaner Data'!FF21)/'Bloom Cleaner Data'!HC21</f>
        <v>1.5719282203169334</v>
      </c>
      <c r="LQ21" s="15">
        <f>('Bloom Cleaner Data'!AB21+'Bloom Cleaner Data'!FG21)/'Bloom Cleaner Data'!HD21</f>
        <v>1.4393828714108181</v>
      </c>
      <c r="LR21" s="15">
        <f>('Bloom Cleaner Data'!AC21+'Bloom Cleaner Data'!FH21)/'Bloom Cleaner Data'!HE21</f>
        <v>1.7638706621447109</v>
      </c>
      <c r="LS21" s="15">
        <f>('Bloom Cleaner Data'!AD21+'Bloom Cleaner Data'!FI21)/'Bloom Cleaner Data'!HF21</f>
        <v>1.7636560128823304</v>
      </c>
      <c r="LT21" s="15">
        <f>('Bloom Cleaner Data'!AE21+'Bloom Cleaner Data'!FJ21)/'Bloom Cleaner Data'!HG21</f>
        <v>1.7408192797128297</v>
      </c>
      <c r="LU21" s="15">
        <f>('Bloom Cleaner Data'!AF21+'Bloom Cleaner Data'!FK21)/'Bloom Cleaner Data'!HH21</f>
        <v>1.6584161383017479</v>
      </c>
      <c r="LV21" s="15">
        <f>('Bloom Cleaner Data'!AG21+'Bloom Cleaner Data'!FL21)/'Bloom Cleaner Data'!HI21</f>
        <v>1.5979168982368117</v>
      </c>
      <c r="LW21" s="15">
        <f>('Bloom Cleaner Data'!AH21+'Bloom Cleaner Data'!FM21)/'Bloom Cleaner Data'!HJ21</f>
        <v>1.5359678243656993</v>
      </c>
      <c r="LX21" s="15">
        <f t="shared" si="89"/>
        <v>5.9608250000120044E-2</v>
      </c>
      <c r="LY21" s="15">
        <f t="shared" si="90"/>
        <v>1.5974336203014197</v>
      </c>
      <c r="LZ21" s="15">
        <f t="shared" si="27"/>
        <v>0.10474076851085834</v>
      </c>
      <c r="MA21" s="15">
        <f t="shared" si="91"/>
        <v>1.6332800351542722</v>
      </c>
      <c r="MB21" s="15">
        <f t="shared" si="92"/>
        <v>1.6651249257130993</v>
      </c>
      <c r="MC21" s="18">
        <f t="shared" si="93"/>
        <v>-0.16974017816388862</v>
      </c>
      <c r="MD21" s="15">
        <f t="shared" si="28"/>
        <v>6.3600388419719378E-2</v>
      </c>
      <c r="ME21" s="18"/>
      <c r="MF21" s="2024" t="s">
        <v>50</v>
      </c>
      <c r="MG21" s="15">
        <f>JT21+'Bloom Cleaner Data'!EY21/CALCULATIONS!DD21</f>
        <v>3.5137079771337869</v>
      </c>
      <c r="MH21" s="15">
        <f>JU21+'Bloom Cleaner Data'!EZ21/CALCULATIONS!DE21</f>
        <v>2.7910372666231398</v>
      </c>
      <c r="MI21" s="15">
        <f>JV21+'Bloom Cleaner Data'!FA21/CALCULATIONS!DF21</f>
        <v>2.4787749673678006</v>
      </c>
      <c r="MJ21" s="15">
        <f>JW21+'Bloom Cleaner Data'!FB21/CALCULATIONS!DG21</f>
        <v>2.4168364173394337</v>
      </c>
      <c r="MK21" s="15">
        <f>JX21+'Bloom Cleaner Data'!FC21/CALCULATIONS!DH21</f>
        <v>2.3002242719454209</v>
      </c>
      <c r="ML21" s="15">
        <f>JY21+'Bloom Cleaner Data'!FD21/CALCULATIONS!DI21</f>
        <v>2.3172704468262855</v>
      </c>
      <c r="MM21" s="15">
        <f>JZ21+'Bloom Cleaner Data'!FE21/CALCULATIONS!DJ21</f>
        <v>2.2614366715167389</v>
      </c>
      <c r="MN21" s="15">
        <f>KA21+'Bloom Cleaner Data'!FF21/CALCULATIONS!DK21</f>
        <v>2.2390981881639278</v>
      </c>
      <c r="MO21" s="15">
        <f>KB21+'Bloom Cleaner Data'!FG21/CALCULATIONS!DL21</f>
        <v>2.1284482842468258</v>
      </c>
      <c r="MP21" s="15">
        <f>KC21+'Bloom Cleaner Data'!FH21/CALCULATIONS!DM21</f>
        <v>2.4351429890149059</v>
      </c>
      <c r="MQ21" s="15">
        <f>KD21+'Bloom Cleaner Data'!FI21/CALCULATIONS!DN21</f>
        <v>2.4254333517530675</v>
      </c>
      <c r="MR21" s="15">
        <f>KE21+'Bloom Cleaner Data'!FJ21/CALCULATIONS!DO21</f>
        <v>2.406219991336596</v>
      </c>
      <c r="MS21" s="15">
        <f>KF21+'Bloom Cleaner Data'!FK21/CALCULATIONS!DP21</f>
        <v>2.34049629708145</v>
      </c>
      <c r="MT21" s="15">
        <f>KG21+'Bloom Cleaner Data'!FL21/CALCULATIONS!DQ21</f>
        <v>2.2406283048932116</v>
      </c>
      <c r="MU21" s="15">
        <f>KH21+'Bloom Cleaner Data'!FM21/CALCULATIONS!DR21</f>
        <v>2.1879628997875771</v>
      </c>
      <c r="MV21" s="15">
        <f t="shared" si="29"/>
        <v>5.1761435399094058E-2</v>
      </c>
      <c r="MW21" s="15">
        <f t="shared" si="94"/>
        <v>2.2563625005874126</v>
      </c>
      <c r="MX21" s="15">
        <f t="shared" si="30"/>
        <v>9.0649363496904112E-2</v>
      </c>
      <c r="MY21" s="15">
        <f t="shared" si="95"/>
        <v>2.2938268732747087</v>
      </c>
      <c r="MZ21" s="15">
        <f t="shared" si="96"/>
        <v>2.3213825447133263</v>
      </c>
      <c r="NA21" s="18">
        <f t="shared" si="97"/>
        <v>-0.11732088285893714</v>
      </c>
      <c r="NB21" s="15">
        <f t="shared" si="31"/>
        <v>5.4885051842064048E-2</v>
      </c>
      <c r="NC21" s="15"/>
      <c r="ND21" s="13">
        <f>'Bloom Cleaner Data'!GF21+('Bloom Cleaner Data'!T21+'Bloom Cleaner Data'!EY21)+'Bloom Cleaner Data'!CK21</f>
        <v>8145.9999999999982</v>
      </c>
      <c r="NE21" s="13">
        <f>'Bloom Cleaner Data'!GG21+('Bloom Cleaner Data'!U21+'Bloom Cleaner Data'!EZ21)+'Bloom Cleaner Data'!CL21</f>
        <v>9782.9999999999982</v>
      </c>
      <c r="NF21" s="13">
        <f>'Bloom Cleaner Data'!GH21+('Bloom Cleaner Data'!V21+'Bloom Cleaner Data'!FA21)+'Bloom Cleaner Data'!CM21</f>
        <v>8232</v>
      </c>
      <c r="NG21" s="13">
        <f>'Bloom Cleaner Data'!GI21+('Bloom Cleaner Data'!W21+'Bloom Cleaner Data'!FB21)+'Bloom Cleaner Data'!CN21</f>
        <v>10090.000000000002</v>
      </c>
      <c r="NH21" s="13">
        <f>'Bloom Cleaner Data'!GJ21+('Bloom Cleaner Data'!X21+'Bloom Cleaner Data'!FC21)+'Bloom Cleaner Data'!CO21</f>
        <v>10385</v>
      </c>
      <c r="NI21" s="13">
        <f>'Bloom Cleaner Data'!GK21+('Bloom Cleaner Data'!Y21+'Bloom Cleaner Data'!FD21)+'Bloom Cleaner Data'!CP21</f>
        <v>11814</v>
      </c>
      <c r="NJ21" s="13">
        <f>'Bloom Cleaner Data'!GL21+('Bloom Cleaner Data'!Z21+'Bloom Cleaner Data'!FE21)+'Bloom Cleaner Data'!CQ21</f>
        <v>11530</v>
      </c>
      <c r="NK21" s="13">
        <f>'Bloom Cleaner Data'!GM21+('Bloom Cleaner Data'!AA21+'Bloom Cleaner Data'!FF21)+'Bloom Cleaner Data'!CR21</f>
        <v>10873</v>
      </c>
      <c r="NL21" s="13">
        <f>'Bloom Cleaner Data'!GN21+('Bloom Cleaner Data'!AB21+'Bloom Cleaner Data'!FG21)+'Bloom Cleaner Data'!CS21</f>
        <v>8977.9999999999982</v>
      </c>
      <c r="NM21" s="13">
        <f>'Bloom Cleaner Data'!GO21+('Bloom Cleaner Data'!AC21+'Bloom Cleaner Data'!FH21)+'Bloom Cleaner Data'!CT21</f>
        <v>11281</v>
      </c>
      <c r="NN21" s="13">
        <f>'Bloom Cleaner Data'!GP21+('Bloom Cleaner Data'!AD21+'Bloom Cleaner Data'!FI21)+'Bloom Cleaner Data'!CU21</f>
        <v>11718</v>
      </c>
      <c r="NO21" s="13">
        <f>'Bloom Cleaner Data'!GQ21+('Bloom Cleaner Data'!AE21+'Bloom Cleaner Data'!FJ21)+'Bloom Cleaner Data'!CV21</f>
        <v>10313</v>
      </c>
      <c r="NP21" s="13">
        <f>'Bloom Cleaner Data'!GR21+('Bloom Cleaner Data'!AF21+'Bloom Cleaner Data'!FK21)+'Bloom Cleaner Data'!CW21</f>
        <v>8837</v>
      </c>
      <c r="NQ21" s="13">
        <f>'Bloom Cleaner Data'!GS21+('Bloom Cleaner Data'!AG21+'Bloom Cleaner Data'!FL21)+'Bloom Cleaner Data'!CX21</f>
        <v>9220</v>
      </c>
      <c r="NR21" s="13">
        <f>'Bloom Cleaner Data'!GT21+('Bloom Cleaner Data'!AH21+'Bloom Cleaner Data'!FM21)+'Bloom Cleaner Data'!CY21</f>
        <v>9711</v>
      </c>
      <c r="NS21" s="168"/>
      <c r="NT21" s="2024" t="s">
        <v>50</v>
      </c>
      <c r="NU21" s="998">
        <f>('Bloom Cleaner Data'!T21+'Bloom Cleaner Data'!EY21+'OPERATING LEASES'!BL21)/CALCULATIONS!ND21</f>
        <v>1.5731822805233071</v>
      </c>
      <c r="NV21" s="998">
        <f>('Bloom Cleaner Data'!U21+'Bloom Cleaner Data'!EZ21+'OPERATING LEASES'!BM21)/CALCULATIONS!NE21</f>
        <v>1.3731326937398698</v>
      </c>
      <c r="NW21" s="998">
        <f>('Bloom Cleaner Data'!V21+'Bloom Cleaner Data'!FA21+'OPERATING LEASES'!BN21)/CALCULATIONS!NF21</f>
        <v>1.3932909898653341</v>
      </c>
      <c r="NX21" s="998">
        <f>('Bloom Cleaner Data'!W21+'Bloom Cleaner Data'!FB21+'OPERATING LEASES'!BO21)/CALCULATIONS!NG21</f>
        <v>1.1231700410590397</v>
      </c>
      <c r="NY21" s="998">
        <f>('Bloom Cleaner Data'!X21+'Bloom Cleaner Data'!FC21+'OPERATING LEASES'!BP21)/CALCULATIONS!NH21</f>
        <v>1.0310062590274434</v>
      </c>
      <c r="NZ21" s="998">
        <f>('Bloom Cleaner Data'!Y21+'Bloom Cleaner Data'!FD21+'OPERATING LEASES'!BQ21)/CALCULATIONS!NI21</f>
        <v>0.90981303961401727</v>
      </c>
      <c r="OA21" s="998">
        <f>('Bloom Cleaner Data'!Z21+'Bloom Cleaner Data'!FE21+'OPERATING LEASES'!BR21)/CALCULATIONS!NJ21</f>
        <v>0.90304098005203814</v>
      </c>
      <c r="OB21" s="998">
        <f>('Bloom Cleaner Data'!AA21+'Bloom Cleaner Data'!FF21+'OPERATING LEASES'!BS21)/CALCULATIONS!NK21</f>
        <v>0.94864285385818081</v>
      </c>
      <c r="OC21" s="998">
        <f>('Bloom Cleaner Data'!AB21+'Bloom Cleaner Data'!FG21+'OPERATING LEASES'!BT21)/CALCULATIONS!NL21</f>
        <v>1.0686260859879708</v>
      </c>
      <c r="OD21" s="998">
        <f>('Bloom Cleaner Data'!AC21+'Bloom Cleaner Data'!FH21+'OPERATING LEASES'!BU21)/CALCULATIONS!NM21</f>
        <v>0.96704913128268766</v>
      </c>
      <c r="OE21" s="998">
        <f>('Bloom Cleaner Data'!AD21+'Bloom Cleaner Data'!FI21+'OPERATING LEASES'!BV21)/CALCULATIONS!NN21</f>
        <v>0.93219299368492914</v>
      </c>
      <c r="OF21" s="998">
        <f>('Bloom Cleaner Data'!AE21+'Bloom Cleaner Data'!FJ21+'OPERATING LEASES'!BW21)/CALCULATIONS!NO21</f>
        <v>1.0313772665567731</v>
      </c>
      <c r="OG21" s="998">
        <f>('Bloom Cleaner Data'!AF21+'Bloom Cleaner Data'!FK21+'OPERATING LEASES'!BX21)/CALCULATIONS!NP21</f>
        <v>1.1262589113952699</v>
      </c>
      <c r="OH21" s="998">
        <f>('Bloom Cleaner Data'!AG21+'Bloom Cleaner Data'!FL21+'OPERATING LEASES'!BY21)/CALCULATIONS!NQ21</f>
        <v>1.1257863340563992</v>
      </c>
      <c r="OI21" s="998">
        <f>('Bloom Cleaner Data'!AH21+'Bloom Cleaner Data'!FM21+'OPERATING LEASES'!BZ21)/CALCULATIONS!NR21</f>
        <v>1.0291164658634537</v>
      </c>
      <c r="OJ21" s="18">
        <f t="shared" si="98"/>
        <v>1.0937205704383743</v>
      </c>
      <c r="OK21" s="18">
        <f t="shared" si="99"/>
        <v>1.0781347444679739</v>
      </c>
      <c r="OL21" s="18">
        <f t="shared" si="100"/>
        <v>1.0453362578695029</v>
      </c>
      <c r="OM21" s="10">
        <f t="shared" si="101"/>
        <v>-0.26137721886587306</v>
      </c>
      <c r="ON21" s="10"/>
      <c r="OO21" s="2710"/>
      <c r="OP21" s="526">
        <f>'Bloom Cleaner Data'!D21/'Bloom Cleaner Data'!GF21</f>
        <v>-2.9120070951585979</v>
      </c>
      <c r="OQ21" s="526">
        <f>'Bloom Cleaner Data'!E21/'Bloom Cleaner Data'!GG21</f>
        <v>-3.8459140517897947</v>
      </c>
      <c r="OR21" s="526">
        <f>'Bloom Cleaner Data'!F21/'Bloom Cleaner Data'!GH21</f>
        <v>-4.6965218777679363</v>
      </c>
      <c r="OS21" s="526">
        <f>'Bloom Cleaner Data'!G21/'Bloom Cleaner Data'!GI21</f>
        <v>-34.161628930817606</v>
      </c>
      <c r="OT21" s="526">
        <f>'Bloom Cleaner Data'!H21/'Bloom Cleaner Data'!GJ21</f>
        <v>25.372190415913199</v>
      </c>
      <c r="OU21" s="526">
        <f>'Bloom Cleaner Data'!I21/'Bloom Cleaner Data'!GK21</f>
        <v>7.7543195284469508</v>
      </c>
      <c r="OV21" s="526">
        <f>'Bloom Cleaner Data'!J21/'Bloom Cleaner Data'!GL21</f>
        <v>8.2329436090225556</v>
      </c>
      <c r="OW21" s="526">
        <f>'Bloom Cleaner Data'!K21/'Bloom Cleaner Data'!GM21</f>
        <v>9.1050776129467295</v>
      </c>
      <c r="OX21" s="526">
        <f>'Bloom Cleaner Data'!L21/'Bloom Cleaner Data'!GN21</f>
        <v>45.950368730650155</v>
      </c>
      <c r="OY21" s="526">
        <f>'Bloom Cleaner Data'!M21/'Bloom Cleaner Data'!GO21</f>
        <v>13.473616207951071</v>
      </c>
      <c r="OZ21" s="526">
        <f>'Bloom Cleaner Data'!N21/'Bloom Cleaner Data'!GP21</f>
        <v>9.585437136204888</v>
      </c>
      <c r="PA21" s="526">
        <f>'Bloom Cleaner Data'!O21/'Bloom Cleaner Data'!GQ21</f>
        <v>31.48831091854419</v>
      </c>
      <c r="PB21" s="526">
        <f>'Bloom Cleaner Data'!P21/'Bloom Cleaner Data'!GR21</f>
        <v>-79.80150570175438</v>
      </c>
      <c r="PC21" s="526">
        <f>'Bloom Cleaner Data'!Q21/'Bloom Cleaner Data'!GS21</f>
        <v>-83.614622519083966</v>
      </c>
      <c r="PD21" s="526">
        <f>'Bloom Cleaner Data'!R21/'Bloom Cleaner Data'!GT21</f>
        <v>39.625784878048783</v>
      </c>
      <c r="PE21" s="526">
        <f t="shared" si="102"/>
        <v>-0.89894076859195104</v>
      </c>
      <c r="PF21" s="10">
        <f t="shared" si="103"/>
        <v>-9.4372618523564267</v>
      </c>
      <c r="PG21" s="526">
        <f t="shared" si="104"/>
        <v>-2.8477384125874075</v>
      </c>
      <c r="PH21" s="18"/>
      <c r="PI21" s="2710"/>
      <c r="PJ21" s="526">
        <f>CALCULATIONS!DD21/'Bloom Cleaner Data'!GF21</f>
        <v>-1.4215701027955392</v>
      </c>
      <c r="PK21" s="526">
        <f>CALCULATIONS!DE21/'Bloom Cleaner Data'!GG21</f>
        <v>-2.5268010726786638</v>
      </c>
      <c r="PL21" s="526">
        <f>CALCULATIONS!DF21/'Bloom Cleaner Data'!GH21</f>
        <v>-2.9489011363372608</v>
      </c>
      <c r="PM21" s="526">
        <f>CALCULATIONS!DG21/'Bloom Cleaner Data'!GI21</f>
        <v>-21.231876548315796</v>
      </c>
      <c r="PN21" s="526">
        <f>CALCULATIONS!DH21/'Bloom Cleaner Data'!GJ21</f>
        <v>12.296520104313391</v>
      </c>
      <c r="PO21" s="526">
        <f>CALCULATIONS!DI21/'Bloom Cleaner Data'!GK21</f>
        <v>3.484140883589637</v>
      </c>
      <c r="PP21" s="526">
        <f>CALCULATIONS!DJ21/'Bloom Cleaner Data'!GL21</f>
        <v>3.4320887734368499</v>
      </c>
      <c r="PQ21" s="526">
        <f>CALCULATIONS!DK21/'Bloom Cleaner Data'!GM21</f>
        <v>4.6544268490465113</v>
      </c>
      <c r="PR21" s="526">
        <f>CALCULATIONS!DL21/'Bloom Cleaner Data'!GN21</f>
        <v>21.533037716733684</v>
      </c>
      <c r="PS21" s="526">
        <f>CALCULATIONS!DM21/'Bloom Cleaner Data'!GO21</f>
        <v>5.038473950100169</v>
      </c>
      <c r="PT21" s="526">
        <f>CALCULATIONS!DN21/'Bloom Cleaner Data'!GP21</f>
        <v>3.8378797561267732</v>
      </c>
      <c r="PU21" s="526">
        <f>CALCULATIONS!DO21/'Bloom Cleaner Data'!GQ21</f>
        <v>11.26103686244346</v>
      </c>
      <c r="PV21" s="526">
        <f>CALCULATIONS!DP21/'Bloom Cleaner Data'!GR21</f>
        <v>-27.884995060781691</v>
      </c>
      <c r="PW21" s="526">
        <f>CALCULATIONS!DQ21/'Bloom Cleaner Data'!GS21</f>
        <v>-26.075288824391794</v>
      </c>
      <c r="PX21" s="526">
        <f>CALCULATIONS!DR21/'Bloom Cleaner Data'!GT21</f>
        <v>11.089022848996263</v>
      </c>
      <c r="PY21" s="526">
        <f t="shared" si="105"/>
        <v>-0.11649490961844619</v>
      </c>
      <c r="PZ21" s="526">
        <f t="shared" si="106"/>
        <v>0.76507587463447024</v>
      </c>
      <c r="QA21" s="18"/>
      <c r="QC21" s="15">
        <f>'Bloom Cleaner Data'!HZ21</f>
        <v>8.2772000000000006</v>
      </c>
      <c r="QD21" s="15">
        <f>AVERAGE('Bloom Cleaner Data'!HN21:HZ21)</f>
        <v>8.9210230769230758</v>
      </c>
      <c r="QE21" s="504">
        <f>('Bloom Cleaner Data'!HZ21-'Bloom Cleaner Data'!HN21)/'Bloom Cleaner Data'!HN21</f>
        <v>-0.11193605493267514</v>
      </c>
      <c r="QF21" s="15">
        <f>'Bloom Cleaner Data'!HZ21-'Bloom Cleaner Data'!HL21</f>
        <v>1.983200000000001</v>
      </c>
    </row>
    <row r="22" spans="1:450">
      <c r="A22" s="11" t="s">
        <v>32</v>
      </c>
      <c r="B22" s="83" t="s">
        <v>279</v>
      </c>
      <c r="C22" s="1207" t="s">
        <v>32</v>
      </c>
      <c r="D22" s="236" t="s">
        <v>64</v>
      </c>
      <c r="E22" s="13">
        <f>'Bloom Cleaner Data'!D22*'Bloom Cleaner Data'!D46</f>
        <v>90254.080086500006</v>
      </c>
      <c r="G22" s="13">
        <f>'Bloom Cleaner Data'!F22*'Bloom Cleaner Data'!F46</f>
        <v>99246.950977300003</v>
      </c>
      <c r="H22" s="13">
        <f>'Bloom Cleaner Data'!H22*'Bloom Cleaner Data'!H46</f>
        <v>101177.32265927999</v>
      </c>
      <c r="I22" s="13">
        <f>'Bloom Cleaner Data'!J22*'Bloom Cleaner Data'!J46</f>
        <v>96797.953652850003</v>
      </c>
      <c r="J22" s="13">
        <f>'Bloom Cleaner Data'!L22*'Bloom Cleaner Data'!L46</f>
        <v>101425.24772559275</v>
      </c>
      <c r="K22" s="13">
        <f>'Bloom Cleaner Data'!N22*'Bloom Cleaner Data'!N46</f>
        <v>106617.25853855044</v>
      </c>
      <c r="L22" s="13">
        <f>'Bloom Cleaner Data'!P22*'Bloom Cleaner Data'!P46</f>
        <v>109445.15877078001</v>
      </c>
      <c r="M22" s="13">
        <f>'Bloom Cleaner Data'!R22*'Bloom Cleaner Data'!R46</f>
        <v>106720.85775234729</v>
      </c>
      <c r="N22" s="13">
        <f t="shared" si="0"/>
        <v>103061.53572524291</v>
      </c>
      <c r="O22" s="13">
        <f t="shared" si="32"/>
        <v>107594.42502055924</v>
      </c>
      <c r="P22" s="10">
        <f t="shared" si="1"/>
        <v>7.5306160052783275E-2</v>
      </c>
      <c r="Q22" s="18">
        <f>('Bloom Cleaner Data'!R22-'Bloom Cleaner Data'!F22)/'Bloom Cleaner Data'!F22</f>
        <v>0.1234716580930814</v>
      </c>
      <c r="R22" s="10">
        <f t="shared" si="33"/>
        <v>0.17708173895842222</v>
      </c>
      <c r="S22" s="1363" t="s">
        <v>279</v>
      </c>
      <c r="T22" s="1322">
        <f>'Bloom Cleaner Data'!D22/'Bloom Cleaner Data'!$F22</f>
        <v>0.98520496394155388</v>
      </c>
      <c r="U22" s="1322">
        <f>'Bloom Cleaner Data'!E22/'Bloom Cleaner Data'!$F22</f>
        <v>0.98520496394155388</v>
      </c>
      <c r="V22" s="1322">
        <f>'Bloom Cleaner Data'!F22/'Bloom Cleaner Data'!$F22</f>
        <v>1</v>
      </c>
      <c r="W22" s="1322">
        <f>'Bloom Cleaner Data'!G22/'Bloom Cleaner Data'!$F22</f>
        <v>1.0147950360584461</v>
      </c>
      <c r="X22" s="1322">
        <f>'Bloom Cleaner Data'!H22/'Bloom Cleaner Data'!$F22</f>
        <v>1.0676083697816543</v>
      </c>
      <c r="Y22" s="1322">
        <f>'Bloom Cleaner Data'!I22/'Bloom Cleaner Data'!$F22</f>
        <v>1.120421703504862</v>
      </c>
      <c r="Z22" s="1322">
        <f>'Bloom Cleaner Data'!J22/'Bloom Cleaner Data'!$F22</f>
        <v>1.0762046228931996</v>
      </c>
      <c r="AA22" s="1322">
        <f>'Bloom Cleaner Data'!K22/'Bloom Cleaner Data'!$F22</f>
        <v>1.0319875422815368</v>
      </c>
      <c r="AB22" s="1322">
        <f>'Bloom Cleaner Data'!L22/'Bloom Cleaner Data'!$F22</f>
        <v>1.0420875776264942</v>
      </c>
      <c r="AC22" s="1322">
        <f>'Bloom Cleaner Data'!M22/'Bloom Cleaner Data'!$F22</f>
        <v>1.0521876129714518</v>
      </c>
      <c r="AD22" s="1322">
        <f>'Bloom Cleaner Data'!N22/'Bloom Cleaner Data'!$F22</f>
        <v>1.0579816743820289</v>
      </c>
      <c r="AE22" s="1322">
        <f>'Bloom Cleaner Data'!O22/'Bloom Cleaner Data'!$F22</f>
        <v>1.0637757357926059</v>
      </c>
      <c r="AF22" s="1322">
        <f>'Bloom Cleaner Data'!P22/'Bloom Cleaner Data'!$F22</f>
        <v>1.0936236969428437</v>
      </c>
      <c r="AG22" s="1322">
        <f>'Bloom Cleaner Data'!Q22/'Bloom Cleaner Data'!$F22</f>
        <v>1.1234716580930815</v>
      </c>
      <c r="AH22" s="1322">
        <f>'Bloom Cleaner Data'!R22/'Bloom Cleaner Data'!$F22</f>
        <v>1.1234716580930815</v>
      </c>
      <c r="AI22" s="13"/>
      <c r="AJ22" s="13">
        <f>AVERAGE('Bloom Cleaner Data'!BW22:CI22)</f>
        <v>115682.86421153847</v>
      </c>
      <c r="AK22" s="18">
        <f>('Bloom Cleaner Data'!CI22-'Bloom Cleaner Data'!BW22)/'Bloom Cleaner Data'!BW22</f>
        <v>6.0084264955185915E-2</v>
      </c>
      <c r="AL22" s="18">
        <f>('Bloom Cleaner Data'!CI22+'Bloom Cleaner Data'!CH22-'Bloom Cleaner Data'!BW22-'Bloom Cleaner Data'!BV22)/('Bloom Cleaner Data'!BW22+'Bloom Cleaner Data'!BV22)</f>
        <v>6.5231021284097968E-2</v>
      </c>
      <c r="AM22" s="13"/>
      <c r="AN22" s="13">
        <f>'Bloom Cleaner Data'!BW22*'Bloom Cleaner Data'!BW46</f>
        <v>139250.46522730001</v>
      </c>
      <c r="AO22" s="13">
        <f>'Bloom Cleaner Data'!BY22*'Bloom Cleaner Data'!BY46</f>
        <v>138545.86265927998</v>
      </c>
      <c r="AP22" s="13">
        <f>'Bloom Cleaner Data'!CA22*'Bloom Cleaner Data'!CA46</f>
        <v>130661.08365285001</v>
      </c>
      <c r="AQ22" s="13">
        <f>'Bloom Cleaner Data'!CC22*'Bloom Cleaner Data'!CC46</f>
        <v>135724.52818794074</v>
      </c>
      <c r="AR22" s="13">
        <f>'Bloom Cleaner Data'!CE22*'Bloom Cleaner Data'!CE46</f>
        <v>137355.53701511765</v>
      </c>
      <c r="AS22" s="13">
        <f>'Bloom Cleaner Data'!CG22*'Bloom Cleaner Data'!CG46</f>
        <v>141235.95162078002</v>
      </c>
      <c r="AT22" s="13">
        <f>'Bloom Cleaner Data'!CI22*'Bloom Cleaner Data'!CI46</f>
        <v>141288.57854166534</v>
      </c>
      <c r="AU22" s="13">
        <f t="shared" si="2"/>
        <v>137723.14384356196</v>
      </c>
      <c r="AV22" s="10">
        <f t="shared" si="3"/>
        <v>1.4636312424798681E-2</v>
      </c>
      <c r="AW22" s="10"/>
      <c r="AX22" s="13">
        <f>'Bloom Cleaner Data'!T22+'OPERATING LEASES'!AU22</f>
        <v>37611.448440713102</v>
      </c>
      <c r="AY22" s="13">
        <f>'Bloom Cleaner Data'!U22+'OPERATING LEASES'!AV22</f>
        <v>37667.568137933697</v>
      </c>
      <c r="AZ22" s="13">
        <f>'Bloom Cleaner Data'!V22+'OPERATING LEASES'!AW22</f>
        <v>37749.687835154284</v>
      </c>
      <c r="BA22" s="13">
        <f>'Bloom Cleaner Data'!W22+'OPERATING LEASES'!AX22</f>
        <v>37831.807532374871</v>
      </c>
      <c r="BB22" s="13">
        <f>'Bloom Cleaner Data'!X22+'OPERATING LEASES'!AY22</f>
        <v>37361.427229595458</v>
      </c>
      <c r="BC22" s="13">
        <f>'Bloom Cleaner Data'!Y22+'OPERATING LEASES'!AZ22</f>
        <v>36757.606757869318</v>
      </c>
      <c r="BD22" s="13">
        <f>'Bloom Cleaner Data'!Z22+'OPERATING LEASES'!BA22</f>
        <v>35165.286286143171</v>
      </c>
      <c r="BE22" s="13">
        <f>'Bloom Cleaner Data'!AA22+'OPERATING LEASES'!BB22</f>
        <v>33572.965814417024</v>
      </c>
      <c r="BF22" s="13">
        <f>'Bloom Cleaner Data'!AB22+'OPERATING LEASES'!BC22</f>
        <v>32423.145342690881</v>
      </c>
      <c r="BG22" s="13">
        <f>'Bloom Cleaner Data'!AC22+'OPERATING LEASES'!BD22</f>
        <v>31454.362857183747</v>
      </c>
      <c r="BH22" s="13">
        <f>'Bloom Cleaner Data'!AD22+'OPERATING LEASES'!BE22</f>
        <v>28944.080371676613</v>
      </c>
      <c r="BI22" s="13">
        <f>'Bloom Cleaner Data'!AE22+'OPERATING LEASES'!BF22</f>
        <v>26433.797886169479</v>
      </c>
      <c r="BJ22" s="13">
        <f>'Bloom Cleaner Data'!AF22+'OPERATING LEASES'!BG22</f>
        <v>30307.015400662345</v>
      </c>
      <c r="BK22" s="13">
        <f>'Bloom Cleaner Data'!AG22+'OPERATING LEASES'!BH22</f>
        <v>34076.515400662342</v>
      </c>
      <c r="BL22" s="13">
        <f>'Bloom Cleaner Data'!AH22+'OPERATING LEASES'!BI22</f>
        <v>34076.515400662342</v>
      </c>
      <c r="BM22" s="1167">
        <f t="shared" si="34"/>
        <v>33550.324162712444</v>
      </c>
      <c r="BN22" s="10">
        <f t="shared" si="35"/>
        <v>-9.730338567386275E-2</v>
      </c>
      <c r="BO22" s="10"/>
      <c r="BP22" s="13">
        <f>'Bloom Cleaner Data'!BU22+'OPERATING LEASES'!AU22</f>
        <v>118088.41304071312</v>
      </c>
      <c r="BQ22" s="13">
        <f>'Bloom Cleaner Data'!BV22+'OPERATING LEASES'!AV22</f>
        <v>118144.5327379337</v>
      </c>
      <c r="BR22" s="13">
        <f>'Bloom Cleaner Data'!BW22+'OPERATING LEASES'!AW22</f>
        <v>119302.25003515428</v>
      </c>
      <c r="BS22" s="13">
        <f>'Bloom Cleaner Data'!BX22+'OPERATING LEASES'!AX22</f>
        <v>120459.96733237486</v>
      </c>
      <c r="BT22" s="13">
        <f>'Bloom Cleaner Data'!BY22+'OPERATING LEASES'!AY22</f>
        <v>124195.67367959546</v>
      </c>
      <c r="BU22" s="13">
        <f>'Bloom Cleaner Data'!BZ22+'OPERATING LEASES'!AZ22</f>
        <v>127797.93985786932</v>
      </c>
      <c r="BV22" s="13">
        <f>'Bloom Cleaner Data'!CA22+'OPERATING LEASES'!BA22</f>
        <v>123291.97883614319</v>
      </c>
      <c r="BW22" s="13">
        <f>'Bloom Cleaner Data'!CB22+'OPERATING LEASES'!BB22</f>
        <v>118786.01781441702</v>
      </c>
      <c r="BX22" s="13">
        <f>'Bloom Cleaner Data'!CC22+'OPERATING LEASES'!BC22</f>
        <v>118408.32584269087</v>
      </c>
      <c r="BY22" s="13">
        <f>'Bloom Cleaner Data'!CD22+'OPERATING LEASES'!BD22</f>
        <v>118211.67185718374</v>
      </c>
      <c r="BZ22" s="13">
        <f>'Bloom Cleaner Data'!CE22+'OPERATING LEASES'!BE22</f>
        <v>116057.15722167661</v>
      </c>
      <c r="CA22" s="13">
        <f>'Bloom Cleaner Data'!CF22+'OPERATING LEASES'!BF22</f>
        <v>113902.64258616947</v>
      </c>
      <c r="CB22" s="13">
        <f>'Bloom Cleaner Data'!CG22+'OPERATING LEASES'!BG22</f>
        <v>120188.00880066236</v>
      </c>
      <c r="CC22" s="13">
        <f>'Bloom Cleaner Data'!CH22+'OPERATING LEASES'!BH22</f>
        <v>126369.65750066235</v>
      </c>
      <c r="CD22" s="13">
        <f>'Bloom Cleaner Data'!CI22+'OPERATING LEASES'!BI22</f>
        <v>126369.65750066235</v>
      </c>
      <c r="CE22" s="1167">
        <f t="shared" si="36"/>
        <v>121026.22683578938</v>
      </c>
      <c r="CF22" s="10">
        <f t="shared" si="37"/>
        <v>5.9239515293513234E-2</v>
      </c>
      <c r="CG22" s="18">
        <f t="shared" si="4"/>
        <v>4.6189750406594329E-2</v>
      </c>
      <c r="CH22" s="13"/>
      <c r="CI22" s="18">
        <f>$CI$1*BP22/('Bloom Cleaner Data'!D22+'Bloom Cleaner Data'!T22+'OPERATING LEASES'!AU22)+(1-$CI$1)*'Bloom Cleaner Data'!BU22/('Bloom Cleaner Data'!D22+'Bloom Cleaner Data'!T22)-1</f>
        <v>3.6461171181565444E-3</v>
      </c>
      <c r="CJ22" s="18">
        <f>$CI$1*BQ22/('Bloom Cleaner Data'!E22+'Bloom Cleaner Data'!U22+'OPERATING LEASES'!AV22)+(1-$CI$1)*'Bloom Cleaner Data'!BV22/('Bloom Cleaner Data'!E22+'Bloom Cleaner Data'!U22)-1</f>
        <v>3.6443788684630274E-3</v>
      </c>
      <c r="CK22" s="18">
        <f>$CI$1*BR22/('Bloom Cleaner Data'!F22+'Bloom Cleaner Data'!V22+'OPERATING LEASES'!AW22)+(1-$CI$1)*'Bloom Cleaner Data'!BW22/('Bloom Cleaner Data'!F22+'Bloom Cleaner Data'!V22)-1</f>
        <v>2.5420221463543502E-3</v>
      </c>
      <c r="CL22" s="18">
        <f>$CI$1*BS22/('Bloom Cleaner Data'!G22+'Bloom Cleaner Data'!W22+'OPERATING LEASES'!AX22)+(1-$CI$1)*'Bloom Cleaner Data'!BX22/('Bloom Cleaner Data'!G22+'Bloom Cleaner Data'!W22)-1</f>
        <v>1.4632041485103109E-3</v>
      </c>
      <c r="CM22" s="18">
        <f>$CI$1*BT22/('Bloom Cleaner Data'!H22+'Bloom Cleaner Data'!X22+'OPERATING LEASES'!AY22)+(1-$CI$1)*'Bloom Cleaner Data'!BY22/('Bloom Cleaner Data'!H22+'Bloom Cleaner Data'!X22)-1</f>
        <v>7.3325199850993172E-4</v>
      </c>
      <c r="CN22" s="18">
        <f>$CI$1*BU22/('Bloom Cleaner Data'!I22+'Bloom Cleaner Data'!Y22+'OPERATING LEASES'!AZ22)+(1-$CI$1)*'Bloom Cleaner Data'!BZ22/('Bloom Cleaner Data'!I22+'Bloom Cleaner Data'!Y22)-1</f>
        <v>4.6951317952181881E-5</v>
      </c>
      <c r="CO22" s="18">
        <f>$CI$1*BV22/('Bloom Cleaner Data'!J22+'Bloom Cleaner Data'!Z22+'OPERATING LEASES'!BA22)+(1-$CI$1)*'Bloom Cleaner Data'!CA22/('Bloom Cleaner Data'!J22+'Bloom Cleaner Data'!Z22)-1</f>
        <v>5.5869576634415274E-3</v>
      </c>
      <c r="CP22" s="18">
        <f>$CI$1*BW22/('Bloom Cleaner Data'!K22+'Bloom Cleaner Data'!AA22+'OPERATING LEASES'!BB22)+(1-$CI$1)*'Bloom Cleaner Data'!CB22/('Bloom Cleaner Data'!K22+'Bloom Cleaner Data'!AA22)-1</f>
        <v>1.1616220070036487E-2</v>
      </c>
      <c r="CQ22" s="18">
        <f>$CI$1*BX22/('Bloom Cleaner Data'!L22+'Bloom Cleaner Data'!AB22+'OPERATING LEASES'!BC22)+(1-$CI$1)*'Bloom Cleaner Data'!CC22/('Bloom Cleaner Data'!L22+'Bloom Cleaner Data'!AB22)-1</f>
        <v>1.1234676339328509E-2</v>
      </c>
      <c r="CR22" s="18">
        <f>$CI$1*BY22/('Bloom Cleaner Data'!M22+'Bloom Cleaner Data'!AC22+'OPERATING LEASES'!BD22)+(1-$CI$1)*'Bloom Cleaner Data'!CD22/('Bloom Cleaner Data'!M22+'Bloom Cleaner Data'!AC22)-1</f>
        <v>1.0834183207143466E-2</v>
      </c>
      <c r="CS22" s="18">
        <f>$CI$1*BZ22/('Bloom Cleaner Data'!N22+'Bloom Cleaner Data'!AD22+'OPERATING LEASES'!BE22)+(1-$CI$1)*'Bloom Cleaner Data'!CE22/('Bloom Cleaner Data'!N22+'Bloom Cleaner Data'!AD22)-1</f>
        <v>1.0025659664496533E-2</v>
      </c>
      <c r="CT22" s="18">
        <f>$CI$1*CA22/('Bloom Cleaner Data'!O22+'Bloom Cleaner Data'!AE22+'OPERATING LEASES'!BF22)+(1-$CI$1)*'Bloom Cleaner Data'!CF22/('Bloom Cleaner Data'!O22+'Bloom Cleaner Data'!AE22)-1</f>
        <v>9.1879156157577135E-3</v>
      </c>
      <c r="CU22" s="18">
        <f>$CI$1*CB22/('Bloom Cleaner Data'!P22+'Bloom Cleaner Data'!AF22+'OPERATING LEASES'!BG22)+(1-$CI$1)*'Bloom Cleaner Data'!CG22/('Bloom Cleaner Data'!P22+'Bloom Cleaner Data'!AF22)-1</f>
        <v>8.593198653739087E-3</v>
      </c>
      <c r="CV22" s="18">
        <f>$CI$1*CC22/('Bloom Cleaner Data'!Q22+'Bloom Cleaner Data'!AG22+'OPERATING LEASES'!BH22)+(1-$CI$1)*'Bloom Cleaner Data'!CH22/('Bloom Cleaner Data'!Q22+'Bloom Cleaner Data'!AG22)-1</f>
        <v>8.0648598202692767E-3</v>
      </c>
      <c r="CW22" s="18">
        <f>$CI$1*CD22/('Bloom Cleaner Data'!R22+'Bloom Cleaner Data'!AH22+'OPERATING LEASES'!BI22)+(1-$CI$1)*'Bloom Cleaner Data'!CI22/('Bloom Cleaner Data'!R22+'Bloom Cleaner Data'!AH22)-1</f>
        <v>8.0648598202692767E-3</v>
      </c>
      <c r="CX22" s="18">
        <f t="shared" si="38"/>
        <v>6.7687661896775886E-3</v>
      </c>
      <c r="CY22" s="13"/>
      <c r="CZ22" s="3112">
        <f>AVERAGE('Bloom Cleaner Data'!GX22:HJ22)</f>
        <v>15428.995160965906</v>
      </c>
      <c r="DA22" s="2860">
        <f>('Bloom Cleaner Data'!HJ22-'Bloom Cleaner Data'!GX22)/'Bloom Cleaner Data'!GX22</f>
        <v>-6.3903152035443847E-2</v>
      </c>
      <c r="DB22" s="2860">
        <f>('Bloom Cleaner Data'!HJ22+'Bloom Cleaner Data'!HI22-'Bloom Cleaner Data'!GX22-'Bloom Cleaner Data'!GW22)/('Bloom Cleaner Data'!GX22+'Bloom Cleaner Data'!GW22)</f>
        <v>-6.756505709826946E-2</v>
      </c>
      <c r="DC22" s="13"/>
      <c r="DD22" s="13">
        <f>'Bloom Cleaner Data'!GV22+'OPERATING LEASES'!BL22</f>
        <v>15711.94727268295</v>
      </c>
      <c r="DE22" s="13">
        <f>'Bloom Cleaner Data'!GW22+'OPERATING LEASES'!BM22</f>
        <v>15692.514236968664</v>
      </c>
      <c r="DF22" s="13">
        <f>'Bloom Cleaner Data'!GX22+'OPERATING LEASES'!BN22</f>
        <v>15557.58397837007</v>
      </c>
      <c r="DG22" s="13">
        <f>'Bloom Cleaner Data'!GY22+'OPERATING LEASES'!BO22</f>
        <v>15426.600077451742</v>
      </c>
      <c r="DH22" s="13">
        <f>'Bloom Cleaner Data'!GZ22+'OPERATING LEASES'!BP22</f>
        <v>15445.719394008451</v>
      </c>
      <c r="DI22" s="13">
        <f>'Bloom Cleaner Data'!HA22+'OPERATING LEASES'!BQ22</f>
        <v>15470.516134055193</v>
      </c>
      <c r="DJ22" s="13">
        <f>'Bloom Cleaner Data'!HB22+'OPERATING LEASES'!BR22</f>
        <v>16989.223013147333</v>
      </c>
      <c r="DK22" s="13">
        <f>'Bloom Cleaner Data'!HC22+'OPERATING LEASES'!BS22</f>
        <v>19030.202204996385</v>
      </c>
      <c r="DL22" s="13">
        <f>'Bloom Cleaner Data'!HD22+'OPERATING LEASES'!BT22</f>
        <v>19000.198338911865</v>
      </c>
      <c r="DM22" s="13">
        <f>'Bloom Cleaner Data'!HE22+'OPERATING LEASES'!BU22</f>
        <v>18997.352790392641</v>
      </c>
      <c r="DN22" s="13">
        <f>'Bloom Cleaner Data'!HF22+'OPERATING LEASES'!BV22</f>
        <v>16613.859640643634</v>
      </c>
      <c r="DO22" s="13">
        <f>'Bloom Cleaner Data'!HG22+'OPERATING LEASES'!BW22</f>
        <v>14721.421517664856</v>
      </c>
      <c r="DP22" s="13">
        <f>'Bloom Cleaner Data'!HH22+'OPERATING LEASES'!BX22</f>
        <v>14661.775468477652</v>
      </c>
      <c r="DQ22" s="13">
        <f>'Bloom Cleaner Data'!HI22+'OPERATING LEASES'!BY22</f>
        <v>14594.923070789908</v>
      </c>
      <c r="DR22" s="13">
        <f>'Bloom Cleaner Data'!HJ22+'OPERATING LEASES'!BZ22</f>
        <v>14594.923070789908</v>
      </c>
      <c r="DS22" s="1167">
        <f t="shared" si="39"/>
        <v>16238.792207669203</v>
      </c>
      <c r="DT22" s="10">
        <f t="shared" si="40"/>
        <v>-6.1877275348059417E-2</v>
      </c>
      <c r="DU22" s="18">
        <f t="shared" si="41"/>
        <v>5.2485404153344843E-2</v>
      </c>
      <c r="DV22" s="167"/>
      <c r="DW22" s="15">
        <f>'Bloom Cleaner Data'!DT22</f>
        <v>2.5393499999999998</v>
      </c>
      <c r="DX22" s="15">
        <f>'Bloom Cleaner Data'!DX22</f>
        <v>2.5481499999999997</v>
      </c>
      <c r="DY22" s="15">
        <f>'Bloom Cleaner Data'!EB22</f>
        <v>2.4313500000000001</v>
      </c>
      <c r="DZ22" s="15">
        <f>'Bloom Cleaner Data'!EF22</f>
        <v>2.7191000000000001</v>
      </c>
      <c r="EA22" s="15">
        <f>AVERAGE('Bloom Cleaner Data'!DT22:EF22)</f>
        <v>2.543480769230769</v>
      </c>
      <c r="EB22" s="18">
        <f t="shared" si="5"/>
        <v>7.0785831019749279E-2</v>
      </c>
      <c r="EC22" s="13"/>
      <c r="ED22" s="15">
        <f>'Bloom Cleaner Data'!DC22</f>
        <v>7.7526499999999992</v>
      </c>
      <c r="EE22" s="15">
        <f>'Bloom Cleaner Data'!DG22</f>
        <v>7.2866499999999998</v>
      </c>
      <c r="EF22" s="15">
        <f>'Bloom Cleaner Data'!DK22</f>
        <v>7.0024499999999996</v>
      </c>
      <c r="EG22" s="15">
        <f>'Bloom Cleaner Data'!DO22</f>
        <v>8.7795000000000005</v>
      </c>
      <c r="EH22" s="15">
        <f>AVERAGE('Bloom Cleaner Data'!DC22:DO22)</f>
        <v>7.5914538461538452</v>
      </c>
      <c r="EI22" s="22">
        <f t="shared" si="42"/>
        <v>7.7053124999999998</v>
      </c>
      <c r="EJ22" s="22">
        <f t="shared" si="6"/>
        <v>-0.11385865384615457</v>
      </c>
      <c r="EK22" s="18">
        <f t="shared" si="43"/>
        <v>0.13245148433116438</v>
      </c>
      <c r="EL22" s="241"/>
      <c r="EM22" s="15">
        <f>('Bloom Cleaner Data'!BU22+'OPERATING LEASES'!AU22)/DD22</f>
        <v>7.5158356243992479</v>
      </c>
      <c r="EN22" s="15">
        <f>('Bloom Cleaner Data'!BV22+'OPERATING LEASES'!AV22)/DE22</f>
        <v>7.5287191685069184</v>
      </c>
      <c r="EO22" s="15">
        <f>('Bloom Cleaner Data'!BW22+'OPERATING LEASES'!AW22)/DF22</f>
        <v>7.6684304067406543</v>
      </c>
      <c r="EP22" s="15">
        <f>('Bloom Cleaner Data'!BX22+'OPERATING LEASES'!AX22)/DG22</f>
        <v>7.8085882000950377</v>
      </c>
      <c r="EQ22" s="15">
        <f>('Bloom Cleaner Data'!BY22+'OPERATING LEASES'!AY22)/DH22</f>
        <v>8.0407827250682935</v>
      </c>
      <c r="ER22" s="15">
        <f>('Bloom Cleaner Data'!BZ22+'OPERATING LEASES'!AZ22)/DI22</f>
        <v>8.2607418363081084</v>
      </c>
      <c r="ES22" s="15">
        <f>('Bloom Cleaner Data'!CA22+'OPERATING LEASES'!BA22)/DJ22</f>
        <v>7.2570698931158928</v>
      </c>
      <c r="ET22" s="15">
        <f>('Bloom Cleaner Data'!CB22+'OPERATING LEASES'!BB22)/DK22</f>
        <v>6.2419734974350254</v>
      </c>
      <c r="EU22" s="15">
        <f>('Bloom Cleaner Data'!CC22+'OPERATING LEASES'!BC22)/DL22</f>
        <v>6.2319520949522929</v>
      </c>
      <c r="EV22" s="15">
        <f>('Bloom Cleaner Data'!CD22+'OPERATING LEASES'!BD22)/DM22</f>
        <v>6.2225339057221625</v>
      </c>
      <c r="EW22" s="15">
        <f>('Bloom Cleaner Data'!CE22+'OPERATING LEASES'!BE22)/DN22</f>
        <v>6.985562640589424</v>
      </c>
      <c r="EX22" s="15">
        <f>('Bloom Cleaner Data'!CF22+'OPERATING LEASES'!BF22)/DO22</f>
        <v>7.7372040770310724</v>
      </c>
      <c r="EY22" s="15">
        <f>('Bloom Cleaner Data'!CG22+'OPERATING LEASES'!BG22)/DP22</f>
        <v>8.1973707112800032</v>
      </c>
      <c r="EZ22" s="15">
        <f>('Bloom Cleaner Data'!CH22+'OPERATING LEASES'!BH22)/DQ22</f>
        <v>8.6584668441025876</v>
      </c>
      <c r="FA22" s="15">
        <f>('Bloom Cleaner Data'!CI22+'OPERATING LEASES'!BI22)/DR22</f>
        <v>8.6584668441025876</v>
      </c>
      <c r="FB22" s="526">
        <f t="shared" si="44"/>
        <v>7.5360879751187033</v>
      </c>
      <c r="FC22" s="10">
        <f t="shared" si="45"/>
        <v>0.12910548637067604</v>
      </c>
      <c r="FD22" s="15">
        <f t="shared" si="7"/>
        <v>-5.53658710351419E-2</v>
      </c>
      <c r="FE22" s="15">
        <f t="shared" si="46"/>
        <v>7.4451342344639162</v>
      </c>
      <c r="FF22" s="13"/>
      <c r="FG22" s="15">
        <f>$FG$1*EM22+(1-$FG$1)*'Bloom Cleaner Data'!DA22</f>
        <v>7.5158356243992479</v>
      </c>
      <c r="FH22" s="15">
        <f>$FG$1*EN22+(1-$FG$1)*'Bloom Cleaner Data'!DB22</f>
        <v>7.5287191685069184</v>
      </c>
      <c r="FI22" s="15">
        <f>$FG$1*EO22+(1-$FG$1)*'Bloom Cleaner Data'!DC22</f>
        <v>7.6684304067406543</v>
      </c>
      <c r="FJ22" s="15">
        <f>$FG$1*EP22+(1-$FG$1)*'Bloom Cleaner Data'!DD22</f>
        <v>7.8085882000950377</v>
      </c>
      <c r="FK22" s="15">
        <f>$FG$1*EQ22+(1-$FG$1)*'Bloom Cleaner Data'!DE22</f>
        <v>8.0407827250682935</v>
      </c>
      <c r="FL22" s="15">
        <f>$FG$1*ER22+(1-$FG$1)*'Bloom Cleaner Data'!DF22</f>
        <v>8.2607418363081084</v>
      </c>
      <c r="FM22" s="15">
        <f>$FG$1*ES22+(1-$FG$1)*'Bloom Cleaner Data'!DG22</f>
        <v>7.2570698931158928</v>
      </c>
      <c r="FN22" s="15">
        <f>$FG$1*ET22+(1-$FG$1)*'Bloom Cleaner Data'!DH22</f>
        <v>6.2419734974350254</v>
      </c>
      <c r="FO22" s="15">
        <f>$FG$1*EU22+(1-$FG$1)*'Bloom Cleaner Data'!DI22</f>
        <v>6.2319520949522929</v>
      </c>
      <c r="FP22" s="15">
        <f>$FG$1*EV22+(1-$FG$1)*'Bloom Cleaner Data'!DJ22</f>
        <v>6.2225339057221625</v>
      </c>
      <c r="FQ22" s="15">
        <f>$FG$1*EW22+(1-$FG$1)*'Bloom Cleaner Data'!DK22</f>
        <v>6.985562640589424</v>
      </c>
      <c r="FR22" s="15">
        <f>$FG$1*EX22+(1-$FG$1)*'Bloom Cleaner Data'!DL22</f>
        <v>7.7372040770310724</v>
      </c>
      <c r="FS22" s="15">
        <f>$FG$1*EY22+(1-$FG$1)*'Bloom Cleaner Data'!DM22</f>
        <v>8.1973707112800032</v>
      </c>
      <c r="FT22" s="15">
        <f>$FG$1*EZ22+(1-$FG$1)*'Bloom Cleaner Data'!DN22</f>
        <v>8.6584668441025876</v>
      </c>
      <c r="FU22" s="15">
        <f>$FG$1*FA22+(1-$FG$1)*'Bloom Cleaner Data'!DO22</f>
        <v>8.6584668441025876</v>
      </c>
      <c r="FV22" s="526">
        <f t="shared" si="47"/>
        <v>7.5360879751187033</v>
      </c>
      <c r="FW22" s="10">
        <f t="shared" si="48"/>
        <v>0.12910548637067604</v>
      </c>
      <c r="FX22" s="526">
        <f t="shared" si="49"/>
        <v>7.4451342344639162</v>
      </c>
      <c r="FY22" s="2710"/>
      <c r="FZ22" s="2710"/>
      <c r="GA22" s="10">
        <f>'Bloom Cleaner Data'!T22/('Bloom Cleaner Data'!T22+'Bloom Cleaner Data'!D22)</f>
        <v>0.28826619072476106</v>
      </c>
      <c r="GB22" s="10">
        <f>'Bloom Cleaner Data'!U22/('Bloom Cleaner Data'!U22+'Bloom Cleaner Data'!E22)</f>
        <v>0.28826619072476106</v>
      </c>
      <c r="GC22" s="10">
        <f>'Bloom Cleaner Data'!V22/('Bloom Cleaner Data'!V22+'Bloom Cleaner Data'!F22)</f>
        <v>0.28538116440443967</v>
      </c>
      <c r="GD22" s="10">
        <f>'Bloom Cleaner Data'!W22/('Bloom Cleaner Data'!W22+'Bloom Cleaner Data'!G22)</f>
        <v>0.28255779723527519</v>
      </c>
      <c r="GE22" s="10">
        <f>'Bloom Cleaner Data'!X22/('Bloom Cleaner Data'!X22+'Bloom Cleaner Data'!H22)</f>
        <v>0.26915972908795438</v>
      </c>
      <c r="GF22" s="10">
        <f>'Bloom Cleaner Data'!Y22/('Bloom Cleaner Data'!Y22+'Bloom Cleaner Data'!I22)</f>
        <v>0.25658544866959876</v>
      </c>
      <c r="GG22" s="10">
        <f>'Bloom Cleaner Data'!Z22/('Bloom Cleaner Data'!Z22+'Bloom Cleaner Data'!J22)</f>
        <v>0.25484314342526393</v>
      </c>
      <c r="GH22" s="10">
        <f>'Bloom Cleaner Data'!AA22/('Bloom Cleaner Data'!AA22+'Bloom Cleaner Data'!K22)</f>
        <v>0.25294226469411024</v>
      </c>
      <c r="GI22" s="10">
        <f>'Bloom Cleaner Data'!AB22/('Bloom Cleaner Data'!AB22+'Bloom Cleaner Data'!L22)</f>
        <v>0.24393417066161427</v>
      </c>
      <c r="GJ22" s="10">
        <f>'Bloom Cleaner Data'!AC22/('Bloom Cleaner Data'!AC22+'Bloom Cleaner Data'!M22)</f>
        <v>0.23488546489811918</v>
      </c>
      <c r="GK22" s="10">
        <f>'Bloom Cleaner Data'!AD22/('Bloom Cleaner Data'!AD22+'Bloom Cleaner Data'!N22)</f>
        <v>0.21562690186393707</v>
      </c>
      <c r="GL22" s="10">
        <f>'Bloom Cleaner Data'!AE22/('Bloom Cleaner Data'!AE22+'Bloom Cleaner Data'!O22)</f>
        <v>0.19560005562349242</v>
      </c>
      <c r="GM22" s="10">
        <f>'Bloom Cleaner Data'!AF22/('Bloom Cleaner Data'!AF22+'Bloom Cleaner Data'!P22)</f>
        <v>0.21810751551571012</v>
      </c>
      <c r="GN22" s="10">
        <f>'Bloom Cleaner Data'!AG22/('Bloom Cleaner Data'!AG22+'Bloom Cleaner Data'!Q22)</f>
        <v>0.23828807339295358</v>
      </c>
      <c r="GO22" s="10">
        <f>'Bloom Cleaner Data'!AH22/('Bloom Cleaner Data'!AH22+'Bloom Cleaner Data'!R22)</f>
        <v>0.23828807339295358</v>
      </c>
      <c r="GP22" s="10">
        <f t="shared" si="50"/>
        <v>0.24509229252810941</v>
      </c>
      <c r="GQ22" s="10">
        <f t="shared" si="51"/>
        <v>-0.16501821733667812</v>
      </c>
      <c r="GR22" s="10"/>
      <c r="GS22" s="496">
        <f t="shared" si="8"/>
        <v>0.40501966742075035</v>
      </c>
      <c r="GT22" s="497">
        <f t="shared" si="9"/>
        <v>0.40501966742075035</v>
      </c>
      <c r="GU22" s="497">
        <f t="shared" si="10"/>
        <v>0.39934738659190844</v>
      </c>
      <c r="GV22" s="497">
        <f t="shared" si="11"/>
        <v>0.39384050191975684</v>
      </c>
      <c r="GW22" s="497">
        <f t="shared" si="12"/>
        <v>0.36828803748329153</v>
      </c>
      <c r="GX22" s="497">
        <f t="shared" si="13"/>
        <v>0.34514450680366437</v>
      </c>
      <c r="GY22" s="497">
        <f t="shared" si="14"/>
        <v>0.3419993269560746</v>
      </c>
      <c r="GZ22" s="497">
        <f t="shared" si="15"/>
        <v>0.33858462705100117</v>
      </c>
      <c r="HA22" s="497">
        <f t="shared" si="16"/>
        <v>0.32263615309142452</v>
      </c>
      <c r="HB22" s="497">
        <f t="shared" si="17"/>
        <v>0.30699386055558647</v>
      </c>
      <c r="HC22" s="497">
        <f t="shared" si="18"/>
        <v>0.27490348964840822</v>
      </c>
      <c r="HD22" s="497">
        <f t="shared" si="19"/>
        <v>0.24316269163233536</v>
      </c>
      <c r="HE22" s="497">
        <f t="shared" si="20"/>
        <v>0.27894821838525097</v>
      </c>
      <c r="HF22" s="497">
        <f t="shared" si="21"/>
        <v>0.3128322730279135</v>
      </c>
      <c r="HG22" s="498">
        <f t="shared" si="22"/>
        <v>0.3128322730279135</v>
      </c>
      <c r="HH22" s="10">
        <f t="shared" si="52"/>
        <v>0.3261164112441946</v>
      </c>
      <c r="HI22" s="10">
        <f t="shared" si="53"/>
        <v>-0.21664124135712551</v>
      </c>
      <c r="HJ22" s="10"/>
      <c r="HK22" s="18">
        <f>('Bloom Cleaner Data'!T22+'OPERATING LEASES'!AU22)/('Bloom Cleaner Data'!T22+'OPERATING LEASES'!AU22+'Bloom Cleaner Data'!D22)</f>
        <v>0.31966374358589222</v>
      </c>
      <c r="HL22" s="18">
        <f>('Bloom Cleaner Data'!U22+'OPERATING LEASES'!AV22)/('Bloom Cleaner Data'!U22+'OPERATING LEASES'!AV22+'Bloom Cleaner Data'!E22)</f>
        <v>0.31998808705892523</v>
      </c>
      <c r="HM22" s="18">
        <f>('Bloom Cleaner Data'!V22+'OPERATING LEASES'!AW22)/('Bloom Cleaner Data'!V22+'OPERATING LEASES'!AW22+'Bloom Cleaner Data'!F22)</f>
        <v>0.31722493386752887</v>
      </c>
      <c r="HN22" s="18">
        <f>('Bloom Cleaner Data'!W22+'OPERATING LEASES'!AX22)/('Bloom Cleaner Data'!W22+'OPERATING LEASES'!AX22+'Bloom Cleaner Data'!G22)</f>
        <v>0.31452078253983817</v>
      </c>
      <c r="HO22" s="18">
        <f>('Bloom Cleaner Data'!X22+'OPERATING LEASES'!AY22)/('Bloom Cleaner Data'!X22+'OPERATING LEASES'!AY22+'Bloom Cleaner Data'!H22)</f>
        <v>0.30104770531086128</v>
      </c>
      <c r="HP22" s="18">
        <f>('Bloom Cleaner Data'!Y22+'OPERATING LEASES'!AZ22)/('Bloom Cleaner Data'!Y22+'OPERATING LEASES'!AZ22+'Bloom Cleaner Data'!I22)</f>
        <v>0.28763634700867102</v>
      </c>
      <c r="HQ22" s="18">
        <f>('Bloom Cleaner Data'!Z22+'OPERATING LEASES'!BA22)/('Bloom Cleaner Data'!Z22+'OPERATING LEASES'!BA22+'Bloom Cleaner Data'!J22)</f>
        <v>0.28681308861822175</v>
      </c>
      <c r="HR22" s="18">
        <f>('Bloom Cleaner Data'!AA22+'OPERATING LEASES'!BB22)/('Bloom Cleaner Data'!AA22+'OPERATING LEASES'!BB22+'Bloom Cleaner Data'!K22)</f>
        <v>0.28591712558949872</v>
      </c>
      <c r="HS22" s="18">
        <f>('Bloom Cleaner Data'!AB22+'OPERATING LEASES'!BC22)/('Bloom Cleaner Data'!AB22+'OPERATING LEASES'!BC22+'Bloom Cleaner Data'!L22)</f>
        <v>0.2769012115759335</v>
      </c>
      <c r="HT22" s="18">
        <f>('Bloom Cleaner Data'!AC22+'OPERATING LEASES'!BD22)/('Bloom Cleaner Data'!AC22+'OPERATING LEASES'!BD22+'Bloom Cleaner Data'!M22)</f>
        <v>0.26896790044096014</v>
      </c>
      <c r="HU22" s="18">
        <f>('Bloom Cleaner Data'!AD22+'OPERATING LEASES'!BE22)/('Bloom Cleaner Data'!AD22+'OPERATING LEASES'!BE22+'Bloom Cleaner Data'!N22)</f>
        <v>0.25189539853148013</v>
      </c>
      <c r="HV22" s="18">
        <f>('Bloom Cleaner Data'!AE22+'OPERATING LEASES'!BF22)/('Bloom Cleaner Data'!AE22+'OPERATING LEASES'!BF22+'Bloom Cleaner Data'!O22)</f>
        <v>0.23420588657870867</v>
      </c>
      <c r="HW22" s="18">
        <f>('Bloom Cleaner Data'!AF22+'OPERATING LEASES'!BG22)/('Bloom Cleaner Data'!AF22+'OPERATING LEASES'!BG22+'Bloom Cleaner Data'!P22)</f>
        <v>0.25433027728498075</v>
      </c>
      <c r="HX22" s="18">
        <f>('Bloom Cleaner Data'!AG22+'OPERATING LEASES'!BH22)/('Bloom Cleaner Data'!AG22+'OPERATING LEASES'!BH22+'Bloom Cleaner Data'!Q22)</f>
        <v>0.2718321660431175</v>
      </c>
      <c r="HY22" s="18">
        <f>('Bloom Cleaner Data'!AH22+'OPERATING LEASES'!BI22)/('Bloom Cleaner Data'!AH22+'OPERATING LEASES'!BI22+'Bloom Cleaner Data'!R22)</f>
        <v>0.2718321660431175</v>
      </c>
      <c r="HZ22" s="10">
        <f t="shared" si="54"/>
        <v>0.27870192226407053</v>
      </c>
      <c r="IA22" s="10">
        <f t="shared" si="55"/>
        <v>-0.14309331637647091</v>
      </c>
      <c r="IB22" s="10">
        <f t="shared" si="23"/>
        <v>3.3609629735961127E-2</v>
      </c>
      <c r="IC22" s="10">
        <f t="shared" si="24"/>
        <v>0.13713050455108242</v>
      </c>
      <c r="IE22" s="502">
        <f t="shared" si="56"/>
        <v>0.46986139658463089</v>
      </c>
      <c r="IF22" s="467">
        <f t="shared" si="108"/>
        <v>0.47056247246458643</v>
      </c>
      <c r="IG22" s="467">
        <f t="shared" si="109"/>
        <v>0.464611186908781</v>
      </c>
      <c r="IH22" s="467">
        <f t="shared" si="110"/>
        <v>0.45883343291602746</v>
      </c>
      <c r="II22" s="467">
        <f t="shared" si="111"/>
        <v>0.43071280772424281</v>
      </c>
      <c r="IJ22" s="467">
        <f t="shared" si="112"/>
        <v>0.40377740470171375</v>
      </c>
      <c r="IK22" s="467">
        <f t="shared" si="113"/>
        <v>0.40215697181336374</v>
      </c>
      <c r="IL22" s="467">
        <f t="shared" si="114"/>
        <v>0.40039767908666435</v>
      </c>
      <c r="IM22" s="467">
        <f t="shared" si="115"/>
        <v>0.38293690434666139</v>
      </c>
      <c r="IN22" s="467">
        <f t="shared" si="116"/>
        <v>0.36792898780122263</v>
      </c>
      <c r="IO22" s="467">
        <f t="shared" si="117"/>
        <v>0.33671146793778922</v>
      </c>
      <c r="IP22" s="467">
        <f t="shared" si="118"/>
        <v>0.30583401265956645</v>
      </c>
      <c r="IQ22" s="467">
        <f t="shared" si="119"/>
        <v>0.34107630970847519</v>
      </c>
      <c r="IR22" s="467">
        <f t="shared" si="120"/>
        <v>0.37330976921347186</v>
      </c>
      <c r="IS22" s="503">
        <f t="shared" si="121"/>
        <v>0.37330976921347186</v>
      </c>
      <c r="IT22" s="10">
        <f t="shared" si="57"/>
        <v>0.38781513107934235</v>
      </c>
      <c r="IU22" s="10">
        <f t="shared" si="58"/>
        <v>-0.19651144928896153</v>
      </c>
      <c r="IV22" s="10">
        <f t="shared" si="59"/>
        <v>6.1698719835147742E-2</v>
      </c>
      <c r="IW22" s="10">
        <f t="shared" si="60"/>
        <v>0.18919231816563808</v>
      </c>
      <c r="IY22" s="15">
        <f>'Bloom Cleaner Data'!T22/'Bloom Cleaner Data'!BU22*'Bloom Cleaner Data'!DA22</f>
        <v>2.1876385174440953</v>
      </c>
      <c r="IZ22" s="15">
        <f>'Bloom Cleaner Data'!U22/'Bloom Cleaner Data'!BV22*'Bloom Cleaner Data'!DB22</f>
        <v>2.1876385174440953</v>
      </c>
      <c r="JA22" s="15">
        <f>'Bloom Cleaner Data'!V22/'Bloom Cleaner Data'!BW22*'Bloom Cleaner Data'!DC22</f>
        <v>2.2065894789024019</v>
      </c>
      <c r="JB22" s="15">
        <f>'Bloom Cleaner Data'!W22/'Bloom Cleaner Data'!BX22*'Bloom Cleaner Data'!DD22</f>
        <v>2.2252385696638308</v>
      </c>
      <c r="JC22" s="15">
        <f>'Bloom Cleaner Data'!X22/'Bloom Cleaner Data'!BY22*'Bloom Cleaner Data'!DE22</f>
        <v>2.183391579873339</v>
      </c>
      <c r="JD22" s="15">
        <f>'Bloom Cleaner Data'!Y22/'Bloom Cleaner Data'!BZ22*'Bloom Cleaner Data'!DF22</f>
        <v>2.1420756367353047</v>
      </c>
      <c r="JE22" s="15">
        <f>'Bloom Cleaner Data'!Z22/'Bloom Cleaner Data'!CA22*'Bloom Cleaner Data'!DG22</f>
        <v>1.8461759171816603</v>
      </c>
      <c r="JF22" s="15">
        <f>'Bloom Cleaner Data'!AA22/'Bloom Cleaner Data'!CB22*'Bloom Cleaner Data'!DH22</f>
        <v>1.5555352773444855</v>
      </c>
      <c r="JG22" s="15">
        <f>'Bloom Cleaner Data'!AB22/'Bloom Cleaner Data'!CC22*'Bloom Cleaner Data'!DI22</f>
        <v>1.4982800009749109</v>
      </c>
      <c r="JH22" s="15">
        <f>'Bloom Cleaner Data'!AC22/'Bloom Cleaner Data'!CD22*'Bloom Cleaner Data'!DJ22</f>
        <v>1.4409139595545788</v>
      </c>
      <c r="JI22" s="15">
        <f>'Bloom Cleaner Data'!AD22/'Bloom Cleaner Data'!CE22*'Bloom Cleaner Data'!DK22</f>
        <v>1.4942098995879616</v>
      </c>
      <c r="JJ22" s="15">
        <f>'Bloom Cleaner Data'!AE22/'Bloom Cleaner Data'!CF22*'Bloom Cleaner Data'!DL22</f>
        <v>1.5112516665503732</v>
      </c>
      <c r="JK22" s="15">
        <f>'Bloom Cleaner Data'!AF22/'Bloom Cleaner Data'!CG22*'Bloom Cleaner Data'!DM22</f>
        <v>1.7919969895757746</v>
      </c>
      <c r="JL22" s="15">
        <f>'Bloom Cleaner Data'!AG22/'Bloom Cleaner Data'!CH22*'Bloom Cleaner Data'!DN22</f>
        <v>2.0745484630130444</v>
      </c>
      <c r="JM22" s="15">
        <f>'Bloom Cleaner Data'!AH22/'Bloom Cleaner Data'!CI22*'Bloom Cleaner Data'!DO22</f>
        <v>2.0745484630130444</v>
      </c>
      <c r="JN22" s="15">
        <f t="shared" si="61"/>
        <v>1.9803646385339544</v>
      </c>
      <c r="JO22" s="15">
        <f t="shared" si="62"/>
        <v>1.8630863955380592</v>
      </c>
      <c r="JP22" s="15">
        <f t="shared" si="63"/>
        <v>1.8495966078439008</v>
      </c>
      <c r="JQ22" s="18">
        <f t="shared" si="64"/>
        <v>-5.9839411522544322E-2</v>
      </c>
      <c r="JR22" s="18"/>
      <c r="JS22" s="2024" t="s">
        <v>279</v>
      </c>
      <c r="JT22" s="526">
        <f>('Bloom Cleaner Data'!T22+'OPERATING LEASES'!AU22)/DD22</f>
        <v>2.3938120328410841</v>
      </c>
      <c r="JU22" s="526">
        <f>('Bloom Cleaner Data'!U22+'OPERATING LEASES'!AV22)/DE22</f>
        <v>2.4003526502589283</v>
      </c>
      <c r="JV22" s="526">
        <f>('Bloom Cleaner Data'!V22+'OPERATING LEASES'!AW22)/DF22</f>
        <v>2.4264492409385809</v>
      </c>
      <c r="JW22" s="526">
        <f>('Bloom Cleaner Data'!W22+'OPERATING LEASES'!AX22)/DG22</f>
        <v>2.4523749460305031</v>
      </c>
      <c r="JX22" s="526">
        <f>('Bloom Cleaner Data'!X22+'OPERATING LEASES'!AY22)/DH22</f>
        <v>2.4188855356318548</v>
      </c>
      <c r="JY22" s="526">
        <f>('Bloom Cleaner Data'!Y22+'OPERATING LEASES'!AZ22)/DI22</f>
        <v>2.3759780500764887</v>
      </c>
      <c r="JZ22" s="526">
        <f>('Bloom Cleaner Data'!Z22+'OPERATING LEASES'!BA22)/DJ22</f>
        <v>2.0698584190065699</v>
      </c>
      <c r="KA22" s="526">
        <f>('Bloom Cleaner Data'!AA22+'OPERATING LEASES'!BB22)/DK22</f>
        <v>1.764193856311334</v>
      </c>
      <c r="KB22" s="526">
        <f>('Bloom Cleaner Data'!AB22+'OPERATING LEASES'!BC22)/DL22</f>
        <v>1.7064635202406915</v>
      </c>
      <c r="KC22" s="526">
        <f>('Bloom Cleaner Data'!AC22+'OPERATING LEASES'!BD22)/DM22</f>
        <v>1.6557234686451092</v>
      </c>
      <c r="KD22" s="526">
        <f>('Bloom Cleaner Data'!AD22+'OPERATING LEASES'!BE22)/DN22</f>
        <v>1.742164734609212</v>
      </c>
      <c r="KE22" s="526">
        <f>('Bloom Cleaner Data'!AE22+'OPERATING LEASES'!BF22)/DO22</f>
        <v>1.7956009108529667</v>
      </c>
      <c r="KF22" s="526">
        <f>('Bloom Cleaner Data'!AF22+'OPERATING LEASES'!BG22)/DP22</f>
        <v>2.0670767647357211</v>
      </c>
      <c r="KG22" s="526">
        <f>('Bloom Cleaner Data'!AG22+'OPERATING LEASES'!BH22)/DQ22</f>
        <v>2.3348198024327131</v>
      </c>
      <c r="KH22" s="526">
        <f>('Bloom Cleaner Data'!AH22+'OPERATING LEASES'!BI22)/DR22</f>
        <v>2.3348198024327131</v>
      </c>
      <c r="KI22" s="15">
        <f t="shared" si="65"/>
        <v>2.2455721232003825</v>
      </c>
      <c r="KJ22" s="15">
        <f t="shared" si="66"/>
        <v>2.1330793201135285</v>
      </c>
      <c r="KK22" s="15">
        <f t="shared" si="67"/>
        <v>2.0880314655341889</v>
      </c>
      <c r="KL22" s="18">
        <f t="shared" si="68"/>
        <v>-3.7762767487534328E-2</v>
      </c>
      <c r="KM22" s="15">
        <f t="shared" si="69"/>
        <v>0.23843485769028816</v>
      </c>
      <c r="KN22" s="18"/>
      <c r="KO22" s="15">
        <f t="shared" si="70"/>
        <v>2.3938120328410841</v>
      </c>
      <c r="KP22" s="15">
        <f t="shared" si="122"/>
        <v>2.4003526502589283</v>
      </c>
      <c r="KQ22" s="15">
        <f t="shared" si="123"/>
        <v>2.4264492409385809</v>
      </c>
      <c r="KR22" s="15">
        <f t="shared" si="124"/>
        <v>2.4523749460305031</v>
      </c>
      <c r="KS22" s="15">
        <f t="shared" si="125"/>
        <v>2.4188855356318548</v>
      </c>
      <c r="KT22" s="15">
        <f t="shared" si="126"/>
        <v>2.3759780500764887</v>
      </c>
      <c r="KU22" s="15">
        <f t="shared" si="127"/>
        <v>2.0698584190065699</v>
      </c>
      <c r="KV22" s="15">
        <f t="shared" si="128"/>
        <v>1.764193856311334</v>
      </c>
      <c r="KW22" s="15">
        <f t="shared" si="129"/>
        <v>1.7064635202406915</v>
      </c>
      <c r="KX22" s="15">
        <f t="shared" si="130"/>
        <v>1.6557234686451092</v>
      </c>
      <c r="KY22" s="15">
        <f t="shared" si="131"/>
        <v>1.742164734609212</v>
      </c>
      <c r="KZ22" s="15">
        <f t="shared" si="132"/>
        <v>1.7956009108529667</v>
      </c>
      <c r="LA22" s="15">
        <f t="shared" si="133"/>
        <v>2.0670767647357211</v>
      </c>
      <c r="LB22" s="15">
        <f t="shared" si="134"/>
        <v>2.3348198024327131</v>
      </c>
      <c r="LC22" s="15">
        <f t="shared" si="135"/>
        <v>2.3348198024327131</v>
      </c>
      <c r="LD22" s="15">
        <f t="shared" si="85"/>
        <v>2.2455721232003825</v>
      </c>
      <c r="LE22" s="15">
        <f t="shared" si="86"/>
        <v>2.1330793201135285</v>
      </c>
      <c r="LF22" s="526">
        <f t="shared" si="87"/>
        <v>2.0880314655341889</v>
      </c>
      <c r="LG22" s="10">
        <f t="shared" si="88"/>
        <v>-3.7762767487534328E-2</v>
      </c>
      <c r="LH22" s="18"/>
      <c r="LI22" s="15">
        <f>('Bloom Cleaner Data'!T22+'Bloom Cleaner Data'!EY22)/'Bloom Cleaner Data'!GV22</f>
        <v>2.4860847455880526</v>
      </c>
      <c r="LJ22" s="15">
        <f>('Bloom Cleaner Data'!U22+'Bloom Cleaner Data'!EZ22)/'Bloom Cleaner Data'!GW22</f>
        <v>2.4860847455880526</v>
      </c>
      <c r="LK22" s="15">
        <f>('Bloom Cleaner Data'!V22+'Bloom Cleaner Data'!FA22)/'Bloom Cleaner Data'!GX22</f>
        <v>2.6668538359527134</v>
      </c>
      <c r="LL22" s="15">
        <f>('Bloom Cleaner Data'!W22+'Bloom Cleaner Data'!FB22)/'Bloom Cleaner Data'!GY22</f>
        <v>2.8497142597862859</v>
      </c>
      <c r="LM22" s="15">
        <f>('Bloom Cleaner Data'!X22+'Bloom Cleaner Data'!FC22)/'Bloom Cleaner Data'!GZ22</f>
        <v>2.7084539752023087</v>
      </c>
      <c r="LN22" s="15">
        <f>('Bloom Cleaner Data'!Y22+'Bloom Cleaner Data'!FD22)/'Bloom Cleaner Data'!HA22</f>
        <v>2.5683091466292933</v>
      </c>
      <c r="LO22" s="15">
        <f>('Bloom Cleaner Data'!Z22+'Bloom Cleaner Data'!FE22)/'Bloom Cleaner Data'!HB22</f>
        <v>2.2544582923122709</v>
      </c>
      <c r="LP22" s="15">
        <f>('Bloom Cleaner Data'!AA22+'Bloom Cleaner Data'!FF22)/'Bloom Cleaner Data'!HC22</f>
        <v>1.9377071181151013</v>
      </c>
      <c r="LQ22" s="15">
        <f>('Bloom Cleaner Data'!AB22+'Bloom Cleaner Data'!FG22)/'Bloom Cleaner Data'!HD22</f>
        <v>1.8853071018032976</v>
      </c>
      <c r="LR22" s="15">
        <f>('Bloom Cleaner Data'!AC22+'Bloom Cleaner Data'!FH22)/'Bloom Cleaner Data'!HE22</f>
        <v>1.8328074190059251</v>
      </c>
      <c r="LS22" s="15">
        <f>('Bloom Cleaner Data'!AD22+'Bloom Cleaner Data'!FI22)/'Bloom Cleaner Data'!HF22</f>
        <v>1.8556062298784697</v>
      </c>
      <c r="LT22" s="15">
        <f>('Bloom Cleaner Data'!AE22+'Bloom Cleaner Data'!FJ22)/'Bloom Cleaner Data'!HG22</f>
        <v>1.8199447913779299</v>
      </c>
      <c r="LU22" s="15">
        <f>('Bloom Cleaner Data'!AF22+'Bloom Cleaner Data'!FK22)/'Bloom Cleaner Data'!HH22</f>
        <v>2.2227442941122142</v>
      </c>
      <c r="LV22" s="15">
        <f>('Bloom Cleaner Data'!AG22+'Bloom Cleaner Data'!FL22)/'Bloom Cleaner Data'!HI22</f>
        <v>2.628347417122459</v>
      </c>
      <c r="LW22" s="15">
        <f>('Bloom Cleaner Data'!AH22+'Bloom Cleaner Data'!FM22)/'Bloom Cleaner Data'!HJ22</f>
        <v>2.628347417122459</v>
      </c>
      <c r="LX22" s="15">
        <f t="shared" si="89"/>
        <v>0.5537989541094146</v>
      </c>
      <c r="LY22" s="15">
        <f t="shared" si="90"/>
        <v>2.4931463761190442</v>
      </c>
      <c r="LZ22" s="15">
        <f t="shared" si="27"/>
        <v>0.51278173758508983</v>
      </c>
      <c r="MA22" s="15">
        <f t="shared" si="91"/>
        <v>2.3248459799337655</v>
      </c>
      <c r="MB22" s="15">
        <f t="shared" si="92"/>
        <v>2.2968154844939019</v>
      </c>
      <c r="MC22" s="18">
        <f t="shared" si="93"/>
        <v>-1.4438893617316781E-2</v>
      </c>
      <c r="MD22" s="15">
        <f t="shared" si="28"/>
        <v>0.44721887665000115</v>
      </c>
      <c r="ME22" s="18"/>
      <c r="MF22" s="2024" t="s">
        <v>279</v>
      </c>
      <c r="MG22" s="15">
        <f>JT22+'Bloom Cleaner Data'!EY22/CALCULATIONS!DD22</f>
        <v>2.675317560019749</v>
      </c>
      <c r="MH22" s="15">
        <f>JU22+'Bloom Cleaner Data'!EZ22/CALCULATIONS!DE22</f>
        <v>2.6822067835870493</v>
      </c>
      <c r="MI22" s="15">
        <f>JV22+'Bloom Cleaner Data'!FA22/CALCULATIONS!DF22</f>
        <v>2.8614782280492816</v>
      </c>
      <c r="MJ22" s="15">
        <f>JW22+'Bloom Cleaner Data'!FB22/CALCULATIONS!DG22</f>
        <v>3.0431078330079777</v>
      </c>
      <c r="MK22" s="15">
        <f>JX22+'Bloom Cleaner Data'!FC22/CALCULATIONS!DH22</f>
        <v>2.9162725335453428</v>
      </c>
      <c r="ML22" s="15">
        <f>JY22+'Bloom Cleaner Data'!FD22/CALCULATIONS!DI22</f>
        <v>2.7801016065128183</v>
      </c>
      <c r="MM22" s="15">
        <f>JZ22+'Bloom Cleaner Data'!FE22/CALCULATIONS!DJ22</f>
        <v>2.4591346086758712</v>
      </c>
      <c r="MN22" s="15">
        <f>KA22+'Bloom Cleaner Data'!FF22/CALCULATIONS!DK22</f>
        <v>2.1307164988384173</v>
      </c>
      <c r="MO22" s="15">
        <f>KB22+'Bloom Cleaner Data'!FG22/CALCULATIONS!DL22</f>
        <v>2.0778543801744265</v>
      </c>
      <c r="MP22" s="15">
        <f>KC22+'Bloom Cleaner Data'!FH22/CALCULATIONS!DM22</f>
        <v>2.031460029352127</v>
      </c>
      <c r="MQ22" s="15">
        <f>KD22+'Bloom Cleaner Data'!FI22/CALCULATIONS!DN22</f>
        <v>2.0861847349959839</v>
      </c>
      <c r="MR22" s="15">
        <f>KE22+'Bloom Cleaner Data'!FJ22/CALCULATIONS!DO22</f>
        <v>2.0872167711045497</v>
      </c>
      <c r="MS22" s="15">
        <f>KF22+'Bloom Cleaner Data'!FK22/CALCULATIONS!DP22</f>
        <v>2.4734395557094002</v>
      </c>
      <c r="MT22" s="15">
        <f>KG22+'Bloom Cleaner Data'!FL22/CALCULATIONS!DQ22</f>
        <v>2.8571247137382461</v>
      </c>
      <c r="MU22" s="15">
        <f>KH22+'Bloom Cleaner Data'!FM22/CALCULATIONS!DR22</f>
        <v>2.8571247137382461</v>
      </c>
      <c r="MV22" s="15">
        <f t="shared" si="29"/>
        <v>0.52230491130553292</v>
      </c>
      <c r="MW22" s="15">
        <f t="shared" si="94"/>
        <v>2.7292296610619644</v>
      </c>
      <c r="MX22" s="15">
        <f t="shared" si="30"/>
        <v>0.48365753786158194</v>
      </c>
      <c r="MY22" s="15">
        <f t="shared" si="95"/>
        <v>2.5687264385726105</v>
      </c>
      <c r="MZ22" s="15">
        <f t="shared" si="96"/>
        <v>2.5124012467263603</v>
      </c>
      <c r="NA22" s="18">
        <f t="shared" si="97"/>
        <v>-1.5214214346839373E-3</v>
      </c>
      <c r="NB22" s="15">
        <f t="shared" si="31"/>
        <v>0.42436978119217139</v>
      </c>
      <c r="NC22" s="15"/>
      <c r="ND22" s="13">
        <f>'Bloom Cleaner Data'!GF22+('Bloom Cleaner Data'!T22+'Bloom Cleaner Data'!EY22)+'Bloom Cleaner Data'!CK22</f>
        <v>128083</v>
      </c>
      <c r="NE22" s="13">
        <f>'Bloom Cleaner Data'!GG22+('Bloom Cleaner Data'!U22+'Bloom Cleaner Data'!EZ22)+'Bloom Cleaner Data'!CL22</f>
        <v>128083</v>
      </c>
      <c r="NF22" s="13">
        <f>'Bloom Cleaner Data'!GH22+('Bloom Cleaner Data'!V22+'Bloom Cleaner Data'!FA22)+'Bloom Cleaner Data'!CM22</f>
        <v>130194</v>
      </c>
      <c r="NG22" s="13">
        <f>'Bloom Cleaner Data'!GI22+('Bloom Cleaner Data'!W22+'Bloom Cleaner Data'!FB22)+'Bloom Cleaner Data'!CN22</f>
        <v>132305</v>
      </c>
      <c r="NH22" s="13">
        <f>'Bloom Cleaner Data'!GJ22+('Bloom Cleaner Data'!X22+'Bloom Cleaner Data'!FC22)+'Bloom Cleaner Data'!CO22</f>
        <v>128772</v>
      </c>
      <c r="NI22" s="13">
        <f>'Bloom Cleaner Data'!GK22+('Bloom Cleaner Data'!Y22+'Bloom Cleaner Data'!FD22)+'Bloom Cleaner Data'!CP22</f>
        <v>125239</v>
      </c>
      <c r="NJ22" s="13">
        <f>'Bloom Cleaner Data'!GL22+('Bloom Cleaner Data'!Z22+'Bloom Cleaner Data'!FE22)+'Bloom Cleaner Data'!CQ22</f>
        <v>123620</v>
      </c>
      <c r="NK22" s="13">
        <f>'Bloom Cleaner Data'!GM22+('Bloom Cleaner Data'!AA22+'Bloom Cleaner Data'!FF22)+'Bloom Cleaner Data'!CR22</f>
        <v>122001</v>
      </c>
      <c r="NL22" s="13">
        <f>'Bloom Cleaner Data'!GN22+('Bloom Cleaner Data'!AB22+'Bloom Cleaner Data'!FG22)+'Bloom Cleaner Data'!CS22</f>
        <v>117426.5</v>
      </c>
      <c r="NM22" s="13">
        <f>'Bloom Cleaner Data'!GO22+('Bloom Cleaner Data'!AC22+'Bloom Cleaner Data'!FH22)+'Bloom Cleaner Data'!CT22</f>
        <v>112852</v>
      </c>
      <c r="NN22" s="13">
        <f>'Bloom Cleaner Data'!GP22+('Bloom Cleaner Data'!AD22+'Bloom Cleaner Data'!FI22)+'Bloom Cleaner Data'!CU22</f>
        <v>104835.5</v>
      </c>
      <c r="NO22" s="13">
        <f>'Bloom Cleaner Data'!GQ22+('Bloom Cleaner Data'!AE22+'Bloom Cleaner Data'!FJ22)+'Bloom Cleaner Data'!CV22</f>
        <v>96819</v>
      </c>
      <c r="NP22" s="13">
        <f>'Bloom Cleaner Data'!GR22+('Bloom Cleaner Data'!AF22+'Bloom Cleaner Data'!FK22)+'Bloom Cleaner Data'!CW22</f>
        <v>103248.5</v>
      </c>
      <c r="NQ22" s="13">
        <f>'Bloom Cleaner Data'!GS22+('Bloom Cleaner Data'!AG22+'Bloom Cleaner Data'!FL22)+'Bloom Cleaner Data'!CX22</f>
        <v>109678</v>
      </c>
      <c r="NR22" s="13">
        <f>'Bloom Cleaner Data'!GT22+('Bloom Cleaner Data'!AH22+'Bloom Cleaner Data'!FM22)+'Bloom Cleaner Data'!CY22</f>
        <v>109678</v>
      </c>
      <c r="NS22" s="168"/>
      <c r="NT22" s="2024" t="s">
        <v>279</v>
      </c>
      <c r="NU22" s="998">
        <f>('Bloom Cleaner Data'!T22+'Bloom Cleaner Data'!EY22+'OPERATING LEASES'!BL22)/CALCULATIONS!ND22</f>
        <v>0.29462034105117108</v>
      </c>
      <c r="NV22" s="998">
        <f>('Bloom Cleaner Data'!U22+'Bloom Cleaner Data'!EZ22+'OPERATING LEASES'!BM22)/CALCULATIONS!NE22</f>
        <v>0.29446861884202319</v>
      </c>
      <c r="NW22" s="998">
        <f>('Bloom Cleaner Data'!V22+'Bloom Cleaner Data'!FA22+'OPERATING LEASES'!BN22)/CALCULATIONS!NF22</f>
        <v>0.30775604921446897</v>
      </c>
      <c r="NX22" s="998">
        <f>('Bloom Cleaner Data'!W22+'Bloom Cleaner Data'!FB22+'OPERATING LEASES'!BO22)/CALCULATIONS!NG22</f>
        <v>0.32061946287528276</v>
      </c>
      <c r="NY22" s="998">
        <f>('Bloom Cleaner Data'!X22+'Bloom Cleaner Data'!FC22+'OPERATING LEASES'!BP22)/CALCULATIONS!NH22</f>
        <v>0.31406769328736062</v>
      </c>
      <c r="NZ22" s="998">
        <f>('Bloom Cleaner Data'!Y22+'Bloom Cleaner Data'!FD22+'OPERATING LEASES'!BQ22)/CALCULATIONS!NI22</f>
        <v>0.30720861712405878</v>
      </c>
      <c r="OA22" s="998">
        <f>('Bloom Cleaner Data'!Z22+'Bloom Cleaner Data'!FE22+'OPERATING LEASES'!BR22)/CALCULATIONS!NJ22</f>
        <v>0.30180694871380037</v>
      </c>
      <c r="OB22" s="998">
        <f>('Bloom Cleaner Data'!AA22+'Bloom Cleaner Data'!FF22+'OPERATING LEASES'!BS22)/CALCULATIONS!NK22</f>
        <v>0.29626191588593537</v>
      </c>
      <c r="OC22" s="998">
        <f>('Bloom Cleaner Data'!AB22+'Bloom Cleaner Data'!FG22+'OPERATING LEASES'!BT22)/CALCULATIONS!NL22</f>
        <v>0.29926485929496321</v>
      </c>
      <c r="OD22" s="998">
        <f>('Bloom Cleaner Data'!AC22+'Bloom Cleaner Data'!FH22+'OPERATING LEASES'!BU22)/CALCULATIONS!NM22</f>
        <v>0.30275244346577818</v>
      </c>
      <c r="OE22" s="998">
        <f>('Bloom Cleaner Data'!AD22+'Bloom Cleaner Data'!FI22+'OPERATING LEASES'!BV22)/CALCULATIONS!NN22</f>
        <v>0.28754870726042225</v>
      </c>
      <c r="OF22" s="998">
        <f>('Bloom Cleaner Data'!AE22+'Bloom Cleaner Data'!FJ22+'OPERATING LEASES'!BW22)/CALCULATIONS!NO22</f>
        <v>0.26982726789163286</v>
      </c>
      <c r="OG22" s="998">
        <f>('Bloom Cleaner Data'!AF22+'Bloom Cleaner Data'!FK22+'OPERATING LEASES'!BX22)/CALCULATIONS!NP22</f>
        <v>0.30581073817053034</v>
      </c>
      <c r="OH22" s="998">
        <f>('Bloom Cleaner Data'!AG22+'Bloom Cleaner Data'!FL22+'OPERATING LEASES'!BY22)/CALCULATIONS!NQ22</f>
        <v>0.33743321358886924</v>
      </c>
      <c r="OI22" s="998">
        <f>('Bloom Cleaner Data'!AH22+'Bloom Cleaner Data'!FM22+'OPERATING LEASES'!BZ22)/CALCULATIONS!NR22</f>
        <v>0.33743321358886924</v>
      </c>
      <c r="OJ22" s="18">
        <f t="shared" si="98"/>
        <v>0.32689238844942292</v>
      </c>
      <c r="OK22" s="18">
        <f t="shared" si="99"/>
        <v>0.31262610830997539</v>
      </c>
      <c r="OL22" s="18">
        <f t="shared" si="100"/>
        <v>0.30675316387399787</v>
      </c>
      <c r="OM22" s="10">
        <f t="shared" si="101"/>
        <v>9.6430807615803679E-2</v>
      </c>
      <c r="ON22" s="10"/>
      <c r="OO22" s="2710"/>
      <c r="OP22" s="526">
        <f>'Bloom Cleaner Data'!D22/'Bloom Cleaner Data'!GF22</f>
        <v>0.88148843299196133</v>
      </c>
      <c r="OQ22" s="526">
        <f>'Bloom Cleaner Data'!E22/'Bloom Cleaner Data'!GG22</f>
        <v>0.88148843299196133</v>
      </c>
      <c r="OR22" s="526">
        <f>'Bloom Cleaner Data'!F22/'Bloom Cleaner Data'!GH22</f>
        <v>0.89604321075471594</v>
      </c>
      <c r="OS22" s="526">
        <f>'Bloom Cleaner Data'!G22/'Bloom Cleaner Data'!GI22</f>
        <v>0.91064090873949388</v>
      </c>
      <c r="OT22" s="526">
        <f>'Bloom Cleaner Data'!H22/'Bloom Cleaner Data'!GJ22</f>
        <v>0.9740740965952478</v>
      </c>
      <c r="OU22" s="526">
        <f>'Bloom Cleaner Data'!I22/'Bloom Cleaner Data'!GK22</f>
        <v>1.0396675814574983</v>
      </c>
      <c r="OV22" s="526">
        <f>'Bloom Cleaner Data'!J22/'Bloom Cleaner Data'!GL22</f>
        <v>1.0118633889361408</v>
      </c>
      <c r="OW22" s="526">
        <f>'Bloom Cleaner Data'!K22/'Bloom Cleaner Data'!GM22</f>
        <v>0.98331283422459892</v>
      </c>
      <c r="OX22" s="526">
        <f>'Bloom Cleaner Data'!L22/'Bloom Cleaner Data'!GN22</f>
        <v>1.0358794731883967</v>
      </c>
      <c r="OY22" s="526">
        <f>'Bloom Cleaner Data'!M22/'Bloom Cleaner Data'!GO22</f>
        <v>1.0931984987596224</v>
      </c>
      <c r="OZ22" s="526">
        <f>'Bloom Cleaner Data'!N22/'Bloom Cleaner Data'!GP22</f>
        <v>1.1563700021523602</v>
      </c>
      <c r="PA22" s="526">
        <f>'Bloom Cleaner Data'!O22/'Bloom Cleaner Data'!GQ22</f>
        <v>1.2264707217050743</v>
      </c>
      <c r="PB22" s="526">
        <f>'Bloom Cleaner Data'!P22/'Bloom Cleaner Data'!GR22</f>
        <v>1.2431028735310576</v>
      </c>
      <c r="PC22" s="526">
        <f>'Bloom Cleaner Data'!Q22/'Bloom Cleaner Data'!GS22</f>
        <v>1.259272460269286</v>
      </c>
      <c r="PD22" s="526">
        <f>'Bloom Cleaner Data'!R22/'Bloom Cleaner Data'!GT22</f>
        <v>1.259272460269286</v>
      </c>
      <c r="PE22" s="526">
        <f t="shared" si="102"/>
        <v>1.0837821931217524</v>
      </c>
      <c r="PF22" s="10">
        <f t="shared" si="103"/>
        <v>0.40537023790251214</v>
      </c>
      <c r="PG22" s="526">
        <f t="shared" si="104"/>
        <v>1.0336362190766659</v>
      </c>
      <c r="PH22" s="18"/>
      <c r="PI22" s="2710"/>
      <c r="PJ22" s="526">
        <f>CALCULATIONS!DD22/'Bloom Cleaner Data'!GF22</f>
        <v>0.17302001181238796</v>
      </c>
      <c r="PK22" s="526">
        <f>CALCULATIONS!DE22/'Bloom Cleaner Data'!GG22</f>
        <v>0.17280601516318317</v>
      </c>
      <c r="PL22" s="526">
        <f>CALCULATIONS!DF22/'Bloom Cleaner Data'!GH22</f>
        <v>0.17157239172630251</v>
      </c>
      <c r="PM22" s="526">
        <f>CALCULATIONS!DG22/'Bloom Cleaner Data'!GI22</f>
        <v>0.17037871594106382</v>
      </c>
      <c r="PN22" s="526">
        <f>CALCULATIONS!DH22/'Bloom Cleaner Data'!GJ22</f>
        <v>0.17344606964479686</v>
      </c>
      <c r="PO22" s="526">
        <f>CALCULATIONS!DI22/'Bloom Cleaner Data'!GK22</f>
        <v>0.1766827255748015</v>
      </c>
      <c r="PP22" s="526">
        <f>CALCULATIONS!DJ22/'Bloom Cleaner Data'!GL22</f>
        <v>0.19659698105277734</v>
      </c>
      <c r="PQ22" s="526">
        <f>CALCULATIONS!DK22/'Bloom Cleaner Data'!GM22</f>
        <v>0.22317058594845185</v>
      </c>
      <c r="PR22" s="526">
        <f>CALCULATIONS!DL22/'Bloom Cleaner Data'!GN22</f>
        <v>0.23245529367253343</v>
      </c>
      <c r="PS22" s="526">
        <f>CALCULATIONS!DM22/'Bloom Cleaner Data'!GO22</f>
        <v>0.24292668717414695</v>
      </c>
      <c r="PT22" s="526">
        <f>CALCULATIONS!DN22/'Bloom Cleaner Data'!GP22</f>
        <v>0.22349381385640574</v>
      </c>
      <c r="PU22" s="526">
        <f>CALCULATIONS!DO22/'Bloom Cleaner Data'!GQ22</f>
        <v>0.20889745597776219</v>
      </c>
      <c r="PV22" s="526">
        <f>CALCULATIONS!DP22/'Bloom Cleaner Data'!GR22</f>
        <v>0.20511717219470693</v>
      </c>
      <c r="PW22" s="526">
        <f>CALCULATIONS!DQ22/'Bloom Cleaner Data'!GS22</f>
        <v>0.20134260940831458</v>
      </c>
      <c r="PX22" s="526">
        <f>CALCULATIONS!DR22/'Bloom Cleaner Data'!GT22</f>
        <v>0.20134260940831458</v>
      </c>
      <c r="PY22" s="526">
        <f t="shared" si="105"/>
        <v>0.20210947012156755</v>
      </c>
      <c r="PZ22" s="526">
        <f t="shared" si="106"/>
        <v>0.21503813429926816</v>
      </c>
      <c r="QA22" s="18"/>
      <c r="QC22" s="15">
        <f>'Bloom Cleaner Data'!HZ22</f>
        <v>6.1025999999999998</v>
      </c>
      <c r="QD22" s="15">
        <f>AVERAGE('Bloom Cleaner Data'!HN22:HZ22)</f>
        <v>7.9973961538461529</v>
      </c>
      <c r="QE22" s="504">
        <f>('Bloom Cleaner Data'!HZ22-'Bloom Cleaner Data'!HN22)/'Bloom Cleaner Data'!HN22</f>
        <v>-0.40065997525092811</v>
      </c>
      <c r="QF22" s="15">
        <f>'Bloom Cleaner Data'!HZ22-'Bloom Cleaner Data'!HL22</f>
        <v>-3.6543000000000001</v>
      </c>
    </row>
    <row r="23" spans="1:450">
      <c r="A23" s="11" t="s">
        <v>507</v>
      </c>
      <c r="B23" s="83" t="s">
        <v>284</v>
      </c>
      <c r="C23" s="1207" t="s">
        <v>1103</v>
      </c>
      <c r="D23" s="236" t="s">
        <v>62</v>
      </c>
      <c r="E23" s="13">
        <f>'Bloom Cleaner Data'!D23*'Bloom Cleaner Data'!D47</f>
        <v>22703.273435815001</v>
      </c>
      <c r="G23" s="13">
        <f>'Bloom Cleaner Data'!F23*'Bloom Cleaner Data'!F47</f>
        <v>23706.009373500001</v>
      </c>
      <c r="H23" s="13">
        <f>'Bloom Cleaner Data'!H23*'Bloom Cleaner Data'!H47</f>
        <v>26645.874666435</v>
      </c>
      <c r="I23" s="13">
        <f>'Bloom Cleaner Data'!J23*'Bloom Cleaner Data'!J47</f>
        <v>21891.801258240001</v>
      </c>
      <c r="J23" s="13">
        <f>'Bloom Cleaner Data'!L23*'Bloom Cleaner Data'!L47</f>
        <v>22631.967317260645</v>
      </c>
      <c r="K23" s="13">
        <f>'Bloom Cleaner Data'!N23*'Bloom Cleaner Data'!N47</f>
        <v>21801.412306646962</v>
      </c>
      <c r="L23" s="13">
        <f>'Bloom Cleaner Data'!P23*'Bloom Cleaner Data'!P47</f>
        <v>22237.728897879999</v>
      </c>
      <c r="M23" s="13">
        <f>'Bloom Cleaner Data'!R23*'Bloom Cleaner Data'!R47</f>
        <v>21731.57918967646</v>
      </c>
      <c r="N23" s="13">
        <f t="shared" si="0"/>
        <v>22949.481858519866</v>
      </c>
      <c r="O23" s="13">
        <f t="shared" si="32"/>
        <v>21923.573464734476</v>
      </c>
      <c r="P23" s="10">
        <f t="shared" si="1"/>
        <v>-8.3288171902550459E-2</v>
      </c>
      <c r="Q23" s="18">
        <f>('Bloom Cleaner Data'!R23-'Bloom Cleaner Data'!F23)/'Bloom Cleaner Data'!F23</f>
        <v>-0.16249794344851631</v>
      </c>
      <c r="R23" s="10">
        <f t="shared" si="33"/>
        <v>1.8487407003088485E-2</v>
      </c>
      <c r="S23" s="1363" t="s">
        <v>284</v>
      </c>
      <c r="T23" s="1322">
        <f>'Bloom Cleaner Data'!D23/'Bloom Cleaner Data'!$F23</f>
        <v>1.0297915084271616</v>
      </c>
      <c r="U23" s="1322">
        <f>'Bloom Cleaner Data'!E23/'Bloom Cleaner Data'!$F23</f>
        <v>1.0178748758649645</v>
      </c>
      <c r="V23" s="1322">
        <f>'Bloom Cleaner Data'!F23/'Bloom Cleaner Data'!$F23</f>
        <v>1</v>
      </c>
      <c r="W23" s="1322">
        <f>'Bloom Cleaner Data'!G23/'Bloom Cleaner Data'!$F23</f>
        <v>1.0844091358078531</v>
      </c>
      <c r="X23" s="1322">
        <f>'Bloom Cleaner Data'!H23/'Bloom Cleaner Data'!$F23</f>
        <v>1.0585899210909633</v>
      </c>
      <c r="Y23" s="1322">
        <f>'Bloom Cleaner Data'!I23/'Bloom Cleaner Data'!$F23</f>
        <v>1.0447230085330246</v>
      </c>
      <c r="Z23" s="1322">
        <f>'Bloom Cleaner Data'!J23/'Bloom Cleaner Data'!$F23</f>
        <v>0.88863698636468436</v>
      </c>
      <c r="AA23" s="1322">
        <f>'Bloom Cleaner Data'!K23/'Bloom Cleaner Data'!$F23</f>
        <v>0.87408172538112483</v>
      </c>
      <c r="AB23" s="1322">
        <f>'Bloom Cleaner Data'!L23/'Bloom Cleaner Data'!$F23</f>
        <v>0.8957230549295514</v>
      </c>
      <c r="AC23" s="1322">
        <f>'Bloom Cleaner Data'!M23/'Bloom Cleaner Data'!$F23</f>
        <v>0.88365755497557186</v>
      </c>
      <c r="AD23" s="1322">
        <f>'Bloom Cleaner Data'!N23/'Bloom Cleaner Data'!$F23</f>
        <v>0.84497120341400589</v>
      </c>
      <c r="AE23" s="1322">
        <f>'Bloom Cleaner Data'!O23/'Bloom Cleaner Data'!$F23</f>
        <v>0.90549044645091115</v>
      </c>
      <c r="AF23" s="1322">
        <f>'Bloom Cleaner Data'!P23/'Bloom Cleaner Data'!$F23</f>
        <v>0.84382206140255234</v>
      </c>
      <c r="AG23" s="1322">
        <f>'Bloom Cleaner Data'!Q23/'Bloom Cleaner Data'!$F23</f>
        <v>0.89112670228038704</v>
      </c>
      <c r="AH23" s="1322">
        <f>'Bloom Cleaner Data'!R23/'Bloom Cleaner Data'!$F23</f>
        <v>0.83750205655148369</v>
      </c>
      <c r="AI23" s="13"/>
      <c r="AJ23" s="13">
        <f>AVERAGE('Bloom Cleaner Data'!BW23:CI23)</f>
        <v>278325.22735384613</v>
      </c>
      <c r="AK23" s="18">
        <f>('Bloom Cleaner Data'!CI23-'Bloom Cleaner Data'!BW23)/'Bloom Cleaner Data'!BW23</f>
        <v>-9.1718645460854245E-2</v>
      </c>
      <c r="AL23" s="18">
        <f>('Bloom Cleaner Data'!CI23+'Bloom Cleaner Data'!CH23-'Bloom Cleaner Data'!BW23-'Bloom Cleaner Data'!BV23)/('Bloom Cleaner Data'!BW23+'Bloom Cleaner Data'!BV23)</f>
        <v>-8.440284096734027E-2</v>
      </c>
      <c r="AM23" s="13"/>
      <c r="AN23" s="13">
        <f>'Bloom Cleaner Data'!BW23*'Bloom Cleaner Data'!BW47</f>
        <v>30216.145873500001</v>
      </c>
      <c r="AO23" s="13">
        <f>'Bloom Cleaner Data'!BY23*'Bloom Cleaner Data'!BY47</f>
        <v>32974.985166434999</v>
      </c>
      <c r="AP23" s="13">
        <f>'Bloom Cleaner Data'!CA23*'Bloom Cleaner Data'!CA47</f>
        <v>30228.221898240001</v>
      </c>
      <c r="AQ23" s="13">
        <f>'Bloom Cleaner Data'!CC23*'Bloom Cleaner Data'!CC47</f>
        <v>30964.705482508645</v>
      </c>
      <c r="AR23" s="13">
        <f>'Bloom Cleaner Data'!CE23*'Bloom Cleaner Data'!CE47</f>
        <v>30893.733623843465</v>
      </c>
      <c r="AS23" s="13">
        <f>'Bloom Cleaner Data'!CG23*'Bloom Cleaner Data'!CG47</f>
        <v>29900.150177879997</v>
      </c>
      <c r="AT23" s="13">
        <f>'Bloom Cleaner Data'!CI23*'Bloom Cleaner Data'!CI47</f>
        <v>30040.449045980571</v>
      </c>
      <c r="AU23" s="13">
        <f t="shared" si="2"/>
        <v>30745.484466912523</v>
      </c>
      <c r="AV23" s="10">
        <f t="shared" si="3"/>
        <v>-5.8146670410907384E-3</v>
      </c>
      <c r="AW23" s="10"/>
      <c r="AX23" s="13">
        <f>'Bloom Cleaner Data'!T23+'OPERATING LEASES'!AU23</f>
        <v>56764.439674022702</v>
      </c>
      <c r="AY23" s="13">
        <f>'Bloom Cleaner Data'!U23+'OPERATING LEASES'!AV23</f>
        <v>55013.267838133324</v>
      </c>
      <c r="AZ23" s="13">
        <f>'Bloom Cleaner Data'!V23+'OPERATING LEASES'!AW23</f>
        <v>61717.096002243947</v>
      </c>
      <c r="BA23" s="13">
        <f>'Bloom Cleaner Data'!W23+'OPERATING LEASES'!AX23</f>
        <v>56503.924166354562</v>
      </c>
      <c r="BB23" s="13">
        <f>'Bloom Cleaner Data'!X23+'OPERATING LEASES'!AY23</f>
        <v>56730.752330465184</v>
      </c>
      <c r="BC23" s="13">
        <f>'Bloom Cleaner Data'!Y23+'OPERATING LEASES'!AZ23</f>
        <v>52997.611721428228</v>
      </c>
      <c r="BD23" s="13">
        <f>'Bloom Cleaner Data'!Z23+'OPERATING LEASES'!BA23</f>
        <v>76195.471112391271</v>
      </c>
      <c r="BE23" s="13">
        <f>'Bloom Cleaner Data'!AA23+'OPERATING LEASES'!BB23</f>
        <v>74521.330503354315</v>
      </c>
      <c r="BF23" s="13">
        <f>'Bloom Cleaner Data'!AB23+'OPERATING LEASES'!BC23</f>
        <v>73697.189894317358</v>
      </c>
      <c r="BG23" s="13">
        <f>'Bloom Cleaner Data'!AC23+'OPERATING LEASES'!BD23</f>
        <v>82621.049285280402</v>
      </c>
      <c r="BH23" s="13">
        <f>'Bloom Cleaner Data'!AD23+'OPERATING LEASES'!BE23</f>
        <v>81961.908676243445</v>
      </c>
      <c r="BI23" s="13">
        <f>'Bloom Cleaner Data'!AE23+'OPERATING LEASES'!BF23</f>
        <v>79435.768067206489</v>
      </c>
      <c r="BJ23" s="13">
        <f>'Bloom Cleaner Data'!AF23+'OPERATING LEASES'!BG23</f>
        <v>68115.627458169532</v>
      </c>
      <c r="BK23" s="13">
        <f>'Bloom Cleaner Data'!AG23+'OPERATING LEASES'!BH23</f>
        <v>64048.62745816954</v>
      </c>
      <c r="BL23" s="13">
        <f>'Bloom Cleaner Data'!AH23+'OPERATING LEASES'!BI23</f>
        <v>74692.627458169532</v>
      </c>
      <c r="BM23" s="1167">
        <f t="shared" si="34"/>
        <v>69479.921856445697</v>
      </c>
      <c r="BN23" s="10">
        <f t="shared" si="35"/>
        <v>0.21024209330027152</v>
      </c>
      <c r="BO23" s="10"/>
      <c r="BP23" s="13">
        <f>'Bloom Cleaner Data'!BU23+'OPERATING LEASES'!AU23</f>
        <v>296721.6461740227</v>
      </c>
      <c r="BQ23" s="13">
        <f>'Bloom Cleaner Data'!BV23+'OPERATING LEASES'!AV23</f>
        <v>292752.18913813331</v>
      </c>
      <c r="BR23" s="13">
        <f>'Bloom Cleaner Data'!BW23+'OPERATING LEASES'!AW23</f>
        <v>295213.60600224393</v>
      </c>
      <c r="BS23" s="13">
        <f>'Bloom Cleaner Data'!BX23+'OPERATING LEASES'!AX23</f>
        <v>308884.87636635458</v>
      </c>
      <c r="BT23" s="13">
        <f>'Bloom Cleaner Data'!BY23+'OPERATING LEASES'!AY23</f>
        <v>302830.12183046516</v>
      </c>
      <c r="BU23" s="13">
        <f>'Bloom Cleaner Data'!BZ23+'OPERATING LEASES'!AZ23</f>
        <v>295651.7484214282</v>
      </c>
      <c r="BV23" s="13">
        <f>'Bloom Cleaner Data'!CA23+'OPERATING LEASES'!BA23</f>
        <v>283987.41511239129</v>
      </c>
      <c r="BW23" s="13">
        <f>'Bloom Cleaner Data'!CB23+'OPERATING LEASES'!BB23</f>
        <v>279999.4099033543</v>
      </c>
      <c r="BX23" s="13">
        <f>'Bloom Cleaner Data'!CC23+'OPERATING LEASES'!BC23</f>
        <v>283568.25509431737</v>
      </c>
      <c r="BY23" s="13">
        <f>'Bloom Cleaner Data'!CD23+'OPERATING LEASES'!BD23</f>
        <v>287089.17118528043</v>
      </c>
      <c r="BZ23" s="13">
        <f>'Bloom Cleaner Data'!CE23+'OPERATING LEASES'!BE23</f>
        <v>277128.25887624343</v>
      </c>
      <c r="CA23" s="13">
        <f>'Bloom Cleaner Data'!CF23+'OPERATING LEASES'!BF23</f>
        <v>287969.18686720647</v>
      </c>
      <c r="CB23" s="13">
        <f>'Bloom Cleaner Data'!CG23+'OPERATING LEASES'!BG23</f>
        <v>262855.16295816953</v>
      </c>
      <c r="CC23" s="13">
        <f>'Bloom Cleaner Data'!CH23+'OPERATING LEASES'!BH23</f>
        <v>269870.48255816952</v>
      </c>
      <c r="CD23" s="13">
        <f>'Bloom Cleaner Data'!CI23+'OPERATING LEASES'!BI23</f>
        <v>268086.24455816956</v>
      </c>
      <c r="CE23" s="1167">
        <f t="shared" si="36"/>
        <v>284856.45690259949</v>
      </c>
      <c r="CF23" s="10">
        <f t="shared" si="37"/>
        <v>-9.1890620528744096E-2</v>
      </c>
      <c r="CG23" s="18">
        <f t="shared" si="4"/>
        <v>2.3466178796828715E-2</v>
      </c>
      <c r="CH23" s="13"/>
      <c r="CI23" s="18">
        <f>$CI$1*BP23/('Bloom Cleaner Data'!D23+'Bloom Cleaner Data'!T23+'OPERATING LEASES'!AU23)+(1-$CI$1)*'Bloom Cleaner Data'!BU23/('Bloom Cleaner Data'!D23+'Bloom Cleaner Data'!T23)-1</f>
        <v>2.461026159895674E-2</v>
      </c>
      <c r="CJ23" s="18">
        <f>$CI$1*BQ23/('Bloom Cleaner Data'!E23+'Bloom Cleaner Data'!U23+'OPERATING LEASES'!AV23)+(1-$CI$1)*'Bloom Cleaner Data'!BV23/('Bloom Cleaner Data'!E23+'Bloom Cleaner Data'!U23)-1</f>
        <v>2.6663235560936194E-2</v>
      </c>
      <c r="CK23" s="18">
        <f>$CI$1*BR23/('Bloom Cleaner Data'!F23+'Bloom Cleaner Data'!V23+'OPERATING LEASES'!AW23)+(1-$CI$1)*'Bloom Cleaner Data'!BW23/('Bloom Cleaner Data'!F23+'Bloom Cleaner Data'!V23)-1</f>
        <v>2.5718212350138048E-2</v>
      </c>
      <c r="CL23" s="18">
        <f>$CI$1*BS23/('Bloom Cleaner Data'!G23+'Bloom Cleaner Data'!W23+'OPERATING LEASES'!AX23)+(1-$CI$1)*'Bloom Cleaner Data'!BX23/('Bloom Cleaner Data'!G23+'Bloom Cleaner Data'!W23)-1</f>
        <v>2.387275037531178E-2</v>
      </c>
      <c r="CM23" s="18">
        <f>$CI$1*BT23/('Bloom Cleaner Data'!H23+'Bloom Cleaner Data'!X23+'OPERATING LEASES'!AY23)+(1-$CI$1)*'Bloom Cleaner Data'!BY23/('Bloom Cleaner Data'!H23+'Bloom Cleaner Data'!X23)-1</f>
        <v>2.2825519532938765E-2</v>
      </c>
      <c r="CN23" s="18">
        <f>$CI$1*BU23/('Bloom Cleaner Data'!I23+'Bloom Cleaner Data'!Y23+'OPERATING LEASES'!AZ23)+(1-$CI$1)*'Bloom Cleaner Data'!BZ23/('Bloom Cleaner Data'!I23+'Bloom Cleaner Data'!Y23)-1</f>
        <v>2.2295699952698866E-2</v>
      </c>
      <c r="CO23" s="18">
        <f>$CI$1*BV23/('Bloom Cleaner Data'!J23+'Bloom Cleaner Data'!Z23+'OPERATING LEASES'!BA23)+(1-$CI$1)*'Bloom Cleaner Data'!CA23/('Bloom Cleaner Data'!J23+'Bloom Cleaner Data'!Z23)-1</f>
        <v>2.4813124342825121E-2</v>
      </c>
      <c r="CP23" s="18">
        <f>$CI$1*BW23/('Bloom Cleaner Data'!K23+'Bloom Cleaner Data'!AA23+'OPERATING LEASES'!BB23)+(1-$CI$1)*'Bloom Cleaner Data'!CB23/('Bloom Cleaner Data'!K23+'Bloom Cleaner Data'!AA23)-1</f>
        <v>2.8855791273486808E-2</v>
      </c>
      <c r="CQ23" s="18">
        <f>$CI$1*BX23/('Bloom Cleaner Data'!L23+'Bloom Cleaner Data'!AB23+'OPERATING LEASES'!BC23)+(1-$CI$1)*'Bloom Cleaner Data'!CC23/('Bloom Cleaner Data'!L23+'Bloom Cleaner Data'!AB23)-1</f>
        <v>2.6620542726683238E-2</v>
      </c>
      <c r="CR23" s="18">
        <f>$CI$1*BY23/('Bloom Cleaner Data'!M23+'Bloom Cleaner Data'!AC23+'OPERATING LEASES'!BD23)+(1-$CI$1)*'Bloom Cleaner Data'!CD23/('Bloom Cleaner Data'!M23+'Bloom Cleaner Data'!AC23)-1</f>
        <v>1.6564500548496008E-2</v>
      </c>
      <c r="CS23" s="18">
        <f>$CI$1*BZ23/('Bloom Cleaner Data'!N23+'Bloom Cleaner Data'!AD23+'OPERATING LEASES'!BE23)+(1-$CI$1)*'Bloom Cleaner Data'!CE23/('Bloom Cleaner Data'!N23+'Bloom Cleaner Data'!AD23)-1</f>
        <v>1.5102273183202675E-2</v>
      </c>
      <c r="CT23" s="18">
        <f>$CI$1*CA23/('Bloom Cleaner Data'!O23+'Bloom Cleaner Data'!AE23+'OPERATING LEASES'!BF23)+(1-$CI$1)*'Bloom Cleaner Data'!CF23/('Bloom Cleaner Data'!O23+'Bloom Cleaner Data'!AE23)-1</f>
        <v>1.339727865262752E-2</v>
      </c>
      <c r="CU23" s="18">
        <f>$CI$1*CB23/('Bloom Cleaner Data'!P23+'Bloom Cleaner Data'!AF23+'OPERATING LEASES'!BG23)+(1-$CI$1)*'Bloom Cleaner Data'!CG23/('Bloom Cleaner Data'!P23+'Bloom Cleaner Data'!AF23)-1</f>
        <v>1.5280080301530941E-2</v>
      </c>
      <c r="CV23" s="18">
        <f>$CI$1*CC23/('Bloom Cleaner Data'!Q23+'Bloom Cleaner Data'!AG23+'OPERATING LEASES'!BH23)+(1-$CI$1)*'Bloom Cleaner Data'!CH23/('Bloom Cleaner Data'!Q23+'Bloom Cleaner Data'!AG23)-1</f>
        <v>1.6356122380095206E-2</v>
      </c>
      <c r="CW23" s="18">
        <f>$CI$1*CD23/('Bloom Cleaner Data'!R23+'Bloom Cleaner Data'!AH23+'OPERATING LEASES'!BI23)+(1-$CI$1)*'Bloom Cleaner Data'!CI23/('Bloom Cleaner Data'!R23+'Bloom Cleaner Data'!AH23)-1</f>
        <v>1.5296505012799777E-2</v>
      </c>
      <c r="CX23" s="18">
        <f t="shared" si="38"/>
        <v>2.0538338510218059E-2</v>
      </c>
      <c r="CY23" s="13"/>
      <c r="CZ23" s="3112">
        <f>AVERAGE('Bloom Cleaner Data'!GX23:HJ23)</f>
        <v>36774.407060527075</v>
      </c>
      <c r="DA23" s="2860">
        <f>('Bloom Cleaner Data'!HJ23-'Bloom Cleaner Data'!GX23)/'Bloom Cleaner Data'!GX23</f>
        <v>-0.10909869884550361</v>
      </c>
      <c r="DB23" s="2860">
        <f>('Bloom Cleaner Data'!HJ23+'Bloom Cleaner Data'!HI23-'Bloom Cleaner Data'!GX23-'Bloom Cleaner Data'!GW23)/('Bloom Cleaner Data'!GX23+'Bloom Cleaner Data'!GW23)</f>
        <v>-8.7494053465624291E-2</v>
      </c>
      <c r="DC23" s="13"/>
      <c r="DD23" s="13">
        <f>'Bloom Cleaner Data'!GV23+'OPERATING LEASES'!BL23</f>
        <v>38274.75565929147</v>
      </c>
      <c r="DE23" s="13">
        <f>'Bloom Cleaner Data'!GW23+'OPERATING LEASES'!BM23</f>
        <v>38300.711432403987</v>
      </c>
      <c r="DF23" s="13">
        <f>'Bloom Cleaner Data'!GX23+'OPERATING LEASES'!BN23</f>
        <v>39200.247989181604</v>
      </c>
      <c r="DG23" s="13">
        <f>'Bloom Cleaner Data'!GY23+'OPERATING LEASES'!BO23</f>
        <v>40251.449204553879</v>
      </c>
      <c r="DH23" s="13">
        <f>'Bloom Cleaner Data'!GZ23+'OPERATING LEASES'!BP23</f>
        <v>38675.27375402287</v>
      </c>
      <c r="DI23" s="13">
        <f>'Bloom Cleaner Data'!HA23+'OPERATING LEASES'!BQ23</f>
        <v>38804.532415068541</v>
      </c>
      <c r="DJ23" s="13">
        <f>'Bloom Cleaner Data'!HB23+'OPERATING LEASES'!BR23</f>
        <v>38270.445038990583</v>
      </c>
      <c r="DK23" s="13">
        <f>'Bloom Cleaner Data'!HC23+'OPERATING LEASES'!BS23</f>
        <v>37658.954546235633</v>
      </c>
      <c r="DL23" s="13">
        <f>'Bloom Cleaner Data'!HD23+'OPERATING LEASES'!BT23</f>
        <v>38078.264027537865</v>
      </c>
      <c r="DM23" s="13">
        <f>'Bloom Cleaner Data'!HE23+'OPERATING LEASES'!BU23</f>
        <v>37970.40529186224</v>
      </c>
      <c r="DN23" s="13">
        <f>'Bloom Cleaner Data'!HF23+'OPERATING LEASES'!BV23</f>
        <v>38197.870922418064</v>
      </c>
      <c r="DO23" s="13">
        <f>'Bloom Cleaner Data'!HG23+'OPERATING LEASES'!BW23</f>
        <v>37387.145927393271</v>
      </c>
      <c r="DP23" s="13">
        <f>'Bloom Cleaner Data'!HH23+'OPERATING LEASES'!BX23</f>
        <v>35970.342595626178</v>
      </c>
      <c r="DQ23" s="13">
        <f>'Bloom Cleaner Data'!HI23+'OPERATING LEASES'!BY23</f>
        <v>35624.046116249388</v>
      </c>
      <c r="DR23" s="13">
        <f>'Bloom Cleaner Data'!HJ23+'OPERATING LEASES'!BZ23</f>
        <v>34863.300564854639</v>
      </c>
      <c r="DS23" s="1167">
        <f t="shared" si="39"/>
        <v>37765.559876461142</v>
      </c>
      <c r="DT23" s="10">
        <f t="shared" si="40"/>
        <v>-0.11063571397619387</v>
      </c>
      <c r="DU23" s="18">
        <f t="shared" si="41"/>
        <v>2.6952244649457606E-2</v>
      </c>
      <c r="DV23" s="167"/>
      <c r="DW23" s="15">
        <f>'Bloom Cleaner Data'!DT23</f>
        <v>2.6749999999999998</v>
      </c>
      <c r="DX23" s="15">
        <f>'Bloom Cleaner Data'!DX23</f>
        <v>2.6560000000000001</v>
      </c>
      <c r="DY23" s="15">
        <f>'Bloom Cleaner Data'!EB23</f>
        <v>2.5550999999999999</v>
      </c>
      <c r="DZ23" s="15">
        <f>'Bloom Cleaner Data'!EF23</f>
        <v>2.548</v>
      </c>
      <c r="EA23" s="15">
        <f>AVERAGE('Bloom Cleaner Data'!DT23:EF23)</f>
        <v>2.6416384615384612</v>
      </c>
      <c r="EB23" s="18">
        <f t="shared" si="5"/>
        <v>-4.7476635514018616E-2</v>
      </c>
      <c r="EC23" s="13"/>
      <c r="ED23" s="15">
        <f>'Bloom Cleaner Data'!DC23</f>
        <v>7.5711000000000004</v>
      </c>
      <c r="EE23" s="15">
        <f>'Bloom Cleaner Data'!DG23</f>
        <v>7.4409000000000001</v>
      </c>
      <c r="EF23" s="15">
        <f>'Bloom Cleaner Data'!DK23</f>
        <v>7.2706999999999997</v>
      </c>
      <c r="EG23" s="15">
        <f>'Bloom Cleaner Data'!DO23</f>
        <v>7.7187999999999999</v>
      </c>
      <c r="EH23" s="15">
        <f>AVERAGE('Bloom Cleaner Data'!DC23:DO23)</f>
        <v>7.5677461538461541</v>
      </c>
      <c r="EI23" s="22">
        <f t="shared" si="42"/>
        <v>7.500375</v>
      </c>
      <c r="EJ23" s="22">
        <f t="shared" si="6"/>
        <v>6.7371153846154108E-2</v>
      </c>
      <c r="EK23" s="18">
        <f t="shared" si="43"/>
        <v>1.950839376048388E-2</v>
      </c>
      <c r="EL23" s="241"/>
      <c r="EM23" s="15">
        <f>('Bloom Cleaner Data'!BU23+'OPERATING LEASES'!AU23)/DD23</f>
        <v>7.7524112450340725</v>
      </c>
      <c r="EN23" s="15">
        <f>('Bloom Cleaner Data'!BV23+'OPERATING LEASES'!AV23)/DE23</f>
        <v>7.6435183104837279</v>
      </c>
      <c r="EO23" s="15">
        <f>('Bloom Cleaner Data'!BW23+'OPERATING LEASES'!AW23)/DF23</f>
        <v>7.5309116943269423</v>
      </c>
      <c r="EP23" s="15">
        <f>('Bloom Cleaner Data'!BX23+'OPERATING LEASES'!AX23)/DG23</f>
        <v>7.6738821202842225</v>
      </c>
      <c r="EQ23" s="15">
        <f>('Bloom Cleaner Data'!BY23+'OPERATING LEASES'!AY23)/DH23</f>
        <v>7.8300705447227976</v>
      </c>
      <c r="ER23" s="15">
        <f>('Bloom Cleaner Data'!BZ23+'OPERATING LEASES'!AZ23)/DI23</f>
        <v>7.6190004110607701</v>
      </c>
      <c r="ES23" s="15">
        <f>('Bloom Cleaner Data'!CA23+'OPERATING LEASES'!BA23)/DJ23</f>
        <v>7.4205412250382787</v>
      </c>
      <c r="ET23" s="15">
        <f>('Bloom Cleaner Data'!CB23+'OPERATING LEASES'!BB23)/DK23</f>
        <v>7.4351349706106715</v>
      </c>
      <c r="EU23" s="15">
        <f>('Bloom Cleaner Data'!CC23+'OPERATING LEASES'!BC23)/DL23</f>
        <v>7.4469848438795241</v>
      </c>
      <c r="EV23" s="15">
        <f>('Bloom Cleaner Data'!CD23+'OPERATING LEASES'!BD23)/DM23</f>
        <v>7.560866653346177</v>
      </c>
      <c r="EW23" s="15">
        <f>('Bloom Cleaner Data'!CE23+'OPERATING LEASES'!BE23)/DN23</f>
        <v>7.2550708242117965</v>
      </c>
      <c r="EX23" s="15">
        <f>('Bloom Cleaner Data'!CF23+'OPERATING LEASES'!BF23)/DO23</f>
        <v>7.7023581159805437</v>
      </c>
      <c r="EY23" s="15">
        <f>('Bloom Cleaner Data'!CG23+'OPERATING LEASES'!BG23)/DP23</f>
        <v>7.307552388731807</v>
      </c>
      <c r="EZ23" s="15">
        <f>('Bloom Cleaner Data'!CH23+'OPERATING LEASES'!BH23)/DQ23</f>
        <v>7.5755146306941263</v>
      </c>
      <c r="FA23" s="15">
        <f>('Bloom Cleaner Data'!CI23+'OPERATING LEASES'!BI23)/DR23</f>
        <v>7.6896404016441506</v>
      </c>
      <c r="FB23" s="526">
        <f t="shared" si="44"/>
        <v>7.5421176018870622</v>
      </c>
      <c r="FC23" s="10">
        <f t="shared" si="45"/>
        <v>2.1076957712408067E-2</v>
      </c>
      <c r="FD23" s="15">
        <f t="shared" si="7"/>
        <v>-2.5628551959091972E-2</v>
      </c>
      <c r="FE23" s="15">
        <f t="shared" si="46"/>
        <v>7.5012664465197858</v>
      </c>
      <c r="FF23" s="13"/>
      <c r="FG23" s="15">
        <f>$FG$1*EM23+(1-$FG$1)*'Bloom Cleaner Data'!DA23</f>
        <v>7.7524112450340725</v>
      </c>
      <c r="FH23" s="15">
        <f>$FG$1*EN23+(1-$FG$1)*'Bloom Cleaner Data'!DB23</f>
        <v>7.6435183104837279</v>
      </c>
      <c r="FI23" s="15">
        <f>$FG$1*EO23+(1-$FG$1)*'Bloom Cleaner Data'!DC23</f>
        <v>7.5309116943269423</v>
      </c>
      <c r="FJ23" s="15">
        <f>$FG$1*EP23+(1-$FG$1)*'Bloom Cleaner Data'!DD23</f>
        <v>7.6738821202842225</v>
      </c>
      <c r="FK23" s="15">
        <f>$FG$1*EQ23+(1-$FG$1)*'Bloom Cleaner Data'!DE23</f>
        <v>7.8300705447227976</v>
      </c>
      <c r="FL23" s="15">
        <f>$FG$1*ER23+(1-$FG$1)*'Bloom Cleaner Data'!DF23</f>
        <v>7.6190004110607701</v>
      </c>
      <c r="FM23" s="15">
        <f>$FG$1*ES23+(1-$FG$1)*'Bloom Cleaner Data'!DG23</f>
        <v>7.4205412250382787</v>
      </c>
      <c r="FN23" s="15">
        <f>$FG$1*ET23+(1-$FG$1)*'Bloom Cleaner Data'!DH23</f>
        <v>7.4351349706106715</v>
      </c>
      <c r="FO23" s="15">
        <f>$FG$1*EU23+(1-$FG$1)*'Bloom Cleaner Data'!DI23</f>
        <v>7.4469848438795241</v>
      </c>
      <c r="FP23" s="15">
        <f>$FG$1*EV23+(1-$FG$1)*'Bloom Cleaner Data'!DJ23</f>
        <v>7.560866653346177</v>
      </c>
      <c r="FQ23" s="15">
        <f>$FG$1*EW23+(1-$FG$1)*'Bloom Cleaner Data'!DK23</f>
        <v>7.2550708242117965</v>
      </c>
      <c r="FR23" s="15">
        <f>$FG$1*EX23+(1-$FG$1)*'Bloom Cleaner Data'!DL23</f>
        <v>7.7023581159805437</v>
      </c>
      <c r="FS23" s="15">
        <f>$FG$1*EY23+(1-$FG$1)*'Bloom Cleaner Data'!DM23</f>
        <v>7.307552388731807</v>
      </c>
      <c r="FT23" s="15">
        <f>$FG$1*EZ23+(1-$FG$1)*'Bloom Cleaner Data'!DN23</f>
        <v>7.5755146306941263</v>
      </c>
      <c r="FU23" s="15">
        <f>$FG$1*FA23+(1-$FG$1)*'Bloom Cleaner Data'!DO23</f>
        <v>7.6896404016441506</v>
      </c>
      <c r="FV23" s="526">
        <f t="shared" si="47"/>
        <v>7.5421176018870622</v>
      </c>
      <c r="FW23" s="10">
        <f t="shared" si="48"/>
        <v>2.1076957712408067E-2</v>
      </c>
      <c r="FX23" s="526">
        <f t="shared" si="49"/>
        <v>7.5012664465197858</v>
      </c>
      <c r="FY23" s="2710"/>
      <c r="FZ23" s="2710"/>
      <c r="GA23" s="10">
        <f>'Bloom Cleaner Data'!T23/('Bloom Cleaner Data'!T23+'Bloom Cleaner Data'!D23)</f>
        <v>0.17487362058508851</v>
      </c>
      <c r="GB23" s="10">
        <f>'Bloom Cleaner Data'!U23/('Bloom Cleaner Data'!U23+'Bloom Cleaner Data'!E23)</f>
        <v>0.171949315579423</v>
      </c>
      <c r="GC23" s="10">
        <f>'Bloom Cleaner Data'!V23/('Bloom Cleaner Data'!V23+'Bloom Cleaner Data'!F23)</f>
        <v>0.19476996626321205</v>
      </c>
      <c r="GD23" s="10">
        <f>'Bloom Cleaner Data'!W23/('Bloom Cleaner Data'!W23+'Bloom Cleaner Data'!G23)</f>
        <v>0.16845913688819275</v>
      </c>
      <c r="GE23" s="10">
        <f>'Bloom Cleaner Data'!X23/('Bloom Cleaner Data'!X23+'Bloom Cleaner Data'!H23)</f>
        <v>0.17306919408268159</v>
      </c>
      <c r="GF23" s="10">
        <f>'Bloom Cleaner Data'!Y23/('Bloom Cleaner Data'!Y23+'Bloom Cleaner Data'!I23)</f>
        <v>0.16417722938883428</v>
      </c>
      <c r="GG23" s="10">
        <f>'Bloom Cleaner Data'!Z23/('Bloom Cleaner Data'!Z23+'Bloom Cleaner Data'!J23)</f>
        <v>0.25737672071638173</v>
      </c>
      <c r="GH23" s="10">
        <f>'Bloom Cleaner Data'!AA23/('Bloom Cleaner Data'!AA23+'Bloom Cleaner Data'!K23)</f>
        <v>0.25599152056031982</v>
      </c>
      <c r="GI23" s="10">
        <f>'Bloom Cleaner Data'!AB23/('Bloom Cleaner Data'!AB23+'Bloom Cleaner Data'!L23)</f>
        <v>0.24917967201704444</v>
      </c>
      <c r="GJ23" s="10">
        <f>'Bloom Cleaner Data'!AC23/('Bloom Cleaner Data'!AC23+'Bloom Cleaner Data'!M23)</f>
        <v>0.27602601201041127</v>
      </c>
      <c r="GK23" s="10">
        <f>'Bloom Cleaner Data'!AD23/('Bloom Cleaner Data'!AD23+'Bloom Cleaner Data'!N23)</f>
        <v>0.28339579044916141</v>
      </c>
      <c r="GL23" s="10">
        <f>'Bloom Cleaner Data'!AE23/('Bloom Cleaner Data'!AE23+'Bloom Cleaner Data'!O23)</f>
        <v>0.26301843064142427</v>
      </c>
      <c r="GM23" s="10">
        <f>'Bloom Cleaner Data'!AF23/('Bloom Cleaner Data'!AF23+'Bloom Cleaner Data'!P23)</f>
        <v>0.24461769844286613</v>
      </c>
      <c r="GN23" s="10">
        <f>'Bloom Cleaner Data'!AG23/('Bloom Cleaner Data'!AG23+'Bloom Cleaner Data'!Q23)</f>
        <v>0.22267117396642327</v>
      </c>
      <c r="GO23" s="10">
        <f>'Bloom Cleaner Data'!AH23/('Bloom Cleaner Data'!AH23+'Bloom Cleaner Data'!R23)</f>
        <v>0.26525179681706468</v>
      </c>
      <c r="GP23" s="10">
        <f t="shared" si="50"/>
        <v>0.23215418017261674</v>
      </c>
      <c r="GQ23" s="10">
        <f t="shared" si="51"/>
        <v>0.36187217108516367</v>
      </c>
      <c r="GR23" s="10"/>
      <c r="GS23" s="496">
        <f t="shared" si="8"/>
        <v>0.21193555914318188</v>
      </c>
      <c r="GT23" s="497">
        <f t="shared" si="9"/>
        <v>0.20765554429768196</v>
      </c>
      <c r="GU23" s="497">
        <f t="shared" si="10"/>
        <v>0.24188114961305343</v>
      </c>
      <c r="GV23" s="497">
        <f t="shared" si="11"/>
        <v>0.20258672106357095</v>
      </c>
      <c r="GW23" s="497">
        <f t="shared" si="12"/>
        <v>0.20929102271222691</v>
      </c>
      <c r="GX23" s="497">
        <f t="shared" si="13"/>
        <v>0.19642588735502564</v>
      </c>
      <c r="GY23" s="497">
        <f t="shared" si="14"/>
        <v>0.346577770851277</v>
      </c>
      <c r="GZ23" s="497">
        <f t="shared" si="15"/>
        <v>0.34407070300208065</v>
      </c>
      <c r="HA23" s="497">
        <f t="shared" si="16"/>
        <v>0.33187656584426029</v>
      </c>
      <c r="HB23" s="497">
        <f t="shared" si="17"/>
        <v>0.3812650959696921</v>
      </c>
      <c r="HC23" s="497">
        <f t="shared" si="18"/>
        <v>0.39547045171112166</v>
      </c>
      <c r="HD23" s="497">
        <f t="shared" si="19"/>
        <v>0.35688603565804183</v>
      </c>
      <c r="HE23" s="497">
        <f t="shared" si="20"/>
        <v>0.32383297561859048</v>
      </c>
      <c r="HF23" s="497">
        <f t="shared" si="21"/>
        <v>0.28645685906520724</v>
      </c>
      <c r="HG23" s="498">
        <f t="shared" si="22"/>
        <v>0.36101047361258143</v>
      </c>
      <c r="HH23" s="10">
        <f t="shared" si="52"/>
        <v>0.30597167015974841</v>
      </c>
      <c r="HI23" s="10">
        <f t="shared" si="53"/>
        <v>0.49251181495583163</v>
      </c>
      <c r="HJ23" s="10"/>
      <c r="HK23" s="18">
        <f>('Bloom Cleaner Data'!T23+'OPERATING LEASES'!AU23)/('Bloom Cleaner Data'!T23+'OPERATING LEASES'!AU23+'Bloom Cleaner Data'!D23)</f>
        <v>0.19601342919824533</v>
      </c>
      <c r="HL23" s="18">
        <f>('Bloom Cleaner Data'!U23+'OPERATING LEASES'!AV23)/('Bloom Cleaner Data'!U23+'OPERATING LEASES'!AV23+'Bloom Cleaner Data'!E23)</f>
        <v>0.19292801780152893</v>
      </c>
      <c r="HM23" s="18">
        <f>('Bloom Cleaner Data'!V23+'OPERATING LEASES'!AW23)/('Bloom Cleaner Data'!V23+'OPERATING LEASES'!AW23+'Bloom Cleaner Data'!F23)</f>
        <v>0.21443574447711036</v>
      </c>
      <c r="HN23" s="18">
        <f>('Bloom Cleaner Data'!W23+'OPERATING LEASES'!AX23)/('Bloom Cleaner Data'!W23+'OPERATING LEASES'!AX23+'Bloom Cleaner Data'!G23)</f>
        <v>0.18729576185072533</v>
      </c>
      <c r="HO23" s="18">
        <f>('Bloom Cleaner Data'!X23+'OPERATING LEASES'!AY23)/('Bloom Cleaner Data'!X23+'OPERATING LEASES'!AY23+'Bloom Cleaner Data'!H23)</f>
        <v>0.19161126005287984</v>
      </c>
      <c r="HP23" s="18">
        <f>('Bloom Cleaner Data'!Y23+'OPERATING LEASES'!AZ23)/('Bloom Cleaner Data'!Y23+'OPERATING LEASES'!AZ23+'Bloom Cleaner Data'!I23)</f>
        <v>0.18325354360276136</v>
      </c>
      <c r="HQ23" s="18">
        <f>('Bloom Cleaner Data'!Z23+'OPERATING LEASES'!BA23)/('Bloom Cleaner Data'!Z23+'OPERATING LEASES'!BA23+'Bloom Cleaner Data'!J23)</f>
        <v>0.27496330702034705</v>
      </c>
      <c r="HR23" s="18">
        <f>('Bloom Cleaner Data'!AA23+'OPERATING LEASES'!BB23)/('Bloom Cleaner Data'!AA23+'OPERATING LEASES'!BB23+'Bloom Cleaner Data'!K23)</f>
        <v>0.27382808588148794</v>
      </c>
      <c r="HS23" s="18">
        <f>('Bloom Cleaner Data'!AB23+'OPERATING LEASES'!BC23)/('Bloom Cleaner Data'!AB23+'OPERATING LEASES'!BC23+'Bloom Cleaner Data'!L23)</f>
        <v>0.26681071568314529</v>
      </c>
      <c r="HT23" s="18">
        <f>('Bloom Cleaner Data'!AC23+'OPERATING LEASES'!BD23)/('Bloom Cleaner Data'!AC23+'OPERATING LEASES'!BD23+'Bloom Cleaner Data'!M23)</f>
        <v>0.29255588204432437</v>
      </c>
      <c r="HU23" s="18">
        <f>('Bloom Cleaner Data'!AD23+'OPERATING LEASES'!BE23)/('Bloom Cleaner Data'!AD23+'OPERATING LEASES'!BE23+'Bloom Cleaner Data'!N23)</f>
        <v>0.3002209884660052</v>
      </c>
      <c r="HV23" s="18">
        <f>('Bloom Cleaner Data'!AE23+'OPERATING LEASES'!BF23)/('Bloom Cleaner Data'!AE23+'OPERATING LEASES'!BF23+'Bloom Cleaner Data'!O23)</f>
        <v>0.27954376668816983</v>
      </c>
      <c r="HW23" s="18">
        <f>('Bloom Cleaner Data'!AF23+'OPERATING LEASES'!BG23)/('Bloom Cleaner Data'!AF23+'OPERATING LEASES'!BG23+'Bloom Cleaner Data'!P23)</f>
        <v>0.26309713279828179</v>
      </c>
      <c r="HX23" s="18">
        <f>('Bloom Cleaner Data'!AG23+'OPERATING LEASES'!BH23)/('Bloom Cleaner Data'!AG23+'OPERATING LEASES'!BH23+'Bloom Cleaner Data'!Q23)</f>
        <v>0.24121279967371478</v>
      </c>
      <c r="HY23" s="18">
        <f>('Bloom Cleaner Data'!AH23+'OPERATING LEASES'!BI23)/('Bloom Cleaner Data'!AH23+'OPERATING LEASES'!BI23+'Bloom Cleaner Data'!R23)</f>
        <v>0.28287599661626001</v>
      </c>
      <c r="HZ23" s="10">
        <f t="shared" si="54"/>
        <v>0.2501311526811702</v>
      </c>
      <c r="IA23" s="10">
        <f t="shared" si="55"/>
        <v>0.31916438327965047</v>
      </c>
      <c r="IB23" s="10">
        <f t="shared" si="23"/>
        <v>1.7976972508553457E-2</v>
      </c>
      <c r="IC23" s="10">
        <f t="shared" si="24"/>
        <v>7.7435489187344358E-2</v>
      </c>
      <c r="IE23" s="502">
        <f t="shared" si="56"/>
        <v>0.24380186972871457</v>
      </c>
      <c r="IF23" s="467">
        <f t="shared" si="108"/>
        <v>0.23904685338721751</v>
      </c>
      <c r="IG23" s="467">
        <f t="shared" si="109"/>
        <v>0.27297034325266872</v>
      </c>
      <c r="IH23" s="467">
        <f t="shared" si="110"/>
        <v>0.23045993001985984</v>
      </c>
      <c r="II23" s="467">
        <f t="shared" si="111"/>
        <v>0.23702861084558635</v>
      </c>
      <c r="IJ23" s="467">
        <f t="shared" si="112"/>
        <v>0.22437017285769875</v>
      </c>
      <c r="IK23" s="467">
        <f t="shared" si="113"/>
        <v>0.37924054007576063</v>
      </c>
      <c r="IL23" s="467">
        <f t="shared" si="114"/>
        <v>0.37708437982469101</v>
      </c>
      <c r="IM23" s="467">
        <f t="shared" si="115"/>
        <v>0.36390427600390368</v>
      </c>
      <c r="IN23" s="467">
        <f t="shared" si="116"/>
        <v>0.41353921054532566</v>
      </c>
      <c r="IO23" s="467">
        <f t="shared" si="117"/>
        <v>0.42902256786451315</v>
      </c>
      <c r="IP23" s="467">
        <f t="shared" si="118"/>
        <v>0.38800936651370022</v>
      </c>
      <c r="IQ23" s="467">
        <f t="shared" si="119"/>
        <v>0.35703095280027208</v>
      </c>
      <c r="IR23" s="467">
        <f t="shared" si="120"/>
        <v>0.31789255218062606</v>
      </c>
      <c r="IS23" s="503">
        <f t="shared" si="121"/>
        <v>0.39445897122605489</v>
      </c>
      <c r="IT23" s="10">
        <f t="shared" si="57"/>
        <v>0.33730860569312776</v>
      </c>
      <c r="IU23" s="10">
        <f t="shared" si="58"/>
        <v>0.44506163756013967</v>
      </c>
      <c r="IV23" s="10">
        <f t="shared" si="59"/>
        <v>3.1336935533379351E-2</v>
      </c>
      <c r="IW23" s="10">
        <f t="shared" si="60"/>
        <v>0.10241776801433373</v>
      </c>
      <c r="IY23" s="15">
        <f>'Bloom Cleaner Data'!T23/'Bloom Cleaner Data'!BU23*'Bloom Cleaner Data'!DA23</f>
        <v>1.3336523065889581</v>
      </c>
      <c r="IZ23" s="15">
        <f>'Bloom Cleaner Data'!U23/'Bloom Cleaner Data'!BV23*'Bloom Cleaner Data'!DB23</f>
        <v>1.288285534826958</v>
      </c>
      <c r="JA23" s="15">
        <f>'Bloom Cleaner Data'!V23/'Bloom Cleaner Data'!BW23*'Bloom Cleaner Data'!DC23</f>
        <v>1.4367473005401992</v>
      </c>
      <c r="JB23" s="15">
        <f>'Bloom Cleaner Data'!W23/'Bloom Cleaner Data'!BX23*'Bloom Cleaner Data'!DD23</f>
        <v>1.267604661436323</v>
      </c>
      <c r="JC23" s="15">
        <f>'Bloom Cleaner Data'!X23/'Bloom Cleaner Data'!BY23*'Bloom Cleaner Data'!DE23</f>
        <v>1.3295061239115544</v>
      </c>
      <c r="JD23" s="15">
        <f>'Bloom Cleaner Data'!Y23/'Bloom Cleaner Data'!BZ23*'Bloom Cleaner Data'!DF23</f>
        <v>1.2270397233141206</v>
      </c>
      <c r="JE23" s="15">
        <f>'Bloom Cleaner Data'!Z23/'Bloom Cleaner Data'!CA23*'Bloom Cleaner Data'!DG23</f>
        <v>1.867648172617095</v>
      </c>
      <c r="JF23" s="15">
        <f>'Bloom Cleaner Data'!AA23/'Bloom Cleaner Data'!CB23*'Bloom Cleaner Data'!DH23</f>
        <v>1.8538889642607779</v>
      </c>
      <c r="JG23" s="15">
        <f>'Bloom Cleaner Data'!AB23/'Bloom Cleaner Data'!CC23*'Bloom Cleaner Data'!DI23</f>
        <v>1.8114670342799222</v>
      </c>
      <c r="JH23" s="15">
        <f>'Bloom Cleaner Data'!AC23/'Bloom Cleaner Data'!CD23*'Bloom Cleaner Data'!DJ23</f>
        <v>2.0586767512491186</v>
      </c>
      <c r="JI23" s="15">
        <f>'Bloom Cleaner Data'!AD23/'Bloom Cleaner Data'!CE23*'Bloom Cleaner Data'!DK23</f>
        <v>2.0291048833379013</v>
      </c>
      <c r="JJ23" s="15">
        <f>'Bloom Cleaner Data'!AE23/'Bloom Cleaner Data'!CF23*'Bloom Cleaner Data'!DL23</f>
        <v>2.005645940956331</v>
      </c>
      <c r="JK23" s="15">
        <f>'Bloom Cleaner Data'!AF23/'Bloom Cleaner Data'!CG23*'Bloom Cleaner Data'!DM23</f>
        <v>1.7642879843123347</v>
      </c>
      <c r="JL23" s="15">
        <f>'Bloom Cleaner Data'!AG23/'Bloom Cleaner Data'!CH23*'Bloom Cleaner Data'!DN23</f>
        <v>1.6646094654713059</v>
      </c>
      <c r="JM23" s="15">
        <f>'Bloom Cleaner Data'!AH23/'Bloom Cleaner Data'!CI23*'Bloom Cleaner Data'!DO23</f>
        <v>2.0158325637615944</v>
      </c>
      <c r="JN23" s="15">
        <f t="shared" si="61"/>
        <v>1.8149100045150783</v>
      </c>
      <c r="JO23" s="15">
        <f t="shared" si="62"/>
        <v>1.8625939886253915</v>
      </c>
      <c r="JP23" s="15">
        <f t="shared" si="63"/>
        <v>1.717850736111429</v>
      </c>
      <c r="JQ23" s="18">
        <f t="shared" si="64"/>
        <v>0.40305296763297643</v>
      </c>
      <c r="JR23" s="18"/>
      <c r="JS23" s="2024" t="s">
        <v>284</v>
      </c>
      <c r="JT23" s="526">
        <f>('Bloom Cleaner Data'!T23+'OPERATING LEASES'!AU23)/DD23</f>
        <v>1.4830777805433939</v>
      </c>
      <c r="JU23" s="526">
        <f>('Bloom Cleaner Data'!U23+'OPERATING LEASES'!AV23)/DE23</f>
        <v>1.4363510697503603</v>
      </c>
      <c r="JV23" s="526">
        <f>('Bloom Cleaner Data'!V23+'OPERATING LEASES'!AW23)/DF23</f>
        <v>1.5744057542512611</v>
      </c>
      <c r="JW23" s="526">
        <f>('Bloom Cleaner Data'!W23+'OPERATING LEASES'!AX23)/DG23</f>
        <v>1.4037736599049444</v>
      </c>
      <c r="JX23" s="526">
        <f>('Bloom Cleaner Data'!X23+'OPERATING LEASES'!AY23)/DH23</f>
        <v>1.4668481131194124</v>
      </c>
      <c r="JY23" s="526">
        <f>('Bloom Cleaner Data'!Y23+'OPERATING LEASES'!AZ23)/DI23</f>
        <v>1.3657582870615455</v>
      </c>
      <c r="JZ23" s="526">
        <f>('Bloom Cleaner Data'!Z23+'OPERATING LEASES'!BA23)/DJ23</f>
        <v>1.9909742631621352</v>
      </c>
      <c r="KA23" s="526">
        <f>('Bloom Cleaner Data'!AA23+'OPERATING LEASES'!BB23)/DK23</f>
        <v>1.9788475649758426</v>
      </c>
      <c r="KB23" s="526">
        <f>('Bloom Cleaner Data'!AB23+'OPERATING LEASES'!BC23)/DL23</f>
        <v>1.9354135955625551</v>
      </c>
      <c r="KC23" s="526">
        <f>('Bloom Cleaner Data'!AC23+'OPERATING LEASES'!BD23)/DM23</f>
        <v>2.1759327731744706</v>
      </c>
      <c r="KD23" s="526">
        <f>('Bloom Cleaner Data'!AD23+'OPERATING LEASES'!BE23)/DN23</f>
        <v>2.1457192952641915</v>
      </c>
      <c r="KE23" s="526">
        <f>('Bloom Cleaner Data'!AE23+'OPERATING LEASES'!BF23)/DO23</f>
        <v>2.1246812533236059</v>
      </c>
      <c r="KF23" s="526">
        <f>('Bloom Cleaner Data'!AF23+'OPERATING LEASES'!BG23)/DP23</f>
        <v>1.8936607922786943</v>
      </c>
      <c r="KG23" s="526">
        <f>('Bloom Cleaner Data'!AG23+'OPERATING LEASES'!BH23)/DQ23</f>
        <v>1.7979043494712605</v>
      </c>
      <c r="KH23" s="526">
        <f>('Bloom Cleaner Data'!AH23+'OPERATING LEASES'!BI23)/DR23</f>
        <v>2.1424428051274771</v>
      </c>
      <c r="KI23" s="15">
        <f t="shared" si="65"/>
        <v>1.9446693156258104</v>
      </c>
      <c r="KJ23" s="15">
        <f t="shared" si="66"/>
        <v>1.9896723000502594</v>
      </c>
      <c r="KK23" s="15">
        <f t="shared" si="67"/>
        <v>1.845874038975184</v>
      </c>
      <c r="KL23" s="18">
        <f t="shared" si="68"/>
        <v>0.36079457239176377</v>
      </c>
      <c r="KM23" s="15">
        <f t="shared" si="69"/>
        <v>0.12802330286375496</v>
      </c>
      <c r="KN23" s="18"/>
      <c r="KO23" s="15">
        <f t="shared" si="70"/>
        <v>1.4830777805433939</v>
      </c>
      <c r="KP23" s="15">
        <f t="shared" si="122"/>
        <v>1.4363510697503603</v>
      </c>
      <c r="KQ23" s="15">
        <f t="shared" si="123"/>
        <v>1.5744057542512611</v>
      </c>
      <c r="KR23" s="15">
        <f t="shared" si="124"/>
        <v>1.4037736599049444</v>
      </c>
      <c r="KS23" s="15">
        <f t="shared" si="125"/>
        <v>1.4668481131194124</v>
      </c>
      <c r="KT23" s="15">
        <f t="shared" si="126"/>
        <v>1.3657582870615455</v>
      </c>
      <c r="KU23" s="15">
        <f t="shared" si="127"/>
        <v>1.9909742631621352</v>
      </c>
      <c r="KV23" s="15">
        <f t="shared" si="128"/>
        <v>1.9788475649758426</v>
      </c>
      <c r="KW23" s="15">
        <f t="shared" si="129"/>
        <v>1.9354135955625551</v>
      </c>
      <c r="KX23" s="15">
        <f t="shared" si="130"/>
        <v>2.1759327731744706</v>
      </c>
      <c r="KY23" s="15">
        <f t="shared" si="131"/>
        <v>2.1457192952641915</v>
      </c>
      <c r="KZ23" s="15">
        <f t="shared" si="132"/>
        <v>2.1246812533236059</v>
      </c>
      <c r="LA23" s="15">
        <f t="shared" si="133"/>
        <v>1.8936607922786943</v>
      </c>
      <c r="LB23" s="15">
        <f t="shared" si="134"/>
        <v>1.7979043494712605</v>
      </c>
      <c r="LC23" s="15">
        <f t="shared" si="135"/>
        <v>2.1424428051274771</v>
      </c>
      <c r="LD23" s="15">
        <f t="shared" si="85"/>
        <v>1.9446693156258104</v>
      </c>
      <c r="LE23" s="15">
        <f t="shared" si="86"/>
        <v>1.9896723000502594</v>
      </c>
      <c r="LF23" s="526">
        <f t="shared" si="87"/>
        <v>1.845874038975184</v>
      </c>
      <c r="LG23" s="10">
        <f t="shared" si="88"/>
        <v>0.36079457239176377</v>
      </c>
      <c r="LH23" s="18"/>
      <c r="LI23" s="15">
        <f>('Bloom Cleaner Data'!T23+'Bloom Cleaner Data'!EY23)/'Bloom Cleaner Data'!GV23</f>
        <v>1.6467342463908932</v>
      </c>
      <c r="LJ23" s="15">
        <f>('Bloom Cleaner Data'!U23+'Bloom Cleaner Data'!EZ23)/'Bloom Cleaner Data'!GW23</f>
        <v>1.7446269006967341</v>
      </c>
      <c r="LK23" s="15">
        <f>('Bloom Cleaner Data'!V23+'Bloom Cleaner Data'!FA23)/'Bloom Cleaner Data'!GX23</f>
        <v>1.7355354633737949</v>
      </c>
      <c r="LL23" s="15">
        <f>('Bloom Cleaner Data'!W23+'Bloom Cleaner Data'!FB23)/'Bloom Cleaner Data'!GY23</f>
        <v>1.5939356621568033</v>
      </c>
      <c r="LM23" s="15">
        <f>('Bloom Cleaner Data'!X23+'Bloom Cleaner Data'!FC23)/'Bloom Cleaner Data'!GZ23</f>
        <v>1.7367556241371174</v>
      </c>
      <c r="LN23" s="15">
        <f>('Bloom Cleaner Data'!Y23+'Bloom Cleaner Data'!FD23)/'Bloom Cleaner Data'!HA23</f>
        <v>1.9056577223278572</v>
      </c>
      <c r="LO23" s="15">
        <f>('Bloom Cleaner Data'!Z23+'Bloom Cleaner Data'!FE23)/'Bloom Cleaner Data'!HB23</f>
        <v>2.0196981703274668</v>
      </c>
      <c r="LP23" s="15">
        <f>('Bloom Cleaner Data'!AA23+'Bloom Cleaner Data'!FF23)/'Bloom Cleaner Data'!HC23</f>
        <v>2.2604538455799057</v>
      </c>
      <c r="LQ23" s="15">
        <f>('Bloom Cleaner Data'!AB23+'Bloom Cleaner Data'!FG23)/'Bloom Cleaner Data'!HD23</f>
        <v>1.9471700667835212</v>
      </c>
      <c r="LR23" s="15">
        <f>('Bloom Cleaner Data'!AC23+'Bloom Cleaner Data'!FH23)/'Bloom Cleaner Data'!HE23</f>
        <v>2.5690419957660522</v>
      </c>
      <c r="LS23" s="15">
        <f>('Bloom Cleaner Data'!AD23+'Bloom Cleaner Data'!FI23)/'Bloom Cleaner Data'!HF23</f>
        <v>2.3006297982381838</v>
      </c>
      <c r="LT23" s="15">
        <f>('Bloom Cleaner Data'!AE23+'Bloom Cleaner Data'!FJ23)/'Bloom Cleaner Data'!HG23</f>
        <v>2.3155350385619373</v>
      </c>
      <c r="LU23" s="15">
        <f>('Bloom Cleaner Data'!AF23+'Bloom Cleaner Data'!FK23)/'Bloom Cleaner Data'!HH23</f>
        <v>1.8797425879278662</v>
      </c>
      <c r="LV23" s="15">
        <f>('Bloom Cleaner Data'!AG23+'Bloom Cleaner Data'!FL23)/'Bloom Cleaner Data'!HI23</f>
        <v>2.4116143195942694</v>
      </c>
      <c r="LW23" s="15">
        <f>('Bloom Cleaner Data'!AH23+'Bloom Cleaner Data'!FM23)/'Bloom Cleaner Data'!HJ23</f>
        <v>2.5504075680166332</v>
      </c>
      <c r="LX23" s="15">
        <f t="shared" si="89"/>
        <v>0.53457500425503879</v>
      </c>
      <c r="LY23" s="15">
        <f t="shared" si="90"/>
        <v>2.2805881585129231</v>
      </c>
      <c r="LZ23" s="15">
        <f t="shared" si="27"/>
        <v>0.46567815399784473</v>
      </c>
      <c r="MA23" s="15">
        <f t="shared" si="91"/>
        <v>2.2893248785251763</v>
      </c>
      <c r="MB23" s="15">
        <f t="shared" si="92"/>
        <v>2.0943213740608773</v>
      </c>
      <c r="MC23" s="18">
        <f t="shared" si="93"/>
        <v>0.46952201314213843</v>
      </c>
      <c r="MD23" s="15">
        <f t="shared" si="28"/>
        <v>0.37647063794944824</v>
      </c>
      <c r="ME23" s="18"/>
      <c r="MF23" s="2024" t="s">
        <v>284</v>
      </c>
      <c r="MG23" s="15">
        <f>JT23+'Bloom Cleaner Data'!EY23/CALCULATIONS!DD23</f>
        <v>1.785731574159132</v>
      </c>
      <c r="MH23" s="15">
        <f>JU23+'Bloom Cleaner Data'!EZ23/CALCULATIONS!DE23</f>
        <v>1.8783271941332147</v>
      </c>
      <c r="MI23" s="15">
        <f>JV23+'Bloom Cleaner Data'!FA23/CALCULATIONS!DF23</f>
        <v>1.8645314698625168</v>
      </c>
      <c r="MJ23" s="15">
        <f>JW23+'Bloom Cleaner Data'!FB23/CALCULATIONS!DG23</f>
        <v>1.72145166287616</v>
      </c>
      <c r="MK23" s="15">
        <f>JX23+'Bloom Cleaner Data'!FC23/CALCULATIONS!DH23</f>
        <v>1.863587386319876</v>
      </c>
      <c r="ML23" s="15">
        <f>JY23+'Bloom Cleaner Data'!FD23/CALCULATIONS!DI23</f>
        <v>2.0270212479324701</v>
      </c>
      <c r="MM23" s="15">
        <f>JZ23+'Bloom Cleaner Data'!FE23/CALCULATIONS!DJ23</f>
        <v>2.1391042364149762</v>
      </c>
      <c r="MN23" s="15">
        <f>KA23+'Bloom Cleaner Data'!FF23/CALCULATIONS!DK23</f>
        <v>2.3748224447801092</v>
      </c>
      <c r="MO23" s="15">
        <f>KB23+'Bloom Cleaner Data'!FG23/CALCULATIONS!DL23</f>
        <v>2.0676412621483724</v>
      </c>
      <c r="MP23" s="15">
        <f>KC23+'Bloom Cleaner Data'!FH23/CALCULATIONS!DM23</f>
        <v>2.6732674698901571</v>
      </c>
      <c r="MQ23" s="15">
        <f>KD23+'Bloom Cleaner Data'!FI23/CALCULATIONS!DN23</f>
        <v>2.4103937327618716</v>
      </c>
      <c r="MR23" s="15">
        <f>KE23+'Bloom Cleaner Data'!FJ23/CALCULATIONS!DO23</f>
        <v>2.4266299503951476</v>
      </c>
      <c r="MS23" s="15">
        <f>KF23+'Bloom Cleaner Data'!FK23/CALCULATIONS!DP23</f>
        <v>2.0060589433180342</v>
      </c>
      <c r="MT23" s="15">
        <f>KG23+'Bloom Cleaner Data'!FL23/CALCULATIONS!DQ23</f>
        <v>2.5249413602443322</v>
      </c>
      <c r="MU23" s="15">
        <f>KH23+'Bloom Cleaner Data'!FM23/CALCULATIONS!DR23</f>
        <v>2.6624165226553771</v>
      </c>
      <c r="MV23" s="15">
        <f t="shared" si="29"/>
        <v>0.5199737175279</v>
      </c>
      <c r="MW23" s="15">
        <f t="shared" si="94"/>
        <v>2.3978056087392479</v>
      </c>
      <c r="MX23" s="15">
        <f t="shared" si="30"/>
        <v>0.4531362931134375</v>
      </c>
      <c r="MY23" s="15">
        <f t="shared" si="95"/>
        <v>2.4050116941532229</v>
      </c>
      <c r="MZ23" s="15">
        <f t="shared" si="96"/>
        <v>2.2124513607384153</v>
      </c>
      <c r="NA23" s="18">
        <f t="shared" si="97"/>
        <v>0.42792790880150344</v>
      </c>
      <c r="NB23" s="15">
        <f t="shared" si="31"/>
        <v>0.36657732176323132</v>
      </c>
      <c r="NC23" s="15"/>
      <c r="ND23" s="13">
        <f>'Bloom Cleaner Data'!GF23+('Bloom Cleaner Data'!T23+'Bloom Cleaner Data'!EY23)+'Bloom Cleaner Data'!CK23</f>
        <v>210554.99999999997</v>
      </c>
      <c r="NE23" s="13">
        <f>'Bloom Cleaner Data'!GG23+('Bloom Cleaner Data'!U23+'Bloom Cleaner Data'!EZ23)+'Bloom Cleaner Data'!CL23</f>
        <v>214092</v>
      </c>
      <c r="NF23" s="13">
        <f>'Bloom Cleaner Data'!GH23+('Bloom Cleaner Data'!V23+'Bloom Cleaner Data'!FA23)+'Bloom Cleaner Data'!CM23</f>
        <v>209415</v>
      </c>
      <c r="NG23" s="13">
        <f>'Bloom Cleaner Data'!GI23+('Bloom Cleaner Data'!W23+'Bloom Cleaner Data'!FB23)+'Bloom Cleaner Data'!CN23</f>
        <v>201236</v>
      </c>
      <c r="NH23" s="13">
        <f>'Bloom Cleaner Data'!GJ23+('Bloom Cleaner Data'!X23+'Bloom Cleaner Data'!FC23)+'Bloom Cleaner Data'!CO23</f>
        <v>204858.99999999997</v>
      </c>
      <c r="NI23" s="13">
        <f>'Bloom Cleaner Data'!GK23+('Bloom Cleaner Data'!Y23+'Bloom Cleaner Data'!FD23)+'Bloom Cleaner Data'!CP23</f>
        <v>202034.99999999997</v>
      </c>
      <c r="NJ23" s="13">
        <f>'Bloom Cleaner Data'!GL23+('Bloom Cleaner Data'!Z23+'Bloom Cleaner Data'!FE23)+'Bloom Cleaner Data'!CQ23</f>
        <v>199188.00000000003</v>
      </c>
      <c r="NK23" s="13">
        <f>'Bloom Cleaner Data'!GM23+('Bloom Cleaner Data'!AA23+'Bloom Cleaner Data'!FF23)+'Bloom Cleaner Data'!CR23</f>
        <v>213260</v>
      </c>
      <c r="NL23" s="13">
        <f>'Bloom Cleaner Data'!GN23+('Bloom Cleaner Data'!AB23+'Bloom Cleaner Data'!FG23)+'Bloom Cleaner Data'!CS23</f>
        <v>202541</v>
      </c>
      <c r="NM23" s="13">
        <f>'Bloom Cleaner Data'!GO23+('Bloom Cleaner Data'!AC23+'Bloom Cleaner Data'!FH23)+'Bloom Cleaner Data'!CT23</f>
        <v>215821.00000000003</v>
      </c>
      <c r="NN23" s="13">
        <f>'Bloom Cleaner Data'!GP23+('Bloom Cleaner Data'!AD23+'Bloom Cleaner Data'!FI23)+'Bloom Cleaner Data'!CU23</f>
        <v>195796</v>
      </c>
      <c r="NO23" s="13">
        <f>'Bloom Cleaner Data'!GQ23+('Bloom Cleaner Data'!AE23+'Bloom Cleaner Data'!FJ23)+'Bloom Cleaner Data'!CV23</f>
        <v>193976.99999999997</v>
      </c>
      <c r="NP23" s="13">
        <f>'Bloom Cleaner Data'!GR23+('Bloom Cleaner Data'!AF23+'Bloom Cleaner Data'!FK23)+'Bloom Cleaner Data'!CW23</f>
        <v>183177</v>
      </c>
      <c r="NQ23" s="13">
        <f>'Bloom Cleaner Data'!GS23+('Bloom Cleaner Data'!AG23+'Bloom Cleaner Data'!FL23)+'Bloom Cleaner Data'!CX23</f>
        <v>199774</v>
      </c>
      <c r="NR23" s="13">
        <f>'Bloom Cleaner Data'!GT23+('Bloom Cleaner Data'!AH23+'Bloom Cleaner Data'!FM23)+'Bloom Cleaner Data'!CY23</f>
        <v>196985</v>
      </c>
      <c r="NS23" s="168"/>
      <c r="NT23" s="2024" t="s">
        <v>284</v>
      </c>
      <c r="NU23" s="998">
        <f>('Bloom Cleaner Data'!T23+'Bloom Cleaner Data'!EY23+'OPERATING LEASES'!BL23)/CALCULATIONS!ND23</f>
        <v>0.29542806935412197</v>
      </c>
      <c r="NV23" s="998">
        <f>('Bloom Cleaner Data'!U23+'Bloom Cleaner Data'!EZ23+'OPERATING LEASES'!BM23)/CALCULATIONS!NE23</f>
        <v>0.30791750325627698</v>
      </c>
      <c r="NW23" s="998">
        <f>('Bloom Cleaner Data'!V23+'Bloom Cleaner Data'!FA23+'OPERATING LEASES'!BN23)/CALCULATIONS!NF23</f>
        <v>0.32088193812013738</v>
      </c>
      <c r="NX23" s="998">
        <f>('Bloom Cleaner Data'!W23+'Bloom Cleaner Data'!FB23+'OPERATING LEASES'!BO23)/CALCULATIONS!NG23</f>
        <v>0.31567069528173031</v>
      </c>
      <c r="NY23" s="998">
        <f>('Bloom Cleaner Data'!X23+'Bloom Cleaner Data'!FC23+'OPERATING LEASES'!BP23)/CALCULATIONS!NH23</f>
        <v>0.32429195202553956</v>
      </c>
      <c r="NZ23" s="998">
        <f>('Bloom Cleaner Data'!Y23+'Bloom Cleaner Data'!FD23+'OPERATING LEASES'!BQ23)/CALCULATIONS!NI23</f>
        <v>0.36156799873784251</v>
      </c>
      <c r="OA23" s="998">
        <f>('Bloom Cleaner Data'!Z23+'Bloom Cleaner Data'!FE23+'OPERATING LEASES'!BR23)/CALCULATIONS!NJ23</f>
        <v>0.38299825416189726</v>
      </c>
      <c r="OB23" s="998">
        <f>('Bloom Cleaner Data'!AA23+'Bloom Cleaner Data'!FF23+'OPERATING LEASES'!BS23)/CALCULATIONS!NK23</f>
        <v>0.39336922946168995</v>
      </c>
      <c r="OC23" s="998">
        <f>('Bloom Cleaner Data'!AB23+'Bloom Cleaner Data'!FG23+'OPERATING LEASES'!BT23)/CALCULATIONS!NL23</f>
        <v>0.3615129159034467</v>
      </c>
      <c r="OD23" s="998">
        <f>('Bloom Cleaner Data'!AC23+'Bloom Cleaner Data'!FH23+'OPERATING LEASES'!BU23)/CALCULATIONS!NM23</f>
        <v>0.44493563242223871</v>
      </c>
      <c r="OE23" s="998">
        <f>('Bloom Cleaner Data'!AD23+'Bloom Cleaner Data'!FI23+'OPERATING LEASES'!BV23)/CALCULATIONS!NN23</f>
        <v>0.44242843954932687</v>
      </c>
      <c r="OF23" s="998">
        <f>('Bloom Cleaner Data'!AE23+'Bloom Cleaner Data'!FJ23+'OPERATING LEASES'!BW23)/CALCULATIONS!NO23</f>
        <v>0.43979948331503227</v>
      </c>
      <c r="OG23" s="998">
        <f>('Bloom Cleaner Data'!AF23+'Bloom Cleaner Data'!FK23+'OPERATING LEASES'!BX23)/CALCULATIONS!NP23</f>
        <v>0.36455040752932955</v>
      </c>
      <c r="OH23" s="998">
        <f>('Bloom Cleaner Data'!AG23+'Bloom Cleaner Data'!FL23+'OPERATING LEASES'!BY23)/CALCULATIONS!NQ23</f>
        <v>0.42331459549290701</v>
      </c>
      <c r="OI23" s="998">
        <f>('Bloom Cleaner Data'!AH23+'Bloom Cleaner Data'!FM23+'OPERATING LEASES'!BZ23)/CALCULATIONS!NR23</f>
        <v>0.44388785948168641</v>
      </c>
      <c r="OJ23" s="18">
        <f t="shared" si="98"/>
        <v>0.41058428750130765</v>
      </c>
      <c r="OK23" s="18">
        <f t="shared" si="99"/>
        <v>0.41788808645473879</v>
      </c>
      <c r="OL23" s="18">
        <f t="shared" si="100"/>
        <v>0.38609303088329266</v>
      </c>
      <c r="OM23" s="10">
        <f t="shared" si="101"/>
        <v>0.38333700576034269</v>
      </c>
      <c r="ON23" s="10"/>
      <c r="OO23" s="2710"/>
      <c r="OP23" s="526">
        <f>'Bloom Cleaner Data'!D23/'Bloom Cleaner Data'!GF23</f>
        <v>1.6339076519835227</v>
      </c>
      <c r="OQ23" s="526">
        <f>'Bloom Cleaner Data'!E23/'Bloom Cleaner Data'!GG23</f>
        <v>1.6232818984002482</v>
      </c>
      <c r="OR23" s="526">
        <f>'Bloom Cleaner Data'!F23/'Bloom Cleaner Data'!GH23</f>
        <v>1.6630465899729316</v>
      </c>
      <c r="OS23" s="526">
        <f>'Bloom Cleaner Data'!G23/'Bloom Cleaner Data'!GI23</f>
        <v>1.8633876148566999</v>
      </c>
      <c r="OT23" s="526">
        <f>'Bloom Cleaner Data'!H23/'Bloom Cleaner Data'!GJ23</f>
        <v>1.8041033392379302</v>
      </c>
      <c r="OU23" s="526">
        <f>'Bloom Cleaner Data'!I23/'Bloom Cleaner Data'!GK23</f>
        <v>1.9121358107342346</v>
      </c>
      <c r="OV23" s="526">
        <f>'Bloom Cleaner Data'!J23/'Bloom Cleaner Data'!GL23</f>
        <v>1.7170835313221091</v>
      </c>
      <c r="OW23" s="526">
        <f>'Bloom Cleaner Data'!K23/'Bloom Cleaner Data'!GM23</f>
        <v>1.6132922937517347</v>
      </c>
      <c r="OX23" s="526">
        <f>'Bloom Cleaner Data'!L23/'Bloom Cleaner Data'!GN23</f>
        <v>1.6472650941094176</v>
      </c>
      <c r="OY23" s="526">
        <f>'Bloom Cleaner Data'!M23/'Bloom Cleaner Data'!GO23</f>
        <v>1.7210526842168736</v>
      </c>
      <c r="OZ23" s="526">
        <f>'Bloom Cleaner Data'!N23/'Bloom Cleaner Data'!GP23</f>
        <v>1.8021087453188818</v>
      </c>
      <c r="PA23" s="526">
        <f>'Bloom Cleaner Data'!O23/'Bloom Cleaner Data'!GQ23</f>
        <v>1.934721441734315</v>
      </c>
      <c r="PB23" s="526">
        <f>'Bloom Cleaner Data'!P23/'Bloom Cleaner Data'!GR23</f>
        <v>1.6824538387597445</v>
      </c>
      <c r="PC23" s="526">
        <f>'Bloom Cleaner Data'!Q23/'Bloom Cleaner Data'!GS23</f>
        <v>1.8018785781998996</v>
      </c>
      <c r="PD23" s="526">
        <f>'Bloom Cleaner Data'!R23/'Bloom Cleaner Data'!GT23</f>
        <v>1.7786623686113903</v>
      </c>
      <c r="PE23" s="526">
        <f t="shared" si="102"/>
        <v>1.7647070716020126</v>
      </c>
      <c r="PF23" s="10">
        <f t="shared" si="103"/>
        <v>6.9520468840467323E-2</v>
      </c>
      <c r="PG23" s="526">
        <f t="shared" si="104"/>
        <v>1.6919324810226537</v>
      </c>
      <c r="PH23" s="18"/>
      <c r="PI23" s="2710"/>
      <c r="PJ23" s="526">
        <f>CALCULATIONS!DD23/'Bloom Cleaner Data'!GF23</f>
        <v>0.2685966614452836</v>
      </c>
      <c r="PK23" s="526">
        <f>CALCULATIONS!DE23/'Bloom Cleaner Data'!GG23</f>
        <v>0.27015709330759236</v>
      </c>
      <c r="PL23" s="526">
        <f>CALCULATIONS!DF23/'Bloom Cleaner Data'!GH23</f>
        <v>0.28833888423253506</v>
      </c>
      <c r="PM23" s="526">
        <f>CALCULATIONS!DG23/'Bloom Cleaner Data'!GI23</f>
        <v>0.30591554150462374</v>
      </c>
      <c r="PN23" s="526">
        <f>CALCULATIONS!DH23/'Bloom Cleaner Data'!GJ23</f>
        <v>0.29152582635980001</v>
      </c>
      <c r="PO23" s="526">
        <f>CALCULATIONS!DI23/'Bloom Cleaner Data'!GK23</f>
        <v>0.3141304332151586</v>
      </c>
      <c r="PP23" s="526">
        <f>CALCULATIONS!DJ23/'Bloom Cleaner Data'!GL23</f>
        <v>0.32706986615665828</v>
      </c>
      <c r="PQ23" s="526">
        <f>CALCULATIONS!DK23/'Bloom Cleaner Data'!GM23</f>
        <v>0.30742505629672023</v>
      </c>
      <c r="PR23" s="526">
        <f>CALCULATIONS!DL23/'Bloom Cleaner Data'!GN23</f>
        <v>0.30972543172827727</v>
      </c>
      <c r="PS23" s="526">
        <f>CALCULATIONS!DM23/'Bloom Cleaner Data'!GO23</f>
        <v>0.32708858339388247</v>
      </c>
      <c r="PT23" s="526">
        <f>CALCULATIONS!DN23/'Bloom Cleaner Data'!GP23</f>
        <v>0.36031988116721908</v>
      </c>
      <c r="PU23" s="526">
        <f>CALCULATIONS!DO23/'Bloom Cleaner Data'!GQ23</f>
        <v>0.35331889892354984</v>
      </c>
      <c r="PV23" s="526">
        <f>CALCULATIONS!DP23/'Bloom Cleaner Data'!GR23</f>
        <v>0.31720997738567652</v>
      </c>
      <c r="PW23" s="526">
        <f>CALCULATIONS!DQ23/'Bloom Cleaner Data'!GS23</f>
        <v>0.31859524680054185</v>
      </c>
      <c r="PX23" s="526">
        <f>CALCULATIONS!DR23/'Bloom Cleaner Data'!GT23</f>
        <v>0.32748100738175862</v>
      </c>
      <c r="PY23" s="526">
        <f t="shared" si="105"/>
        <v>0.31908804881126174</v>
      </c>
      <c r="PZ23" s="526">
        <f t="shared" si="106"/>
        <v>0.32758154991492044</v>
      </c>
      <c r="QA23" s="18"/>
      <c r="QC23" s="15">
        <f>'Bloom Cleaner Data'!HZ23</f>
        <v>7.8311999999999999</v>
      </c>
      <c r="QD23" s="15">
        <f>AVERAGE('Bloom Cleaner Data'!HN23:HZ23)</f>
        <v>7.8346999999999989</v>
      </c>
      <c r="QE23" s="504">
        <f>('Bloom Cleaner Data'!HZ23-'Bloom Cleaner Data'!HN23)/'Bloom Cleaner Data'!HN23</f>
        <v>-7.6280682716238696E-2</v>
      </c>
      <c r="QF23" s="15">
        <f>'Bloom Cleaner Data'!HZ23-'Bloom Cleaner Data'!HL23</f>
        <v>0.95859999999999967</v>
      </c>
    </row>
    <row r="24" spans="1:450">
      <c r="A24" s="11" t="s">
        <v>507</v>
      </c>
      <c r="B24" s="83" t="s">
        <v>282</v>
      </c>
      <c r="C24" s="1207" t="s">
        <v>1103</v>
      </c>
      <c r="D24" s="236" t="s">
        <v>62</v>
      </c>
      <c r="E24" s="13">
        <f>'Bloom Cleaner Data'!D24*'Bloom Cleaner Data'!D47</f>
        <v>4732.1626889950003</v>
      </c>
      <c r="G24" s="13">
        <f>'Bloom Cleaner Data'!F24*'Bloom Cleaner Data'!F47</f>
        <v>5347.4330097450002</v>
      </c>
      <c r="H24" s="13">
        <f>'Bloom Cleaner Data'!H24*'Bloom Cleaner Data'!H47</f>
        <v>6831.5163936569998</v>
      </c>
      <c r="I24" s="13">
        <f>'Bloom Cleaner Data'!J24*'Bloom Cleaner Data'!J47</f>
        <v>6048.8866043039998</v>
      </c>
      <c r="J24" s="13">
        <f>'Bloom Cleaner Data'!L24*'Bloom Cleaner Data'!L47</f>
        <v>6646.1286079213432</v>
      </c>
      <c r="K24" s="13">
        <f>'Bloom Cleaner Data'!N24*'Bloom Cleaner Data'!N47</f>
        <v>5419.4248909514572</v>
      </c>
      <c r="L24" s="13">
        <f>'Bloom Cleaner Data'!P24*'Bloom Cleaner Data'!P47</f>
        <v>6069.2591283679994</v>
      </c>
      <c r="M24" s="13">
        <f>'Bloom Cleaner Data'!R24*'Bloom Cleaner Data'!R47</f>
        <v>4026.3480952657014</v>
      </c>
      <c r="N24" s="13">
        <f t="shared" si="0"/>
        <v>5769.8566757446433</v>
      </c>
      <c r="O24" s="13">
        <f t="shared" si="32"/>
        <v>5171.6773715283862</v>
      </c>
      <c r="P24" s="10">
        <f t="shared" si="1"/>
        <v>-0.24705029723080094</v>
      </c>
      <c r="Q24" s="18">
        <f>('Bloom Cleaner Data'!R24-'Bloom Cleaner Data'!F24)/'Bloom Cleaner Data'!F24</f>
        <v>-0.31210997259871948</v>
      </c>
      <c r="R24" s="10">
        <f t="shared" si="33"/>
        <v>-0.14527471832516198</v>
      </c>
      <c r="S24" s="1363" t="s">
        <v>282</v>
      </c>
      <c r="T24" s="1322">
        <f>'Bloom Cleaner Data'!D24/'Bloom Cleaner Data'!$F24</f>
        <v>0.95155433636140985</v>
      </c>
      <c r="U24" s="1322">
        <f>'Bloom Cleaner Data'!E24/'Bloom Cleaner Data'!$F24</f>
        <v>1.0268409539218977</v>
      </c>
      <c r="V24" s="1322">
        <f>'Bloom Cleaner Data'!F24/'Bloom Cleaner Data'!$F24</f>
        <v>1</v>
      </c>
      <c r="W24" s="1322">
        <f>'Bloom Cleaner Data'!G24/'Bloom Cleaner Data'!$F24</f>
        <v>1.2131503931143877</v>
      </c>
      <c r="X24" s="1322">
        <f>'Bloom Cleaner Data'!H24/'Bloom Cleaner Data'!$F24</f>
        <v>1.2031727519241628</v>
      </c>
      <c r="Y24" s="1322">
        <f>'Bloom Cleaner Data'!I24/'Bloom Cleaner Data'!$F24</f>
        <v>1.2817680573378236</v>
      </c>
      <c r="Z24" s="1322">
        <f>'Bloom Cleaner Data'!J24/'Bloom Cleaner Data'!$F24</f>
        <v>1.088507512325539</v>
      </c>
      <c r="AA24" s="1322">
        <f>'Bloom Cleaner Data'!K24/'Bloom Cleaner Data'!$F24</f>
        <v>1.0916194365665111</v>
      </c>
      <c r="AB24" s="1322">
        <f>'Bloom Cleaner Data'!L24/'Bloom Cleaner Data'!$F24</f>
        <v>1.1660932608620662</v>
      </c>
      <c r="AC24" s="1322">
        <f>'Bloom Cleaner Data'!M24/'Bloom Cleaner Data'!$F24</f>
        <v>1.1636040583268044</v>
      </c>
      <c r="AD24" s="1322">
        <f>'Bloom Cleaner Data'!N24/'Bloom Cleaner Data'!$F24</f>
        <v>0.93115843336996673</v>
      </c>
      <c r="AE24" s="1322">
        <f>'Bloom Cleaner Data'!O24/'Bloom Cleaner Data'!$F24</f>
        <v>1.0296361477855254</v>
      </c>
      <c r="AF24" s="1322">
        <f>'Bloom Cleaner Data'!P24/'Bloom Cleaner Data'!$F24</f>
        <v>1.0209611667655738</v>
      </c>
      <c r="AG24" s="1322">
        <f>'Bloom Cleaner Data'!Q24/'Bloom Cleaner Data'!$F24</f>
        <v>0.97953640198099112</v>
      </c>
      <c r="AH24" s="1322">
        <f>'Bloom Cleaner Data'!R24/'Bloom Cleaner Data'!$F24</f>
        <v>0.68789002740128058</v>
      </c>
      <c r="AI24" s="13"/>
      <c r="AJ24" s="13">
        <f>AVERAGE('Bloom Cleaner Data'!BW24:CI24)</f>
        <v>64318.611592307687</v>
      </c>
      <c r="AK24" s="18">
        <f>('Bloom Cleaner Data'!CI24-'Bloom Cleaner Data'!BW24)/'Bloom Cleaner Data'!BW24</f>
        <v>-0.20410268956475741</v>
      </c>
      <c r="AL24" s="18">
        <f>('Bloom Cleaner Data'!CI24+'Bloom Cleaner Data'!CH24-'Bloom Cleaner Data'!BW24-'Bloom Cleaner Data'!BV24)/('Bloom Cleaner Data'!BW24+'Bloom Cleaner Data'!BV24)</f>
        <v>-5.3999627115135729E-2</v>
      </c>
      <c r="AM24" s="13"/>
      <c r="AN24" s="13">
        <f>'Bloom Cleaner Data'!BW24*'Bloom Cleaner Data'!BW47</f>
        <v>5793.5697597449998</v>
      </c>
      <c r="AO24" s="13">
        <f>'Bloom Cleaner Data'!BY24*'Bloom Cleaner Data'!BY47</f>
        <v>7018.8847836570003</v>
      </c>
      <c r="AP24" s="13">
        <f>'Bloom Cleaner Data'!CA24*'Bloom Cleaner Data'!CA47</f>
        <v>7529.6530043040002</v>
      </c>
      <c r="AQ24" s="13">
        <f>'Bloom Cleaner Data'!CC24*'Bloom Cleaner Data'!CC47</f>
        <v>8110.3142127853434</v>
      </c>
      <c r="AR24" s="13">
        <f>'Bloom Cleaner Data'!CE24*'Bloom Cleaner Data'!CE47</f>
        <v>7433.6008714788277</v>
      </c>
      <c r="AS24" s="13">
        <f>'Bloom Cleaner Data'!CG24*'Bloom Cleaner Data'!CG47</f>
        <v>7843.7685683679993</v>
      </c>
      <c r="AT24" s="13">
        <f>'Bloom Cleaner Data'!CI24*'Bloom Cleaner Data'!CI47</f>
        <v>5047.1967011916249</v>
      </c>
      <c r="AU24" s="13">
        <f t="shared" si="2"/>
        <v>6968.14112878997</v>
      </c>
      <c r="AV24" s="10">
        <f t="shared" si="3"/>
        <v>-0.12882783663697975</v>
      </c>
      <c r="AW24" s="10"/>
      <c r="AX24" s="13">
        <f>'Bloom Cleaner Data'!T24+'OPERATING LEASES'!AU24</f>
        <v>7186.380248444696</v>
      </c>
      <c r="AY24" s="13">
        <f>'Bloom Cleaner Data'!U24+'OPERATING LEASES'!AV24</f>
        <v>8387.737368728518</v>
      </c>
      <c r="AZ24" s="13">
        <f>'Bloom Cleaner Data'!V24+'OPERATING LEASES'!AW24</f>
        <v>9199.094489012341</v>
      </c>
      <c r="BA24" s="13">
        <f>'Bloom Cleaner Data'!W24+'OPERATING LEASES'!AX24</f>
        <v>7082.451609296163</v>
      </c>
      <c r="BB24" s="13">
        <f>'Bloom Cleaner Data'!X24+'OPERATING LEASES'!AY24</f>
        <v>6212.8087295799851</v>
      </c>
      <c r="BC24" s="13">
        <f>'Bloom Cleaner Data'!Y24+'OPERATING LEASES'!AZ24</f>
        <v>5123.4972447563505</v>
      </c>
      <c r="BD24" s="13">
        <f>'Bloom Cleaner Data'!Z24+'OPERATING LEASES'!BA24</f>
        <v>17723.185759932716</v>
      </c>
      <c r="BE24" s="13">
        <f>'Bloom Cleaner Data'!AA24+'OPERATING LEASES'!BB24</f>
        <v>16124.874275109079</v>
      </c>
      <c r="BF24" s="13">
        <f>'Bloom Cleaner Data'!AB24+'OPERATING LEASES'!BC24</f>
        <v>16838.562790285447</v>
      </c>
      <c r="BG24" s="13">
        <f>'Bloom Cleaner Data'!AC24+'OPERATING LEASES'!BD24</f>
        <v>16758.2744428021</v>
      </c>
      <c r="BH24" s="13">
        <f>'Bloom Cleaner Data'!AD24+'OPERATING LEASES'!BE24</f>
        <v>21941.986095318753</v>
      </c>
      <c r="BI24" s="13">
        <f>'Bloom Cleaner Data'!AE24+'OPERATING LEASES'!BF24</f>
        <v>20578.697747835409</v>
      </c>
      <c r="BJ24" s="13">
        <f>'Bloom Cleaner Data'!AF24+'OPERATING LEASES'!BG24</f>
        <v>20071.409400352066</v>
      </c>
      <c r="BK24" s="13">
        <f>'Bloom Cleaner Data'!AG24+'OPERATING LEASES'!BH24</f>
        <v>15787.409400352064</v>
      </c>
      <c r="BL24" s="13">
        <f>'Bloom Cleaner Data'!AH24+'OPERATING LEASES'!BI24</f>
        <v>13743.409400352064</v>
      </c>
      <c r="BM24" s="1167">
        <f t="shared" si="34"/>
        <v>14398.897029614194</v>
      </c>
      <c r="BN24" s="10">
        <f t="shared" si="35"/>
        <v>0.49399589457066467</v>
      </c>
      <c r="BO24" s="10"/>
      <c r="BP24" s="13">
        <f>'Bloom Cleaner Data'!BU24+'OPERATING LEASES'!AU24</f>
        <v>55779.404748444693</v>
      </c>
      <c r="BQ24" s="13">
        <f>'Bloom Cleaner Data'!BV24+'OPERATING LEASES'!AV24</f>
        <v>60760.438968728515</v>
      </c>
      <c r="BR24" s="13">
        <f>'Bloom Cleaner Data'!BW24+'OPERATING LEASES'!AW24</f>
        <v>60203.886189012344</v>
      </c>
      <c r="BS24" s="13">
        <f>'Bloom Cleaner Data'!BX24+'OPERATING LEASES'!AX24</f>
        <v>68958.082109296156</v>
      </c>
      <c r="BT24" s="13">
        <f>'Bloom Cleaner Data'!BY24+'OPERATING LEASES'!AY24</f>
        <v>67578.571629579994</v>
      </c>
      <c r="BU24" s="13">
        <f>'Bloom Cleaner Data'!BZ24+'OPERATING LEASES'!AZ24</f>
        <v>70497.68294475635</v>
      </c>
      <c r="BV24" s="13">
        <f>'Bloom Cleaner Data'!CA24+'OPERATING LEASES'!BA24</f>
        <v>73240.930659932725</v>
      </c>
      <c r="BW24" s="13">
        <f>'Bloom Cleaner Data'!CB24+'OPERATING LEASES'!BB24</f>
        <v>71801.329775109072</v>
      </c>
      <c r="BX24" s="13">
        <f>'Bloom Cleaner Data'!CC24+'OPERATING LEASES'!BC24</f>
        <v>76313.242290285445</v>
      </c>
      <c r="BY24" s="13">
        <f>'Bloom Cleaner Data'!CD24+'OPERATING LEASES'!BD24</f>
        <v>76106.002642802094</v>
      </c>
      <c r="BZ24" s="13">
        <f>'Bloom Cleaner Data'!CE24+'OPERATING LEASES'!BE24</f>
        <v>69434.803395318755</v>
      </c>
      <c r="CA24" s="13">
        <f>'Bloom Cleaner Data'!CF24+'OPERATING LEASES'!BF24</f>
        <v>73093.956447835415</v>
      </c>
      <c r="CB24" s="13">
        <f>'Bloom Cleaner Data'!CG24+'OPERATING LEASES'!BG24</f>
        <v>72144.237200352058</v>
      </c>
      <c r="CC24" s="13">
        <f>'Bloom Cleaner Data'!CH24+'OPERATING LEASES'!BH24</f>
        <v>65746.541400352056</v>
      </c>
      <c r="CD24" s="13">
        <f>'Bloom Cleaner Data'!CI24+'OPERATING LEASES'!BI24</f>
        <v>48828.345400352067</v>
      </c>
      <c r="CE24" s="1167">
        <f t="shared" si="36"/>
        <v>68765.200929614191</v>
      </c>
      <c r="CF24" s="10">
        <f t="shared" si="37"/>
        <v>-0.18895027395650743</v>
      </c>
      <c r="CG24" s="18">
        <f t="shared" si="4"/>
        <v>6.9133789228719975E-2</v>
      </c>
      <c r="CH24" s="13"/>
      <c r="CI24" s="18">
        <f>$CI$1*BP24/('Bloom Cleaner Data'!D24+'Bloom Cleaner Data'!T24+'OPERATING LEASES'!AU24)+(1-$CI$1)*'Bloom Cleaner Data'!BU24/('Bloom Cleaner Data'!D24+'Bloom Cleaner Data'!T24)-1</f>
        <v>1.130726224788603E-3</v>
      </c>
      <c r="CJ24" s="18">
        <f>$CI$1*BQ24/('Bloom Cleaner Data'!E24+'Bloom Cleaner Data'!U24+'OPERATING LEASES'!AV24)+(1-$CI$1)*'Bloom Cleaner Data'!BV24/('Bloom Cleaner Data'!E24+'Bloom Cleaner Data'!U24)-1</f>
        <v>4.9376669769563009E-5</v>
      </c>
      <c r="CK24" s="18">
        <f>$CI$1*BR24/('Bloom Cleaner Data'!F24+'Bloom Cleaner Data'!V24+'OPERATING LEASES'!AW24)+(1-$CI$1)*'Bloom Cleaner Data'!BW24/('Bloom Cleaner Data'!F24+'Bloom Cleaner Data'!V24)-1</f>
        <v>6.6445308342322207E-5</v>
      </c>
      <c r="CL24" s="18">
        <f>$CI$1*BS24/('Bloom Cleaner Data'!G24+'Bloom Cleaner Data'!W24+'OPERATING LEASES'!AX24)+(1-$CI$1)*'Bloom Cleaner Data'!BX24/('Bloom Cleaner Data'!G24+'Bloom Cleaner Data'!W24)-1</f>
        <v>5.8009618540966201E-5</v>
      </c>
      <c r="CM24" s="18">
        <f>$CI$1*BT24/('Bloom Cleaner Data'!H24+'Bloom Cleaner Data'!X24+'OPERATING LEASES'!AY24)+(1-$CI$1)*'Bloom Cleaner Data'!BY24/('Bloom Cleaner Data'!H24+'Bloom Cleaner Data'!X24)-1</f>
        <v>4.439474099382501E-5</v>
      </c>
      <c r="CN24" s="18">
        <f>$CI$1*BU24/('Bloom Cleaner Data'!I24+'Bloom Cleaner Data'!Y24+'OPERATING LEASES'!AZ24)+(1-$CI$1)*'Bloom Cleaner Data'!BZ24/('Bloom Cleaner Data'!I24+'Bloom Cleaner Data'!Y24)-1</f>
        <v>4.2556401059989923E-5</v>
      </c>
      <c r="CO24" s="18">
        <f>$CI$1*BV24/('Bloom Cleaner Data'!J24+'Bloom Cleaner Data'!Z24+'OPERATING LEASES'!BA24)+(1-$CI$1)*'Bloom Cleaner Data'!CA24/('Bloom Cleaner Data'!J24+'Bloom Cleaner Data'!Z24)-1</f>
        <v>4.0962380736031534E-5</v>
      </c>
      <c r="CP24" s="18">
        <f>$CI$1*BW24/('Bloom Cleaner Data'!K24+'Bloom Cleaner Data'!AA24+'OPERATING LEASES'!BB24)+(1-$CI$1)*'Bloom Cleaner Data'!CB24/('Bloom Cleaner Data'!K24+'Bloom Cleaner Data'!AA24)-1</f>
        <v>4.1783701785202965E-5</v>
      </c>
      <c r="CQ24" s="18">
        <f>$CI$1*BX24/('Bloom Cleaner Data'!L24+'Bloom Cleaner Data'!AB24+'OPERATING LEASES'!BC24)+(1-$CI$1)*'Bloom Cleaner Data'!CC24/('Bloom Cleaner Data'!L24+'Bloom Cleaner Data'!AB24)-1</f>
        <v>3.9313202395474534E-5</v>
      </c>
      <c r="CR24" s="18">
        <f>$CI$1*BY24/('Bloom Cleaner Data'!M24+'Bloom Cleaner Data'!AC24+'OPERATING LEASES'!BD24)+(1-$CI$1)*'Bloom Cleaner Data'!CD24/('Bloom Cleaner Data'!M24+'Bloom Cleaner Data'!AC24)-1</f>
        <v>3.9420258016287235E-5</v>
      </c>
      <c r="CS24" s="18">
        <f>$CI$1*BZ24/('Bloom Cleaner Data'!N24+'Bloom Cleaner Data'!AD24+'OPERATING LEASES'!BE24)+(1-$CI$1)*'Bloom Cleaner Data'!CE24/('Bloom Cleaner Data'!N24+'Bloom Cleaner Data'!AD24)-1</f>
        <v>4.3207865175531879E-5</v>
      </c>
      <c r="CT24" s="18">
        <f>$CI$1*CA24/('Bloom Cleaner Data'!O24+'Bloom Cleaner Data'!AE24+'OPERATING LEASES'!BF24)+(1-$CI$1)*'Bloom Cleaner Data'!CF24/('Bloom Cleaner Data'!O24+'Bloom Cleaner Data'!AE24)-1</f>
        <v>4.1044749525820379E-5</v>
      </c>
      <c r="CU24" s="18">
        <f>$CI$1*CB24/('Bloom Cleaner Data'!P24+'Bloom Cleaner Data'!AF24+'OPERATING LEASES'!BG24)+(1-$CI$1)*'Bloom Cleaner Data'!CG24/('Bloom Cleaner Data'!P24+'Bloom Cleaner Data'!AF24)-1</f>
        <v>4.1585092194429407E-5</v>
      </c>
      <c r="CV24" s="18">
        <f>$CI$1*CC24/('Bloom Cleaner Data'!Q24+'Bloom Cleaner Data'!AG24+'OPERATING LEASES'!BH24)+(1-$CI$1)*'Bloom Cleaner Data'!CH24/('Bloom Cleaner Data'!Q24+'Bloom Cleaner Data'!AG24)-1</f>
        <v>3.0420776499395785E-5</v>
      </c>
      <c r="CW24" s="18">
        <f>$CI$1*CD24/('Bloom Cleaner Data'!R24+'Bloom Cleaner Data'!AH24+'OPERATING LEASES'!BI24)+(1-$CI$1)*'Bloom Cleaner Data'!CI24/('Bloom Cleaner Data'!R24+'Bloom Cleaner Data'!AH24)-1</f>
        <v>4.0961492890900786E-5</v>
      </c>
      <c r="CX24" s="18">
        <f t="shared" si="38"/>
        <v>4.3854276012013677E-5</v>
      </c>
      <c r="CY24" s="13"/>
      <c r="CZ24" s="3112">
        <f>AVERAGE('Bloom Cleaner Data'!GX24:HJ24)</f>
        <v>9690.3904682109751</v>
      </c>
      <c r="DA24" s="2860">
        <f>('Bloom Cleaner Data'!HJ24-'Bloom Cleaner Data'!GX24)/'Bloom Cleaner Data'!GX24</f>
        <v>-0.19962781206585886</v>
      </c>
      <c r="DB24" s="2860">
        <f>('Bloom Cleaner Data'!HJ24+'Bloom Cleaner Data'!HI24-'Bloom Cleaner Data'!GX24-'Bloom Cleaner Data'!GW24)/('Bloom Cleaner Data'!GX24+'Bloom Cleaner Data'!GW24)</f>
        <v>-0.16659056149686743</v>
      </c>
      <c r="DC24" s="13"/>
      <c r="DD24" s="13">
        <f>'Bloom Cleaner Data'!GV24+'OPERATING LEASES'!BL24</f>
        <v>10108.499614729817</v>
      </c>
      <c r="DE24" s="13">
        <f>'Bloom Cleaner Data'!GW24+'OPERATING LEASES'!BM24</f>
        <v>10163.576356111642</v>
      </c>
      <c r="DF24" s="13">
        <f>'Bloom Cleaner Data'!GX24+'OPERATING LEASES'!BN24</f>
        <v>10930.548711059435</v>
      </c>
      <c r="DG24" s="13">
        <f>'Bloom Cleaner Data'!GY24+'OPERATING LEASES'!BO24</f>
        <v>11156.482501395927</v>
      </c>
      <c r="DH24" s="13">
        <f>'Bloom Cleaner Data'!GZ24+'OPERATING LEASES'!BP24</f>
        <v>11442.549874545548</v>
      </c>
      <c r="DI24" s="13">
        <f>'Bloom Cleaner Data'!HA24+'OPERATING LEASES'!BQ24</f>
        <v>11614.786372127508</v>
      </c>
      <c r="DJ24" s="13">
        <f>'Bloom Cleaner Data'!HB24+'OPERATING LEASES'!BR24</f>
        <v>11125.089153294433</v>
      </c>
      <c r="DK24" s="13">
        <f>'Bloom Cleaner Data'!HC24+'OPERATING LEASES'!BS24</f>
        <v>11325.516161101097</v>
      </c>
      <c r="DL24" s="13">
        <f>'Bloom Cleaner Data'!HD24+'OPERATING LEASES'!BT24</f>
        <v>11650.76238621785</v>
      </c>
      <c r="DM24" s="13">
        <f>'Bloom Cleaner Data'!HE24+'OPERATING LEASES'!BU24</f>
        <v>10646.979080244164</v>
      </c>
      <c r="DN24" s="13">
        <f>'Bloom Cleaner Data'!HF24+'OPERATING LEASES'!BV24</f>
        <v>9440.1006627025872</v>
      </c>
      <c r="DO24" s="13">
        <f>'Bloom Cleaner Data'!HG24+'OPERATING LEASES'!BW24</f>
        <v>8979.3262947695857</v>
      </c>
      <c r="DP24" s="13">
        <f>'Bloom Cleaner Data'!HH24+'OPERATING LEASES'!BX24</f>
        <v>8851.4798405549263</v>
      </c>
      <c r="DQ24" s="13">
        <f>'Bloom Cleaner Data'!HI24+'OPERATING LEASES'!BY24</f>
        <v>8834.5283263170477</v>
      </c>
      <c r="DR24" s="13">
        <f>'Bloom Cleaner Data'!HJ24+'OPERATING LEASES'!BZ24</f>
        <v>8854.480293841134</v>
      </c>
      <c r="DS24" s="1167">
        <f t="shared" si="39"/>
        <v>10373.279204474711</v>
      </c>
      <c r="DT24" s="10">
        <f t="shared" si="40"/>
        <v>-0.18993268060895724</v>
      </c>
      <c r="DU24" s="18">
        <f t="shared" si="41"/>
        <v>7.0470714106302665E-2</v>
      </c>
      <c r="DV24" s="167"/>
      <c r="DW24" s="15">
        <f>'Bloom Cleaner Data'!DT24</f>
        <v>1.413</v>
      </c>
      <c r="DX24" s="15">
        <f>'Bloom Cleaner Data'!DX24</f>
        <v>1.7396</v>
      </c>
      <c r="DY24" s="15">
        <f>'Bloom Cleaner Data'!EB24</f>
        <v>1.7812000000000001</v>
      </c>
      <c r="DZ24" s="15">
        <f>'Bloom Cleaner Data'!EF24</f>
        <v>1.19</v>
      </c>
      <c r="EA24" s="15">
        <f>AVERAGE('Bloom Cleaner Data'!DT24:EF24)</f>
        <v>1.6592076923076922</v>
      </c>
      <c r="EB24" s="18">
        <f t="shared" si="5"/>
        <v>-0.15782024062278846</v>
      </c>
      <c r="EC24" s="13"/>
      <c r="ED24" s="15">
        <f>'Bloom Cleaner Data'!DC24</f>
        <v>5.4551999999999996</v>
      </c>
      <c r="EE24" s="15">
        <f>'Bloom Cleaner Data'!DG24</f>
        <v>6.5808</v>
      </c>
      <c r="EF24" s="15">
        <f>'Bloom Cleaner Data'!DK24</f>
        <v>7.4165999999999999</v>
      </c>
      <c r="EG24" s="15">
        <f>'Bloom Cleaner Data'!DO24</f>
        <v>5.4246999999999996</v>
      </c>
      <c r="EH24" s="15">
        <f>AVERAGE('Bloom Cleaner Data'!DC24:DO24)</f>
        <v>6.700453846153847</v>
      </c>
      <c r="EI24" s="22">
        <f t="shared" si="42"/>
        <v>6.2193249999999995</v>
      </c>
      <c r="EJ24" s="22">
        <f t="shared" si="6"/>
        <v>0.48112884615384743</v>
      </c>
      <c r="EK24" s="18">
        <f t="shared" si="43"/>
        <v>-5.5909957471770005E-3</v>
      </c>
      <c r="EL24" s="241"/>
      <c r="EM24" s="15">
        <f>('Bloom Cleaner Data'!BU24+'OPERATING LEASES'!AU24)/DD24</f>
        <v>5.518069631932768</v>
      </c>
      <c r="EN24" s="15">
        <f>('Bloom Cleaner Data'!BV24+'OPERATING LEASES'!AV24)/DE24</f>
        <v>5.9782537996274874</v>
      </c>
      <c r="EO24" s="15">
        <f>('Bloom Cleaner Data'!BW24+'OPERATING LEASES'!AW24)/DF24</f>
        <v>5.5078558067353534</v>
      </c>
      <c r="EP24" s="15">
        <f>('Bloom Cleaner Data'!BX24+'OPERATING LEASES'!AX24)/DG24</f>
        <v>6.1809877889978271</v>
      </c>
      <c r="EQ24" s="15">
        <f>('Bloom Cleaner Data'!BY24+'OPERATING LEASES'!AY24)/DH24</f>
        <v>5.9059014267363148</v>
      </c>
      <c r="ER24" s="15">
        <f>('Bloom Cleaner Data'!BZ24+'OPERATING LEASES'!AZ24)/DI24</f>
        <v>6.0696495558396677</v>
      </c>
      <c r="ES24" s="15">
        <f>('Bloom Cleaner Data'!CA24+'OPERATING LEASES'!BA24)/DJ24</f>
        <v>6.5834016834142988</v>
      </c>
      <c r="ET24" s="15">
        <f>('Bloom Cleaner Data'!CB24+'OPERATING LEASES'!BB24)/DK24</f>
        <v>6.3397843200930417</v>
      </c>
      <c r="EU24" s="15">
        <f>('Bloom Cleaner Data'!CC24+'OPERATING LEASES'!BC24)/DL24</f>
        <v>6.5500642585037534</v>
      </c>
      <c r="EV24" s="15">
        <f>('Bloom Cleaner Data'!CD24+'OPERATING LEASES'!BD24)/DM24</f>
        <v>7.1481311336489242</v>
      </c>
      <c r="EW24" s="15">
        <f>('Bloom Cleaner Data'!CE24+'OPERATING LEASES'!BE24)/DN24</f>
        <v>7.3553032829038081</v>
      </c>
      <c r="EX24" s="15">
        <f>('Bloom Cleaner Data'!CF24+'OPERATING LEASES'!BF24)/DO24</f>
        <v>8.1402495074059509</v>
      </c>
      <c r="EY24" s="15">
        <f>('Bloom Cleaner Data'!CG24+'OPERATING LEASES'!BG24)/DP24</f>
        <v>8.150528329715895</v>
      </c>
      <c r="EZ24" s="15">
        <f>('Bloom Cleaner Data'!CH24+'OPERATING LEASES'!BH24)/DQ24</f>
        <v>7.4419979167988677</v>
      </c>
      <c r="FA24" s="15">
        <f>('Bloom Cleaner Data'!CI24+'OPERATING LEASES'!BI24)/DR24</f>
        <v>5.5145354419406587</v>
      </c>
      <c r="FB24" s="526">
        <f t="shared" si="44"/>
        <v>6.6837223425180285</v>
      </c>
      <c r="FC24" s="10">
        <f t="shared" si="45"/>
        <v>1.2127469272410992E-3</v>
      </c>
      <c r="FD24" s="15">
        <f t="shared" si="7"/>
        <v>-1.6731503635818434E-2</v>
      </c>
      <c r="FE24" s="15">
        <f t="shared" si="46"/>
        <v>6.9293645430264856</v>
      </c>
      <c r="FF24" s="13"/>
      <c r="FG24" s="15">
        <f>$FG$1*EM24+(1-$FG$1)*'Bloom Cleaner Data'!DA24</f>
        <v>5.518069631932768</v>
      </c>
      <c r="FH24" s="15">
        <f>$FG$1*EN24+(1-$FG$1)*'Bloom Cleaner Data'!DB24</f>
        <v>5.9782537996274874</v>
      </c>
      <c r="FI24" s="15">
        <f>$FG$1*EO24+(1-$FG$1)*'Bloom Cleaner Data'!DC24</f>
        <v>5.5078558067353534</v>
      </c>
      <c r="FJ24" s="15">
        <f>$FG$1*EP24+(1-$FG$1)*'Bloom Cleaner Data'!DD24</f>
        <v>6.1809877889978271</v>
      </c>
      <c r="FK24" s="15">
        <f>$FG$1*EQ24+(1-$FG$1)*'Bloom Cleaner Data'!DE24</f>
        <v>5.9059014267363148</v>
      </c>
      <c r="FL24" s="15">
        <f>$FG$1*ER24+(1-$FG$1)*'Bloom Cleaner Data'!DF24</f>
        <v>6.0696495558396677</v>
      </c>
      <c r="FM24" s="15">
        <f>$FG$1*ES24+(1-$FG$1)*'Bloom Cleaner Data'!DG24</f>
        <v>6.5834016834142988</v>
      </c>
      <c r="FN24" s="15">
        <f>$FG$1*ET24+(1-$FG$1)*'Bloom Cleaner Data'!DH24</f>
        <v>6.3397843200930417</v>
      </c>
      <c r="FO24" s="15">
        <f>$FG$1*EU24+(1-$FG$1)*'Bloom Cleaner Data'!DI24</f>
        <v>6.5500642585037534</v>
      </c>
      <c r="FP24" s="15">
        <f>$FG$1*EV24+(1-$FG$1)*'Bloom Cleaner Data'!DJ24</f>
        <v>7.1481311336489242</v>
      </c>
      <c r="FQ24" s="15">
        <f>$FG$1*EW24+(1-$FG$1)*'Bloom Cleaner Data'!DK24</f>
        <v>7.3553032829038081</v>
      </c>
      <c r="FR24" s="15">
        <f>$FG$1*EX24+(1-$FG$1)*'Bloom Cleaner Data'!DL24</f>
        <v>8.1402495074059509</v>
      </c>
      <c r="FS24" s="15">
        <f>$FG$1*EY24+(1-$FG$1)*'Bloom Cleaner Data'!DM24</f>
        <v>8.150528329715895</v>
      </c>
      <c r="FT24" s="15">
        <f>$FG$1*EZ24+(1-$FG$1)*'Bloom Cleaner Data'!DN24</f>
        <v>7.4419979167988677</v>
      </c>
      <c r="FU24" s="15">
        <f>$FG$1*FA24+(1-$FG$1)*'Bloom Cleaner Data'!DO24</f>
        <v>5.5145354419406587</v>
      </c>
      <c r="FV24" s="526">
        <f t="shared" si="47"/>
        <v>6.6837223425180285</v>
      </c>
      <c r="FW24" s="10">
        <f t="shared" si="48"/>
        <v>1.2127469272410992E-3</v>
      </c>
      <c r="FX24" s="526">
        <f t="shared" si="49"/>
        <v>6.9293645430264856</v>
      </c>
      <c r="FY24" s="2710"/>
      <c r="FZ24" s="2710"/>
      <c r="GA24" s="10">
        <f>'Bloom Cleaner Data'!T24/('Bloom Cleaner Data'!T24+'Bloom Cleaner Data'!D24)</f>
        <v>3.620437934170171E-2</v>
      </c>
      <c r="GB24" s="10">
        <f>'Bloom Cleaner Data'!U24/('Bloom Cleaner Data'!U24+'Bloom Cleaner Data'!E24)</f>
        <v>5.8127717443812905E-2</v>
      </c>
      <c r="GC24" s="10">
        <f>'Bloom Cleaner Data'!V24/('Bloom Cleaner Data'!V24+'Bloom Cleaner Data'!F24)</f>
        <v>7.6938681429221417E-2</v>
      </c>
      <c r="GD24" s="10">
        <f>'Bloom Cleaner Data'!W24/('Bloom Cleaner Data'!W24+'Bloom Cleaner Data'!G24)</f>
        <v>3.6472007294463753E-2</v>
      </c>
      <c r="GE24" s="10">
        <f>'Bloom Cleaner Data'!X24/('Bloom Cleaner Data'!X24+'Bloom Cleaner Data'!H24)</f>
        <v>2.6648578246243074E-2</v>
      </c>
      <c r="GF24" s="10">
        <f>'Bloom Cleaner Data'!Y24/('Bloom Cleaner Data'!Y24+'Bloom Cleaner Data'!I24)</f>
        <v>1.1925601351508903E-2</v>
      </c>
      <c r="GG24" s="10">
        <f>'Bloom Cleaner Data'!Z24/('Bloom Cleaner Data'!Z24+'Bloom Cleaner Data'!J24)</f>
        <v>0.19662311016403874</v>
      </c>
      <c r="GH24" s="10">
        <f>'Bloom Cleaner Data'!AA24/('Bloom Cleaner Data'!AA24+'Bloom Cleaner Data'!K24)</f>
        <v>0.17958912757371634</v>
      </c>
      <c r="GI24" s="10">
        <f>'Bloom Cleaner Data'!AB24/('Bloom Cleaner Data'!AB24+'Bloom Cleaner Data'!L24)</f>
        <v>0.18049989458897103</v>
      </c>
      <c r="GJ24" s="10">
        <f>'Bloom Cleaner Data'!AC24/('Bloom Cleaner Data'!AC24+'Bloom Cleaner Data'!M24)</f>
        <v>0.17674788502726119</v>
      </c>
      <c r="GK24" s="10">
        <f>'Bloom Cleaner Data'!AD24/('Bloom Cleaner Data'!AD24+'Bloom Cleaner Data'!N24)</f>
        <v>0.27092204887327215</v>
      </c>
      <c r="GL24" s="10">
        <f>'Bloom Cleaner Data'!AE24/('Bloom Cleaner Data'!AE24+'Bloom Cleaner Data'!O24)</f>
        <v>0.23360196688711238</v>
      </c>
      <c r="GM24" s="10">
        <f>'Bloom Cleaner Data'!AF24/('Bloom Cleaner Data'!AF24+'Bloom Cleaner Data'!P24)</f>
        <v>0.22619724704887639</v>
      </c>
      <c r="GN24" s="10">
        <f>'Bloom Cleaner Data'!AG24/('Bloom Cleaner Data'!AG24+'Bloom Cleaner Data'!Q24)</f>
        <v>0.17960679692420939</v>
      </c>
      <c r="GO24" s="10">
        <f>'Bloom Cleaner Data'!AH24/('Bloom Cleaner Data'!AH24+'Bloom Cleaner Data'!R24)</f>
        <v>0.2022242346359609</v>
      </c>
      <c r="GP24" s="10">
        <f t="shared" si="50"/>
        <v>0.1536920907726812</v>
      </c>
      <c r="GQ24" s="10">
        <f t="shared" si="51"/>
        <v>1.6283818604559013</v>
      </c>
      <c r="GR24" s="10"/>
      <c r="GS24" s="496">
        <f t="shared" si="8"/>
        <v>3.7564374194783277E-2</v>
      </c>
      <c r="GT24" s="497">
        <f t="shared" si="9"/>
        <v>6.171507381665127E-2</v>
      </c>
      <c r="GU24" s="497">
        <f t="shared" si="10"/>
        <v>8.3351647264722759E-2</v>
      </c>
      <c r="GV24" s="497">
        <f t="shared" si="11"/>
        <v>3.7852566371270921E-2</v>
      </c>
      <c r="GW24" s="497">
        <f t="shared" si="12"/>
        <v>2.7378167484697791E-2</v>
      </c>
      <c r="GX24" s="497">
        <f t="shared" si="13"/>
        <v>1.2069537848385698E-2</v>
      </c>
      <c r="GY24" s="497">
        <f t="shared" si="14"/>
        <v>0.2447457882491324</v>
      </c>
      <c r="GZ24" s="497">
        <f t="shared" si="15"/>
        <v>0.21890144756687505</v>
      </c>
      <c r="HA24" s="497">
        <f t="shared" si="16"/>
        <v>0.22025609685362935</v>
      </c>
      <c r="HB24" s="497">
        <f t="shared" si="17"/>
        <v>0.21469472329641573</v>
      </c>
      <c r="HC24" s="497">
        <f t="shared" si="18"/>
        <v>0.371595449368048</v>
      </c>
      <c r="HD24" s="497">
        <f t="shared" si="19"/>
        <v>0.30480501879459238</v>
      </c>
      <c r="HE24" s="497">
        <f t="shared" si="20"/>
        <v>0.29231900014080708</v>
      </c>
      <c r="HF24" s="497">
        <f t="shared" si="21"/>
        <v>0.21892769985274577</v>
      </c>
      <c r="HG24" s="498">
        <f t="shared" si="22"/>
        <v>0.25348505609678729</v>
      </c>
      <c r="HH24" s="10">
        <f t="shared" si="52"/>
        <v>0.19233709224523923</v>
      </c>
      <c r="HI24" s="10">
        <f t="shared" si="53"/>
        <v>2.0411523277005559</v>
      </c>
      <c r="HJ24" s="10"/>
      <c r="HK24" s="18">
        <f>('Bloom Cleaner Data'!T24+'OPERATING LEASES'!AU24)/('Bloom Cleaner Data'!T24+'OPERATING LEASES'!AU24+'Bloom Cleaner Data'!D24)</f>
        <v>0.12898140647966524</v>
      </c>
      <c r="HL24" s="18">
        <f>('Bloom Cleaner Data'!U24+'OPERATING LEASES'!AV24)/('Bloom Cleaner Data'!U24+'OPERATING LEASES'!AV24+'Bloom Cleaner Data'!E24)</f>
        <v>0.1380528460563592</v>
      </c>
      <c r="HM24" s="18">
        <f>('Bloom Cleaner Data'!V24+'OPERATING LEASES'!AW24)/('Bloom Cleaner Data'!V24+'OPERATING LEASES'!AW24+'Bloom Cleaner Data'!F24)</f>
        <v>0.15280916744808323</v>
      </c>
      <c r="HN24" s="18">
        <f>('Bloom Cleaner Data'!W24+'OPERATING LEASES'!AX24)/('Bloom Cleaner Data'!W24+'OPERATING LEASES'!AX24+'Bloom Cleaner Data'!G24)</f>
        <v>0.10271257904746049</v>
      </c>
      <c r="HO24" s="18">
        <f>('Bloom Cleaner Data'!X24+'OPERATING LEASES'!AY24)/('Bloom Cleaner Data'!X24+'OPERATING LEASES'!AY24+'Bloom Cleaner Data'!H24)</f>
        <v>9.1938678131143467E-2</v>
      </c>
      <c r="HP24" s="18">
        <f>('Bloom Cleaner Data'!Y24+'OPERATING LEASES'!AZ24)/('Bloom Cleaner Data'!Y24+'OPERATING LEASES'!AZ24+'Bloom Cleaner Data'!I24)</f>
        <v>7.2679201192683063E-2</v>
      </c>
      <c r="HQ24" s="18">
        <f>('Bloom Cleaner Data'!Z24+'OPERATING LEASES'!BA24)/('Bloom Cleaner Data'!Z24+'OPERATING LEASES'!BA24+'Bloom Cleaner Data'!J24)</f>
        <v>0.24199462765035201</v>
      </c>
      <c r="HR24" s="18">
        <f>('Bloom Cleaner Data'!AA24+'OPERATING LEASES'!BB24)/('Bloom Cleaner Data'!AA24+'OPERATING LEASES'!BB24+'Bloom Cleaner Data'!K24)</f>
        <v>0.2245856460117715</v>
      </c>
      <c r="HS24" s="18">
        <f>('Bloom Cleaner Data'!AB24+'OPERATING LEASES'!BC24)/('Bloom Cleaner Data'!AB24+'OPERATING LEASES'!BC24+'Bloom Cleaner Data'!L24)</f>
        <v>0.22065927567404742</v>
      </c>
      <c r="HT24" s="18">
        <f>('Bloom Cleaner Data'!AC24+'OPERATING LEASES'!BD24)/('Bloom Cleaner Data'!AC24+'OPERATING LEASES'!BD24+'Bloom Cleaner Data'!M24)</f>
        <v>0.22020516748148458</v>
      </c>
      <c r="HU24" s="18">
        <f>('Bloom Cleaner Data'!AD24+'OPERATING LEASES'!BE24)/('Bloom Cleaner Data'!AD24+'OPERATING LEASES'!BE24+'Bloom Cleaner Data'!N24)</f>
        <v>0.31602212563008453</v>
      </c>
      <c r="HV24" s="18">
        <f>('Bloom Cleaner Data'!AE24+'OPERATING LEASES'!BF24)/('Bloom Cleaner Data'!AE24+'OPERATING LEASES'!BF24+'Bloom Cleaner Data'!O24)</f>
        <v>0.28154916487544268</v>
      </c>
      <c r="HW24" s="18">
        <f>('Bloom Cleaner Data'!AF24+'OPERATING LEASES'!BG24)/('Bloom Cleaner Data'!AF24+'OPERATING LEASES'!BG24+'Bloom Cleaner Data'!P24)</f>
        <v>0.27822380346221887</v>
      </c>
      <c r="HX24" s="18">
        <f>('Bloom Cleaner Data'!AG24+'OPERATING LEASES'!BH24)/('Bloom Cleaner Data'!AG24+'OPERATING LEASES'!BH24+'Bloom Cleaner Data'!Q24)</f>
        <v>0.24013262643683941</v>
      </c>
      <c r="HY24" s="18">
        <f>('Bloom Cleaner Data'!AH24+'OPERATING LEASES'!BI24)/('Bloom Cleaner Data'!AH24+'OPERATING LEASES'!BI24+'Bloom Cleaner Data'!R24)</f>
        <v>0.28147528322389997</v>
      </c>
      <c r="HZ24" s="10">
        <f t="shared" si="54"/>
        <v>0.20961441125119315</v>
      </c>
      <c r="IA24" s="10">
        <f t="shared" si="55"/>
        <v>0.84200521424561081</v>
      </c>
      <c r="IB24" s="10">
        <f t="shared" si="23"/>
        <v>5.592232047851195E-2</v>
      </c>
      <c r="IC24" s="10">
        <f t="shared" si="24"/>
        <v>0.36385945559959909</v>
      </c>
      <c r="IE24" s="502">
        <f t="shared" si="56"/>
        <v>0.1480811172564872</v>
      </c>
      <c r="IF24" s="467">
        <f t="shared" si="108"/>
        <v>0.1601639328173777</v>
      </c>
      <c r="IG24" s="467">
        <f t="shared" si="109"/>
        <v>0.18037160174147532</v>
      </c>
      <c r="IH24" s="467">
        <f t="shared" si="110"/>
        <v>0.11447009804107496</v>
      </c>
      <c r="II24" s="467">
        <f t="shared" si="111"/>
        <v>0.10124721306478174</v>
      </c>
      <c r="IJ24" s="467">
        <f t="shared" si="112"/>
        <v>7.8375467568677595E-2</v>
      </c>
      <c r="IK24" s="467">
        <f t="shared" si="113"/>
        <v>0.31925186347983592</v>
      </c>
      <c r="IL24" s="467">
        <f t="shared" si="114"/>
        <v>0.28963307792362702</v>
      </c>
      <c r="IM24" s="467">
        <f t="shared" si="115"/>
        <v>0.28313582081174365</v>
      </c>
      <c r="IN24" s="467">
        <f t="shared" si="116"/>
        <v>0.28238859543385858</v>
      </c>
      <c r="IO24" s="467">
        <f t="shared" si="117"/>
        <v>0.46203559716197845</v>
      </c>
      <c r="IP24" s="467">
        <f t="shared" si="118"/>
        <v>0.39188369072830254</v>
      </c>
      <c r="IQ24" s="467">
        <f t="shared" si="119"/>
        <v>0.38547101552642482</v>
      </c>
      <c r="IR24" s="467">
        <f t="shared" si="120"/>
        <v>0.31601913016848254</v>
      </c>
      <c r="IS24" s="503">
        <f t="shared" si="121"/>
        <v>0.39174057155171005</v>
      </c>
      <c r="IT24" s="10">
        <f t="shared" si="57"/>
        <v>0.27661721101553638</v>
      </c>
      <c r="IU24" s="10">
        <f t="shared" si="58"/>
        <v>1.1718528181237067</v>
      </c>
      <c r="IV24" s="10">
        <f t="shared" si="59"/>
        <v>8.4280118770297147E-2</v>
      </c>
      <c r="IW24" s="10">
        <f t="shared" si="60"/>
        <v>0.43818962731762556</v>
      </c>
      <c r="IY24" s="15">
        <f>'Bloom Cleaner Data'!T24/'Bloom Cleaner Data'!BU24*'Bloom Cleaner Data'!DA24</f>
        <v>0.19843411889804996</v>
      </c>
      <c r="IZ24" s="15">
        <f>'Bloom Cleaner Data'!U24/'Bloom Cleaner Data'!BV24*'Bloom Cleaner Data'!DB24</f>
        <v>0.34745130976478439</v>
      </c>
      <c r="JA24" s="15">
        <f>'Bloom Cleaner Data'!V24/'Bloom Cleaner Data'!BW24*'Bloom Cleaner Data'!DC24</f>
        <v>0.41968551144657651</v>
      </c>
      <c r="JB24" s="15">
        <f>'Bloom Cleaner Data'!W24/'Bloom Cleaner Data'!BX24*'Bloom Cleaner Data'!DD24</f>
        <v>0.2248687422373829</v>
      </c>
      <c r="JC24" s="15">
        <f>'Bloom Cleaner Data'!X24/'Bloom Cleaner Data'!BY24*'Bloom Cleaner Data'!DE24</f>
        <v>0.15611859619514573</v>
      </c>
      <c r="JD24" s="15">
        <f>'Bloom Cleaner Data'!Y24/'Bloom Cleaner Data'!BZ24*'Bloom Cleaner Data'!DF24</f>
        <v>7.197608835815171E-2</v>
      </c>
      <c r="JE24" s="15">
        <f>'Bloom Cleaner Data'!Z24/'Bloom Cleaner Data'!CA24*'Bloom Cleaner Data'!DG24</f>
        <v>1.2938811904940553</v>
      </c>
      <c r="JF24" s="15">
        <f>'Bloom Cleaner Data'!AA24/'Bloom Cleaner Data'!CB24*'Bloom Cleaner Data'!DH24</f>
        <v>1.1357791853083579</v>
      </c>
      <c r="JG24" s="15">
        <f>'Bloom Cleaner Data'!AB24/'Bloom Cleaner Data'!CC24*'Bloom Cleaner Data'!DI24</f>
        <v>1.1817922556896128</v>
      </c>
      <c r="JH24" s="15">
        <f>'Bloom Cleaner Data'!AC24/'Bloom Cleaner Data'!CD24*'Bloom Cleaner Data'!DJ24</f>
        <v>1.2696509424617648</v>
      </c>
      <c r="JI24" s="15">
        <f>'Bloom Cleaner Data'!AD24/'Bloom Cleaner Data'!CE24*'Bloom Cleaner Data'!DK24</f>
        <v>2.0092279288600334</v>
      </c>
      <c r="JJ24" s="15">
        <f>'Bloom Cleaner Data'!AE24/'Bloom Cleaner Data'!CF24*'Bloom Cleaner Data'!DL24</f>
        <v>1.9337892139450727</v>
      </c>
      <c r="JK24" s="15">
        <f>'Bloom Cleaner Data'!AF24/'Bloom Cleaner Data'!CG24*'Bloom Cleaner Data'!DM24</f>
        <v>1.8782129644288121</v>
      </c>
      <c r="JL24" s="15">
        <f>'Bloom Cleaner Data'!AG24/'Bloom Cleaner Data'!CH24*'Bloom Cleaner Data'!DN24</f>
        <v>1.3524127230281229</v>
      </c>
      <c r="JM24" s="15">
        <f>'Bloom Cleaner Data'!AH24/'Bloom Cleaner Data'!CI24*'Bloom Cleaner Data'!DO24</f>
        <v>1.0969559167124168</v>
      </c>
      <c r="JN24" s="15">
        <f t="shared" si="61"/>
        <v>1.4425272013897839</v>
      </c>
      <c r="JO24" s="15">
        <f t="shared" si="62"/>
        <v>1.5653427045286061</v>
      </c>
      <c r="JP24" s="15">
        <f t="shared" si="63"/>
        <v>1.078796250705039</v>
      </c>
      <c r="JQ24" s="18">
        <f t="shared" si="64"/>
        <v>1.6137569365485536</v>
      </c>
      <c r="JR24" s="18"/>
      <c r="JS24" s="2024" t="s">
        <v>282</v>
      </c>
      <c r="JT24" s="526">
        <f>('Bloom Cleaner Data'!T24+'OPERATING LEASES'!AU24)/DD24</f>
        <v>0.71092452117947436</v>
      </c>
      <c r="JU24" s="526">
        <f>('Bloom Cleaner Data'!U24+'OPERATING LEASES'!AV24)/DE24</f>
        <v>0.825274202194067</v>
      </c>
      <c r="JV24" s="526">
        <f>('Bloom Cleaner Data'!V24+'OPERATING LEASES'!AW24)/DF24</f>
        <v>0.84159494021601833</v>
      </c>
      <c r="JW24" s="526">
        <f>('Bloom Cleaner Data'!W24+'OPERATING LEASES'!AX24)/DG24</f>
        <v>0.63482837071720311</v>
      </c>
      <c r="JX24" s="526">
        <f>('Bloom Cleaner Data'!X24+'OPERATING LEASES'!AY24)/DH24</f>
        <v>0.54295666592641645</v>
      </c>
      <c r="JY24" s="526">
        <f>('Bloom Cleaner Data'!Y24+'OPERATING LEASES'!AZ24)/DI24</f>
        <v>0.44111850882177417</v>
      </c>
      <c r="JZ24" s="526">
        <f>('Bloom Cleaner Data'!Z24+'OPERATING LEASES'!BA24)/DJ24</f>
        <v>1.5930825825952515</v>
      </c>
      <c r="KA24" s="526">
        <f>('Bloom Cleaner Data'!AA24+'OPERATING LEASES'!BB24)/DK24</f>
        <v>1.4237650669284265</v>
      </c>
      <c r="KB24" s="526">
        <f>('Bloom Cleaner Data'!AB24+'OPERATING LEASES'!BC24)/DL24</f>
        <v>1.4452756164870766</v>
      </c>
      <c r="KC24" s="526">
        <f>('Bloom Cleaner Data'!AC24+'OPERATING LEASES'!BD24)/DM24</f>
        <v>1.5739933662401624</v>
      </c>
      <c r="KD24" s="526">
        <f>('Bloom Cleaner Data'!AD24+'OPERATING LEASES'!BE24)/DN24</f>
        <v>2.3243381484278607</v>
      </c>
      <c r="KE24" s="526">
        <f>('Bloom Cleaner Data'!AE24+'OPERATING LEASES'!BF24)/DO24</f>
        <v>2.2917863848897442</v>
      </c>
      <c r="KF24" s="526">
        <f>('Bloom Cleaner Data'!AF24+'OPERATING LEASES'!BG24)/DP24</f>
        <v>2.2675766947342137</v>
      </c>
      <c r="KG24" s="526">
        <f>('Bloom Cleaner Data'!AG24+'OPERATING LEASES'!BH24)/DQ24</f>
        <v>1.7870121434013835</v>
      </c>
      <c r="KH24" s="526">
        <f>('Bloom Cleaner Data'!AH24+'OPERATING LEASES'!BI24)/DR24</f>
        <v>1.5521418473212367</v>
      </c>
      <c r="KI24" s="15">
        <f t="shared" si="65"/>
        <v>1.8689102284856114</v>
      </c>
      <c r="KJ24" s="15">
        <f t="shared" si="66"/>
        <v>1.9746292675866448</v>
      </c>
      <c r="KK24" s="15">
        <f t="shared" si="67"/>
        <v>1.4399592566697517</v>
      </c>
      <c r="KL24" s="18">
        <f t="shared" si="68"/>
        <v>0.8442860967329926</v>
      </c>
      <c r="KM24" s="15">
        <f t="shared" si="69"/>
        <v>0.36116300596471262</v>
      </c>
      <c r="KN24" s="18"/>
      <c r="KO24" s="15">
        <f t="shared" si="70"/>
        <v>0.71092452117947436</v>
      </c>
      <c r="KP24" s="15">
        <f t="shared" si="122"/>
        <v>0.825274202194067</v>
      </c>
      <c r="KQ24" s="15">
        <f t="shared" si="123"/>
        <v>0.84159494021601833</v>
      </c>
      <c r="KR24" s="15">
        <f t="shared" si="124"/>
        <v>0.63482837071720311</v>
      </c>
      <c r="KS24" s="15">
        <f t="shared" si="125"/>
        <v>0.54295666592641645</v>
      </c>
      <c r="KT24" s="15">
        <f t="shared" si="126"/>
        <v>0.44111850882177417</v>
      </c>
      <c r="KU24" s="15">
        <f t="shared" si="127"/>
        <v>1.5930825825952515</v>
      </c>
      <c r="KV24" s="15">
        <f t="shared" si="128"/>
        <v>1.4237650669284265</v>
      </c>
      <c r="KW24" s="15">
        <f t="shared" si="129"/>
        <v>1.4452756164870766</v>
      </c>
      <c r="KX24" s="15">
        <f t="shared" si="130"/>
        <v>1.5739933662401624</v>
      </c>
      <c r="KY24" s="15">
        <f t="shared" si="131"/>
        <v>2.3243381484278607</v>
      </c>
      <c r="KZ24" s="15">
        <f t="shared" si="132"/>
        <v>2.2917863848897442</v>
      </c>
      <c r="LA24" s="15">
        <f t="shared" si="133"/>
        <v>2.2675766947342137</v>
      </c>
      <c r="LB24" s="15">
        <f t="shared" si="134"/>
        <v>1.7870121434013835</v>
      </c>
      <c r="LC24" s="15">
        <f t="shared" si="135"/>
        <v>1.5521418473212367</v>
      </c>
      <c r="LD24" s="15">
        <f t="shared" si="85"/>
        <v>1.8689102284856114</v>
      </c>
      <c r="LE24" s="15">
        <f t="shared" si="86"/>
        <v>1.9746292675866448</v>
      </c>
      <c r="LF24" s="526">
        <f t="shared" si="87"/>
        <v>1.4399592566697517</v>
      </c>
      <c r="LG24" s="10">
        <f t="shared" si="88"/>
        <v>0.8442860967329926</v>
      </c>
      <c r="LH24" s="18"/>
      <c r="LI24" s="15">
        <f>('Bloom Cleaner Data'!T24+'Bloom Cleaner Data'!EY24)/'Bloom Cleaner Data'!GV24</f>
        <v>0.34124572832988842</v>
      </c>
      <c r="LJ24" s="15">
        <f>('Bloom Cleaner Data'!U24+'Bloom Cleaner Data'!EZ24)/'Bloom Cleaner Data'!GW24</f>
        <v>0.45420228457803652</v>
      </c>
      <c r="LK24" s="15">
        <f>('Bloom Cleaner Data'!V24+'Bloom Cleaner Data'!FA24)/'Bloom Cleaner Data'!GX24</f>
        <v>0.52552010760529921</v>
      </c>
      <c r="LL24" s="15">
        <f>('Bloom Cleaner Data'!W24+'Bloom Cleaner Data'!FB24)/'Bloom Cleaner Data'!GY24</f>
        <v>0.37014047878954359</v>
      </c>
      <c r="LM24" s="15">
        <f>('Bloom Cleaner Data'!X24+'Bloom Cleaner Data'!FC24)/'Bloom Cleaner Data'!GZ24</f>
        <v>0.23362032787773593</v>
      </c>
      <c r="LN24" s="15">
        <f>('Bloom Cleaner Data'!Y24+'Bloom Cleaner Data'!FD24)/'Bloom Cleaner Data'!HA24</f>
        <v>0.20361296478503754</v>
      </c>
      <c r="LO24" s="15">
        <f>('Bloom Cleaner Data'!Z24+'Bloom Cleaner Data'!FE24)/'Bloom Cleaner Data'!HB24</f>
        <v>1.4822448465474327</v>
      </c>
      <c r="LP24" s="15">
        <f>('Bloom Cleaner Data'!AA24+'Bloom Cleaner Data'!FF24)/'Bloom Cleaner Data'!HC24</f>
        <v>1.3978462296250151</v>
      </c>
      <c r="LQ24" s="15">
        <f>('Bloom Cleaner Data'!AB24+'Bloom Cleaner Data'!FG24)/'Bloom Cleaner Data'!HD24</f>
        <v>1.2743580129487579</v>
      </c>
      <c r="LR24" s="15">
        <f>('Bloom Cleaner Data'!AC24+'Bloom Cleaner Data'!FH24)/'Bloom Cleaner Data'!HE24</f>
        <v>1.324060283532648</v>
      </c>
      <c r="LS24" s="15">
        <f>('Bloom Cleaner Data'!AD24+'Bloom Cleaner Data'!FI24)/'Bloom Cleaner Data'!HF24</f>
        <v>2.1398214821213504</v>
      </c>
      <c r="LT24" s="15">
        <f>('Bloom Cleaner Data'!AE24+'Bloom Cleaner Data'!FJ24)/'Bloom Cleaner Data'!HG24</f>
        <v>2.0101452543807397</v>
      </c>
      <c r="LU24" s="15">
        <f>('Bloom Cleaner Data'!AF24+'Bloom Cleaner Data'!FK24)/'Bloom Cleaner Data'!HH24</f>
        <v>2.0846547415452568</v>
      </c>
      <c r="LV24" s="15">
        <f>('Bloom Cleaner Data'!AG24+'Bloom Cleaner Data'!FL24)/'Bloom Cleaner Data'!HI24</f>
        <v>1.4001434820195149</v>
      </c>
      <c r="LW24" s="15">
        <f>('Bloom Cleaner Data'!AH24+'Bloom Cleaner Data'!FM24)/'Bloom Cleaner Data'!HJ24</f>
        <v>1.188235280073171</v>
      </c>
      <c r="LX24" s="15">
        <f t="shared" si="89"/>
        <v>9.1279363360754262E-2</v>
      </c>
      <c r="LY24" s="15">
        <f t="shared" si="90"/>
        <v>1.5576778345459807</v>
      </c>
      <c r="LZ24" s="15">
        <f t="shared" si="27"/>
        <v>0.11515063315619689</v>
      </c>
      <c r="MA24" s="15">
        <f t="shared" si="91"/>
        <v>1.6707946895046706</v>
      </c>
      <c r="MB24" s="15">
        <f t="shared" si="92"/>
        <v>1.2026464224501157</v>
      </c>
      <c r="MC24" s="18">
        <f t="shared" si="93"/>
        <v>1.2610653005985744</v>
      </c>
      <c r="MD24" s="15">
        <f t="shared" si="28"/>
        <v>0.12385017174507662</v>
      </c>
      <c r="ME24" s="18"/>
      <c r="MF24" s="2024" t="s">
        <v>282</v>
      </c>
      <c r="MG24" s="15">
        <f>JT24+'Bloom Cleaner Data'!EY24/CALCULATIONS!DD24</f>
        <v>0.84071628553668831</v>
      </c>
      <c r="MH24" s="15">
        <f>JU24+'Bloom Cleaner Data'!EZ24/CALCULATIONS!DE24</f>
        <v>0.92297603127541017</v>
      </c>
      <c r="MI24" s="15">
        <f>JV24+'Bloom Cleaner Data'!FA24/CALCULATIONS!DF24</f>
        <v>0.93966869921362106</v>
      </c>
      <c r="MJ24" s="15">
        <f>JW24+'Bloom Cleaner Data'!FB24/CALCULATIONS!DG24</f>
        <v>0.77044459203164428</v>
      </c>
      <c r="MK24" s="15">
        <f>JX24+'Bloom Cleaner Data'!FC24/CALCULATIONS!DH24</f>
        <v>0.61584251821841907</v>
      </c>
      <c r="ML24" s="15">
        <f>JY24+'Bloom Cleaner Data'!FD24/CALCULATIONS!DI24</f>
        <v>0.56535669571282432</v>
      </c>
      <c r="MM24" s="15">
        <f>JZ24+'Bloom Cleaner Data'!FE24/CALCULATIONS!DJ24</f>
        <v>1.7708789105837119</v>
      </c>
      <c r="MN24" s="15">
        <f>KA24+'Bloom Cleaner Data'!FF24/CALCULATIONS!DK24</f>
        <v>1.6720539713810258</v>
      </c>
      <c r="MO24" s="15">
        <f>KB24+'Bloom Cleaner Data'!FG24/CALCULATIONS!DL24</f>
        <v>1.5333385231011276</v>
      </c>
      <c r="MP24" s="15">
        <f>KC24+'Bloom Cleaner Data'!FH24/CALCULATIONS!DM24</f>
        <v>1.62527551828394</v>
      </c>
      <c r="MQ24" s="15">
        <f>KD24+'Bloom Cleaner Data'!FI24/CALCULATIONS!DN24</f>
        <v>2.4458410900788694</v>
      </c>
      <c r="MR24" s="15">
        <f>KE24+'Bloom Cleaner Data'!FJ24/CALCULATIONS!DO24</f>
        <v>2.362170284444451</v>
      </c>
      <c r="MS24" s="15">
        <f>KF24+'Bloom Cleaner Data'!FK24/CALCULATIONS!DP24</f>
        <v>2.4565846380540184</v>
      </c>
      <c r="MT24" s="15">
        <f>KG24+'Bloom Cleaner Data'!FL24/CALCULATIONS!DQ24</f>
        <v>1.8307043458305896</v>
      </c>
      <c r="MU24" s="15">
        <f>KH24+'Bloom Cleaner Data'!FM24/CALCULATIONS!DR24</f>
        <v>1.635715357616891</v>
      </c>
      <c r="MV24" s="15">
        <f t="shared" si="29"/>
        <v>8.3573510295654296E-2</v>
      </c>
      <c r="MW24" s="15">
        <f t="shared" si="94"/>
        <v>1.9743347805004996</v>
      </c>
      <c r="MX24" s="15">
        <f t="shared" si="30"/>
        <v>0.10542455201488821</v>
      </c>
      <c r="MY24" s="15">
        <f t="shared" si="95"/>
        <v>2.0712936564864872</v>
      </c>
      <c r="MZ24" s="15">
        <f t="shared" si="96"/>
        <v>1.5556827034270104</v>
      </c>
      <c r="NA24" s="18">
        <f t="shared" si="97"/>
        <v>0.74073623925727161</v>
      </c>
      <c r="NB24" s="15">
        <f t="shared" si="31"/>
        <v>0.11572344675725876</v>
      </c>
      <c r="NC24" s="15"/>
      <c r="ND24" s="13">
        <f>'Bloom Cleaner Data'!GF24+('Bloom Cleaner Data'!T24+'Bloom Cleaner Data'!EY24)+'Bloom Cleaner Data'!CK24</f>
        <v>31663</v>
      </c>
      <c r="NE24" s="13">
        <f>'Bloom Cleaner Data'!GG24+('Bloom Cleaner Data'!U24+'Bloom Cleaner Data'!EZ24)+'Bloom Cleaner Data'!CL24</f>
        <v>32545</v>
      </c>
      <c r="NF24" s="13">
        <f>'Bloom Cleaner Data'!GH24+('Bloom Cleaner Data'!V24+'Bloom Cleaner Data'!FA24)+'Bloom Cleaner Data'!CM24</f>
        <v>32186</v>
      </c>
      <c r="NG24" s="13">
        <f>'Bloom Cleaner Data'!GI24+('Bloom Cleaner Data'!W24+'Bloom Cleaner Data'!FB24)+'Bloom Cleaner Data'!CN24</f>
        <v>31483</v>
      </c>
      <c r="NH24" s="13">
        <f>'Bloom Cleaner Data'!GJ24+('Bloom Cleaner Data'!X24+'Bloom Cleaner Data'!FC24)+'Bloom Cleaner Data'!CO24</f>
        <v>31392</v>
      </c>
      <c r="NI24" s="13">
        <f>'Bloom Cleaner Data'!GK24+('Bloom Cleaner Data'!Y24+'Bloom Cleaner Data'!FD24)+'Bloom Cleaner Data'!CP24</f>
        <v>32223</v>
      </c>
      <c r="NJ24" s="13">
        <f>'Bloom Cleaner Data'!GL24+('Bloom Cleaner Data'!Z24+'Bloom Cleaner Data'!FE24)+'Bloom Cleaner Data'!CQ24</f>
        <v>35398.000000000007</v>
      </c>
      <c r="NK24" s="13">
        <f>'Bloom Cleaner Data'!GM24+('Bloom Cleaner Data'!AA24+'Bloom Cleaner Data'!FF24)+'Bloom Cleaner Data'!CR24</f>
        <v>36180</v>
      </c>
      <c r="NL24" s="13">
        <f>'Bloom Cleaner Data'!GN24+('Bloom Cleaner Data'!AB24+'Bloom Cleaner Data'!FG24)+'Bloom Cleaner Data'!CS24</f>
        <v>35580</v>
      </c>
      <c r="NM24" s="13">
        <f>'Bloom Cleaner Data'!GO24+('Bloom Cleaner Data'!AC24+'Bloom Cleaner Data'!FH24)+'Bloom Cleaner Data'!CT24</f>
        <v>35561</v>
      </c>
      <c r="NN24" s="13">
        <f>'Bloom Cleaner Data'!GP24+('Bloom Cleaner Data'!AD24+'Bloom Cleaner Data'!FI24)+'Bloom Cleaner Data'!CU24</f>
        <v>35783</v>
      </c>
      <c r="NO24" s="13">
        <f>'Bloom Cleaner Data'!GQ24+('Bloom Cleaner Data'!AE24+'Bloom Cleaner Data'!FJ24)+'Bloom Cleaner Data'!CV24</f>
        <v>33571.000000000007</v>
      </c>
      <c r="NP24" s="13">
        <f>'Bloom Cleaner Data'!GR24+('Bloom Cleaner Data'!AF24+'Bloom Cleaner Data'!FK24)+'Bloom Cleaner Data'!CW24</f>
        <v>37326</v>
      </c>
      <c r="NQ24" s="13">
        <f>'Bloom Cleaner Data'!GS24+('Bloom Cleaner Data'!AG24+'Bloom Cleaner Data'!FL24)+'Bloom Cleaner Data'!CX24</f>
        <v>32150</v>
      </c>
      <c r="NR24" s="13">
        <f>'Bloom Cleaner Data'!GT24+('Bloom Cleaner Data'!AH24+'Bloom Cleaner Data'!FM24)+'Bloom Cleaner Data'!CY24</f>
        <v>30928</v>
      </c>
      <c r="NS24" s="168"/>
      <c r="NT24" s="2024" t="s">
        <v>282</v>
      </c>
      <c r="NU24" s="998">
        <f>('Bloom Cleaner Data'!T24+'Bloom Cleaner Data'!EY24+'OPERATING LEASES'!BL24)/CALCULATIONS!ND24</f>
        <v>0.12811709024954768</v>
      </c>
      <c r="NV24" s="998">
        <f>('Bloom Cleaner Data'!U24+'Bloom Cleaner Data'!EZ24+'OPERATING LEASES'!BM24)/CALCULATIONS!NE24</f>
        <v>0.1562929350569541</v>
      </c>
      <c r="NW24" s="998">
        <f>('Bloom Cleaner Data'!V24+'Bloom Cleaner Data'!FA24+'OPERATING LEASES'!BN24)/CALCULATIONS!NF24</f>
        <v>0.19028570540874026</v>
      </c>
      <c r="NX24" s="998">
        <f>('Bloom Cleaner Data'!W24+'Bloom Cleaner Data'!FB24+'OPERATING LEASES'!BO24)/CALCULATIONS!NG24</f>
        <v>0.14599999546240375</v>
      </c>
      <c r="NY24" s="998">
        <f>('Bloom Cleaner Data'!X24+'Bloom Cleaner Data'!FC24+'OPERATING LEASES'!BP24)/CALCULATIONS!NH24</f>
        <v>0.10179345056065239</v>
      </c>
      <c r="NZ24" s="998">
        <f>('Bloom Cleaner Data'!Y24+'Bloom Cleaner Data'!FD24+'OPERATING LEASES'!BQ24)/CALCULATIONS!NI24</f>
        <v>8.9526502808552899E-2</v>
      </c>
      <c r="OA24" s="998">
        <f>('Bloom Cleaner Data'!Z24+'Bloom Cleaner Data'!FE24+'OPERATING LEASES'!BR24)/CALCULATIONS!NJ24</f>
        <v>0.45734575399740091</v>
      </c>
      <c r="OB24" s="998">
        <f>('Bloom Cleaner Data'!AA24+'Bloom Cleaner Data'!FF24+'OPERATING LEASES'!BS24)/CALCULATIONS!NK24</f>
        <v>0.43102370093974574</v>
      </c>
      <c r="OC24" s="998">
        <f>('Bloom Cleaner Data'!AB24+'Bloom Cleaner Data'!FG24+'OPERATING LEASES'!BT24)/CALCULATIONS!NL24</f>
        <v>0.41292158516020239</v>
      </c>
      <c r="OD24" s="998">
        <f>('Bloom Cleaner Data'!AC24+'Bloom Cleaner Data'!FH24+'OPERATING LEASES'!BU24)/CALCULATIONS!NM24</f>
        <v>0.39084776862292964</v>
      </c>
      <c r="OE24" s="998">
        <f>('Bloom Cleaner Data'!AD24+'Bloom Cleaner Data'!FI24+'OPERATING LEASES'!BV24)/CALCULATIONS!NN24</f>
        <v>0.54358564122628061</v>
      </c>
      <c r="OF24" s="998">
        <f>('Bloom Cleaner Data'!AE24+'Bloom Cleaner Data'!FJ24+'OPERATING LEASES'!BW24)/CALCULATIONS!NO24</f>
        <v>0.51652654076435012</v>
      </c>
      <c r="OG24" s="998">
        <f>('Bloom Cleaner Data'!AF24+'Bloom Cleaner Data'!FK24+'OPERATING LEASES'!BX24)/CALCULATIONS!NP24</f>
        <v>0.4726330171998071</v>
      </c>
      <c r="OH24" s="998">
        <f>('Bloom Cleaner Data'!AG24+'Bloom Cleaner Data'!FL24+'OPERATING LEASES'!BY24)/CALCULATIONS!NQ24</f>
        <v>0.37544323483670294</v>
      </c>
      <c r="OI24" s="998">
        <f>('Bloom Cleaner Data'!AH24+'Bloom Cleaner Data'!FM24+'OPERATING LEASES'!BZ24)/CALCULATIONS!NR24</f>
        <v>0.33563437661665807</v>
      </c>
      <c r="OJ24" s="18">
        <f t="shared" si="98"/>
        <v>0.39457020955105609</v>
      </c>
      <c r="OK24" s="18">
        <f t="shared" si="99"/>
        <v>0.42505929235437956</v>
      </c>
      <c r="OL24" s="18">
        <f t="shared" si="100"/>
        <v>0.34335132873880209</v>
      </c>
      <c r="OM24" s="10">
        <f t="shared" si="101"/>
        <v>0.76384440384370356</v>
      </c>
      <c r="ON24" s="10"/>
      <c r="OO24" s="2710"/>
      <c r="OP24" s="526">
        <f>'Bloom Cleaner Data'!D24/'Bloom Cleaner Data'!GF24</f>
        <v>1.7049016160196733</v>
      </c>
      <c r="OQ24" s="526">
        <f>'Bloom Cleaner Data'!E24/'Bloom Cleaner Data'!GG24</f>
        <v>1.8494085390401527</v>
      </c>
      <c r="OR24" s="526">
        <f>'Bloom Cleaner Data'!F24/'Bloom Cleaner Data'!GH24</f>
        <v>1.898834346029264</v>
      </c>
      <c r="OS24" s="526">
        <f>'Bloom Cleaner Data'!G24/'Bloom Cleaner Data'!GI24</f>
        <v>2.2397781096148277</v>
      </c>
      <c r="OT24" s="526">
        <f>'Bloom Cleaner Data'!H24/'Bloom Cleaner Data'!GJ24</f>
        <v>2.1251173298701298</v>
      </c>
      <c r="OU24" s="526">
        <f>'Bloom Cleaner Data'!I24/'Bloom Cleaner Data'!GK24</f>
        <v>2.1799114879285049</v>
      </c>
      <c r="OV24" s="526">
        <f>'Bloom Cleaner Data'!J24/'Bloom Cleaner Data'!GL24</f>
        <v>2.7995332778618254</v>
      </c>
      <c r="OW24" s="526">
        <f>'Bloom Cleaner Data'!K24/'Bloom Cleaner Data'!GM24</f>
        <v>2.6288344272358106</v>
      </c>
      <c r="OX24" s="526">
        <f>'Bloom Cleaner Data'!L24/'Bloom Cleaner Data'!GN24</f>
        <v>2.7723139800484802</v>
      </c>
      <c r="OY24" s="526">
        <f>'Bloom Cleaner Data'!M24/'Bloom Cleaner Data'!GO24</f>
        <v>2.6646638318890035</v>
      </c>
      <c r="OZ24" s="526">
        <f>'Bloom Cleaner Data'!N24/'Bloom Cleaner Data'!GP24</f>
        <v>2.79582110561639</v>
      </c>
      <c r="PA24" s="526">
        <f>'Bloom Cleaner Data'!O24/'Bloom Cleaner Data'!GQ24</f>
        <v>3.1017282161842883</v>
      </c>
      <c r="PB24" s="526">
        <f>'Bloom Cleaner Data'!P24/'Bloom Cleaner Data'!GR24</f>
        <v>2.5488192177786479</v>
      </c>
      <c r="PC24" s="526">
        <f>'Bloom Cleaner Data'!Q24/'Bloom Cleaner Data'!GS24</f>
        <v>2.3989018967587032</v>
      </c>
      <c r="PD24" s="526">
        <f>'Bloom Cleaner Data'!R24/'Bloom Cleaner Data'!GT24</f>
        <v>1.6476276710656086</v>
      </c>
      <c r="PE24" s="526">
        <f t="shared" si="102"/>
        <v>2.446298838298576</v>
      </c>
      <c r="PF24" s="10">
        <f t="shared" si="103"/>
        <v>-0.13229520283797519</v>
      </c>
      <c r="PG24" s="526">
        <f t="shared" si="104"/>
        <v>2.2877880359292329</v>
      </c>
      <c r="PH24" s="18"/>
      <c r="PI24" s="2710"/>
      <c r="PJ24" s="526">
        <f>CALCULATIONS!DD24/'Bloom Cleaner Data'!GF24</f>
        <v>0.35512030966906083</v>
      </c>
      <c r="PK24" s="526">
        <f>CALCULATIONS!DE24/'Bloom Cleaner Data'!GG24</f>
        <v>0.35892136723917228</v>
      </c>
      <c r="PL24" s="526">
        <f>CALCULATIONS!DF24/'Bloom Cleaner Data'!GH24</f>
        <v>0.40696037496032744</v>
      </c>
      <c r="PM24" s="526">
        <f>CALCULATIONS!DG24/'Bloom Cleaner Data'!GI24</f>
        <v>0.40386918988545928</v>
      </c>
      <c r="PN24" s="526">
        <f>CALCULATIONS!DH24/'Bloom Cleaner Data'!GJ24</f>
        <v>0.39627878353404494</v>
      </c>
      <c r="PO24" s="526">
        <f>CALCULATIONS!DI24/'Bloom Cleaner Data'!GK24</f>
        <v>0.38731447152619408</v>
      </c>
      <c r="PP24" s="526">
        <f>CALCULATIONS!DJ24/'Bloom Cleaner Data'!GL24</f>
        <v>0.56102315447778284</v>
      </c>
      <c r="PQ24" s="526">
        <f>CALCULATIONS!DK24/'Bloom Cleaner Data'!GM24</f>
        <v>0.53477741812735369</v>
      </c>
      <c r="PR24" s="526">
        <f>CALCULATIONS!DL24/'Bloom Cleaner Data'!GN24</f>
        <v>0.54310844612240583</v>
      </c>
      <c r="PS24" s="526">
        <f>CALCULATIONS!DM24/'Bloom Cleaner Data'!GO24</f>
        <v>0.47806470658004419</v>
      </c>
      <c r="PT24" s="526">
        <f>CALCULATIONS!DN24/'Bloom Cleaner Data'!GP24</f>
        <v>0.55575772181223282</v>
      </c>
      <c r="PU24" s="526">
        <f>CALCULATIONS!DO24/'Bloom Cleaner Data'!GQ24</f>
        <v>0.53037958031716392</v>
      </c>
      <c r="PV24" s="526">
        <f>CALCULATIONS!DP24/'Bloom Cleaner Data'!GR24</f>
        <v>0.43328013317122355</v>
      </c>
      <c r="PW24" s="526">
        <f>CALCULATIONS!DQ24/'Bloom Cleaner Data'!GS24</f>
        <v>0.42422705048341164</v>
      </c>
      <c r="PX24" s="526">
        <f>CALCULATIONS!DR24/'Bloom Cleaner Data'!GT24</f>
        <v>0.41583996120044775</v>
      </c>
      <c r="PY24" s="526">
        <f t="shared" si="105"/>
        <v>0.46699084555369935</v>
      </c>
      <c r="PZ24" s="526">
        <f t="shared" si="106"/>
        <v>0.49738424136578513</v>
      </c>
      <c r="QA24" s="18"/>
      <c r="QC24" s="15">
        <f>'Bloom Cleaner Data'!HZ24</f>
        <v>6.7249999999999996</v>
      </c>
      <c r="QD24" s="15">
        <f>AVERAGE('Bloom Cleaner Data'!HN24:HZ24)</f>
        <v>8.4186769230769247</v>
      </c>
      <c r="QE24" s="504">
        <f>('Bloom Cleaner Data'!HZ24-'Bloom Cleaner Data'!HN24)/'Bloom Cleaner Data'!HN24</f>
        <v>-0.37924604932801659</v>
      </c>
      <c r="QF24" s="15">
        <f>'Bloom Cleaner Data'!HZ24-'Bloom Cleaner Data'!HL24</f>
        <v>-1.6737000000000002</v>
      </c>
    </row>
    <row r="25" spans="1:450">
      <c r="A25" s="11" t="s">
        <v>508</v>
      </c>
      <c r="B25" s="83" t="s">
        <v>290</v>
      </c>
      <c r="C25" s="1207" t="s">
        <v>1103</v>
      </c>
      <c r="D25" s="236" t="s">
        <v>63</v>
      </c>
      <c r="E25" s="13">
        <f>'Bloom Cleaner Data'!D25*'Bloom Cleaner Data'!D48</f>
        <v>13817.30563961</v>
      </c>
      <c r="G25" s="13">
        <f>'Bloom Cleaner Data'!F25*'Bloom Cleaner Data'!F48</f>
        <v>14416.151804649999</v>
      </c>
      <c r="H25" s="13">
        <f>'Bloom Cleaner Data'!H25*'Bloom Cleaner Data'!H48</f>
        <v>17022.577324620001</v>
      </c>
      <c r="I25" s="13">
        <f>'Bloom Cleaner Data'!J25*'Bloom Cleaner Data'!J48</f>
        <v>16383.100039600002</v>
      </c>
      <c r="J25" s="13">
        <f>'Bloom Cleaner Data'!L25*'Bloom Cleaner Data'!L48</f>
        <v>15157.985486674395</v>
      </c>
      <c r="K25" s="13">
        <f>'Bloom Cleaner Data'!N25*'Bloom Cleaner Data'!N48</f>
        <v>16454.992848035115</v>
      </c>
      <c r="L25" s="13">
        <f>'Bloom Cleaner Data'!P25*'Bloom Cleaner Data'!P48</f>
        <v>16892.767568949999</v>
      </c>
      <c r="M25" s="13">
        <f>'Bloom Cleaner Data'!R25*'Bloom Cleaner Data'!R48</f>
        <v>17428.290742138299</v>
      </c>
      <c r="N25" s="13">
        <f t="shared" si="0"/>
        <v>16250.837973523972</v>
      </c>
      <c r="O25" s="13">
        <f t="shared" si="32"/>
        <v>16925.35038637447</v>
      </c>
      <c r="P25" s="10">
        <f t="shared" si="1"/>
        <v>0.20894195471198634</v>
      </c>
      <c r="Q25" s="18">
        <f>('Bloom Cleaner Data'!R25-'Bloom Cleaner Data'!F25)/'Bloom Cleaner Data'!F25</f>
        <v>0.1272838779318437</v>
      </c>
      <c r="R25" s="10">
        <f t="shared" si="33"/>
        <v>0.31071753361762527</v>
      </c>
      <c r="S25" s="1363" t="s">
        <v>290</v>
      </c>
      <c r="T25" s="1322">
        <f>'Bloom Cleaner Data'!D25/'Bloom Cleaner Data'!$F25</f>
        <v>1.078143187139347</v>
      </c>
      <c r="U25" s="1322">
        <f>'Bloom Cleaner Data'!E25/'Bloom Cleaner Data'!$F25</f>
        <v>1.0487882887528372</v>
      </c>
      <c r="V25" s="1322">
        <f>'Bloom Cleaner Data'!F25/'Bloom Cleaner Data'!$F25</f>
        <v>1</v>
      </c>
      <c r="W25" s="1322">
        <f>'Bloom Cleaner Data'!G25/'Bloom Cleaner Data'!$F25</f>
        <v>1.0601926602333713</v>
      </c>
      <c r="X25" s="1322">
        <f>'Bloom Cleaner Data'!H25/'Bloom Cleaner Data'!$F25</f>
        <v>1.1203853204667424</v>
      </c>
      <c r="Y25" s="1322">
        <f>'Bloom Cleaner Data'!I25/'Bloom Cleaner Data'!$F25</f>
        <v>1.115893701869253</v>
      </c>
      <c r="Z25" s="1322">
        <f>'Bloom Cleaner Data'!J25/'Bloom Cleaner Data'!$F25</f>
        <v>1.0506950101353865</v>
      </c>
      <c r="AA25" s="1322">
        <f>'Bloom Cleaner Data'!K25/'Bloom Cleaner Data'!$F25</f>
        <v>1.0106296005117381</v>
      </c>
      <c r="AB25" s="1322">
        <f>'Bloom Cleaner Data'!L25/'Bloom Cleaner Data'!$F25</f>
        <v>0.97001093262901461</v>
      </c>
      <c r="AC25" s="1322">
        <f>'Bloom Cleaner Data'!M25/'Bloom Cleaner Data'!$F25</f>
        <v>0.99455001706317647</v>
      </c>
      <c r="AD25" s="1322">
        <f>'Bloom Cleaner Data'!N25/'Bloom Cleaner Data'!$F25</f>
        <v>1.0389763401054615</v>
      </c>
      <c r="AE25" s="1322">
        <f>'Bloom Cleaner Data'!O25/'Bloom Cleaner Data'!$F25</f>
        <v>1.0302546079744606</v>
      </c>
      <c r="AF25" s="1322">
        <f>'Bloom Cleaner Data'!P25/'Bloom Cleaner Data'!$F25</f>
        <v>1.0733077374198514</v>
      </c>
      <c r="AG25" s="1322">
        <f>'Bloom Cleaner Data'!Q25/'Bloom Cleaner Data'!$F25</f>
        <v>1.1970564196149549</v>
      </c>
      <c r="AH25" s="1322">
        <f>'Bloom Cleaner Data'!R25/'Bloom Cleaner Data'!$F25</f>
        <v>1.1272838779318437</v>
      </c>
      <c r="AI25" s="13"/>
      <c r="AJ25" s="13">
        <f>AVERAGE('Bloom Cleaner Data'!BW25:CI25)</f>
        <v>29104.848176923078</v>
      </c>
      <c r="AK25" s="18">
        <f>('Bloom Cleaner Data'!CI25-'Bloom Cleaner Data'!BW25)/'Bloom Cleaner Data'!BW25</f>
        <v>4.5386419334171112E-2</v>
      </c>
      <c r="AL25" s="18">
        <f>('Bloom Cleaner Data'!CI25+'Bloom Cleaner Data'!CH25-'Bloom Cleaner Data'!BW25-'Bloom Cleaner Data'!BV25)/('Bloom Cleaner Data'!BW25+'Bloom Cleaner Data'!BV25)</f>
        <v>5.2008372716049814E-2</v>
      </c>
      <c r="AM25" s="13"/>
      <c r="AN25" s="13">
        <f>'Bloom Cleaner Data'!BW25*'Bloom Cleaner Data'!BW48</f>
        <v>21912.407304649998</v>
      </c>
      <c r="AO25" s="13">
        <f>'Bloom Cleaner Data'!BY25*'Bloom Cleaner Data'!BY48</f>
        <v>24366.665124619998</v>
      </c>
      <c r="AP25" s="13">
        <f>'Bloom Cleaner Data'!CA25*'Bloom Cleaner Data'!CA48</f>
        <v>24307.343639600003</v>
      </c>
      <c r="AQ25" s="13">
        <f>'Bloom Cleaner Data'!CC25*'Bloom Cleaner Data'!CC48</f>
        <v>22120.272865212395</v>
      </c>
      <c r="AR25" s="13">
        <f>'Bloom Cleaner Data'!CE25*'Bloom Cleaner Data'!CE48</f>
        <v>23902.975024525455</v>
      </c>
      <c r="AS25" s="13">
        <f>'Bloom Cleaner Data'!CG25*'Bloom Cleaner Data'!CG48</f>
        <v>23707.202468949996</v>
      </c>
      <c r="AT25" s="13">
        <f>'Bloom Cleaner Data'!CI25*'Bloom Cleaner Data'!CI48</f>
        <v>24566.263133136898</v>
      </c>
      <c r="AU25" s="13">
        <f t="shared" si="2"/>
        <v>23554.732794384963</v>
      </c>
      <c r="AV25" s="10">
        <f t="shared" si="3"/>
        <v>0.12111201620114687</v>
      </c>
      <c r="AW25" s="10"/>
      <c r="AX25" s="13">
        <f>'Bloom Cleaner Data'!T25+'OPERATING LEASES'!AU25</f>
        <v>10223.065141230851</v>
      </c>
      <c r="AY25" s="13">
        <f>'Bloom Cleaner Data'!U25+'OPERATING LEASES'!AV25</f>
        <v>9607.9220024551159</v>
      </c>
      <c r="AZ25" s="13">
        <f>'Bloom Cleaner Data'!V25+'OPERATING LEASES'!AW25</f>
        <v>10278.778863679383</v>
      </c>
      <c r="BA25" s="13">
        <f>'Bloom Cleaner Data'!W25+'OPERATING LEASES'!AX25</f>
        <v>9777.6357249036482</v>
      </c>
      <c r="BB25" s="13">
        <f>'Bloom Cleaner Data'!X25+'OPERATING LEASES'!AY25</f>
        <v>9780.4925861279135</v>
      </c>
      <c r="BC25" s="13">
        <f>'Bloom Cleaner Data'!Y25+'OPERATING LEASES'!AZ25</f>
        <v>9460.4923396991471</v>
      </c>
      <c r="BD25" s="13">
        <f>'Bloom Cleaner Data'!Z25+'OPERATING LEASES'!BA25</f>
        <v>10207.492093270379</v>
      </c>
      <c r="BE25" s="13">
        <f>'Bloom Cleaner Data'!AA25+'OPERATING LEASES'!BB25</f>
        <v>9638.4918468416108</v>
      </c>
      <c r="BF25" s="13">
        <f>'Bloom Cleaner Data'!AB25+'OPERATING LEASES'!BC25</f>
        <v>8969.4916004128445</v>
      </c>
      <c r="BG25" s="13">
        <f>'Bloom Cleaner Data'!AC25+'OPERATING LEASES'!BD25</f>
        <v>8983.7393790524275</v>
      </c>
      <c r="BH25" s="13">
        <f>'Bloom Cleaner Data'!AD25+'OPERATING LEASES'!BE25</f>
        <v>9477.9871576920104</v>
      </c>
      <c r="BI25" s="13">
        <f>'Bloom Cleaner Data'!AE25+'OPERATING LEASES'!BF25</f>
        <v>9326.2349363315916</v>
      </c>
      <c r="BJ25" s="13">
        <f>'Bloom Cleaner Data'!AF25+'OPERATING LEASES'!BG25</f>
        <v>8787.4827149711746</v>
      </c>
      <c r="BK25" s="13">
        <f>'Bloom Cleaner Data'!AG25+'OPERATING LEASES'!BH25</f>
        <v>8652.4827149711746</v>
      </c>
      <c r="BL25" s="13">
        <f>'Bloom Cleaner Data'!AH25+'OPERATING LEASES'!BI25</f>
        <v>9341.4827149711746</v>
      </c>
      <c r="BM25" s="1167">
        <f t="shared" si="34"/>
        <v>9437.0988209941916</v>
      </c>
      <c r="BN25" s="10">
        <f t="shared" si="35"/>
        <v>-9.1187500104724956E-2</v>
      </c>
      <c r="BO25" s="10"/>
      <c r="BP25" s="13">
        <f>'Bloom Cleaner Data'!BU25+'OPERATING LEASES'!AU25</f>
        <v>31033.39784123085</v>
      </c>
      <c r="BQ25" s="13">
        <f>'Bloom Cleaner Data'!BV25+'OPERATING LEASES'!AV25</f>
        <v>29832.331602455117</v>
      </c>
      <c r="BR25" s="13">
        <f>'Bloom Cleaner Data'!BW25+'OPERATING LEASES'!AW25</f>
        <v>29552.911763679382</v>
      </c>
      <c r="BS25" s="13">
        <f>'Bloom Cleaner Data'!BX25+'OPERATING LEASES'!AX25</f>
        <v>30572.768324903649</v>
      </c>
      <c r="BT25" s="13">
        <f>'Bloom Cleaner Data'!BY25+'OPERATING LEASES'!AY25</f>
        <v>31094.684886127914</v>
      </c>
      <c r="BU25" s="13">
        <f>'Bloom Cleaner Data'!BZ25+'OPERATING LEASES'!AZ25</f>
        <v>30703.316339699148</v>
      </c>
      <c r="BV25" s="13">
        <f>'Bloom Cleaner Data'!CA25+'OPERATING LEASES'!BA25</f>
        <v>30198.14109327038</v>
      </c>
      <c r="BW25" s="13">
        <f>'Bloom Cleaner Data'!CB25+'OPERATING LEASES'!BB25</f>
        <v>28869.652346841613</v>
      </c>
      <c r="BX25" s="13">
        <f>'Bloom Cleaner Data'!CC25+'OPERATING LEASES'!BC25</f>
        <v>27429.648300412842</v>
      </c>
      <c r="BY25" s="13">
        <f>'Bloom Cleaner Data'!CD25+'OPERATING LEASES'!BD25</f>
        <v>27913.289179052426</v>
      </c>
      <c r="BZ25" s="13">
        <f>'Bloom Cleaner Data'!CE25+'OPERATING LEASES'!BE25</f>
        <v>29238.909557692008</v>
      </c>
      <c r="CA25" s="13">
        <f>'Bloom Cleaner Data'!CF25+'OPERATING LEASES'!BF25</f>
        <v>28922.390936331591</v>
      </c>
      <c r="CB25" s="13">
        <f>'Bloom Cleaner Data'!CG25+'OPERATING LEASES'!BG25</f>
        <v>29210.912214971173</v>
      </c>
      <c r="CC25" s="13">
        <f>'Bloom Cleaner Data'!CH25+'OPERATING LEASES'!BH25</f>
        <v>31432.896114971176</v>
      </c>
      <c r="CD25" s="13">
        <f>'Bloom Cleaner Data'!CI25+'OPERATING LEASES'!BI25</f>
        <v>30782.789914971174</v>
      </c>
      <c r="CE25" s="1167">
        <f t="shared" si="36"/>
        <v>29686.331613301882</v>
      </c>
      <c r="CF25" s="10">
        <f t="shared" si="37"/>
        <v>4.1616141283354564E-2</v>
      </c>
      <c r="CG25" s="18">
        <f t="shared" si="4"/>
        <v>1.99789201044469E-2</v>
      </c>
      <c r="CH25" s="13"/>
      <c r="CI25" s="18">
        <f>$CI$1*BP25/('Bloom Cleaner Data'!D25+'Bloom Cleaner Data'!T25+'OPERATING LEASES'!AU25)+(1-$CI$1)*'Bloom Cleaner Data'!BU25/('Bloom Cleaner Data'!D25+'Bloom Cleaner Data'!T25)-1</f>
        <v>1.0386008596000362E-2</v>
      </c>
      <c r="CJ25" s="18">
        <f>$CI$1*BQ25/('Bloom Cleaner Data'!E25+'Bloom Cleaner Data'!U25+'OPERATING LEASES'!AV25)+(1-$CI$1)*'Bloom Cleaner Data'!BV25/('Bloom Cleaner Data'!E25+'Bloom Cleaner Data'!U25)-1</f>
        <v>9.8506053794751303E-3</v>
      </c>
      <c r="CK25" s="18">
        <f>$CI$1*BR25/('Bloom Cleaner Data'!F25+'Bloom Cleaner Data'!V25+'OPERATING LEASES'!AW25)+(1-$CI$1)*'Bloom Cleaner Data'!BW25/('Bloom Cleaner Data'!F25+'Bloom Cleaner Data'!V25)-1</f>
        <v>9.1514702916875024E-3</v>
      </c>
      <c r="CL25" s="18">
        <f>$CI$1*BS25/('Bloom Cleaner Data'!G25+'Bloom Cleaner Data'!W25+'OPERATING LEASES'!AX25)+(1-$CI$1)*'Bloom Cleaner Data'!BX25/('Bloom Cleaner Data'!G25+'Bloom Cleaner Data'!W25)-1</f>
        <v>2.1550866956467907E-2</v>
      </c>
      <c r="CM25" s="18">
        <f>$CI$1*BT25/('Bloom Cleaner Data'!H25+'Bloom Cleaner Data'!X25+'OPERATING LEASES'!AY25)+(1-$CI$1)*'Bloom Cleaner Data'!BY25/('Bloom Cleaner Data'!H25+'Bloom Cleaner Data'!X25)-1</f>
        <v>6.4361070991680869E-4</v>
      </c>
      <c r="CN25" s="18">
        <f>$CI$1*BU25/('Bloom Cleaner Data'!I25+'Bloom Cleaner Data'!Y25+'OPERATING LEASES'!AZ25)+(1-$CI$1)*'Bloom Cleaner Data'!BZ25/('Bloom Cleaner Data'!I25+'Bloom Cleaner Data'!Y25)-1</f>
        <v>1.1085998665052443E-3</v>
      </c>
      <c r="CO25" s="18">
        <f>$CI$1*BV25/('Bloom Cleaner Data'!J25+'Bloom Cleaner Data'!Z25+'OPERATING LEASES'!BA25)+(1-$CI$1)*'Bloom Cleaner Data'!CA25/('Bloom Cleaner Data'!J25+'Bloom Cleaner Data'!Z25)-1</f>
        <v>6.9589097042332959E-4</v>
      </c>
      <c r="CP25" s="18">
        <f>$CI$1*BW25/('Bloom Cleaner Data'!K25+'Bloom Cleaner Data'!AA25+'OPERATING LEASES'!BB25)+(1-$CI$1)*'Bloom Cleaner Data'!CB25/('Bloom Cleaner Data'!K25+'Bloom Cleaner Data'!AA25)-1</f>
        <v>7.9731955456940895E-4</v>
      </c>
      <c r="CQ25" s="18">
        <f>$CI$1*BX25/('Bloom Cleaner Data'!L25+'Bloom Cleaner Data'!AB25+'OPERATING LEASES'!BC25)+(1-$CI$1)*'Bloom Cleaner Data'!CC25/('Bloom Cleaner Data'!L25+'Bloom Cleaner Data'!AB25)-1</f>
        <v>8.7573188332989993E-4</v>
      </c>
      <c r="CR25" s="18">
        <f>$CI$1*BY25/('Bloom Cleaner Data'!M25+'Bloom Cleaner Data'!AC25+'OPERATING LEASES'!BD25)+(1-$CI$1)*'Bloom Cleaner Data'!CD25/('Bloom Cleaner Data'!M25+'Bloom Cleaner Data'!AC25)-1</f>
        <v>9.6821774409061589E-4</v>
      </c>
      <c r="CS25" s="18">
        <f>$CI$1*BZ25/('Bloom Cleaner Data'!N25+'Bloom Cleaner Data'!AD25+'OPERATING LEASES'!BE25)+(1-$CI$1)*'Bloom Cleaner Data'!CE25/('Bloom Cleaner Data'!N25+'Bloom Cleaner Data'!AD25)-1</f>
        <v>4.7904339865834089E-4</v>
      </c>
      <c r="CT25" s="18">
        <f>$CI$1*CA25/('Bloom Cleaner Data'!O25+'Bloom Cleaner Data'!AE25+'OPERATING LEASES'!BF25)+(1-$CI$1)*'Bloom Cleaner Data'!CF25/('Bloom Cleaner Data'!O25+'Bloom Cleaner Data'!AE25)-1</f>
        <v>5.1889843787833456E-4</v>
      </c>
      <c r="CU25" s="18">
        <f>$CI$1*CB25/('Bloom Cleaner Data'!P25+'Bloom Cleaner Data'!AF25+'OPERATING LEASES'!BG25)+(1-$CI$1)*'Bloom Cleaner Data'!CG25/('Bloom Cleaner Data'!P25+'Bloom Cleaner Data'!AF25)-1</f>
        <v>8.2228636668491006E-4</v>
      </c>
      <c r="CV25" s="18">
        <f>$CI$1*CC25/('Bloom Cleaner Data'!Q25+'Bloom Cleaner Data'!AG25+'OPERATING LEASES'!BH25)+(1-$CI$1)*'Bloom Cleaner Data'!CH25/('Bloom Cleaner Data'!Q25+'Bloom Cleaner Data'!AG25)-1</f>
        <v>9.2345229693258091E-4</v>
      </c>
      <c r="CW25" s="18">
        <f>$CI$1*CD25/('Bloom Cleaner Data'!R25+'Bloom Cleaner Data'!AH25+'OPERATING LEASES'!BI25)+(1-$CI$1)*'Bloom Cleaner Data'!CI25/('Bloom Cleaner Data'!R25+'Bloom Cleaner Data'!AH25)-1</f>
        <v>5.200412537096355E-4</v>
      </c>
      <c r="CX25" s="18">
        <f t="shared" si="38"/>
        <v>3.0042638254503475E-3</v>
      </c>
      <c r="CY25" s="13"/>
      <c r="CZ25" s="3112">
        <f>AVERAGE('Bloom Cleaner Data'!GX25:HJ25)</f>
        <v>4287.6151603281269</v>
      </c>
      <c r="DA25" s="2860">
        <f>('Bloom Cleaner Data'!HJ25-'Bloom Cleaner Data'!GX25)/'Bloom Cleaner Data'!GX25</f>
        <v>-0.14171703838468855</v>
      </c>
      <c r="DB25" s="2860">
        <f>('Bloom Cleaner Data'!HJ25+'Bloom Cleaner Data'!HI25-'Bloom Cleaner Data'!GX25-'Bloom Cleaner Data'!GW25)/('Bloom Cleaner Data'!GX25+'Bloom Cleaner Data'!GW25)</f>
        <v>-0.1333416217850284</v>
      </c>
      <c r="DC25" s="13"/>
      <c r="DD25" s="13">
        <f>'Bloom Cleaner Data'!GV25+'OPERATING LEASES'!BL25</f>
        <v>4805.6834962812554</v>
      </c>
      <c r="DE25" s="13">
        <f>'Bloom Cleaner Data'!GW25+'OPERATING LEASES'!BM25</f>
        <v>4717.1568288891194</v>
      </c>
      <c r="DF25" s="13">
        <f>'Bloom Cleaner Data'!GX25+'OPERATING LEASES'!BN25</f>
        <v>4735.6082324435811</v>
      </c>
      <c r="DG25" s="13">
        <f>'Bloom Cleaner Data'!GY25+'OPERATING LEASES'!BO25</f>
        <v>4740.076315967246</v>
      </c>
      <c r="DH25" s="13">
        <f>'Bloom Cleaner Data'!GZ25+'OPERATING LEASES'!BP25</f>
        <v>4439.496162843775</v>
      </c>
      <c r="DI25" s="13">
        <f>'Bloom Cleaner Data'!HA25+'OPERATING LEASES'!BQ25</f>
        <v>4504.2192192907851</v>
      </c>
      <c r="DJ25" s="13">
        <f>'Bloom Cleaner Data'!HB25+'OPERATING LEASES'!BR25</f>
        <v>4414.9654133662643</v>
      </c>
      <c r="DK25" s="13">
        <f>'Bloom Cleaner Data'!HC25+'OPERATING LEASES'!BS25</f>
        <v>4403.6706708759348</v>
      </c>
      <c r="DL25" s="13">
        <f>'Bloom Cleaner Data'!HD25+'OPERATING LEASES'!BT25</f>
        <v>4378.3616864851037</v>
      </c>
      <c r="DM25" s="13">
        <f>'Bloom Cleaner Data'!HE25+'OPERATING LEASES'!BU25</f>
        <v>4352.4774334004405</v>
      </c>
      <c r="DN25" s="13">
        <f>'Bloom Cleaner Data'!HF25+'OPERATING LEASES'!BV25</f>
        <v>4336.6547197093278</v>
      </c>
      <c r="DO25" s="13">
        <f>'Bloom Cleaner Data'!HG25+'OPERATING LEASES'!BW25</f>
        <v>4215.7205993764383</v>
      </c>
      <c r="DP25" s="13">
        <f>'Bloom Cleaner Data'!HH25+'OPERATING LEASES'!BX25</f>
        <v>4181.8571201241575</v>
      </c>
      <c r="DQ25" s="13">
        <f>'Bloom Cleaner Data'!HI25+'OPERATING LEASES'!BY25</f>
        <v>4114.8699601775697</v>
      </c>
      <c r="DR25" s="13">
        <f>'Bloom Cleaner Data'!HJ25+'OPERATING LEASES'!BZ25</f>
        <v>4059.8677644907516</v>
      </c>
      <c r="DS25" s="1167">
        <f t="shared" si="39"/>
        <v>4375.2188691193369</v>
      </c>
      <c r="DT25" s="10">
        <f t="shared" si="40"/>
        <v>-0.14269349042079571</v>
      </c>
      <c r="DU25" s="18">
        <f t="shared" si="41"/>
        <v>2.0431803115582275E-2</v>
      </c>
      <c r="DV25" s="167"/>
      <c r="DW25" s="15">
        <f>'Bloom Cleaner Data'!DT25</f>
        <v>2.4013999999999998</v>
      </c>
      <c r="DX25" s="15">
        <f>'Bloom Cleaner Data'!DX25</f>
        <v>2.5186000000000002</v>
      </c>
      <c r="DY25" s="15">
        <f>'Bloom Cleaner Data'!EB25</f>
        <v>2.5236999999999998</v>
      </c>
      <c r="DZ25" s="15">
        <f>'Bloom Cleaner Data'!EF25</f>
        <v>2.6587000000000001</v>
      </c>
      <c r="EA25" s="15">
        <f>AVERAGE('Bloom Cleaner Data'!DT25:EF25)</f>
        <v>2.5073538461538467</v>
      </c>
      <c r="EB25" s="18">
        <f t="shared" si="5"/>
        <v>0.1071458315982345</v>
      </c>
      <c r="EC25" s="13"/>
      <c r="ED25" s="15">
        <f>'Bloom Cleaner Data'!DC25</f>
        <v>6.2408999999999999</v>
      </c>
      <c r="EE25" s="15">
        <f>'Bloom Cleaner Data'!DG25</f>
        <v>6.8426</v>
      </c>
      <c r="EF25" s="15">
        <f>'Bloom Cleaner Data'!DK25</f>
        <v>6.7430000000000003</v>
      </c>
      <c r="EG25" s="15">
        <f>'Bloom Cleaner Data'!DO25</f>
        <v>7.6013999999999999</v>
      </c>
      <c r="EH25" s="15">
        <f>AVERAGE('Bloom Cleaner Data'!DC25:DO25)</f>
        <v>6.8029538461538461</v>
      </c>
      <c r="EI25" s="22">
        <f t="shared" si="42"/>
        <v>6.8569750000000003</v>
      </c>
      <c r="EJ25" s="22">
        <f t="shared" si="6"/>
        <v>-5.4021153846154135E-2</v>
      </c>
      <c r="EK25" s="18">
        <f t="shared" si="43"/>
        <v>0.21799740422054512</v>
      </c>
      <c r="EL25" s="241"/>
      <c r="EM25" s="15">
        <f>('Bloom Cleaner Data'!BU25+'OPERATING LEASES'!AU25)/DD25</f>
        <v>6.4576449666827171</v>
      </c>
      <c r="EN25" s="15">
        <f>('Bloom Cleaner Data'!BV25+'OPERATING LEASES'!AV25)/DE25</f>
        <v>6.3242187369633349</v>
      </c>
      <c r="EO25" s="15">
        <f>('Bloom Cleaner Data'!BW25+'OPERATING LEASES'!AW25)/DF25</f>
        <v>6.2405736102097356</v>
      </c>
      <c r="EP25" s="15">
        <f>('Bloom Cleaner Data'!BX25+'OPERATING LEASES'!AX25)/DG25</f>
        <v>6.4498472781793303</v>
      </c>
      <c r="EQ25" s="15">
        <f>('Bloom Cleaner Data'!BY25+'OPERATING LEASES'!AY25)/DH25</f>
        <v>7.0041022101503119</v>
      </c>
      <c r="ER25" s="15">
        <f>('Bloom Cleaner Data'!BZ25+'OPERATING LEASES'!AZ25)/DI25</f>
        <v>6.8165679432746522</v>
      </c>
      <c r="ES25" s="15">
        <f>('Bloom Cleaner Data'!CA25+'OPERATING LEASES'!BA25)/DJ25</f>
        <v>6.8399496407935167</v>
      </c>
      <c r="ET25" s="15">
        <f>('Bloom Cleaner Data'!CB25+'OPERATING LEASES'!BB25)/DK25</f>
        <v>6.5558154786127876</v>
      </c>
      <c r="EU25" s="15">
        <f>('Bloom Cleaner Data'!CC25+'OPERATING LEASES'!BC25)/DL25</f>
        <v>6.2648201004227762</v>
      </c>
      <c r="EV25" s="15">
        <f>('Bloom Cleaner Data'!CD25+'OPERATING LEASES'!BD25)/DM25</f>
        <v>6.4131956124226788</v>
      </c>
      <c r="EW25" s="15">
        <f>('Bloom Cleaner Data'!CE25+'OPERATING LEASES'!BE25)/DN25</f>
        <v>6.7422728917767749</v>
      </c>
      <c r="EX25" s="15">
        <f>('Bloom Cleaner Data'!CF25+'OPERATING LEASES'!BF25)/DO25</f>
        <v>6.8606043153356984</v>
      </c>
      <c r="EY25" s="15">
        <f>('Bloom Cleaner Data'!CG25+'OPERATING LEASES'!BG25)/DP25</f>
        <v>6.9851530972688787</v>
      </c>
      <c r="EZ25" s="15">
        <f>('Bloom Cleaner Data'!CH25+'OPERATING LEASES'!BH25)/DQ25</f>
        <v>7.6388552783366075</v>
      </c>
      <c r="FA25" s="15">
        <f>('Bloom Cleaner Data'!CI25+'OPERATING LEASES'!BI25)/DR25</f>
        <v>7.5822149145373468</v>
      </c>
      <c r="FB25" s="526">
        <f t="shared" si="44"/>
        <v>6.7995363362554677</v>
      </c>
      <c r="FC25" s="10">
        <f t="shared" si="45"/>
        <v>0.2149868566781509</v>
      </c>
      <c r="FD25" s="15">
        <f t="shared" si="7"/>
        <v>-3.4175098983784125E-3</v>
      </c>
      <c r="FE25" s="15">
        <f t="shared" si="46"/>
        <v>6.8699449272781719</v>
      </c>
      <c r="FF25" s="13"/>
      <c r="FG25" s="15">
        <f>$FG$1*EM25+(1-$FG$1)*'Bloom Cleaner Data'!DA25</f>
        <v>6.4576449666827171</v>
      </c>
      <c r="FH25" s="15">
        <f>$FG$1*EN25+(1-$FG$1)*'Bloom Cleaner Data'!DB25</f>
        <v>6.3242187369633349</v>
      </c>
      <c r="FI25" s="15">
        <f>$FG$1*EO25+(1-$FG$1)*'Bloom Cleaner Data'!DC25</f>
        <v>6.2405736102097356</v>
      </c>
      <c r="FJ25" s="15">
        <f>$FG$1*EP25+(1-$FG$1)*'Bloom Cleaner Data'!DD25</f>
        <v>6.4498472781793303</v>
      </c>
      <c r="FK25" s="15">
        <f>$FG$1*EQ25+(1-$FG$1)*'Bloom Cleaner Data'!DE25</f>
        <v>7.0041022101503119</v>
      </c>
      <c r="FL25" s="15">
        <f>$FG$1*ER25+(1-$FG$1)*'Bloom Cleaner Data'!DF25</f>
        <v>6.8165679432746522</v>
      </c>
      <c r="FM25" s="15">
        <f>$FG$1*ES25+(1-$FG$1)*'Bloom Cleaner Data'!DG25</f>
        <v>6.8399496407935167</v>
      </c>
      <c r="FN25" s="15">
        <f>$FG$1*ET25+(1-$FG$1)*'Bloom Cleaner Data'!DH25</f>
        <v>6.5558154786127876</v>
      </c>
      <c r="FO25" s="15">
        <f>$FG$1*EU25+(1-$FG$1)*'Bloom Cleaner Data'!DI25</f>
        <v>6.2648201004227762</v>
      </c>
      <c r="FP25" s="15">
        <f>$FG$1*EV25+(1-$FG$1)*'Bloom Cleaner Data'!DJ25</f>
        <v>6.4131956124226788</v>
      </c>
      <c r="FQ25" s="15">
        <f>$FG$1*EW25+(1-$FG$1)*'Bloom Cleaner Data'!DK25</f>
        <v>6.7422728917767749</v>
      </c>
      <c r="FR25" s="15">
        <f>$FG$1*EX25+(1-$FG$1)*'Bloom Cleaner Data'!DL25</f>
        <v>6.8606043153356984</v>
      </c>
      <c r="FS25" s="15">
        <f>$FG$1*EY25+(1-$FG$1)*'Bloom Cleaner Data'!DM25</f>
        <v>6.9851530972688787</v>
      </c>
      <c r="FT25" s="15">
        <f>$FG$1*EZ25+(1-$FG$1)*'Bloom Cleaner Data'!DN25</f>
        <v>7.6388552783366075</v>
      </c>
      <c r="FU25" s="15">
        <f>$FG$1*FA25+(1-$FG$1)*'Bloom Cleaner Data'!DO25</f>
        <v>7.5822149145373468</v>
      </c>
      <c r="FV25" s="526">
        <f t="shared" si="47"/>
        <v>6.7995363362554677</v>
      </c>
      <c r="FW25" s="10">
        <f t="shared" si="48"/>
        <v>0.2149868566781509</v>
      </c>
      <c r="FX25" s="526">
        <f t="shared" si="49"/>
        <v>6.8699449272781719</v>
      </c>
      <c r="FY25" s="2710">
        <v>1</v>
      </c>
      <c r="FZ25" s="2710"/>
      <c r="GA25" s="10">
        <f>'Bloom Cleaner Data'!T25/('Bloom Cleaner Data'!T25+'Bloom Cleaner Data'!D25)</f>
        <v>0.31696315154531601</v>
      </c>
      <c r="GB25" s="10">
        <f>'Bloom Cleaner Data'!U25/('Bloom Cleaner Data'!U25+'Bloom Cleaner Data'!E25)</f>
        <v>0.30912496126493366</v>
      </c>
      <c r="GC25" s="10">
        <f>'Bloom Cleaner Data'!V25/('Bloom Cleaner Data'!V25+'Bloom Cleaner Data'!F25)</f>
        <v>0.33594058046528269</v>
      </c>
      <c r="GD25" s="10">
        <f>'Bloom Cleaner Data'!W25/('Bloom Cleaner Data'!W25+'Bloom Cleaner Data'!G25)</f>
        <v>0.31202667433038866</v>
      </c>
      <c r="GE25" s="10">
        <f>'Bloom Cleaner Data'!X25/('Bloom Cleaner Data'!X25+'Bloom Cleaner Data'!H25)</f>
        <v>0.30094028853886984</v>
      </c>
      <c r="GF25" s="10">
        <f>'Bloom Cleaner Data'!Y25/('Bloom Cleaner Data'!Y25+'Bloom Cleaner Data'!I25)</f>
        <v>0.29486840537400577</v>
      </c>
      <c r="GG25" s="10">
        <f>'Bloom Cleaner Data'!Z25/('Bloom Cleaner Data'!Z25+'Bloom Cleaner Data'!J25)</f>
        <v>0.32552398875033944</v>
      </c>
      <c r="GH25" s="10">
        <f>'Bloom Cleaner Data'!AA25/('Bloom Cleaner Data'!AA25+'Bloom Cleaner Data'!K25)</f>
        <v>0.32124627866611094</v>
      </c>
      <c r="GI25" s="10">
        <f>'Bloom Cleaner Data'!AB25/('Bloom Cleaner Data'!AB25+'Bloom Cleaner Data'!L25)</f>
        <v>0.31413507347596675</v>
      </c>
      <c r="GJ25" s="10">
        <f>'Bloom Cleaner Data'!AC25/('Bloom Cleaner Data'!AC25+'Bloom Cleaner Data'!M25)</f>
        <v>0.30877752629693711</v>
      </c>
      <c r="GK25" s="10">
        <f>'Bloom Cleaner Data'!AD25/('Bloom Cleaner Data'!AD25+'Bloom Cleaner Data'!N25)</f>
        <v>0.3112561178010792</v>
      </c>
      <c r="GL25" s="10">
        <f>'Bloom Cleaner Data'!AE25/('Bloom Cleaner Data'!AE25+'Bloom Cleaner Data'!O25)</f>
        <v>0.30904237232753157</v>
      </c>
      <c r="GM25" s="10">
        <f>'Bloom Cleaner Data'!AF25/('Bloom Cleaner Data'!AF25+'Bloom Cleaner Data'!P25)</f>
        <v>0.28684368621999612</v>
      </c>
      <c r="GN25" s="10">
        <f>'Bloom Cleaner Data'!AG25/('Bloom Cleaner Data'!AG25+'Bloom Cleaner Data'!Q25)</f>
        <v>0.26183095159419262</v>
      </c>
      <c r="GO25" s="10">
        <f>'Bloom Cleaner Data'!AH25/('Bloom Cleaner Data'!AH25+'Bloom Cleaner Data'!R25)</f>
        <v>0.29018390059321952</v>
      </c>
      <c r="GP25" s="10">
        <f t="shared" si="50"/>
        <v>0.30558583418722468</v>
      </c>
      <c r="GQ25" s="10">
        <f t="shared" si="51"/>
        <v>-0.13620468181810452</v>
      </c>
      <c r="GR25" s="10"/>
      <c r="GS25" s="496">
        <f t="shared" si="8"/>
        <v>0.46404985655227776</v>
      </c>
      <c r="GT25" s="497">
        <f t="shared" si="9"/>
        <v>0.44743975962847821</v>
      </c>
      <c r="GU25" s="497">
        <f t="shared" si="10"/>
        <v>0.50588933848820972</v>
      </c>
      <c r="GV25" s="497">
        <f t="shared" si="11"/>
        <v>0.45354472722716388</v>
      </c>
      <c r="GW25" s="497">
        <f t="shared" si="12"/>
        <v>0.43049296591540598</v>
      </c>
      <c r="GX25" s="497">
        <f t="shared" si="13"/>
        <v>0.41817500112217443</v>
      </c>
      <c r="GY25" s="497">
        <f t="shared" si="14"/>
        <v>0.4826324188271911</v>
      </c>
      <c r="GZ25" s="497">
        <f t="shared" si="15"/>
        <v>0.47328842342815702</v>
      </c>
      <c r="HA25" s="497">
        <f t="shared" si="16"/>
        <v>0.45801303044901975</v>
      </c>
      <c r="HB25" s="497">
        <f t="shared" si="17"/>
        <v>0.44671222080314266</v>
      </c>
      <c r="HC25" s="497">
        <f t="shared" si="18"/>
        <v>0.4519185227567411</v>
      </c>
      <c r="HD25" s="497">
        <f t="shared" si="19"/>
        <v>0.44726674972611419</v>
      </c>
      <c r="HE25" s="497">
        <f t="shared" si="20"/>
        <v>0.40221713063103065</v>
      </c>
      <c r="HF25" s="497">
        <f t="shared" si="21"/>
        <v>0.35470323790960606</v>
      </c>
      <c r="HG25" s="498">
        <f t="shared" si="22"/>
        <v>0.40881560848751802</v>
      </c>
      <c r="HH25" s="10">
        <f t="shared" si="52"/>
        <v>0.44105149044395964</v>
      </c>
      <c r="HI25" s="10">
        <f t="shared" si="53"/>
        <v>-0.1918872816944216</v>
      </c>
      <c r="HJ25" s="10"/>
      <c r="HK25" s="18">
        <f>('Bloom Cleaner Data'!T25+'OPERATING LEASES'!AU25)/('Bloom Cleaner Data'!T25+'OPERATING LEASES'!AU25+'Bloom Cleaner Data'!D25)</f>
        <v>0.33284276625171083</v>
      </c>
      <c r="HL25" s="18">
        <f>('Bloom Cleaner Data'!U25+'OPERATING LEASES'!AV25)/('Bloom Cleaner Data'!U25+'OPERATING LEASES'!AV25+'Bloom Cleaner Data'!E25)</f>
        <v>0.325236591625295</v>
      </c>
      <c r="HM25" s="18">
        <f>('Bloom Cleaner Data'!V25+'OPERATING LEASES'!AW25)/('Bloom Cleaner Data'!V25+'OPERATING LEASES'!AW25+'Bloom Cleaner Data'!F25)</f>
        <v>0.35099231121562197</v>
      </c>
      <c r="HN25" s="18">
        <f>('Bloom Cleaner Data'!W25+'OPERATING LEASES'!AX25)/('Bloom Cleaner Data'!W25+'OPERATING LEASES'!AX25+'Bloom Cleaner Data'!G25)</f>
        <v>0.32670748508644687</v>
      </c>
      <c r="HO25" s="18">
        <f>('Bloom Cleaner Data'!X25+'OPERATING LEASES'!AY25)/('Bloom Cleaner Data'!X25+'OPERATING LEASES'!AY25+'Bloom Cleaner Data'!H25)</f>
        <v>0.31474148883466341</v>
      </c>
      <c r="HP25" s="18">
        <f>('Bloom Cleaner Data'!Y25+'OPERATING LEASES'!AZ25)/('Bloom Cleaner Data'!Y25+'OPERATING LEASES'!AZ25+'Bloom Cleaner Data'!I25)</f>
        <v>0.30846766308426782</v>
      </c>
      <c r="HQ25" s="18">
        <f>('Bloom Cleaner Data'!Z25+'OPERATING LEASES'!BA25)/('Bloom Cleaner Data'!Z25+'OPERATING LEASES'!BA25+'Bloom Cleaner Data'!J25)</f>
        <v>0.33825245611310373</v>
      </c>
      <c r="HR25" s="18">
        <f>('Bloom Cleaner Data'!AA25+'OPERATING LEASES'!BB25)/('Bloom Cleaner Data'!AA25+'OPERATING LEASES'!BB25+'Bloom Cleaner Data'!K25)</f>
        <v>0.33412860982799336</v>
      </c>
      <c r="HS25" s="18">
        <f>('Bloom Cleaner Data'!AB25+'OPERATING LEASES'!BC25)/('Bloom Cleaner Data'!AB25+'OPERATING LEASES'!BC25+'Bloom Cleaner Data'!L25)</f>
        <v>0.32728624048925437</v>
      </c>
      <c r="HT25" s="18">
        <f>('Bloom Cleaner Data'!AC25+'OPERATING LEASES'!BD25)/('Bloom Cleaner Data'!AC25+'OPERATING LEASES'!BD25+'Bloom Cleaner Data'!M25)</f>
        <v>0.32215614352162769</v>
      </c>
      <c r="HU25" s="18">
        <f>('Bloom Cleaner Data'!AD25+'OPERATING LEASES'!BE25)/('Bloom Cleaner Data'!AD25+'OPERATING LEASES'!BE25+'Bloom Cleaner Data'!N25)</f>
        <v>0.32431194146150577</v>
      </c>
      <c r="HV25" s="18">
        <f>('Bloom Cleaner Data'!AE25+'OPERATING LEASES'!BF25)/('Bloom Cleaner Data'!AE25+'OPERATING LEASES'!BF25+'Bloom Cleaner Data'!O25)</f>
        <v>0.32262458264990379</v>
      </c>
      <c r="HW25" s="18">
        <f>('Bloom Cleaner Data'!AF25+'OPERATING LEASES'!BG25)/('Bloom Cleaner Data'!AF25+'OPERATING LEASES'!BG25+'Bloom Cleaner Data'!P25)</f>
        <v>0.30107613475000317</v>
      </c>
      <c r="HX25" s="18">
        <f>('Bloom Cleaner Data'!AG25+'OPERATING LEASES'!BH25)/('Bloom Cleaner Data'!AG25+'OPERATING LEASES'!BH25+'Bloom Cleaner Data'!Q25)</f>
        <v>0.27552258749341224</v>
      </c>
      <c r="HY25" s="18">
        <f>('Bloom Cleaner Data'!AH25+'OPERATING LEASES'!BI25)/('Bloom Cleaner Data'!AH25+'OPERATING LEASES'!BI25+'Bloom Cleaner Data'!R25)</f>
        <v>0.30362227391248225</v>
      </c>
      <c r="HZ25" s="10">
        <f t="shared" si="54"/>
        <v>0.31922230141848357</v>
      </c>
      <c r="IA25" s="10">
        <f t="shared" si="55"/>
        <v>-0.13496032758973828</v>
      </c>
      <c r="IB25" s="10">
        <f t="shared" si="23"/>
        <v>1.3636467231258886E-2</v>
      </c>
      <c r="IC25" s="10">
        <f t="shared" si="24"/>
        <v>4.4624016252350789E-2</v>
      </c>
      <c r="IE25" s="502">
        <f t="shared" si="56"/>
        <v>0.49889703568332833</v>
      </c>
      <c r="IF25" s="467">
        <f t="shared" si="108"/>
        <v>0.48200093186542042</v>
      </c>
      <c r="IG25" s="467">
        <f t="shared" si="109"/>
        <v>0.54081379509239258</v>
      </c>
      <c r="IH25" s="467">
        <f t="shared" si="110"/>
        <v>0.48523855211489203</v>
      </c>
      <c r="II25" s="467">
        <f t="shared" si="111"/>
        <v>0.4593032902275383</v>
      </c>
      <c r="IJ25" s="467">
        <f t="shared" si="112"/>
        <v>0.4460639750558138</v>
      </c>
      <c r="IK25" s="467">
        <f t="shared" si="113"/>
        <v>0.51115030080250168</v>
      </c>
      <c r="IL25" s="467">
        <f t="shared" si="114"/>
        <v>0.50179150923075688</v>
      </c>
      <c r="IM25" s="467">
        <f t="shared" si="115"/>
        <v>0.48651634645809033</v>
      </c>
      <c r="IN25" s="467">
        <f t="shared" si="116"/>
        <v>0.47526600771354283</v>
      </c>
      <c r="IO25" s="467">
        <f t="shared" si="117"/>
        <v>0.47997287707435426</v>
      </c>
      <c r="IP25" s="467">
        <f t="shared" si="118"/>
        <v>0.47628622826617545</v>
      </c>
      <c r="IQ25" s="467">
        <f t="shared" si="119"/>
        <v>0.43077100342297192</v>
      </c>
      <c r="IR25" s="467">
        <f t="shared" si="120"/>
        <v>0.38030528314215301</v>
      </c>
      <c r="IS25" s="503">
        <f t="shared" si="121"/>
        <v>0.43600227654944312</v>
      </c>
      <c r="IT25" s="10">
        <f t="shared" si="57"/>
        <v>0.46996011116543279</v>
      </c>
      <c r="IU25" s="10">
        <f t="shared" si="58"/>
        <v>-0.19380333766272265</v>
      </c>
      <c r="IV25" s="10">
        <f t="shared" si="59"/>
        <v>2.8908620721473155E-2</v>
      </c>
      <c r="IW25" s="10">
        <f t="shared" si="60"/>
        <v>6.5544775038338318E-2</v>
      </c>
      <c r="IY25" s="15">
        <f>'Bloom Cleaner Data'!T25/'Bloom Cleaner Data'!BU25*'Bloom Cleaner Data'!DA25</f>
        <v>2.0301158211176595</v>
      </c>
      <c r="IZ25" s="15">
        <f>'Bloom Cleaner Data'!U25/'Bloom Cleaner Data'!BV25*'Bloom Cleaner Data'!DB25</f>
        <v>1.937650994686634</v>
      </c>
      <c r="JA25" s="15">
        <f>'Bloom Cleaner Data'!V25/'Bloom Cleaner Data'!BW25*'Bloom Cleaner Data'!DC25</f>
        <v>2.0771219997399091</v>
      </c>
      <c r="JB25" s="15">
        <f>'Bloom Cleaner Data'!W25/'Bloom Cleaner Data'!BX25*'Bloom Cleaner Data'!DD25</f>
        <v>1.9691780245538166</v>
      </c>
      <c r="JC25" s="15">
        <f>'Bloom Cleaner Data'!X25/'Bloom Cleaner Data'!BY25*'Bloom Cleaner Data'!DE25</f>
        <v>2.1083275275947786</v>
      </c>
      <c r="JD25" s="15">
        <f>'Bloom Cleaner Data'!Y25/'Bloom Cleaner Data'!BZ25*'Bloom Cleaner Data'!DF25</f>
        <v>2.0083784097569111</v>
      </c>
      <c r="JE25" s="15">
        <f>'Bloom Cleaner Data'!Z25/'Bloom Cleaner Data'!CA25*'Bloom Cleaner Data'!DG25</f>
        <v>2.2258517018443871</v>
      </c>
      <c r="JF25" s="15">
        <f>'Bloom Cleaner Data'!AA25/'Bloom Cleaner Data'!CB25*'Bloom Cleaner Data'!DH25</f>
        <v>2.103417322276667</v>
      </c>
      <c r="JG25" s="15">
        <f>'Bloom Cleaner Data'!AB25/'Bloom Cleaner Data'!CC25*'Bloom Cleaner Data'!DI25</f>
        <v>1.963727010257861</v>
      </c>
      <c r="JH25" s="15">
        <f>'Bloom Cleaner Data'!AC25/'Bloom Cleaner Data'!CD25*'Bloom Cleaner Data'!DJ25</f>
        <v>1.9766022015895068</v>
      </c>
      <c r="JI25" s="15">
        <f>'Bloom Cleaner Data'!AD25/'Bloom Cleaner Data'!CE25*'Bloom Cleaner Data'!DK25</f>
        <v>2.097775659312922</v>
      </c>
      <c r="JJ25" s="15">
        <f>'Bloom Cleaner Data'!AE25/'Bloom Cleaner Data'!CF25*'Bloom Cleaner Data'!DL25</f>
        <v>2.1200828689804769</v>
      </c>
      <c r="JK25" s="15">
        <f>'Bloom Cleaner Data'!AF25/'Bloom Cleaner Data'!CG25*'Bloom Cleaner Data'!DM25</f>
        <v>2.0036717522349594</v>
      </c>
      <c r="JL25" s="15">
        <f>'Bloom Cleaner Data'!AG25/'Bloom Cleaner Data'!CH25*'Bloom Cleaner Data'!DN25</f>
        <v>2.003478177054185</v>
      </c>
      <c r="JM25" s="15">
        <f>'Bloom Cleaner Data'!AH25/'Bloom Cleaner Data'!CI25*'Bloom Cleaner Data'!DO25</f>
        <v>2.2046352760279206</v>
      </c>
      <c r="JN25" s="15">
        <f t="shared" si="61"/>
        <v>2.070595068439022</v>
      </c>
      <c r="JO25" s="15">
        <f t="shared" si="62"/>
        <v>2.0829670185743856</v>
      </c>
      <c r="JP25" s="15">
        <f t="shared" si="63"/>
        <v>2.0663267639403311</v>
      </c>
      <c r="JQ25" s="18">
        <f t="shared" si="64"/>
        <v>6.1389401442947689E-2</v>
      </c>
      <c r="JR25" s="18"/>
      <c r="JS25" s="2024" t="s">
        <v>290</v>
      </c>
      <c r="JT25" s="526">
        <f>('Bloom Cleaner Data'!T25+'OPERATING LEASES'!AU25)/DD25</f>
        <v>2.1272863993522848</v>
      </c>
      <c r="JU25" s="526">
        <f>('Bloom Cleaner Data'!U25+'OPERATING LEASES'!AV25)/DE25</f>
        <v>2.0368035982212112</v>
      </c>
      <c r="JV25" s="526">
        <f>('Bloom Cleaner Data'!V25+'OPERATING LEASES'!AW25)/DF25</f>
        <v>2.1705298156337389</v>
      </c>
      <c r="JW25" s="526">
        <f>('Bloom Cleaner Data'!W25+'OPERATING LEASES'!AX25)/DG25</f>
        <v>2.0627591357478918</v>
      </c>
      <c r="JX25" s="526">
        <f>('Bloom Cleaner Data'!X25+'OPERATING LEASES'!AY25)/DH25</f>
        <v>2.203063642218106</v>
      </c>
      <c r="JY25" s="526">
        <f>('Bloom Cleaner Data'!Y25+'OPERATING LEASES'!AZ25)/DI25</f>
        <v>2.1003623223269217</v>
      </c>
      <c r="JZ25" s="526">
        <f>('Bloom Cleaner Data'!Z25+'OPERATING LEASES'!BA25)/DJ25</f>
        <v>2.3120208512545299</v>
      </c>
      <c r="KA25" s="526">
        <f>('Bloom Cleaner Data'!AA25+'OPERATING LEASES'!BB25)/DK25</f>
        <v>2.1887403866475821</v>
      </c>
      <c r="KB25" s="526">
        <f>('Bloom Cleaner Data'!AB25+'OPERATING LEASES'!BC25)/DL25</f>
        <v>2.048595397703072</v>
      </c>
      <c r="KC25" s="526">
        <f>('Bloom Cleaner Data'!AC25+'OPERATING LEASES'!BD25)/DM25</f>
        <v>2.0640519144596094</v>
      </c>
      <c r="KD25" s="526">
        <f>('Bloom Cleaner Data'!AD25+'OPERATING LEASES'!BE25)/DN25</f>
        <v>2.1855526368323117</v>
      </c>
      <c r="KE25" s="526">
        <f>('Bloom Cleaner Data'!AE25+'OPERATING LEASES'!BF25)/DO25</f>
        <v>2.2122516700255388</v>
      </c>
      <c r="KF25" s="526">
        <f>('Bloom Cleaner Data'!AF25+'OPERATING LEASES'!BG25)/DP25</f>
        <v>2.1013349960436423</v>
      </c>
      <c r="KG25" s="526">
        <f>('Bloom Cleaner Data'!AG25+'OPERATING LEASES'!BH25)/DQ25</f>
        <v>2.1027353959437862</v>
      </c>
      <c r="KH25" s="526">
        <f>('Bloom Cleaner Data'!AH25+'OPERATING LEASES'!BI25)/DR25</f>
        <v>2.3009327536910358</v>
      </c>
      <c r="KI25" s="15">
        <f t="shared" si="65"/>
        <v>2.1683343818928216</v>
      </c>
      <c r="KJ25" s="15">
        <f t="shared" si="66"/>
        <v>2.1793137039260007</v>
      </c>
      <c r="KK25" s="15">
        <f t="shared" si="67"/>
        <v>2.1579177629636748</v>
      </c>
      <c r="KL25" s="18">
        <f t="shared" si="68"/>
        <v>6.0078851309961184E-2</v>
      </c>
      <c r="KM25" s="15">
        <f t="shared" si="69"/>
        <v>9.1590999023343667E-2</v>
      </c>
      <c r="KN25" s="18"/>
      <c r="KO25" s="15">
        <f t="shared" si="70"/>
        <v>2.1272863993522848</v>
      </c>
      <c r="KP25" s="15">
        <f t="shared" si="122"/>
        <v>2.0368035982212112</v>
      </c>
      <c r="KQ25" s="15">
        <f t="shared" si="123"/>
        <v>2.1705298156337389</v>
      </c>
      <c r="KR25" s="15">
        <f t="shared" si="124"/>
        <v>2.0627591357478918</v>
      </c>
      <c r="KS25" s="15">
        <f t="shared" si="125"/>
        <v>2.203063642218106</v>
      </c>
      <c r="KT25" s="15">
        <f t="shared" si="126"/>
        <v>2.1003623223269217</v>
      </c>
      <c r="KU25" s="15">
        <f t="shared" si="127"/>
        <v>2.3120208512545299</v>
      </c>
      <c r="KV25" s="15">
        <f t="shared" si="128"/>
        <v>2.1887403866475821</v>
      </c>
      <c r="KW25" s="15">
        <f t="shared" si="129"/>
        <v>2.048595397703072</v>
      </c>
      <c r="KX25" s="15">
        <f t="shared" si="130"/>
        <v>2.0640519144596094</v>
      </c>
      <c r="KY25" s="15">
        <f t="shared" si="131"/>
        <v>2.1855526368323117</v>
      </c>
      <c r="KZ25" s="15">
        <f t="shared" si="132"/>
        <v>2.2122516700255388</v>
      </c>
      <c r="LA25" s="15">
        <f t="shared" si="133"/>
        <v>2.1013349960436423</v>
      </c>
      <c r="LB25" s="15">
        <f t="shared" si="134"/>
        <v>2.1027353959437862</v>
      </c>
      <c r="LC25" s="15">
        <f t="shared" si="135"/>
        <v>2.3009327536910358</v>
      </c>
      <c r="LD25" s="15">
        <f t="shared" si="85"/>
        <v>2.1683343818928216</v>
      </c>
      <c r="LE25" s="15">
        <f t="shared" si="86"/>
        <v>2.1793137039260007</v>
      </c>
      <c r="LF25" s="526">
        <f t="shared" si="87"/>
        <v>2.1579177629636748</v>
      </c>
      <c r="LG25" s="10">
        <f t="shared" si="88"/>
        <v>6.0078851309961184E-2</v>
      </c>
      <c r="LH25" s="18"/>
      <c r="LI25" s="15">
        <f>('Bloom Cleaner Data'!T25+'Bloom Cleaner Data'!EY25)/'Bloom Cleaner Data'!GV25</f>
        <v>2.143694706051364</v>
      </c>
      <c r="LJ25" s="15">
        <f>('Bloom Cleaner Data'!U25+'Bloom Cleaner Data'!EZ25)/'Bloom Cleaner Data'!GW25</f>
        <v>2.1257893242525752</v>
      </c>
      <c r="LK25" s="15">
        <f>('Bloom Cleaner Data'!V25+'Bloom Cleaner Data'!FA25)/'Bloom Cleaner Data'!GX25</f>
        <v>2.1926976908330813</v>
      </c>
      <c r="LL25" s="15">
        <f>('Bloom Cleaner Data'!W25+'Bloom Cleaner Data'!FB25)/'Bloom Cleaner Data'!GY25</f>
        <v>2.0896256135379052</v>
      </c>
      <c r="LM25" s="15">
        <f>('Bloom Cleaner Data'!X25+'Bloom Cleaner Data'!FC25)/'Bloom Cleaner Data'!GZ25</f>
        <v>2.2194131822067864</v>
      </c>
      <c r="LN25" s="15">
        <f>('Bloom Cleaner Data'!Y25+'Bloom Cleaner Data'!FD25)/'Bloom Cleaner Data'!HA25</f>
        <v>2.1179798473848677</v>
      </c>
      <c r="LO25" s="15">
        <f>('Bloom Cleaner Data'!Z25+'Bloom Cleaner Data'!FE25)/'Bloom Cleaner Data'!HB25</f>
        <v>2.2884379034629623</v>
      </c>
      <c r="LP25" s="15">
        <f>('Bloom Cleaner Data'!AA25+'Bloom Cleaner Data'!FF25)/'Bloom Cleaner Data'!HC25</f>
        <v>2.1739862677495947</v>
      </c>
      <c r="LQ25" s="15">
        <f>('Bloom Cleaner Data'!AB25+'Bloom Cleaner Data'!FG25)/'Bloom Cleaner Data'!HD25</f>
        <v>2.0367504921646553</v>
      </c>
      <c r="LR25" s="15">
        <f>('Bloom Cleaner Data'!AC25+'Bloom Cleaner Data'!FH25)/'Bloom Cleaner Data'!HE25</f>
        <v>2.0501044625202391</v>
      </c>
      <c r="LS25" s="15">
        <f>('Bloom Cleaner Data'!AD25+'Bloom Cleaner Data'!FI25)/'Bloom Cleaner Data'!HF25</f>
        <v>2.1422041218420729</v>
      </c>
      <c r="LT25" s="15">
        <f>('Bloom Cleaner Data'!AE25+'Bloom Cleaner Data'!FJ25)/'Bloom Cleaner Data'!HG25</f>
        <v>2.1578463911957035</v>
      </c>
      <c r="LU25" s="15">
        <f>('Bloom Cleaner Data'!AF25+'Bloom Cleaner Data'!FK25)/'Bloom Cleaner Data'!HH25</f>
        <v>2.1350520572565816</v>
      </c>
      <c r="LV25" s="15">
        <f>('Bloom Cleaner Data'!AG25+'Bloom Cleaner Data'!FL25)/'Bloom Cleaner Data'!HI25</f>
        <v>2.1735379727520927</v>
      </c>
      <c r="LW25" s="15">
        <f>('Bloom Cleaner Data'!AH25+'Bloom Cleaner Data'!FM25)/'Bloom Cleaner Data'!HJ25</f>
        <v>2.2481792767988797</v>
      </c>
      <c r="LX25" s="15">
        <f t="shared" si="89"/>
        <v>4.3544000770959101E-2</v>
      </c>
      <c r="LY25" s="15">
        <f t="shared" si="90"/>
        <v>2.1855897689358517</v>
      </c>
      <c r="LZ25" s="15">
        <f t="shared" si="27"/>
        <v>0.11499470049682969</v>
      </c>
      <c r="MA25" s="15">
        <f t="shared" si="91"/>
        <v>2.1786539245008143</v>
      </c>
      <c r="MB25" s="15">
        <f t="shared" si="92"/>
        <v>2.155831944592725</v>
      </c>
      <c r="MC25" s="18">
        <f t="shared" si="93"/>
        <v>2.5302888855927547E-2</v>
      </c>
      <c r="MD25" s="15">
        <f t="shared" si="28"/>
        <v>8.9505180652393879E-2</v>
      </c>
      <c r="ME25" s="18"/>
      <c r="MF25" s="2024" t="s">
        <v>290</v>
      </c>
      <c r="MG25" s="15">
        <f>JT25+'Bloom Cleaner Data'!EY25/CALCULATIONS!DD25</f>
        <v>2.2379886543825367</v>
      </c>
      <c r="MH25" s="15">
        <f>JU25+'Bloom Cleaner Data'!EZ25/CALCULATIONS!DE25</f>
        <v>2.220388760091681</v>
      </c>
      <c r="MI25" s="15">
        <f>JV25+'Bloom Cleaner Data'!FA25/CALCULATIONS!DF25</f>
        <v>2.2835036879939401</v>
      </c>
      <c r="MJ25" s="15">
        <f>JW25+'Bloom Cleaner Data'!FB25/CALCULATIONS!DG25</f>
        <v>2.180689726467913</v>
      </c>
      <c r="MK25" s="15">
        <f>JX25+'Bloom Cleaner Data'!FC25/CALCULATIONS!DH25</f>
        <v>2.3118597718425562</v>
      </c>
      <c r="ML25" s="15">
        <f>JY25+'Bloom Cleaner Data'!FD25/CALCULATIONS!DI25</f>
        <v>2.2078171277962273</v>
      </c>
      <c r="MM25" s="15">
        <f>JZ25+'Bloom Cleaner Data'!FE25/CALCULATIONS!DJ25</f>
        <v>2.3734029855696823</v>
      </c>
      <c r="MN25" s="15">
        <f>KA25+'Bloom Cleaner Data'!FF25/CALCULATIONS!DK25</f>
        <v>2.2580007884340154</v>
      </c>
      <c r="MO25" s="15">
        <f>KB25+'Bloom Cleaner Data'!FG25/CALCULATIONS!DL25</f>
        <v>2.1203117204932238</v>
      </c>
      <c r="MP25" s="15">
        <f>KC25+'Bloom Cleaner Data'!FH25/CALCULATIONS!DM25</f>
        <v>2.136194735371304</v>
      </c>
      <c r="MQ25" s="15">
        <f>KD25+'Bloom Cleaner Data'!FI25/CALCULATIONS!DN25</f>
        <v>2.2291346170026554</v>
      </c>
      <c r="MR25" s="15">
        <f>KE25+'Bloom Cleaner Data'!FJ25/CALCULATIONS!DO25</f>
        <v>2.2492560198923384</v>
      </c>
      <c r="MS25" s="15">
        <f>KF25+'Bloom Cleaner Data'!FK25/CALCULATIONS!DP25</f>
        <v>2.2299859720444739</v>
      </c>
      <c r="MT25" s="15">
        <f>KG25+'Bloom Cleaner Data'!FL25/CALCULATIONS!DQ25</f>
        <v>2.2692048121414343</v>
      </c>
      <c r="MU25" s="15">
        <f>KH25+'Bloom Cleaner Data'!FM25/CALCULATIONS!DR25</f>
        <v>2.3435449790233798</v>
      </c>
      <c r="MV25" s="15">
        <f t="shared" si="29"/>
        <v>4.2612225332343989E-2</v>
      </c>
      <c r="MW25" s="15">
        <f t="shared" si="94"/>
        <v>2.2809119210697624</v>
      </c>
      <c r="MX25" s="15">
        <f t="shared" si="30"/>
        <v>0.1125775391769408</v>
      </c>
      <c r="MY25" s="15">
        <f t="shared" si="95"/>
        <v>2.2729979457754066</v>
      </c>
      <c r="MZ25" s="15">
        <f t="shared" si="96"/>
        <v>2.2456082264671653</v>
      </c>
      <c r="NA25" s="18">
        <f t="shared" si="97"/>
        <v>2.6293494223425577E-2</v>
      </c>
      <c r="NB25" s="15">
        <f t="shared" si="31"/>
        <v>8.7690463503490523E-2</v>
      </c>
      <c r="NC25" s="15"/>
      <c r="ND25" s="13">
        <f>'Bloom Cleaner Data'!GF25+('Bloom Cleaner Data'!T25+'Bloom Cleaner Data'!EY25)+'Bloom Cleaner Data'!CK25</f>
        <v>16970</v>
      </c>
      <c r="NE25" s="13">
        <f>'Bloom Cleaner Data'!GG25+('Bloom Cleaner Data'!U25+'Bloom Cleaner Data'!EZ25)+'Bloom Cleaner Data'!CL25</f>
        <v>16815</v>
      </c>
      <c r="NF25" s="13">
        <f>'Bloom Cleaner Data'!GH25+('Bloom Cleaner Data'!V25+'Bloom Cleaner Data'!FA25)+'Bloom Cleaner Data'!CM25</f>
        <v>16171</v>
      </c>
      <c r="NG25" s="13">
        <f>'Bloom Cleaner Data'!GI25+('Bloom Cleaner Data'!W25+'Bloom Cleaner Data'!FB25)+'Bloom Cleaner Data'!CN25</f>
        <v>16663.97</v>
      </c>
      <c r="NH25" s="13">
        <f>'Bloom Cleaner Data'!GJ25+('Bloom Cleaner Data'!X25+'Bloom Cleaner Data'!FC25)+'Bloom Cleaner Data'!CO25</f>
        <v>15020</v>
      </c>
      <c r="NI25" s="13">
        <f>'Bloom Cleaner Data'!GK25+('Bloom Cleaner Data'!Y25+'Bloom Cleaner Data'!FD25)+'Bloom Cleaner Data'!CP25</f>
        <v>15623</v>
      </c>
      <c r="NJ25" s="13">
        <f>'Bloom Cleaner Data'!GL25+('Bloom Cleaner Data'!Z25+'Bloom Cleaner Data'!FE25)+'Bloom Cleaner Data'!CQ25</f>
        <v>15092</v>
      </c>
      <c r="NK25" s="13">
        <f>'Bloom Cleaner Data'!GM25+('Bloom Cleaner Data'!AA25+'Bloom Cleaner Data'!FF25)+'Bloom Cleaner Data'!CR25</f>
        <v>14501</v>
      </c>
      <c r="NL25" s="13">
        <f>'Bloom Cleaner Data'!GN25+('Bloom Cleaner Data'!AB25+'Bloom Cleaner Data'!FG25)+'Bloom Cleaner Data'!CS25</f>
        <v>13078</v>
      </c>
      <c r="NM25" s="13">
        <f>'Bloom Cleaner Data'!GO25+('Bloom Cleaner Data'!AC25+'Bloom Cleaner Data'!FH25)+'Bloom Cleaner Data'!CT25</f>
        <v>13478</v>
      </c>
      <c r="NN25" s="13">
        <f>'Bloom Cleaner Data'!GP25+('Bloom Cleaner Data'!AD25+'Bloom Cleaner Data'!FI25)+'Bloom Cleaner Data'!CU25</f>
        <v>13084</v>
      </c>
      <c r="NO25" s="13">
        <f>'Bloom Cleaner Data'!GQ25+('Bloom Cleaner Data'!AE25+'Bloom Cleaner Data'!FJ25)+'Bloom Cleaner Data'!CV25</f>
        <v>13187</v>
      </c>
      <c r="NP25" s="13">
        <f>'Bloom Cleaner Data'!GR25+('Bloom Cleaner Data'!AF25+'Bloom Cleaner Data'!FK25)+'Bloom Cleaner Data'!CW25</f>
        <v>12923</v>
      </c>
      <c r="NQ25" s="13">
        <f>'Bloom Cleaner Data'!GS25+('Bloom Cleaner Data'!AG25+'Bloom Cleaner Data'!FL25)+'Bloom Cleaner Data'!CX25</f>
        <v>13975</v>
      </c>
      <c r="NR25" s="13">
        <f>'Bloom Cleaner Data'!GT25+('Bloom Cleaner Data'!AH25+'Bloom Cleaner Data'!FM25)+'Bloom Cleaner Data'!CY25</f>
        <v>13633</v>
      </c>
      <c r="NS25" s="168"/>
      <c r="NT25" s="2024" t="s">
        <v>290</v>
      </c>
      <c r="NU25" s="998">
        <f>('Bloom Cleaner Data'!T25+'Bloom Cleaner Data'!EY25+'OPERATING LEASES'!BL25)/CALCULATIONS!ND25</f>
        <v>0.59886354070207937</v>
      </c>
      <c r="NV25" s="998">
        <f>('Bloom Cleaner Data'!U25+'Bloom Cleaner Data'!EZ25+'OPERATING LEASES'!BM25)/CALCULATIONS!NE25</f>
        <v>0.58871012276453838</v>
      </c>
      <c r="NW25" s="998">
        <f>('Bloom Cleaner Data'!V25+'Bloom Cleaner Data'!FA25+'OPERATING LEASES'!BN25)/CALCULATIONS!NF25</f>
        <v>0.63425930015813137</v>
      </c>
      <c r="NX25" s="998">
        <f>('Bloom Cleaner Data'!W25+'Bloom Cleaner Data'!FB25+'OPERATING LEASES'!BO25)/CALCULATIONS!NG25</f>
        <v>0.58791833947304095</v>
      </c>
      <c r="NY25" s="998">
        <f>('Bloom Cleaner Data'!X25+'Bloom Cleaner Data'!FC25+'OPERATING LEASES'!BP25)/CALCULATIONS!NH25</f>
        <v>0.64856857523302258</v>
      </c>
      <c r="NZ25" s="998">
        <f>('Bloom Cleaner Data'!Y25+'Bloom Cleaner Data'!FD25+'OPERATING LEASES'!BQ25)/CALCULATIONS!NI25</f>
        <v>0.6043153523651027</v>
      </c>
      <c r="OA25" s="998">
        <f>('Bloom Cleaner Data'!Z25+'Bloom Cleaner Data'!FE25+'OPERATING LEASES'!BR25)/CALCULATIONS!NJ25</f>
        <v>0.66220100053008213</v>
      </c>
      <c r="OB25" s="998">
        <f>('Bloom Cleaner Data'!AA25+'Bloom Cleaner Data'!FF25+'OPERATING LEASES'!BS25)/CALCULATIONS!NK25</f>
        <v>0.65358639059375212</v>
      </c>
      <c r="OC25" s="998">
        <f>('Bloom Cleaner Data'!AB25+'Bloom Cleaner Data'!FG25+'OPERATING LEASES'!BT25)/CALCULATIONS!NL25</f>
        <v>0.67566715094051077</v>
      </c>
      <c r="OD25" s="998">
        <f>('Bloom Cleaner Data'!AC25+'Bloom Cleaner Data'!FH25+'OPERATING LEASES'!BU25)/CALCULATIONS!NM25</f>
        <v>0.65577236978780229</v>
      </c>
      <c r="OE25" s="998">
        <f>('Bloom Cleaner Data'!AD25+'Bloom Cleaner Data'!FI25+'OPERATING LEASES'!BV25)/CALCULATIONS!NN25</f>
        <v>0.70281450626719655</v>
      </c>
      <c r="OF25" s="998">
        <f>('Bloom Cleaner Data'!AE25+'Bloom Cleaner Data'!FJ25+'OPERATING LEASES'!BW25)/CALCULATIONS!NO25</f>
        <v>0.68239554106316824</v>
      </c>
      <c r="OG25" s="998">
        <f>('Bloom Cleaner Data'!AF25+'Bloom Cleaner Data'!FK25+'OPERATING LEASES'!BX25)/CALCULATIONS!NP25</f>
        <v>0.68326820397740462</v>
      </c>
      <c r="OH25" s="998">
        <f>('Bloom Cleaner Data'!AG25+'Bloom Cleaner Data'!FL25+'OPERATING LEASES'!BY25)/CALCULATIONS!NQ25</f>
        <v>0.63269230769230766</v>
      </c>
      <c r="OI25" s="998">
        <f>('Bloom Cleaner Data'!AH25+'Bloom Cleaner Data'!FM25+'OPERATING LEASES'!BZ25)/CALCULATIONS!NR25</f>
        <v>0.66154734834592532</v>
      </c>
      <c r="OJ25" s="18">
        <f t="shared" si="98"/>
        <v>0.65916928667187924</v>
      </c>
      <c r="OK25" s="18">
        <f t="shared" si="99"/>
        <v>0.66497585026970141</v>
      </c>
      <c r="OL25" s="18">
        <f t="shared" si="100"/>
        <v>0.65269279895595744</v>
      </c>
      <c r="OM25" s="10">
        <f t="shared" si="101"/>
        <v>4.3023489259031114E-2</v>
      </c>
      <c r="ON25" s="10"/>
      <c r="OO25" s="2710">
        <v>1</v>
      </c>
      <c r="OP25" s="526">
        <f>'Bloom Cleaner Data'!D25/'Bloom Cleaner Data'!GF25</f>
        <v>3.100050332829047</v>
      </c>
      <c r="OQ25" s="526">
        <f>'Bloom Cleaner Data'!E25/'Bloom Cleaner Data'!GG25</f>
        <v>2.9579180293812137</v>
      </c>
      <c r="OR25" s="526">
        <f>'Bloom Cleaner Data'!F25/'Bloom Cleaner Data'!GH25</f>
        <v>3.303690752650791</v>
      </c>
      <c r="OS25" s="526">
        <f>'Bloom Cleaner Data'!G25/'Bloom Cleaner Data'!GI25</f>
        <v>3.1878124663819016</v>
      </c>
      <c r="OT25" s="526">
        <f>'Bloom Cleaner Data'!H25/'Bloom Cleaner Data'!GJ25</f>
        <v>3.9802228598130838</v>
      </c>
      <c r="OU25" s="526">
        <f>'Bloom Cleaner Data'!I25/'Bloom Cleaner Data'!GK25</f>
        <v>3.4010301475304683</v>
      </c>
      <c r="OV25" s="526">
        <f>'Bloom Cleaner Data'!J25/'Bloom Cleaner Data'!GL25</f>
        <v>3.8685875629600934</v>
      </c>
      <c r="OW25" s="526">
        <f>'Bloom Cleaner Data'!K25/'Bloom Cleaner Data'!GM25</f>
        <v>3.77964590712318</v>
      </c>
      <c r="OX25" s="526">
        <f>'Bloom Cleaner Data'!L25/'Bloom Cleaner Data'!GN25</f>
        <v>4.2914703677839849</v>
      </c>
      <c r="OY25" s="526">
        <f>'Bloom Cleaner Data'!M25/'Bloom Cleaner Data'!GO25</f>
        <v>4.0278179842318345</v>
      </c>
      <c r="OZ25" s="526">
        <f>'Bloom Cleaner Data'!N25/'Bloom Cleaner Data'!GP25</f>
        <v>4.9903771544099067</v>
      </c>
      <c r="PA25" s="526">
        <f>'Bloom Cleaner Data'!O25/'Bloom Cleaner Data'!GQ25</f>
        <v>4.5986744950681064</v>
      </c>
      <c r="PB25" s="526">
        <f>'Bloom Cleaner Data'!P25/'Bloom Cleaner Data'!GR25</f>
        <v>4.9084286573628484</v>
      </c>
      <c r="PC25" s="526">
        <f>'Bloom Cleaner Data'!Q25/'Bloom Cleaner Data'!GS25</f>
        <v>4.382857522635331</v>
      </c>
      <c r="PD25" s="526">
        <f>'Bloom Cleaner Data'!R25/'Bloom Cleaner Data'!GT25</f>
        <v>4.5731712273212377</v>
      </c>
      <c r="PE25" s="526">
        <f t="shared" si="102"/>
        <v>4.0995220850209826</v>
      </c>
      <c r="PF25" s="10">
        <f t="shared" si="103"/>
        <v>0.38426129130029807</v>
      </c>
      <c r="PG25" s="526">
        <f t="shared" si="104"/>
        <v>4.0700430544472406</v>
      </c>
      <c r="PH25" s="18"/>
      <c r="PI25" s="2710">
        <v>1</v>
      </c>
      <c r="PJ25" s="526">
        <f>CALCULATIONS!DD25/'Bloom Cleaner Data'!GF25</f>
        <v>0.72703229898354849</v>
      </c>
      <c r="PK25" s="526">
        <f>CALCULATIONS!DE25/'Bloom Cleaner Data'!GG25</f>
        <v>0.69997875484331795</v>
      </c>
      <c r="PL25" s="526">
        <f>CALCULATIONS!DF25/'Bloom Cleaner Data'!GH25</f>
        <v>0.82315456847620039</v>
      </c>
      <c r="PM25" s="526">
        <f>CALCULATIONS!DG25/'Bloom Cleaner Data'!GI25</f>
        <v>0.74989342128891723</v>
      </c>
      <c r="PN25" s="526">
        <f>CALCULATIONS!DH25/'Bloom Cleaner Data'!GJ25</f>
        <v>0.82981236688668691</v>
      </c>
      <c r="PO25" s="526">
        <f>CALCULATIONS!DI25/'Bloom Cleaner Data'!GK25</f>
        <v>0.72229301143213365</v>
      </c>
      <c r="PP25" s="526">
        <f>CALCULATIONS!DJ25/'Bloom Cleaner Data'!GL25</f>
        <v>0.85528194757192255</v>
      </c>
      <c r="PQ25" s="526">
        <f>CALCULATIONS!DK25/'Bloom Cleaner Data'!GM25</f>
        <v>0.86652315444233274</v>
      </c>
      <c r="PR25" s="526">
        <f>CALCULATIONS!DL25/'Bloom Cleaner Data'!GN25</f>
        <v>1.0191717147311694</v>
      </c>
      <c r="PS25" s="526">
        <f>CALCULATIONS!DM25/'Bloom Cleaner Data'!GO25</f>
        <v>0.92744032248038366</v>
      </c>
      <c r="PT25" s="526">
        <f>CALCULATIONS!DN25/'Bloom Cleaner Data'!GP25</f>
        <v>1.0959450896409724</v>
      </c>
      <c r="PU25" s="526">
        <f>CALCULATIONS!DO25/'Bloom Cleaner Data'!GQ25</f>
        <v>0.99007059637774497</v>
      </c>
      <c r="PV25" s="526">
        <f>CALCULATIONS!DP25/'Bloom Cleaner Data'!GR25</f>
        <v>1.0062216362185172</v>
      </c>
      <c r="PW25" s="526">
        <f>CALCULATIONS!DQ25/'Bloom Cleaner Data'!GS25</f>
        <v>0.79269311504094964</v>
      </c>
      <c r="PX25" s="526">
        <f>CALCULATIONS!DR25/'Bloom Cleaner Data'!GT25</f>
        <v>0.86656729231392782</v>
      </c>
      <c r="PY25" s="526">
        <f t="shared" si="105"/>
        <v>0.88808217206937379</v>
      </c>
      <c r="PZ25" s="526">
        <f t="shared" si="106"/>
        <v>0.93554609653532461</v>
      </c>
      <c r="QA25" s="18"/>
      <c r="QC25" s="15">
        <f>'Bloom Cleaner Data'!HZ25</f>
        <v>5.4858000000000002</v>
      </c>
      <c r="QD25" s="15">
        <f>AVERAGE('Bloom Cleaner Data'!HN25:HZ25)</f>
        <v>5.4293615384615386</v>
      </c>
      <c r="QE25" s="504">
        <f>('Bloom Cleaner Data'!HZ25-'Bloom Cleaner Data'!HN25)/'Bloom Cleaner Data'!HN25</f>
        <v>-5.8150914241565835E-2</v>
      </c>
      <c r="QF25" s="15">
        <f>'Bloom Cleaner Data'!HZ25-'Bloom Cleaner Data'!HL25</f>
        <v>-0.16739999999999977</v>
      </c>
    </row>
    <row r="26" spans="1:450">
      <c r="A26" s="11" t="s">
        <v>27</v>
      </c>
      <c r="B26" s="3109" t="s">
        <v>357</v>
      </c>
      <c r="C26" s="1207" t="s">
        <v>1101</v>
      </c>
      <c r="E26" s="13">
        <f>'Bloom Cleaner Data'!D26</f>
        <v>693.7373</v>
      </c>
      <c r="G26" s="13">
        <f>'Bloom Cleaner Data'!F26</f>
        <v>505.78710000000001</v>
      </c>
      <c r="H26" s="13">
        <f>'Bloom Cleaner Data'!H26</f>
        <v>481.93720000000002</v>
      </c>
      <c r="I26" s="13">
        <f>'Bloom Cleaner Data'!J26</f>
        <v>541.87490000000003</v>
      </c>
      <c r="J26" s="13">
        <f>'Bloom Cleaner Data'!L26</f>
        <v>434</v>
      </c>
      <c r="K26" s="13">
        <f>'Bloom Cleaner Data'!N26</f>
        <v>469.67329999999998</v>
      </c>
      <c r="L26" s="13">
        <f>'Bloom Cleaner Data'!P26</f>
        <v>536.01220000000001</v>
      </c>
      <c r="M26" s="13">
        <f>'Bloom Cleaner Data'!R26</f>
        <v>562.64409999999998</v>
      </c>
      <c r="N26" s="13">
        <f>AVERAGE(G26:M26)</f>
        <v>504.56125714285719</v>
      </c>
      <c r="O26" s="13">
        <f t="shared" si="32"/>
        <v>522.7765333333333</v>
      </c>
      <c r="P26" s="10">
        <f t="shared" si="1"/>
        <v>0.11241291049139049</v>
      </c>
      <c r="Q26" s="146">
        <f>P26</f>
        <v>0.11241291049139049</v>
      </c>
      <c r="R26" s="10">
        <f>P26-$P$29</f>
        <v>0.21418848939702945</v>
      </c>
      <c r="S26" s="455" t="s">
        <v>357</v>
      </c>
      <c r="T26" s="1322">
        <f>'Bloom Cleaner Data'!D26/'Bloom Cleaner Data'!$F26</f>
        <v>1.3715994338329309</v>
      </c>
      <c r="U26" s="1322">
        <f>'Bloom Cleaner Data'!E26/'Bloom Cleaner Data'!$F26</f>
        <v>1.1571325168237783</v>
      </c>
      <c r="V26" s="1322">
        <f>'Bloom Cleaner Data'!F26/'Bloom Cleaner Data'!$F26</f>
        <v>1</v>
      </c>
      <c r="W26" s="1322">
        <f>'Bloom Cleaner Data'!G26/'Bloom Cleaner Data'!$F26</f>
        <v>0.97642298508601744</v>
      </c>
      <c r="X26" s="1322">
        <f>'Bloom Cleaner Data'!H26/'Bloom Cleaner Data'!$F26</f>
        <v>0.95284597017203487</v>
      </c>
      <c r="Y26" s="1322">
        <f>'Bloom Cleaner Data'!I26/'Bloom Cleaner Data'!$F26</f>
        <v>1.0673421682759405</v>
      </c>
      <c r="Z26" s="1322">
        <f>'Bloom Cleaner Data'!J26/'Bloom Cleaner Data'!$F26</f>
        <v>1.0713497833376928</v>
      </c>
      <c r="AA26" s="1322">
        <f>'Bloom Cleaner Data'!K26/'Bloom Cleaner Data'!$F26</f>
        <v>0.81679940038012033</v>
      </c>
      <c r="AB26" s="1322">
        <f>'Bloom Cleaner Data'!L26/'Bloom Cleaner Data'!$F26</f>
        <v>0.85806854306881297</v>
      </c>
      <c r="AC26" s="1322">
        <f>'Bloom Cleaner Data'!M26/'Bloom Cleaner Data'!$F26</f>
        <v>0.86773664255177718</v>
      </c>
      <c r="AD26" s="1322">
        <f>'Bloom Cleaner Data'!N26/'Bloom Cleaner Data'!$F26</f>
        <v>0.92859881163438129</v>
      </c>
      <c r="AE26" s="1322">
        <f>'Bloom Cleaner Data'!O26/'Bloom Cleaner Data'!$F26</f>
        <v>0.97940615725470259</v>
      </c>
      <c r="AF26" s="1322">
        <f>'Bloom Cleaner Data'!P26/'Bloom Cleaner Data'!$F26</f>
        <v>1.0597585426753668</v>
      </c>
      <c r="AG26" s="1322">
        <f>'Bloom Cleaner Data'!Q26/'Bloom Cleaner Data'!$F26</f>
        <v>1.2024347793765402</v>
      </c>
      <c r="AH26" s="1322">
        <f>'Bloom Cleaner Data'!R26/'Bloom Cleaner Data'!$F26</f>
        <v>1.1124129104913905</v>
      </c>
      <c r="AI26" s="13"/>
      <c r="AJ26" s="13">
        <f>AVERAGE('Bloom Cleaner Data'!BW26:CI26)</f>
        <v>813.47762307692312</v>
      </c>
      <c r="AK26" s="18">
        <f>('Bloom Cleaner Data'!CI26-'Bloom Cleaner Data'!BW26)/'Bloom Cleaner Data'!BW26</f>
        <v>0.19711467196299834</v>
      </c>
      <c r="AL26" s="18">
        <f>('Bloom Cleaner Data'!CI26+'Bloom Cleaner Data'!CH26-'Bloom Cleaner Data'!BW26-'Bloom Cleaner Data'!BV26)/('Bloom Cleaner Data'!BW26+'Bloom Cleaner Data'!BV26)</f>
        <v>0.15731081723901302</v>
      </c>
      <c r="AM26" s="13"/>
      <c r="AN26" s="13">
        <f>'Bloom Cleaner Data'!BW26</f>
        <v>776.48710000000005</v>
      </c>
      <c r="AO26" s="13">
        <f>'Bloom Cleaner Data'!BY26</f>
        <v>771.35829999999999</v>
      </c>
      <c r="AP26" s="13">
        <f>'Bloom Cleaner Data'!CA26</f>
        <v>837.41330000000005</v>
      </c>
      <c r="AQ26" s="13">
        <f>'Bloom Cleaner Data'!CC26</f>
        <v>704.38350000000003</v>
      </c>
      <c r="AR26" s="13">
        <f>'Bloom Cleaner Data'!CE26</f>
        <v>814.87329999999997</v>
      </c>
      <c r="AS26" s="13">
        <f>'Bloom Cleaner Data'!CG26</f>
        <v>880.1499</v>
      </c>
      <c r="AT26" s="13">
        <f>'Bloom Cleaner Data'!CI26</f>
        <v>929.54409999999996</v>
      </c>
      <c r="AU26" s="13">
        <f>AVERAGE(AN26:AT26)</f>
        <v>816.31564285714296</v>
      </c>
      <c r="AV26" s="10">
        <f t="shared" si="3"/>
        <v>0.19711467196299834</v>
      </c>
      <c r="AW26" s="10"/>
      <c r="AX26" s="13">
        <f>'Bloom Cleaner Data'!T26+'OPERATING LEASES'!AU26</f>
        <v>450.4121838892076</v>
      </c>
      <c r="AY26" s="13">
        <f>'Bloom Cleaner Data'!U26+'OPERATING LEASES'!AV26</f>
        <v>429.7988843338033</v>
      </c>
      <c r="AZ26" s="13">
        <f>'Bloom Cleaner Data'!V26+'OPERATING LEASES'!AW26</f>
        <v>430.31358477839899</v>
      </c>
      <c r="BA26" s="13">
        <f>'Bloom Cleaner Data'!W26+'OPERATING LEASES'!AX26</f>
        <v>431.9282852229947</v>
      </c>
      <c r="BB26" s="13">
        <f>'Bloom Cleaner Data'!X26+'OPERATING LEASES'!AY26</f>
        <v>457.17038566759044</v>
      </c>
      <c r="BC26" s="13">
        <f>'Bloom Cleaner Data'!Y26+'OPERATING LEASES'!AZ26</f>
        <v>469.35520810008836</v>
      </c>
      <c r="BD26" s="13">
        <f>'Bloom Cleaner Data'!Z26+'OPERATING LEASES'!BA26</f>
        <v>458.44363053258621</v>
      </c>
      <c r="BE26" s="13">
        <f>'Bloom Cleaner Data'!AA26+'OPERATING LEASES'!BB26</f>
        <v>418.87965296508418</v>
      </c>
      <c r="BF26" s="13">
        <f>'Bloom Cleaner Data'!AB26+'OPERATING LEASES'!BC26</f>
        <v>428.25977539758208</v>
      </c>
      <c r="BG26" s="13">
        <f>'Bloom Cleaner Data'!AC26+'OPERATING LEASES'!BD26</f>
        <v>482.46193795340048</v>
      </c>
      <c r="BH26" s="13">
        <f>'Bloom Cleaner Data'!AD26+'OPERATING LEASES'!BE26</f>
        <v>485.33200050921891</v>
      </c>
      <c r="BI26" s="13">
        <f>'Bloom Cleaner Data'!AE26+'OPERATING LEASES'!BF26</f>
        <v>458.40206306503734</v>
      </c>
      <c r="BJ26" s="13">
        <f>'Bloom Cleaner Data'!AF26+'OPERATING LEASES'!BG26</f>
        <v>466.42232562085576</v>
      </c>
      <c r="BK26" s="13">
        <f>'Bloom Cleaner Data'!AG26+'OPERATING LEASES'!BH26</f>
        <v>477.88622562085573</v>
      </c>
      <c r="BL26" s="13">
        <f>'Bloom Cleaner Data'!AH26+'OPERATING LEASES'!BI26</f>
        <v>489.17212562085575</v>
      </c>
      <c r="BM26" s="1167">
        <f>AVERAGE(AZ26:BL26)</f>
        <v>458.00209238881149</v>
      </c>
      <c r="BN26" s="10">
        <f t="shared" si="35"/>
        <v>0.13678057798888102</v>
      </c>
      <c r="BO26" s="10"/>
      <c r="BP26" s="13">
        <f>'Bloom Cleaner Data'!BU26+'OPERATING LEASES'!AU26</f>
        <v>1144.6576838892076</v>
      </c>
      <c r="BQ26" s="13">
        <f>'Bloom Cleaner Data'!BV26+'OPERATING LEASES'!AV26</f>
        <v>1015.4615843338033</v>
      </c>
      <c r="BR26" s="13">
        <f>'Bloom Cleaner Data'!BW26+'OPERATING LEASES'!AW26</f>
        <v>936.600684778399</v>
      </c>
      <c r="BS26" s="13">
        <f>'Bloom Cleaner Data'!BX26+'OPERATING LEASES'!AX26</f>
        <v>951.13408522299471</v>
      </c>
      <c r="BT26" s="13">
        <f>'Bloom Cleaner Data'!BY26+'OPERATING LEASES'!AY26</f>
        <v>939.70128566759035</v>
      </c>
      <c r="BU26" s="13">
        <f>'Bloom Cleaner Data'!BZ26+'OPERATING LEASES'!AZ26</f>
        <v>1009.7031081000883</v>
      </c>
      <c r="BV26" s="13">
        <f>'Bloom Cleaner Data'!CA26+'OPERATING LEASES'!BA26</f>
        <v>1000.7807305325863</v>
      </c>
      <c r="BW26" s="13">
        <f>'Bloom Cleaner Data'!CB26+'OPERATING LEASES'!BB26</f>
        <v>832.50625296508429</v>
      </c>
      <c r="BX26" s="13">
        <f>'Bloom Cleaner Data'!CC26+'OPERATING LEASES'!BC26</f>
        <v>862.77537539758214</v>
      </c>
      <c r="BY26" s="13">
        <f>'Bloom Cleaner Data'!CD26+'OPERATING LEASES'!BD26</f>
        <v>921.75193795340044</v>
      </c>
      <c r="BZ26" s="13">
        <f>'Bloom Cleaner Data'!CE26+'OPERATING LEASES'!BE26</f>
        <v>955.40530050921893</v>
      </c>
      <c r="CA26" s="13">
        <f>'Bloom Cleaner Data'!CF26+'OPERATING LEASES'!BF26</f>
        <v>954.17306306503735</v>
      </c>
      <c r="CB26" s="13">
        <f>'Bloom Cleaner Data'!CG26+'OPERATING LEASES'!BG26</f>
        <v>1002.8220256208557</v>
      </c>
      <c r="CC26" s="13">
        <f>'Bloom Cleaner Data'!CH26+'OPERATING LEASES'!BH26</f>
        <v>1086.4304256208557</v>
      </c>
      <c r="CD26" s="13">
        <f>'Bloom Cleaner Data'!CI26+'OPERATING LEASES'!BI26</f>
        <v>1052.2162256208558</v>
      </c>
      <c r="CE26" s="1167">
        <f>AVERAGE(BR26:CD26)</f>
        <v>962.00003854265765</v>
      </c>
      <c r="CF26" s="10">
        <f t="shared" si="37"/>
        <v>0.12344165739085655</v>
      </c>
      <c r="CG26" s="18">
        <f t="shared" si="4"/>
        <v>0.18257713703784342</v>
      </c>
      <c r="CH26" s="13"/>
      <c r="CI26" s="18">
        <f>$CI$1*BP26/('Bloom Cleaner Data'!D26+'Bloom Cleaner Data'!T26+'OPERATING LEASES'!AU26)+(1-$CI$1)*'Bloom Cleaner Data'!BU26/('Bloom Cleaner Data'!D26+'Bloom Cleaner Data'!T26)-1</f>
        <v>4.441727301860432E-4</v>
      </c>
      <c r="CJ26" s="18">
        <f>$CI$1*BQ26/('Bloom Cleaner Data'!E26+'Bloom Cleaner Data'!U26+'OPERATING LEASES'!AV26)+(1-$CI$1)*'Bloom Cleaner Data'!BV26/('Bloom Cleaner Data'!E26+'Bloom Cleaner Data'!U26)-1</f>
        <v>3.940647603786207E-4</v>
      </c>
      <c r="CK26" s="18">
        <f>$CI$1*BR26/('Bloom Cleaner Data'!F26+'Bloom Cleaner Data'!V26+'OPERATING LEASES'!AW26)+(1-$CI$1)*'Bloom Cleaner Data'!BW26/('Bloom Cleaner Data'!F26+'Bloom Cleaner Data'!V26)-1</f>
        <v>5.341305781849659E-4</v>
      </c>
      <c r="CL26" s="18">
        <f>$CI$1*BS26/('Bloom Cleaner Data'!G26+'Bloom Cleaner Data'!W26+'OPERATING LEASES'!AX26)+(1-$CI$1)*'Bloom Cleaner Data'!BX26/('Bloom Cleaner Data'!G26+'Bloom Cleaner Data'!W26)-1</f>
        <v>2.7375147804260314E-2</v>
      </c>
      <c r="CM26" s="18">
        <f>$CI$1*BT26/('Bloom Cleaner Data'!H26+'Bloom Cleaner Data'!X26+'OPERATING LEASES'!AY26)+(1-$CI$1)*'Bloom Cleaner Data'!BY26/('Bloom Cleaner Data'!H26+'Bloom Cleaner Data'!X26)-1</f>
        <v>6.3219593693064624E-4</v>
      </c>
      <c r="CN26" s="18">
        <f>$CI$1*BU26/('Bloom Cleaner Data'!I26+'Bloom Cleaner Data'!Y26+'OPERATING LEASES'!AZ26)+(1-$CI$1)*'Bloom Cleaner Data'!BZ26/('Bloom Cleaner Data'!I26+'Bloom Cleaner Data'!Y26)-1</f>
        <v>4.9544040836457803E-4</v>
      </c>
      <c r="CO26" s="18">
        <f>$CI$1*BV26/('Bloom Cleaner Data'!J26+'Bloom Cleaner Data'!Z26+'OPERATING LEASES'!BA26)+(1-$CI$1)*'Bloom Cleaner Data'!CA26/('Bloom Cleaner Data'!J26+'Bloom Cleaner Data'!Z26)-1</f>
        <v>4.6205282206845943E-4</v>
      </c>
      <c r="CP26" s="18">
        <f>$CI$1*BW26/('Bloom Cleaner Data'!K26+'Bloom Cleaner Data'!AA26+'OPERATING LEASES'!BB26)+(1-$CI$1)*'Bloom Cleaner Data'!CB26/('Bloom Cleaner Data'!K26+'Bloom Cleaner Data'!AA26)-1</f>
        <v>6.0095702191920175E-4</v>
      </c>
      <c r="CQ26" s="18">
        <f>$CI$1*BX26/('Bloom Cleaner Data'!L26+'Bloom Cleaner Data'!AB26+'OPERATING LEASES'!BC26)+(1-$CI$1)*'Bloom Cleaner Data'!CC26/('Bloom Cleaner Data'!L26+'Bloom Cleaner Data'!AB26)-1</f>
        <v>5.9796364704856053E-4</v>
      </c>
      <c r="CR26" s="18">
        <f>$CI$1*BY26/('Bloom Cleaner Data'!M26+'Bloom Cleaner Data'!AC26+'OPERATING LEASES'!BD26)+(1-$CI$1)*'Bloom Cleaner Data'!CD26/('Bloom Cleaner Data'!M26+'Bloom Cleaner Data'!AC26)-1</f>
        <v>4.3414463412161375E-4</v>
      </c>
      <c r="CS26" s="18">
        <f>$CI$1*BZ26/('Bloom Cleaner Data'!N26+'Bloom Cleaner Data'!AD26+'OPERATING LEASES'!BE26)+(1-$CI$1)*'Bloom Cleaner Data'!CE26/('Bloom Cleaner Data'!N26+'Bloom Cleaner Data'!AD26)-1</f>
        <v>4.1884584283113924E-4</v>
      </c>
      <c r="CT26" s="18">
        <f>$CI$1*CA26/('Bloom Cleaner Data'!O26+'Bloom Cleaner Data'!AE26+'OPERATING LEASES'!BF26)+(1-$CI$1)*'Bloom Cleaner Data'!CF26/('Bloom Cleaner Data'!O26+'Bloom Cleaner Data'!AE26)-1</f>
        <v>4.1938697525645274E-4</v>
      </c>
      <c r="CU26" s="18">
        <f>$CI$1*CB26/('Bloom Cleaner Data'!P26+'Bloom Cleaner Data'!AF26+'OPERATING LEASES'!BG26)+(1-$CI$1)*'Bloom Cleaner Data'!CG26/('Bloom Cleaner Data'!P26+'Bloom Cleaner Data'!AF26)-1</f>
        <v>3.8655891242367346E-4</v>
      </c>
      <c r="CV26" s="18">
        <f>$CI$1*CC26/('Bloom Cleaner Data'!Q26+'Bloom Cleaner Data'!AG26+'OPERATING LEASES'!BH26)+(1-$CI$1)*'Bloom Cleaner Data'!CH26/('Bloom Cleaner Data'!Q26+'Bloom Cleaner Data'!AG26)-1</f>
        <v>3.3902293194065791E-4</v>
      </c>
      <c r="CW26" s="18">
        <f>$CI$1*CD26/('Bloom Cleaner Data'!R26+'Bloom Cleaner Data'!AH26+'OPERATING LEASES'!BI26)+(1-$CI$1)*'Bloom Cleaner Data'!CI26/('Bloom Cleaner Data'!R26+'Bloom Cleaner Data'!AH26)-1</f>
        <v>3.8029457072119577E-4</v>
      </c>
      <c r="CX26" s="18">
        <f t="shared" si="38"/>
        <v>2.5443186220054969E-3</v>
      </c>
      <c r="CY26" s="13"/>
      <c r="CZ26" s="3112">
        <f>AVERAGE('Bloom Cleaner Data'!GX26:HJ26)</f>
        <v>225.65520219924653</v>
      </c>
      <c r="DA26" s="2860">
        <f>('Bloom Cleaner Data'!HJ26-'Bloom Cleaner Data'!GX26)/'Bloom Cleaner Data'!GX26</f>
        <v>0.35055897101340627</v>
      </c>
      <c r="DB26" s="2860">
        <f>('Bloom Cleaner Data'!HJ26+'Bloom Cleaner Data'!HI26-'Bloom Cleaner Data'!GX26-'Bloom Cleaner Data'!GW26)/('Bloom Cleaner Data'!GX26+'Bloom Cleaner Data'!GW26)</f>
        <v>0.36885142407304877</v>
      </c>
      <c r="DC26" s="13"/>
      <c r="DD26" s="13">
        <f>'Bloom Cleaner Data'!GV26+'OPERATING LEASES'!BL26</f>
        <v>205.95435121087667</v>
      </c>
      <c r="DE26" s="13">
        <f>'Bloom Cleaner Data'!GW26+'OPERATING LEASES'!BM26</f>
        <v>208.12613146660726</v>
      </c>
      <c r="DF26" s="13">
        <f>'Bloom Cleaner Data'!GX26+'OPERATING LEASES'!BN26</f>
        <v>213.38958131548142</v>
      </c>
      <c r="DG26" s="13">
        <f>'Bloom Cleaner Data'!GY26+'OPERATING LEASES'!BO26</f>
        <v>217.46591362956485</v>
      </c>
      <c r="DH26" s="13">
        <f>'Bloom Cleaner Data'!GZ26+'OPERATING LEASES'!BP26</f>
        <v>223.11650288149858</v>
      </c>
      <c r="DI26" s="13">
        <f>'Bloom Cleaner Data'!HA26+'OPERATING LEASES'!BQ26</f>
        <v>230.38110697822634</v>
      </c>
      <c r="DJ26" s="13">
        <f>'Bloom Cleaner Data'!HB26+'OPERATING LEASES'!BR26</f>
        <v>234.94124203914922</v>
      </c>
      <c r="DK26" s="13">
        <f>'Bloom Cleaner Data'!HC26+'OPERATING LEASES'!BS26</f>
        <v>242.61291376721579</v>
      </c>
      <c r="DL26" s="13">
        <f>'Bloom Cleaner Data'!HD26+'OPERATING LEASES'!BT26</f>
        <v>268.98734557513023</v>
      </c>
      <c r="DM26" s="13">
        <f>'Bloom Cleaner Data'!HE26+'OPERATING LEASES'!BU26</f>
        <v>272.23447954626971</v>
      </c>
      <c r="DN26" s="13">
        <f>'Bloom Cleaner Data'!HF26+'OPERATING LEASES'!BV26</f>
        <v>278.29269509064852</v>
      </c>
      <c r="DO26" s="13">
        <f>'Bloom Cleaner Data'!HG26+'OPERATING LEASES'!BW26</f>
        <v>285.73583191462166</v>
      </c>
      <c r="DP26" s="13">
        <f>'Bloom Cleaner Data'!HH26+'OPERATING LEASES'!BX26</f>
        <v>267.23925101483485</v>
      </c>
      <c r="DQ26" s="13">
        <f>'Bloom Cleaner Data'!HI26+'OPERATING LEASES'!BY26</f>
        <v>268.56504847373282</v>
      </c>
      <c r="DR26" s="13">
        <f>'Bloom Cleaner Data'!HJ26+'OPERATING LEASES'!BZ26</f>
        <v>269.36342886383039</v>
      </c>
      <c r="DS26" s="1167">
        <f t="shared" si="39"/>
        <v>251.71733393001574</v>
      </c>
      <c r="DT26" s="10">
        <f t="shared" si="40"/>
        <v>0.26230824955598742</v>
      </c>
      <c r="DU26" s="18">
        <f t="shared" si="41"/>
        <v>0.11549537292633368</v>
      </c>
      <c r="DV26" s="167"/>
      <c r="DW26" s="15">
        <f>'Bloom Cleaner Data'!DT26</f>
        <v>0.84570000000000001</v>
      </c>
      <c r="DX26" s="15">
        <f>'Bloom Cleaner Data'!DX26</f>
        <v>0.93479999999999996</v>
      </c>
      <c r="DY26" s="15">
        <f>'Bloom Cleaner Data'!EB26</f>
        <v>0.96409999999999996</v>
      </c>
      <c r="DZ26" s="15">
        <f>'Bloom Cleaner Data'!EF26</f>
        <v>1.1364000000000001</v>
      </c>
      <c r="EA26" s="15">
        <f>AVERAGE('Bloom Cleaner Data'!DT26:EF26)</f>
        <v>0.9397923076923077</v>
      </c>
      <c r="EB26" s="18">
        <f t="shared" si="5"/>
        <v>0.3437389145086911</v>
      </c>
      <c r="EC26" s="13"/>
      <c r="ED26" s="15">
        <f>'Bloom Cleaner Data'!DC26</f>
        <v>4.2282999999999999</v>
      </c>
      <c r="EE26" s="15">
        <f>'Bloom Cleaner Data'!DG26</f>
        <v>4.0549999999999997</v>
      </c>
      <c r="EF26" s="15">
        <f>'Bloom Cleaner Data'!DK26</f>
        <v>3.2101999999999999</v>
      </c>
      <c r="EG26" s="15">
        <f>'Bloom Cleaner Data'!DO26</f>
        <v>3.7479</v>
      </c>
      <c r="EH26" s="15">
        <f>AVERAGE('Bloom Cleaner Data'!DC26:DO26)</f>
        <v>3.6451000000000002</v>
      </c>
      <c r="EI26" s="22">
        <f>AVERAGE(ED26:EG26)</f>
        <v>3.8103500000000001</v>
      </c>
      <c r="EJ26" s="22">
        <f t="shared" si="6"/>
        <v>-0.1652499999999999</v>
      </c>
      <c r="EK26" s="18">
        <f>(EG26-ED26)/ED26</f>
        <v>-0.11361540098857696</v>
      </c>
      <c r="EL26" s="241"/>
      <c r="EM26" s="15">
        <f>('Bloom Cleaner Data'!BU26+'OPERATING LEASES'!AU26)/DD26</f>
        <v>5.5578222900335454</v>
      </c>
      <c r="EN26" s="15">
        <f>('Bloom Cleaner Data'!BV26+'OPERATING LEASES'!AV26)/DE26</f>
        <v>4.879068174563792</v>
      </c>
      <c r="EO26" s="15">
        <f>('Bloom Cleaner Data'!BW26+'OPERATING LEASES'!AW26)/DF26</f>
        <v>4.3891584537752149</v>
      </c>
      <c r="EP26" s="15">
        <f>('Bloom Cleaner Data'!BX26+'OPERATING LEASES'!AX26)/DG26</f>
        <v>4.3737157209987982</v>
      </c>
      <c r="EQ26" s="15">
        <f>('Bloom Cleaner Data'!BY26+'OPERATING LEASES'!AY26)/DH26</f>
        <v>4.2117067699231718</v>
      </c>
      <c r="ER26" s="15">
        <f>('Bloom Cleaner Data'!BZ26+'OPERATING LEASES'!AZ26)/DI26</f>
        <v>4.3827513520694943</v>
      </c>
      <c r="ES26" s="15">
        <f>('Bloom Cleaner Data'!CA26+'OPERATING LEASES'!BA26)/DJ26</f>
        <v>4.2597064774426538</v>
      </c>
      <c r="ET26" s="15">
        <f>('Bloom Cleaner Data'!CB26+'OPERATING LEASES'!BB26)/DK26</f>
        <v>3.4314177264441255</v>
      </c>
      <c r="EU26" s="15">
        <f>('Bloom Cleaner Data'!CC26+'OPERATING LEASES'!BC26)/DL26</f>
        <v>3.2074942914242124</v>
      </c>
      <c r="EV26" s="15">
        <f>('Bloom Cleaner Data'!CD26+'OPERATING LEASES'!BD26)/DM26</f>
        <v>3.3858750717016983</v>
      </c>
      <c r="EW26" s="15">
        <f>('Bloom Cleaner Data'!CE26+'OPERATING LEASES'!BE26)/DN26</f>
        <v>3.4330951453756771</v>
      </c>
      <c r="EX26" s="15">
        <f>('Bloom Cleaner Data'!CF26+'OPERATING LEASES'!BF26)/DO26</f>
        <v>3.3393538943696282</v>
      </c>
      <c r="EY26" s="15">
        <f>('Bloom Cleaner Data'!CG26+'OPERATING LEASES'!BG26)/DP26</f>
        <v>3.7525252065804793</v>
      </c>
      <c r="EZ26" s="15">
        <f>('Bloom Cleaner Data'!CH26+'OPERATING LEASES'!BH26)/DQ26</f>
        <v>4.0453157691035688</v>
      </c>
      <c r="FA26" s="15">
        <f>('Bloom Cleaner Data'!CI26+'OPERATING LEASES'!BI26)/DR26</f>
        <v>3.9063069179772585</v>
      </c>
      <c r="FB26" s="526">
        <f>AVERAGE(EO26:FA26)</f>
        <v>3.8552632920912293</v>
      </c>
      <c r="FC26" s="10">
        <f t="shared" si="45"/>
        <v>-0.11001004882442665</v>
      </c>
      <c r="FD26" s="15">
        <f t="shared" si="7"/>
        <v>0.21016329209122908</v>
      </c>
      <c r="FE26" s="15">
        <f t="shared" si="46"/>
        <v>3.7143841852488797</v>
      </c>
      <c r="FF26" s="13"/>
      <c r="FG26" s="15">
        <f>$FG$1*EM26+(1-$FG$1)*'Bloom Cleaner Data'!DA26</f>
        <v>5.5578222900335454</v>
      </c>
      <c r="FH26" s="15">
        <f>$FG$1*EN26+(1-$FG$1)*'Bloom Cleaner Data'!DB26</f>
        <v>4.879068174563792</v>
      </c>
      <c r="FI26" s="15">
        <f>$FG$1*EO26+(1-$FG$1)*'Bloom Cleaner Data'!DC26</f>
        <v>4.3891584537752149</v>
      </c>
      <c r="FJ26" s="15">
        <f>$FG$1*EP26+(1-$FG$1)*'Bloom Cleaner Data'!DD26</f>
        <v>4.3737157209987982</v>
      </c>
      <c r="FK26" s="15">
        <f>$FG$1*EQ26+(1-$FG$1)*'Bloom Cleaner Data'!DE26</f>
        <v>4.2117067699231718</v>
      </c>
      <c r="FL26" s="15">
        <f>$FG$1*ER26+(1-$FG$1)*'Bloom Cleaner Data'!DF26</f>
        <v>4.3827513520694943</v>
      </c>
      <c r="FM26" s="15">
        <f>$FG$1*ES26+(1-$FG$1)*'Bloom Cleaner Data'!DG26</f>
        <v>4.2597064774426538</v>
      </c>
      <c r="FN26" s="15">
        <f>$FG$1*ET26+(1-$FG$1)*'Bloom Cleaner Data'!DH26</f>
        <v>3.4314177264441255</v>
      </c>
      <c r="FO26" s="15">
        <f>$FG$1*EU26+(1-$FG$1)*'Bloom Cleaner Data'!DI26</f>
        <v>3.2074942914242124</v>
      </c>
      <c r="FP26" s="15">
        <f>$FG$1*EV26+(1-$FG$1)*'Bloom Cleaner Data'!DJ26</f>
        <v>3.3858750717016983</v>
      </c>
      <c r="FQ26" s="15">
        <f>$FG$1*EW26+(1-$FG$1)*'Bloom Cleaner Data'!DK26</f>
        <v>3.4330951453756771</v>
      </c>
      <c r="FR26" s="15">
        <f>$FG$1*EX26+(1-$FG$1)*'Bloom Cleaner Data'!DL26</f>
        <v>3.3393538943696282</v>
      </c>
      <c r="FS26" s="15">
        <f>$FG$1*EY26+(1-$FG$1)*'Bloom Cleaner Data'!DM26</f>
        <v>3.7525252065804793</v>
      </c>
      <c r="FT26" s="15">
        <f>$FG$1*EZ26+(1-$FG$1)*'Bloom Cleaner Data'!DN26</f>
        <v>4.0453157691035688</v>
      </c>
      <c r="FU26" s="15">
        <f>$FG$1*FA26+(1-$FG$1)*'Bloom Cleaner Data'!DO26</f>
        <v>3.9063069179772585</v>
      </c>
      <c r="FV26" s="526">
        <f>AVERAGE(FI26:FU26)</f>
        <v>3.8552632920912293</v>
      </c>
      <c r="FW26" s="10">
        <f t="shared" si="48"/>
        <v>-0.11001004882442665</v>
      </c>
      <c r="FX26" s="526">
        <f t="shared" si="49"/>
        <v>3.7143841852488797</v>
      </c>
      <c r="FY26" s="2710"/>
      <c r="FZ26" s="2710"/>
      <c r="GA26" s="10">
        <f>'Bloom Cleaner Data'!T26/('Bloom Cleaner Data'!T26+'Bloom Cleaner Data'!D26)</f>
        <v>0.30085502334909831</v>
      </c>
      <c r="GB26" s="10">
        <f>'Bloom Cleaner Data'!U26/('Bloom Cleaner Data'!U26+'Bloom Cleaner Data'!E26)</f>
        <v>0.31871946017444364</v>
      </c>
      <c r="GC26" s="10">
        <f>'Bloom Cleaner Data'!V26/('Bloom Cleaner Data'!V26+'Bloom Cleaner Data'!F26)</f>
        <v>0.34820166469262176</v>
      </c>
      <c r="GD26" s="10">
        <f>'Bloom Cleaner Data'!W26/('Bloom Cleaner Data'!W26+'Bloom Cleaner Data'!G26)</f>
        <v>0.35151431829956359</v>
      </c>
      <c r="GE26" s="10">
        <f>'Bloom Cleaner Data'!X26/('Bloom Cleaner Data'!X26+'Bloom Cleaner Data'!H26)</f>
        <v>0.37472841902702853</v>
      </c>
      <c r="GF26" s="10">
        <f>'Bloom Cleaner Data'!Y26/('Bloom Cleaner Data'!Y26+'Bloom Cleaner Data'!I26)</f>
        <v>0.3598752068986002</v>
      </c>
      <c r="GG26" s="10">
        <f>'Bloom Cleaner Data'!Z26/('Bloom Cleaner Data'!Z26+'Bloom Cleaner Data'!J26)</f>
        <v>0.35256086048515856</v>
      </c>
      <c r="GH26" s="10">
        <f>'Bloom Cleaner Data'!AA26/('Bloom Cleaner Data'!AA26+'Bloom Cleaner Data'!K26)</f>
        <v>0.38442821369321373</v>
      </c>
      <c r="GI26" s="10">
        <f>'Bloom Cleaner Data'!AB26/('Bloom Cleaner Data'!AB26+'Bloom Cleaner Data'!L26)</f>
        <v>0.38340702850634334</v>
      </c>
      <c r="GJ26" s="10">
        <f>'Bloom Cleaner Data'!AC26/('Bloom Cleaner Data'!AC26+'Bloom Cleaner Data'!M26)</f>
        <v>0.43140862039927969</v>
      </c>
      <c r="GK26" s="10">
        <f>'Bloom Cleaner Data'!AD26/('Bloom Cleaner Data'!AD26+'Bloom Cleaner Data'!N26)</f>
        <v>0.42334107207688698</v>
      </c>
      <c r="GL26" s="10">
        <f>'Bloom Cleaner Data'!AE26/('Bloom Cleaner Data'!AE26+'Bloom Cleaner Data'!O26)</f>
        <v>0.39748422165218672</v>
      </c>
      <c r="GM26" s="10">
        <f>'Bloom Cleaner Data'!AF26/('Bloom Cleaner Data'!AF26+'Bloom Cleaner Data'!P26)</f>
        <v>0.39073072456836072</v>
      </c>
      <c r="GN26" s="10">
        <f>'Bloom Cleaner Data'!AG26/('Bloom Cleaner Data'!AG26+'Bloom Cleaner Data'!Q26)</f>
        <v>0.36871263260853515</v>
      </c>
      <c r="GO26" s="10">
        <f>'Bloom Cleaner Data'!AH26/('Bloom Cleaner Data'!AH26+'Bloom Cleaner Data'!R26)</f>
        <v>0.39444904186551905</v>
      </c>
      <c r="GP26" s="10">
        <f>AVERAGE(GC26:GO26)</f>
        <v>0.38160323267486906</v>
      </c>
      <c r="GQ26" s="10">
        <f t="shared" si="51"/>
        <v>0.13281779457810056</v>
      </c>
      <c r="GR26" s="10"/>
      <c r="GS26" s="496">
        <f t="shared" si="8"/>
        <v>0.43031850817305062</v>
      </c>
      <c r="GT26" s="497">
        <f t="shared" si="9"/>
        <v>0.4678241070206593</v>
      </c>
      <c r="GU26" s="497">
        <f t="shared" si="10"/>
        <v>0.53421686713638994</v>
      </c>
      <c r="GV26" s="497">
        <f t="shared" si="11"/>
        <v>0.54205409343477728</v>
      </c>
      <c r="GW26" s="497">
        <f t="shared" si="12"/>
        <v>0.59930505468347339</v>
      </c>
      <c r="GX26" s="497">
        <f t="shared" si="13"/>
        <v>0.5621953887381983</v>
      </c>
      <c r="GY26" s="497">
        <f t="shared" si="14"/>
        <v>0.54454672102361634</v>
      </c>
      <c r="GZ26" s="497">
        <f t="shared" si="15"/>
        <v>0.62450590206488754</v>
      </c>
      <c r="HA26" s="497">
        <f t="shared" si="16"/>
        <v>0.62181543778801851</v>
      </c>
      <c r="HB26" s="497">
        <f t="shared" si="17"/>
        <v>0.75873225637403452</v>
      </c>
      <c r="HC26" s="497">
        <f t="shared" si="18"/>
        <v>0.73412731786116003</v>
      </c>
      <c r="HD26" s="497">
        <f t="shared" si="19"/>
        <v>0.65970757270813196</v>
      </c>
      <c r="HE26" s="497">
        <f t="shared" si="20"/>
        <v>0.64131040300948361</v>
      </c>
      <c r="HF26" s="497">
        <f t="shared" si="21"/>
        <v>0.5840646457604376</v>
      </c>
      <c r="HG26" s="498">
        <f t="shared" si="22"/>
        <v>0.65138868424995489</v>
      </c>
      <c r="HH26" s="10">
        <f t="shared" si="52"/>
        <v>0.61984387267942787</v>
      </c>
      <c r="HI26" s="10">
        <f t="shared" si="53"/>
        <v>0.2193338030333101</v>
      </c>
      <c r="HJ26" s="10"/>
      <c r="HK26" s="18">
        <f>('Bloom Cleaner Data'!T26+'OPERATING LEASES'!AU26)/('Bloom Cleaner Data'!T26+'OPERATING LEASES'!AU26+'Bloom Cleaner Data'!D26)</f>
        <v>0.39366550457914007</v>
      </c>
      <c r="HL26" s="18">
        <f>('Bloom Cleaner Data'!U26+'OPERATING LEASES'!AV26)/('Bloom Cleaner Data'!U26+'OPERATING LEASES'!AV26+'Bloom Cleaner Data'!E26)</f>
        <v>0.42342148591495099</v>
      </c>
      <c r="HM26" s="18">
        <f>('Bloom Cleaner Data'!V26+'OPERATING LEASES'!AW26)/('Bloom Cleaner Data'!V26+'OPERATING LEASES'!AW26+'Bloom Cleaner Data'!F26)</f>
        <v>0.45968728767703676</v>
      </c>
      <c r="HN26" s="18">
        <f>('Bloom Cleaner Data'!W26+'OPERATING LEASES'!AX26)/('Bloom Cleaner Data'!W26+'OPERATING LEASES'!AX26+'Bloom Cleaner Data'!G26)</f>
        <v>0.46655081840303986</v>
      </c>
      <c r="HO26" s="18">
        <f>('Bloom Cleaner Data'!X26+'OPERATING LEASES'!AY26)/('Bloom Cleaner Data'!X26+'OPERATING LEASES'!AY26+'Bloom Cleaner Data'!H26)</f>
        <v>0.48681364376648956</v>
      </c>
      <c r="HP26" s="18">
        <f>('Bloom Cleaner Data'!Y26+'OPERATING LEASES'!AZ26)/('Bloom Cleaner Data'!Y26+'OPERATING LEASES'!AZ26+'Bloom Cleaner Data'!I26)</f>
        <v>0.46507507193838304</v>
      </c>
      <c r="HQ26" s="18">
        <f>('Bloom Cleaner Data'!Z26+'OPERATING LEASES'!BA26)/('Bloom Cleaner Data'!Z26+'OPERATING LEASES'!BA26+'Bloom Cleaner Data'!J26)</f>
        <v>0.45829764873845052</v>
      </c>
      <c r="HR26" s="18">
        <f>('Bloom Cleaner Data'!AA26+'OPERATING LEASES'!BB26)/('Bloom Cleaner Data'!AA26+'OPERATING LEASES'!BB26+'Bloom Cleaner Data'!K26)</f>
        <v>0.50345733757684008</v>
      </c>
      <c r="HS26" s="18">
        <f>('Bloom Cleaner Data'!AB26+'OPERATING LEASES'!BC26)/('Bloom Cleaner Data'!AB26+'OPERATING LEASES'!BC26+'Bloom Cleaner Data'!L26)</f>
        <v>0.49667140647969393</v>
      </c>
      <c r="HT26" s="18">
        <f>('Bloom Cleaner Data'!AC26+'OPERATING LEASES'!BD26)/('Bloom Cleaner Data'!AC26+'OPERATING LEASES'!BD26+'Bloom Cleaner Data'!M26)</f>
        <v>0.52364565382593475</v>
      </c>
      <c r="HU26" s="18">
        <f>('Bloom Cleaner Data'!AD26+'OPERATING LEASES'!BE26)/('Bloom Cleaner Data'!AD26+'OPERATING LEASES'!BE26+'Bloom Cleaner Data'!N26)</f>
        <v>0.50819822701553052</v>
      </c>
      <c r="HV26" s="18">
        <f>('Bloom Cleaner Data'!AE26+'OPERATING LEASES'!BF26)/('Bloom Cleaner Data'!AE26+'OPERATING LEASES'!BF26+'Bloom Cleaner Data'!O26)</f>
        <v>0.48061963670049579</v>
      </c>
      <c r="HW26" s="18">
        <f>('Bloom Cleaner Data'!AF26+'OPERATING LEASES'!BG26)/('Bloom Cleaner Data'!AF26+'OPERATING LEASES'!BG26+'Bloom Cleaner Data'!P26)</f>
        <v>0.46528956625070156</v>
      </c>
      <c r="HX26" s="18">
        <f>('Bloom Cleaner Data'!AG26+'OPERATING LEASES'!BH26)/('Bloom Cleaner Data'!AG26+'OPERATING LEASES'!BH26+'Bloom Cleaner Data'!Q26)</f>
        <v>0.44001735291701949</v>
      </c>
      <c r="HY26" s="18">
        <f>('Bloom Cleaner Data'!AH26+'OPERATING LEASES'!BI26)/('Bloom Cleaner Data'!AH26+'OPERATING LEASES'!BI26+'Bloom Cleaner Data'!R26)</f>
        <v>0.46507375880431212</v>
      </c>
      <c r="HZ26" s="10">
        <f t="shared" si="54"/>
        <v>0.47841518539184064</v>
      </c>
      <c r="IA26" s="10">
        <f t="shared" si="55"/>
        <v>1.1717685634717274E-2</v>
      </c>
      <c r="IB26" s="10">
        <f t="shared" si="23"/>
        <v>9.6811952716971572E-2</v>
      </c>
      <c r="IC26" s="10">
        <f t="shared" si="24"/>
        <v>0.25369793656715856</v>
      </c>
      <c r="IE26" s="502">
        <f t="shared" si="56"/>
        <v>0.64925467304296247</v>
      </c>
      <c r="IF26" s="467">
        <f t="shared" si="108"/>
        <v>0.7343691718843578</v>
      </c>
      <c r="IG26" s="467">
        <f t="shared" si="109"/>
        <v>0.85078007086064289</v>
      </c>
      <c r="IH26" s="467">
        <f t="shared" si="110"/>
        <v>0.87459280939629513</v>
      </c>
      <c r="II26" s="467">
        <f t="shared" si="111"/>
        <v>0.94860987213186798</v>
      </c>
      <c r="IJ26" s="467">
        <f t="shared" si="112"/>
        <v>0.86942119826730524</v>
      </c>
      <c r="IK26" s="467">
        <f t="shared" si="113"/>
        <v>0.84603223093113578</v>
      </c>
      <c r="IL26" s="467">
        <f t="shared" si="114"/>
        <v>1.0139256415952984</v>
      </c>
      <c r="IM26" s="467">
        <f t="shared" si="115"/>
        <v>0.98677367603129529</v>
      </c>
      <c r="IN26" s="467">
        <f t="shared" si="116"/>
        <v>1.0992775819758946</v>
      </c>
      <c r="IO26" s="467">
        <f t="shared" si="117"/>
        <v>1.0333395586021583</v>
      </c>
      <c r="IP26" s="467">
        <f t="shared" si="118"/>
        <v>0.92537121281834678</v>
      </c>
      <c r="IQ26" s="467">
        <f t="shared" si="119"/>
        <v>0.87017109987581576</v>
      </c>
      <c r="IR26" s="467">
        <f t="shared" si="120"/>
        <v>0.78576962198583256</v>
      </c>
      <c r="IS26" s="503">
        <f t="shared" si="121"/>
        <v>0.86941660922216346</v>
      </c>
      <c r="IT26" s="10">
        <f t="shared" si="57"/>
        <v>0.92103701413031169</v>
      </c>
      <c r="IU26" s="10">
        <f t="shared" si="58"/>
        <v>2.1905236147184298E-2</v>
      </c>
      <c r="IV26" s="10">
        <f t="shared" si="59"/>
        <v>0.30119314145088383</v>
      </c>
      <c r="IW26" s="10">
        <f t="shared" si="60"/>
        <v>0.48591775239932961</v>
      </c>
      <c r="IY26" s="15">
        <f>'Bloom Cleaner Data'!T26/'Bloom Cleaner Data'!BU26*'Bloom Cleaner Data'!DA26</f>
        <v>1.6985998985669946</v>
      </c>
      <c r="IZ26" s="15">
        <f>'Bloom Cleaner Data'!U26/'Bloom Cleaner Data'!BV26*'Bloom Cleaner Data'!DB26</f>
        <v>1.536914539746751</v>
      </c>
      <c r="JA26" s="15">
        <f>'Bloom Cleaner Data'!V26/'Bloom Cleaner Data'!BW26*'Bloom Cleaner Data'!DC26</f>
        <v>1.4713530463030229</v>
      </c>
      <c r="JB26" s="15">
        <f>'Bloom Cleaner Data'!W26/'Bloom Cleaner Data'!BX26*'Bloom Cleaner Data'!DD26</f>
        <v>1.4243548973714515</v>
      </c>
      <c r="JC26" s="15">
        <f>'Bloom Cleaner Data'!X26/'Bloom Cleaner Data'!BY26*'Bloom Cleaner Data'!DE26</f>
        <v>1.4901588584449019</v>
      </c>
      <c r="JD26" s="15">
        <f>'Bloom Cleaner Data'!Y26/'Bloom Cleaner Data'!BZ26*'Bloom Cleaner Data'!DF26</f>
        <v>1.5060485426342829</v>
      </c>
      <c r="JE26" s="15">
        <f>'Bloom Cleaner Data'!Z26/'Bloom Cleaner Data'!CA26*'Bloom Cleaner Data'!DG26</f>
        <v>1.428845220155925</v>
      </c>
      <c r="JF26" s="15">
        <f>'Bloom Cleaner Data'!AA26/'Bloom Cleaner Data'!CB26*'Bloom Cleaner Data'!DH26</f>
        <v>1.2021340429339753</v>
      </c>
      <c r="JG26" s="15">
        <f>'Bloom Cleaner Data'!AB26/'Bloom Cleaner Data'!CC26*'Bloom Cleaner Data'!DI26</f>
        <v>1.1178095242719344</v>
      </c>
      <c r="JH26" s="15">
        <f>'Bloom Cleaner Data'!AC26/'Bloom Cleaner Data'!CD26*'Bloom Cleaner Data'!DJ26</f>
        <v>1.3524123062580118</v>
      </c>
      <c r="JI26" s="15">
        <f>'Bloom Cleaner Data'!AD26/'Bloom Cleaner Data'!CE26*'Bloom Cleaner Data'!DK26</f>
        <v>1.3583424073411168</v>
      </c>
      <c r="JJ26" s="15">
        <f>'Bloom Cleaner Data'!AE26/'Bloom Cleaner Data'!CF26*'Bloom Cleaner Data'!DL26</f>
        <v>1.2433617037313498</v>
      </c>
      <c r="JK26" s="15">
        <f>'Bloom Cleaner Data'!AF26/'Bloom Cleaner Data'!CG26*'Bloom Cleaner Data'!DM26</f>
        <v>1.3979658077334327</v>
      </c>
      <c r="JL26" s="15">
        <f>'Bloom Cleaner Data'!AG26/'Bloom Cleaner Data'!CH26*'Bloom Cleaner Data'!DN26</f>
        <v>1.4368401781234983</v>
      </c>
      <c r="JM26" s="15">
        <f>'Bloom Cleaner Data'!AH26/'Bloom Cleaner Data'!CI26*'Bloom Cleaner Data'!DO26</f>
        <v>1.4777194002952632</v>
      </c>
      <c r="JN26" s="15">
        <f>AVERAGE(JK26:JM26)</f>
        <v>1.4375084620507312</v>
      </c>
      <c r="JO26" s="15">
        <f>AVERAGE(JJ26:JM26)</f>
        <v>1.3889717724708859</v>
      </c>
      <c r="JP26" s="15">
        <f>AVERAGE(JA26:JM26)</f>
        <v>1.3774881488921666</v>
      </c>
      <c r="JQ26" s="18">
        <f>(JM26-JA26)/JA26</f>
        <v>4.3268704327874413E-3</v>
      </c>
      <c r="JR26" s="18"/>
      <c r="JS26" s="21" t="s">
        <v>357</v>
      </c>
      <c r="JT26" s="526">
        <f>('Bloom Cleaner Data'!T26+'OPERATING LEASES'!AU26)/DD26</f>
        <v>2.1869515319345236</v>
      </c>
      <c r="JU26" s="526">
        <f>('Bloom Cleaner Data'!U26+'OPERATING LEASES'!AV26)/DE26</f>
        <v>2.0650885177422436</v>
      </c>
      <c r="JV26" s="526">
        <f>('Bloom Cleaner Data'!V26+'OPERATING LEASES'!AW26)/DF26</f>
        <v>2.0165632367130932</v>
      </c>
      <c r="JW26" s="526">
        <f>('Bloom Cleaner Data'!W26+'OPERATING LEASES'!AX26)/DG26</f>
        <v>1.9861884467960744</v>
      </c>
      <c r="JX26" s="526">
        <f>('Bloom Cleaner Data'!X26+'OPERATING LEASES'!AY26)/DH26</f>
        <v>2.0490209364315932</v>
      </c>
      <c r="JY26" s="526">
        <f>('Bloom Cleaner Data'!Y26+'OPERATING LEASES'!AZ26)/DI26</f>
        <v>2.0372990400833859</v>
      </c>
      <c r="JZ26" s="526">
        <f>('Bloom Cleaner Data'!Z26+'OPERATING LEASES'!BA26)/DJ26</f>
        <v>1.9513118537791414</v>
      </c>
      <c r="KA26" s="526">
        <f>('Bloom Cleaner Data'!AA26+'OPERATING LEASES'!BB26)/DK26</f>
        <v>1.726534859422175</v>
      </c>
      <c r="KB26" s="526">
        <f>('Bloom Cleaner Data'!AB26+'OPERATING LEASES'!BC26)/DL26</f>
        <v>1.5921186719096636</v>
      </c>
      <c r="KC26" s="526">
        <f>('Bloom Cleaner Data'!AC26+'OPERATING LEASES'!BD26)/DM26</f>
        <v>1.7722293618262999</v>
      </c>
      <c r="KD26" s="526">
        <f>('Bloom Cleaner Data'!AD26+'OPERATING LEASES'!BE26)/DN26</f>
        <v>1.7439624146481147</v>
      </c>
      <c r="KE26" s="526">
        <f>('Bloom Cleaner Data'!AE26+'OPERATING LEASES'!BF26)/DO26</f>
        <v>1.604286238773192</v>
      </c>
      <c r="KF26" s="526">
        <f>('Bloom Cleaner Data'!AF26+'OPERATING LEASES'!BG26)/DP26</f>
        <v>1.7453361504705158</v>
      </c>
      <c r="KG26" s="526">
        <f>('Bloom Cleaner Data'!AG26+'OPERATING LEASES'!BH26)/DQ26</f>
        <v>1.7794058770368837</v>
      </c>
      <c r="KH26" s="526">
        <f>('Bloom Cleaner Data'!AH26+'OPERATING LEASES'!BI26)/DR26</f>
        <v>1.8160302149559577</v>
      </c>
      <c r="KI26" s="15">
        <f>AVERAGE(KF26:KH26)</f>
        <v>1.7802574141544525</v>
      </c>
      <c r="KJ26" s="15">
        <f>AVERAGE(KE26:KH26)</f>
        <v>1.7362646203091372</v>
      </c>
      <c r="KK26" s="15">
        <f>AVERAGE(JV26:KH26)</f>
        <v>1.832329792526622</v>
      </c>
      <c r="KL26" s="18">
        <f>(KH26-JV26)/JV26</f>
        <v>-9.9442962217240083E-2</v>
      </c>
      <c r="KM26" s="15">
        <f t="shared" si="69"/>
        <v>0.45484164363445534</v>
      </c>
      <c r="KN26" s="18"/>
      <c r="KO26" s="15">
        <f t="shared" si="70"/>
        <v>2.1869515319345236</v>
      </c>
      <c r="KP26" s="15">
        <f t="shared" si="122"/>
        <v>2.0650885177422436</v>
      </c>
      <c r="KQ26" s="15">
        <f t="shared" si="123"/>
        <v>2.0165632367130932</v>
      </c>
      <c r="KR26" s="15">
        <f t="shared" si="124"/>
        <v>1.9861884467960744</v>
      </c>
      <c r="KS26" s="15">
        <f t="shared" si="125"/>
        <v>2.0490209364315932</v>
      </c>
      <c r="KT26" s="15">
        <f t="shared" si="126"/>
        <v>2.0372990400833859</v>
      </c>
      <c r="KU26" s="15">
        <f t="shared" si="127"/>
        <v>1.9513118537791414</v>
      </c>
      <c r="KV26" s="15">
        <f t="shared" si="128"/>
        <v>1.726534859422175</v>
      </c>
      <c r="KW26" s="15">
        <f t="shared" si="129"/>
        <v>1.5921186719096636</v>
      </c>
      <c r="KX26" s="15">
        <f t="shared" si="130"/>
        <v>1.7722293618262999</v>
      </c>
      <c r="KY26" s="15">
        <f t="shared" si="131"/>
        <v>1.7439624146481147</v>
      </c>
      <c r="KZ26" s="15">
        <f t="shared" si="132"/>
        <v>1.604286238773192</v>
      </c>
      <c r="LA26" s="15">
        <f t="shared" si="133"/>
        <v>1.7453361504705158</v>
      </c>
      <c r="LB26" s="15">
        <f t="shared" si="134"/>
        <v>1.7794058770368837</v>
      </c>
      <c r="LC26" s="15">
        <f t="shared" si="135"/>
        <v>1.8160302149559577</v>
      </c>
      <c r="LD26" s="15">
        <f>AVERAGE(LA26:LC26)</f>
        <v>1.7802574141544525</v>
      </c>
      <c r="LE26" s="15">
        <f>AVERAGE(KZ26:LC26)</f>
        <v>1.7362646203091372</v>
      </c>
      <c r="LF26" s="526">
        <f>AVERAGE(KQ26:LC26)</f>
        <v>1.832329792526622</v>
      </c>
      <c r="LG26" s="10">
        <f t="shared" si="88"/>
        <v>-9.9442962217240083E-2</v>
      </c>
      <c r="LH26" s="18"/>
      <c r="LI26" s="15">
        <f>('Bloom Cleaner Data'!T26+'Bloom Cleaner Data'!EY26)/'Bloom Cleaner Data'!GV26</f>
        <v>2.1744443431658884</v>
      </c>
      <c r="LJ26" s="15">
        <f>('Bloom Cleaner Data'!U26+'Bloom Cleaner Data'!EZ26)/'Bloom Cleaner Data'!GW26</f>
        <v>1.9652073789822408</v>
      </c>
      <c r="LK26" s="15">
        <f>('Bloom Cleaner Data'!V26+'Bloom Cleaner Data'!FA26)/'Bloom Cleaner Data'!GX26</f>
        <v>1.8857496666718605</v>
      </c>
      <c r="LL26" s="15">
        <f>('Bloom Cleaner Data'!W26+'Bloom Cleaner Data'!FB26)/'Bloom Cleaner Data'!GY26</f>
        <v>1.9213095010864072</v>
      </c>
      <c r="LM26" s="15">
        <f>('Bloom Cleaner Data'!X26+'Bloom Cleaner Data'!FC26)/'Bloom Cleaner Data'!GZ26</f>
        <v>1.8439755849000397</v>
      </c>
      <c r="LN26" s="15">
        <f>('Bloom Cleaner Data'!Y26+'Bloom Cleaner Data'!FD26)/'Bloom Cleaner Data'!HA26</f>
        <v>2.0062452249984863</v>
      </c>
      <c r="LO26" s="15">
        <f>('Bloom Cleaner Data'!Z26+'Bloom Cleaner Data'!FE26)/'Bloom Cleaner Data'!HB26</f>
        <v>2.0396616593025207</v>
      </c>
      <c r="LP26" s="15">
        <f>('Bloom Cleaner Data'!AA26+'Bloom Cleaner Data'!FF26)/'Bloom Cleaner Data'!HC26</f>
        <v>2.0548105152476093</v>
      </c>
      <c r="LQ26" s="15">
        <f>('Bloom Cleaner Data'!AB26+'Bloom Cleaner Data'!FG26)/'Bloom Cleaner Data'!HD26</f>
        <v>1.9021093435607168</v>
      </c>
      <c r="LR26" s="15">
        <f>('Bloom Cleaner Data'!AC26+'Bloom Cleaner Data'!FH26)/'Bloom Cleaner Data'!HE26</f>
        <v>1.7581359981354154</v>
      </c>
      <c r="LS26" s="15">
        <f>('Bloom Cleaner Data'!AD26+'Bloom Cleaner Data'!FI26)/'Bloom Cleaner Data'!HF26</f>
        <v>1.7877487948126416</v>
      </c>
      <c r="LT26" s="15">
        <f>('Bloom Cleaner Data'!AE26+'Bloom Cleaner Data'!FJ26)/'Bloom Cleaner Data'!HG26</f>
        <v>1.5058829936868672</v>
      </c>
      <c r="LU26" s="15">
        <f>('Bloom Cleaner Data'!AF26+'Bloom Cleaner Data'!FK26)/'Bloom Cleaner Data'!HH26</f>
        <v>1.6518118498678465</v>
      </c>
      <c r="LV26" s="15">
        <f>('Bloom Cleaner Data'!AG26+'Bloom Cleaner Data'!FL26)/'Bloom Cleaner Data'!HI26</f>
        <v>1.5674758022628701</v>
      </c>
      <c r="LW26" s="15">
        <f>('Bloom Cleaner Data'!AH26+'Bloom Cleaner Data'!FM26)/'Bloom Cleaner Data'!HJ26</f>
        <v>1.553117361510874</v>
      </c>
      <c r="LX26" s="15">
        <f t="shared" si="89"/>
        <v>7.539796121561082E-2</v>
      </c>
      <c r="LY26" s="15">
        <f>AVERAGE(LU26:LW26)</f>
        <v>1.5908016712138633</v>
      </c>
      <c r="LZ26" s="15">
        <f t="shared" si="27"/>
        <v>0.15329320916313205</v>
      </c>
      <c r="MA26" s="15">
        <f>AVERAGE(LT26:LW26)</f>
        <v>1.5695720018321144</v>
      </c>
      <c r="MB26" s="15">
        <f>AVERAGE(LK26:LW26)</f>
        <v>1.8060026381572429</v>
      </c>
      <c r="MC26" s="18">
        <f>(LW26-LK26)/LK26</f>
        <v>-0.17639260981445418</v>
      </c>
      <c r="MD26" s="15">
        <f t="shared" si="28"/>
        <v>0.42851448926507629</v>
      </c>
      <c r="ME26" s="18"/>
      <c r="MF26" s="21" t="s">
        <v>357</v>
      </c>
      <c r="MG26" s="15">
        <f>JT26+'Bloom Cleaner Data'!EY26/CALCULATIONS!DD26</f>
        <v>2.5930094739411573</v>
      </c>
      <c r="MH26" s="15">
        <f>JU26+'Bloom Cleaner Data'!EZ26/CALCULATIONS!DE26</f>
        <v>2.4316931313115968</v>
      </c>
      <c r="MI26" s="15">
        <f>JV26+'Bloom Cleaner Data'!FA26/CALCULATIONS!DF26</f>
        <v>2.3731879581773128</v>
      </c>
      <c r="MJ26" s="15">
        <f>JW26+'Bloom Cleaner Data'!FB26/CALCULATIONS!DG26</f>
        <v>2.4156810437788785</v>
      </c>
      <c r="MK26" s="15">
        <f>JX26+'Bloom Cleaner Data'!FC26/CALCULATIONS!DH26</f>
        <v>2.3563845743262899</v>
      </c>
      <c r="ML26" s="15">
        <f>JY26+'Bloom Cleaner Data'!FD26/CALCULATIONS!DI26</f>
        <v>2.4748349184465659</v>
      </c>
      <c r="MM26" s="15">
        <f>JZ26+'Bloom Cleaner Data'!FE26/CALCULATIONS!DJ26</f>
        <v>2.4882205672309095</v>
      </c>
      <c r="MN26" s="15">
        <f>KA26+'Bloom Cleaner Data'!FF26/CALCULATIONS!DK26</f>
        <v>2.4808228202666101</v>
      </c>
      <c r="MO26" s="15">
        <f>KB26+'Bloom Cleaner Data'!FG26/CALCULATIONS!DL26</f>
        <v>2.2960555043102535</v>
      </c>
      <c r="MP26" s="15">
        <f>KC26+'Bloom Cleaner Data'!FH26/CALCULATIONS!DM26</f>
        <v>2.1391924304519283</v>
      </c>
      <c r="MQ26" s="15">
        <f>KD26+'Bloom Cleaner Data'!FI26/CALCULATIONS!DN26</f>
        <v>2.1356363677301218</v>
      </c>
      <c r="MR26" s="15">
        <f>KE26+'Bloom Cleaner Data'!FJ26/CALCULATIONS!DO26</f>
        <v>1.8457680282206468</v>
      </c>
      <c r="MS26" s="15">
        <f>KF26+'Bloom Cleaner Data'!FK26/CALCULATIONS!DP26</f>
        <v>1.9789058815746305</v>
      </c>
      <c r="MT26" s="15">
        <f>KG26+'Bloom Cleaner Data'!FL26/CALCULATIONS!DQ26</f>
        <v>1.8996583081835923</v>
      </c>
      <c r="MU26" s="15">
        <f>KH26+'Bloom Cleaner Data'!FM26/CALCULATIONS!DR26</f>
        <v>1.8854531506487362</v>
      </c>
      <c r="MV26" s="15">
        <f t="shared" si="29"/>
        <v>6.9422935692778465E-2</v>
      </c>
      <c r="MW26" s="15">
        <f>AVERAGE(MS26:MU26)</f>
        <v>1.9213391134689861</v>
      </c>
      <c r="MX26" s="15">
        <f t="shared" si="30"/>
        <v>0.14108169931453363</v>
      </c>
      <c r="MY26" s="15">
        <f>AVERAGE(MR26:MU26)</f>
        <v>1.9024463421569013</v>
      </c>
      <c r="MZ26" s="15">
        <f>AVERAGE(MI26:MU26)</f>
        <v>2.2130616579497291</v>
      </c>
      <c r="NA26" s="18">
        <f>(MU26-MI26)/MI26</f>
        <v>-0.20551882789055323</v>
      </c>
      <c r="NB26" s="15">
        <f t="shared" si="31"/>
        <v>0.38073186542310711</v>
      </c>
      <c r="NC26" s="15"/>
      <c r="ND26" s="13">
        <f>'Bloom Cleaner Data'!GF26+('Bloom Cleaner Data'!T26+'Bloom Cleaner Data'!EY26)+'Bloom Cleaner Data'!CK26</f>
        <v>1318.3062</v>
      </c>
      <c r="NE26" s="13">
        <f>'Bloom Cleaner Data'!GG26+('Bloom Cleaner Data'!U26+'Bloom Cleaner Data'!EZ26)+'Bloom Cleaner Data'!CL26</f>
        <v>1292</v>
      </c>
      <c r="NF26" s="13">
        <f>'Bloom Cleaner Data'!GH26+('Bloom Cleaner Data'!V26+'Bloom Cleaner Data'!FA26)+'Bloom Cleaner Data'!CM26</f>
        <v>1300.3</v>
      </c>
      <c r="NG26" s="13">
        <f>'Bloom Cleaner Data'!GI26+('Bloom Cleaner Data'!W26+'Bloom Cleaner Data'!FB26)+'Bloom Cleaner Data'!CN26</f>
        <v>1350.7436500000001</v>
      </c>
      <c r="NH26" s="13">
        <f>'Bloom Cleaner Data'!GJ26+('Bloom Cleaner Data'!X26+'Bloom Cleaner Data'!FC26)+'Bloom Cleaner Data'!CO26</f>
        <v>1333.2509999999997</v>
      </c>
      <c r="NI26" s="13">
        <f>'Bloom Cleaner Data'!GK26+('Bloom Cleaner Data'!Y26+'Bloom Cleaner Data'!FD26)+'Bloom Cleaner Data'!CP26</f>
        <v>1405.8</v>
      </c>
      <c r="NJ26" s="13">
        <f>'Bloom Cleaner Data'!GL26+('Bloom Cleaner Data'!Z26+'Bloom Cleaner Data'!FE26)+'Bloom Cleaner Data'!CQ26</f>
        <v>1411.056</v>
      </c>
      <c r="NK26" s="13">
        <f>'Bloom Cleaner Data'!GM26+('Bloom Cleaner Data'!AA26+'Bloom Cleaner Data'!FF26)+'Bloom Cleaner Data'!CR26</f>
        <v>1456.7</v>
      </c>
      <c r="NL26" s="13">
        <f>'Bloom Cleaner Data'!GN26+('Bloom Cleaner Data'!AB26+'Bloom Cleaner Data'!FG26)+'Bloom Cleaner Data'!CS26</f>
        <v>1494.1346000000001</v>
      </c>
      <c r="NM26" s="13">
        <f>'Bloom Cleaner Data'!GO26+('Bloom Cleaner Data'!AC26+'Bloom Cleaner Data'!FH26)+'Bloom Cleaner Data'!CT26</f>
        <v>1486.1</v>
      </c>
      <c r="NN26" s="13">
        <f>'Bloom Cleaner Data'!GP26+('Bloom Cleaner Data'!AD26+'Bloom Cleaner Data'!FI26)+'Bloom Cleaner Data'!CU26</f>
        <v>1501.1</v>
      </c>
      <c r="NO26" s="13">
        <f>'Bloom Cleaner Data'!GQ26+('Bloom Cleaner Data'!AE26+'Bloom Cleaner Data'!FJ26)+'Bloom Cleaner Data'!CV26</f>
        <v>1466.2</v>
      </c>
      <c r="NP26" s="13">
        <f>'Bloom Cleaner Data'!GR26+('Bloom Cleaner Data'!AF26+'Bloom Cleaner Data'!FK26)+'Bloom Cleaner Data'!CW26</f>
        <v>1489.7997</v>
      </c>
      <c r="NQ26" s="13">
        <f>'Bloom Cleaner Data'!GS26+('Bloom Cleaner Data'!AG26+'Bloom Cleaner Data'!FL26)+'Bloom Cleaner Data'!CX26</f>
        <v>1489.0634</v>
      </c>
      <c r="NR26" s="13">
        <f>'Bloom Cleaner Data'!GT26+('Bloom Cleaner Data'!AH26+'Bloom Cleaner Data'!FM26)+'Bloom Cleaner Data'!CY26</f>
        <v>1464.6999999999998</v>
      </c>
      <c r="NS26" s="168"/>
      <c r="NT26" s="21" t="s">
        <v>357</v>
      </c>
      <c r="NU26" s="998">
        <f>('Bloom Cleaner Data'!T26+'Bloom Cleaner Data'!EY26+'OPERATING LEASES'!BL26)/CALCULATIONS!ND26</f>
        <v>0.31279705731490914</v>
      </c>
      <c r="NV26" s="998">
        <f>('Bloom Cleaner Data'!U26+'Bloom Cleaner Data'!EZ26+'OPERATING LEASES'!BM26)/CALCULATIONS!NE26</f>
        <v>0.2941772397445821</v>
      </c>
      <c r="NW26" s="998">
        <f>('Bloom Cleaner Data'!V26+'Bloom Cleaner Data'!FA26+'OPERATING LEASES'!BN26)/CALCULATIONS!NF26</f>
        <v>0.289201789971545</v>
      </c>
      <c r="NX26" s="998">
        <f>('Bloom Cleaner Data'!W26+'Bloom Cleaner Data'!FB26+'OPERATING LEASES'!BO26)/CALCULATIONS!NG26</f>
        <v>0.28918972245399782</v>
      </c>
      <c r="NY26" s="998">
        <f>('Bloom Cleaner Data'!X26+'Bloom Cleaner Data'!FC26+'OPERATING LEASES'!BP26)/CALCULATIONS!NH26</f>
        <v>0.29004184133370242</v>
      </c>
      <c r="NZ26" s="998">
        <f>('Bloom Cleaner Data'!Y26+'Bloom Cleaner Data'!FD26+'OPERATING LEASES'!BQ26)/CALCULATIONS!NI26</f>
        <v>0.30812375738013947</v>
      </c>
      <c r="OA26" s="998">
        <f>('Bloom Cleaner Data'!Z26+'Bloom Cleaner Data'!FE26+'OPERATING LEASES'!BR26)/CALCULATIONS!NJ26</f>
        <v>0.31865899103224815</v>
      </c>
      <c r="OB26" s="998">
        <f>('Bloom Cleaner Data'!AA26+'Bloom Cleaner Data'!FF26+'OPERATING LEASES'!BS26)/CALCULATIONS!NK26</f>
        <v>0.32195687813207935</v>
      </c>
      <c r="OC26" s="998">
        <f>('Bloom Cleaner Data'!AB26+'Bloom Cleaner Data'!FG26+'OPERATING LEASES'!BT26)/CALCULATIONS!NL26</f>
        <v>0.32579373203726092</v>
      </c>
      <c r="OD26" s="998">
        <f>('Bloom Cleaner Data'!AC26+'Bloom Cleaner Data'!FH26+'OPERATING LEASES'!BU26)/CALCULATIONS!NM26</f>
        <v>0.30880007654262837</v>
      </c>
      <c r="OE26" s="998">
        <f>('Bloom Cleaner Data'!AD26+'Bloom Cleaner Data'!FI26+'OPERATING LEASES'!BV26)/CALCULATIONS!NN26</f>
        <v>0.31860229165278797</v>
      </c>
      <c r="OF26" s="998">
        <f>('Bloom Cleaner Data'!AE26+'Bloom Cleaner Data'!FJ26+'OPERATING LEASES'!BW26)/CALCULATIONS!NO26</f>
        <v>0.28556813957850224</v>
      </c>
      <c r="OG26" s="998">
        <f>('Bloom Cleaner Data'!AF26+'Bloom Cleaner Data'!FK26+'OPERATING LEASES'!BX26)/CALCULATIONS!NP26</f>
        <v>0.28696160463718712</v>
      </c>
      <c r="OH26" s="998">
        <f>('Bloom Cleaner Data'!AG26+'Bloom Cleaner Data'!FL26+'OPERATING LEASES'!BY26)/CALCULATIONS!NQ26</f>
        <v>0.27457246783447903</v>
      </c>
      <c r="OI26" s="998">
        <f>('Bloom Cleaner Data'!AH26+'Bloom Cleaner Data'!FM26+'OPERATING LEASES'!BZ26)/CALCULATIONS!NR26</f>
        <v>0.27756271762135593</v>
      </c>
      <c r="OJ26" s="18">
        <f>AVERAGE(OG26:OI26)</f>
        <v>0.27969893003100738</v>
      </c>
      <c r="OK26" s="18">
        <f>AVERAGE(OF26:OI26)</f>
        <v>0.28116623241788108</v>
      </c>
      <c r="OL26" s="18">
        <f>AVERAGE(NW26:OI26)</f>
        <v>0.29961800078522416</v>
      </c>
      <c r="OM26" s="10">
        <f t="shared" si="101"/>
        <v>-4.0245505919359138E-2</v>
      </c>
      <c r="ON26" s="10"/>
      <c r="OO26" s="2710"/>
      <c r="OP26" s="526">
        <f>'Bloom Cleaner Data'!D26/'Bloom Cleaner Data'!GF26</f>
        <v>0.74145702954745663</v>
      </c>
      <c r="OQ26" s="526">
        <f>'Bloom Cleaner Data'!E26/'Bloom Cleaner Data'!GG26</f>
        <v>0.62162793414763673</v>
      </c>
      <c r="OR26" s="526">
        <f>'Bloom Cleaner Data'!F26/'Bloom Cleaner Data'!GH26</f>
        <v>0.5304531725222863</v>
      </c>
      <c r="OS26" s="526">
        <f>'Bloom Cleaner Data'!G26/'Bloom Cleaner Data'!GI26</f>
        <v>0.51214575339624602</v>
      </c>
      <c r="OT26" s="526">
        <f>'Bloom Cleaner Data'!H26/'Bloom Cleaner Data'!GJ26</f>
        <v>0.49416684098058761</v>
      </c>
      <c r="OU26" s="526">
        <f>'Bloom Cleaner Data'!I26/'Bloom Cleaner Data'!GK26</f>
        <v>0.53930859140859144</v>
      </c>
      <c r="OV26" s="526">
        <f>'Bloom Cleaner Data'!J26/'Bloom Cleaner Data'!GL26</f>
        <v>0.5476938182021065</v>
      </c>
      <c r="OW26" s="526">
        <f>'Bloom Cleaner Data'!K26/'Bloom Cleaner Data'!GM26</f>
        <v>0.4069410953506698</v>
      </c>
      <c r="OX26" s="526">
        <f>'Bloom Cleaner Data'!L26/'Bloom Cleaner Data'!GN26</f>
        <v>0.41956649307183574</v>
      </c>
      <c r="OY26" s="526">
        <f>'Bloom Cleaner Data'!M26/'Bloom Cleaner Data'!GO26</f>
        <v>0.41687879939209727</v>
      </c>
      <c r="OZ26" s="526">
        <f>'Bloom Cleaner Data'!N26/'Bloom Cleaner Data'!GP26</f>
        <v>0.44863243862833119</v>
      </c>
      <c r="PA26" s="526">
        <f>'Bloom Cleaner Data'!O26/'Bloom Cleaner Data'!GQ26</f>
        <v>0.46296355140186912</v>
      </c>
      <c r="PB26" s="526">
        <f>'Bloom Cleaner Data'!P26/'Bloom Cleaner Data'!GR26</f>
        <v>0.49482175282923596</v>
      </c>
      <c r="PC26" s="526">
        <f>'Bloom Cleaner Data'!Q26/'Bloom Cleaner Data'!GS26</f>
        <v>0.55229205251976166</v>
      </c>
      <c r="PD26" s="526">
        <f>'Bloom Cleaner Data'!R26/'Bloom Cleaner Data'!GT26</f>
        <v>0.52140126030951717</v>
      </c>
      <c r="PE26" s="526">
        <f>AVERAGE(OR26:PD26)</f>
        <v>0.48825120153947199</v>
      </c>
      <c r="PF26" s="10">
        <f t="shared" si="103"/>
        <v>-1.706448878367077E-2</v>
      </c>
      <c r="PG26" s="526">
        <f t="shared" si="104"/>
        <v>0.53750302910727898</v>
      </c>
      <c r="PH26" s="18"/>
      <c r="PI26" s="2710"/>
      <c r="PJ26" s="526">
        <f>CALCULATIONS!DD26/'Bloom Cleaner Data'!GF26</f>
        <v>0.22012122091631839</v>
      </c>
      <c r="PK26" s="526">
        <f>CALCULATIONS!DE26/'Bloom Cleaner Data'!GG26</f>
        <v>0.22105802598683724</v>
      </c>
      <c r="PL26" s="526">
        <f>CALCULATIONS!DF26/'Bloom Cleaner Data'!GH26</f>
        <v>0.22379609996379804</v>
      </c>
      <c r="PM26" s="526">
        <f>CALCULATIONS!DG26/'Bloom Cleaner Data'!GI26</f>
        <v>0.22551686573635266</v>
      </c>
      <c r="PN26" s="526">
        <f>CALCULATIONS!DH26/'Bloom Cleaner Data'!GJ26</f>
        <v>0.22877830845924807</v>
      </c>
      <c r="PO26" s="526">
        <f>CALCULATIONS!DI26/'Bloom Cleaner Data'!GK26</f>
        <v>0.23015095602220415</v>
      </c>
      <c r="PP26" s="526">
        <f>CALCULATIONS!DJ26/'Bloom Cleaner Data'!GL26</f>
        <v>0.2374641562204983</v>
      </c>
      <c r="PQ26" s="526">
        <f>CALCULATIONS!DK26/'Bloom Cleaner Data'!GM26</f>
        <v>0.23898041151222987</v>
      </c>
      <c r="PR26" s="526">
        <f>CALCULATIONS!DL26/'Bloom Cleaner Data'!GN26</f>
        <v>0.2600416526812428</v>
      </c>
      <c r="PS26" s="526">
        <f>CALCULATIONS!DM26/'Bloom Cleaner Data'!GO26</f>
        <v>0.25858138254774859</v>
      </c>
      <c r="PT26" s="526">
        <f>CALCULATIONS!DN26/'Bloom Cleaner Data'!GP26</f>
        <v>0.26582548007512513</v>
      </c>
      <c r="PU26" s="526">
        <f>CALCULATIONS!DO26/'Bloom Cleaner Data'!GQ26</f>
        <v>0.26704283356506697</v>
      </c>
      <c r="PV26" s="526">
        <f>CALCULATIONS!DP26/'Bloom Cleaner Data'!GR26</f>
        <v>0.24670295678332088</v>
      </c>
      <c r="PW26" s="526">
        <f>CALCULATIONS!DQ26/'Bloom Cleaner Data'!GS26</f>
        <v>0.24388720017992682</v>
      </c>
      <c r="PX26" s="526">
        <f>CALCULATIONS!DR26/'Bloom Cleaner Data'!GT26</f>
        <v>0.24961859777947401</v>
      </c>
      <c r="PY26" s="526">
        <f>AVERAGE(PL26:PX26)</f>
        <v>0.24433745396355661</v>
      </c>
      <c r="PZ26" s="526">
        <f t="shared" si="106"/>
        <v>0.25201607459384812</v>
      </c>
      <c r="QA26" s="18"/>
      <c r="QC26" s="15">
        <f>'Bloom Cleaner Data'!HZ26</f>
        <v>11.8957</v>
      </c>
      <c r="QD26" s="15">
        <f>AVERAGE('Bloom Cleaner Data'!HN26:HZ26)</f>
        <v>11.646607692307693</v>
      </c>
      <c r="QE26" s="504">
        <f>('Bloom Cleaner Data'!HZ26-'Bloom Cleaner Data'!HN26)/'Bloom Cleaner Data'!HN26</f>
        <v>0.11393388894091201</v>
      </c>
      <c r="QF26" s="15">
        <f>'Bloom Cleaner Data'!HZ26-'Bloom Cleaner Data'!HL26</f>
        <v>3.2353000000000005</v>
      </c>
    </row>
    <row r="27" spans="1:450" s="1096" customFormat="1">
      <c r="A27" s="1096" t="s">
        <v>727</v>
      </c>
      <c r="B27" s="3121" t="s">
        <v>358</v>
      </c>
      <c r="C27" s="1206"/>
      <c r="E27" s="1706">
        <f>'Bloom Cleaner Data'!D27</f>
        <v>878.23950000000002</v>
      </c>
      <c r="G27" s="1706">
        <f>'Bloom Cleaner Data'!F27</f>
        <v>637.53679999999997</v>
      </c>
      <c r="H27" s="1706">
        <f>'Bloom Cleaner Data'!H27</f>
        <v>559.47109999999998</v>
      </c>
      <c r="I27" s="1706">
        <f>'Bloom Cleaner Data'!J27</f>
        <v>455.38350000000003</v>
      </c>
      <c r="J27" s="1706">
        <f>'Bloom Cleaner Data'!L27</f>
        <v>409.71499999999997</v>
      </c>
      <c r="K27" s="1706">
        <f>'Bloom Cleaner Data'!N27</f>
        <v>396.83420000000001</v>
      </c>
      <c r="L27" s="1706">
        <f>'Bloom Cleaner Data'!P27</f>
        <v>621.59839999999997</v>
      </c>
      <c r="M27" s="1706">
        <f>'Bloom Cleaner Data'!R27</f>
        <v>676.56968707482997</v>
      </c>
      <c r="N27" s="1706">
        <f>AVERAGE(G27:M27)</f>
        <v>536.72981243926131</v>
      </c>
      <c r="O27" s="1706">
        <f t="shared" si="32"/>
        <v>565.00076235827657</v>
      </c>
      <c r="P27" s="1708">
        <f t="shared" si="1"/>
        <v>6.1224523940939572E-2</v>
      </c>
      <c r="Q27" s="1709">
        <f>P27</f>
        <v>6.1224523940939572E-2</v>
      </c>
      <c r="R27" s="1708">
        <f>P27-$P$29</f>
        <v>0.16300010284657851</v>
      </c>
      <c r="S27" s="1096" t="s">
        <v>358</v>
      </c>
      <c r="T27" s="1710">
        <f>'Bloom Cleaner Data'!D27/'Bloom Cleaner Data'!$F27</f>
        <v>1.3775510684245993</v>
      </c>
      <c r="U27" s="1710">
        <f>'Bloom Cleaner Data'!E27/'Bloom Cleaner Data'!$F27</f>
        <v>1.2653062536939046</v>
      </c>
      <c r="V27" s="1710">
        <f>'Bloom Cleaner Data'!F27/'Bloom Cleaner Data'!$F27</f>
        <v>1</v>
      </c>
      <c r="W27" s="1710">
        <f>'Bloom Cleaner Data'!G27/'Bloom Cleaner Data'!$F27</f>
        <v>0.93877553421229964</v>
      </c>
      <c r="X27" s="1710">
        <f>'Bloom Cleaner Data'!H27/'Bloom Cleaner Data'!$F27</f>
        <v>0.87755106842459918</v>
      </c>
      <c r="Y27" s="1710">
        <f>'Bloom Cleaner Data'!I27/'Bloom Cleaner Data'!$F27</f>
        <v>0.8265306410547596</v>
      </c>
      <c r="Z27" s="1710">
        <f>'Bloom Cleaner Data'!J27/'Bloom Cleaner Data'!$F27</f>
        <v>0.71428582632406479</v>
      </c>
      <c r="AA27" s="1710">
        <f>'Bloom Cleaner Data'!K27/'Bloom Cleaner Data'!$F27</f>
        <v>0.62755106842459918</v>
      </c>
      <c r="AB27" s="1710">
        <f>'Bloom Cleaner Data'!L27/'Bloom Cleaner Data'!$F27</f>
        <v>0.6426530986132879</v>
      </c>
      <c r="AC27" s="1710">
        <f>'Bloom Cleaner Data'!M27/'Bloom Cleaner Data'!$F27</f>
        <v>0.70510204273698396</v>
      </c>
      <c r="AD27" s="1710">
        <f>'Bloom Cleaner Data'!N27/'Bloom Cleaner Data'!$F27</f>
        <v>0.62244908842909152</v>
      </c>
      <c r="AE27" s="1710">
        <f>'Bloom Cleaner Data'!O27/'Bloom Cleaner Data'!$F27</f>
        <v>0.78071430543303544</v>
      </c>
      <c r="AF27" s="1710">
        <f>'Bloom Cleaner Data'!P27/'Bloom Cleaner Data'!$F27</f>
        <v>0.9750000313707381</v>
      </c>
      <c r="AG27" s="1710">
        <f>'Bloom Cleaner Data'!Q27/'Bloom Cleaner Data'!$F27</f>
        <v>0.84693887474417162</v>
      </c>
      <c r="AH27" s="1710">
        <f>'Bloom Cleaner Data'!R27/'Bloom Cleaner Data'!$F27</f>
        <v>1.0612245239409395</v>
      </c>
      <c r="AI27" s="1706"/>
      <c r="AJ27" s="1706">
        <f>AVERAGE('Bloom Cleaner Data'!BW27:CI27)</f>
        <v>911.65914515960242</v>
      </c>
      <c r="AK27" s="1709">
        <f>('Bloom Cleaner Data'!CI27-'Bloom Cleaner Data'!BW27)/'Bloom Cleaner Data'!BW27</f>
        <v>-0.15062298738894905</v>
      </c>
      <c r="AL27" s="1709">
        <f>('Bloom Cleaner Data'!CI27+'Bloom Cleaner Data'!CH27-'Bloom Cleaner Data'!BW27-'Bloom Cleaner Data'!BV27)/('Bloom Cleaner Data'!BW27+'Bloom Cleaner Data'!BV27)</f>
        <v>-0.264447859548394</v>
      </c>
      <c r="AM27" s="1706"/>
      <c r="AN27" s="1706">
        <f>'Bloom Cleaner Data'!BW27</f>
        <v>1198.7288000000001</v>
      </c>
      <c r="AO27" s="1706">
        <f>'Bloom Cleaner Data'!BY27</f>
        <v>1083.0990999999999</v>
      </c>
      <c r="AP27" s="1706">
        <f>'Bloom Cleaner Data'!CA27</f>
        <v>898.43550000000005</v>
      </c>
      <c r="AQ27" s="1706">
        <f>'Bloom Cleaner Data'!CC27</f>
        <v>809.29100000000005</v>
      </c>
      <c r="AR27" s="1706">
        <f>'Bloom Cleaner Data'!CE27</f>
        <v>714.30319999999995</v>
      </c>
      <c r="AS27" s="1706">
        <f>'Bloom Cleaner Data'!CG27</f>
        <v>958.8134</v>
      </c>
      <c r="AT27" s="1706">
        <f>'Bloom Cleaner Data'!CI27</f>
        <v>1018.17268707483</v>
      </c>
      <c r="AU27" s="1706">
        <f>AVERAGE(AN27:AT27)</f>
        <v>954.40624101069</v>
      </c>
      <c r="AV27" s="1708">
        <f t="shared" si="3"/>
        <v>-0.15062298738894905</v>
      </c>
      <c r="AW27" s="1708"/>
      <c r="AX27" s="1706">
        <f>'Bloom Cleaner Data'!T27+'OPERATING LEASES'!AU27</f>
        <v>662.4564392141217</v>
      </c>
      <c r="AY27" s="1706">
        <f>'Bloom Cleaner Data'!U27+'OPERATING LEASES'!AV27</f>
        <v>667.56616064711795</v>
      </c>
      <c r="AZ27" s="1706">
        <f>'Bloom Cleaner Data'!V27+'OPERATING LEASES'!AW27</f>
        <v>608.57188208011416</v>
      </c>
      <c r="BA27" s="1706">
        <f>'Bloom Cleaner Data'!W27+'OPERATING LEASES'!AX27</f>
        <v>282.53260351311036</v>
      </c>
      <c r="BB27" s="1706">
        <f>'Bloom Cleaner Data'!X27+'OPERATING LEASES'!AY27</f>
        <v>573.49532494610662</v>
      </c>
      <c r="BC27" s="1706">
        <f>'Bloom Cleaner Data'!Y27+'OPERATING LEASES'!AZ27</f>
        <v>536.26825593064473</v>
      </c>
      <c r="BD27" s="1706">
        <f>'Bloom Cleaner Data'!Z27+'OPERATING LEASES'!BA27</f>
        <v>508.05318691518301</v>
      </c>
      <c r="BE27" s="1706">
        <f>'Bloom Cleaner Data'!AA27+'OPERATING LEASES'!BB27</f>
        <v>465.23111789972114</v>
      </c>
      <c r="BF27" s="1706">
        <f>'Bloom Cleaner Data'!AB27+'OPERATING LEASES'!BC27</f>
        <v>479.71104888425936</v>
      </c>
      <c r="BG27" s="1706">
        <f>'Bloom Cleaner Data'!AC27+'OPERATING LEASES'!BD27</f>
        <v>444.94697986879754</v>
      </c>
      <c r="BH27" s="1706">
        <f>'Bloom Cleaner Data'!AD27+'OPERATING LEASES'!BE27</f>
        <v>412.73791085333573</v>
      </c>
      <c r="BI27" s="1706">
        <f>'Bloom Cleaner Data'!AE27+'OPERATING LEASES'!BF27</f>
        <v>439.13684183787387</v>
      </c>
      <c r="BJ27" s="1706">
        <f>'Bloom Cleaner Data'!AF27+'OPERATING LEASES'!BG27</f>
        <v>447.61777282241206</v>
      </c>
      <c r="BK27" s="1706">
        <f>'Bloom Cleaner Data'!AG27+'OPERATING LEASES'!BH27</f>
        <v>484.45177282241207</v>
      </c>
      <c r="BL27" s="1706">
        <f>'Bloom Cleaner Data'!AH27+'OPERATING LEASES'!BI27</f>
        <v>452.0057728224121</v>
      </c>
      <c r="BM27" s="1711">
        <f>AVERAGE(AZ27:BL27)</f>
        <v>471.90465163049095</v>
      </c>
      <c r="BN27" s="1708">
        <f t="shared" si="35"/>
        <v>-0.25726806293211429</v>
      </c>
      <c r="BO27" s="1708"/>
      <c r="BP27" s="1706">
        <f>'Bloom Cleaner Data'!BU27+'OPERATING LEASES'!AU27</f>
        <v>1540.6959392141218</v>
      </c>
      <c r="BQ27" s="1706">
        <f>'Bloom Cleaner Data'!BV27+'OPERATING LEASES'!AV27</f>
        <v>1474.2454606471181</v>
      </c>
      <c r="BR27" s="1706">
        <f>'Bloom Cleaner Data'!BW27+'OPERATING LEASES'!AW27</f>
        <v>1246.1086820801142</v>
      </c>
      <c r="BS27" s="1706">
        <f>'Bloom Cleaner Data'!BX27+'OPERATING LEASES'!AX27</f>
        <v>866.00890351311045</v>
      </c>
      <c r="BT27" s="1706">
        <f>'Bloom Cleaner Data'!BY27+'OPERATING LEASES'!AY27</f>
        <v>1132.9664249461066</v>
      </c>
      <c r="BU27" s="1706">
        <f>'Bloom Cleaner Data'!BZ27+'OPERATING LEASES'!AZ27</f>
        <v>1063.2119559306448</v>
      </c>
      <c r="BV27" s="1706">
        <f>'Bloom Cleaner Data'!CA27+'OPERATING LEASES'!BA27</f>
        <v>963.43668691518303</v>
      </c>
      <c r="BW27" s="1706">
        <f>'Bloom Cleaner Data'!CB27+'OPERATING LEASES'!BB27</f>
        <v>865.31801789972121</v>
      </c>
      <c r="BX27" s="1706">
        <f>'Bloom Cleaner Data'!CC27+'OPERATING LEASES'!BC27</f>
        <v>889.42604888425944</v>
      </c>
      <c r="BY27" s="1706">
        <f>'Bloom Cleaner Data'!CD27+'OPERATING LEASES'!BD27</f>
        <v>894.47547986879749</v>
      </c>
      <c r="BZ27" s="1706">
        <f>'Bloom Cleaner Data'!CE27+'OPERATING LEASES'!BE27</f>
        <v>809.57211085333563</v>
      </c>
      <c r="CA27" s="1706">
        <f>'Bloom Cleaner Data'!CF27+'OPERATING LEASES'!BF27</f>
        <v>936.87094183787394</v>
      </c>
      <c r="CB27" s="1706">
        <f>'Bloom Cleaner Data'!CG27+'OPERATING LEASES'!BG27</f>
        <v>1069.2161728224121</v>
      </c>
      <c r="CC27" s="1706">
        <f>'Bloom Cleaner Data'!CH27+'OPERATING LEASES'!BH27</f>
        <v>1024.4064728224121</v>
      </c>
      <c r="CD27" s="1706">
        <f>'Bloom Cleaner Data'!CI27+'OPERATING LEASES'!BI27</f>
        <v>1128.5754598972421</v>
      </c>
      <c r="CE27" s="1711">
        <f>AVERAGE(BR27:CD27)</f>
        <v>991.5071814054777</v>
      </c>
      <c r="CF27" s="1708">
        <f t="shared" si="37"/>
        <v>-9.4320201659036138E-2</v>
      </c>
      <c r="CG27" s="1709">
        <f t="shared" si="4"/>
        <v>8.7585405872165567E-2</v>
      </c>
      <c r="CH27" s="1706"/>
      <c r="CI27" s="1709">
        <f>$CI$1*BP27/('Bloom Cleaner Data'!D27+'Bloom Cleaner Data'!T27+'OPERATING LEASES'!AU27)+(1-$CI$1)*'Bloom Cleaner Data'!BU27/('Bloom Cleaner Data'!D27+'Bloom Cleaner Data'!T27)-1</f>
        <v>0</v>
      </c>
      <c r="CJ27" s="1709">
        <f>$CI$1*BQ27/('Bloom Cleaner Data'!E27+'Bloom Cleaner Data'!U27+'OPERATING LEASES'!AV27)+(1-$CI$1)*'Bloom Cleaner Data'!BV27/('Bloom Cleaner Data'!E27+'Bloom Cleaner Data'!U27)-1</f>
        <v>0</v>
      </c>
      <c r="CK27" s="1709">
        <f>$CI$1*BR27/('Bloom Cleaner Data'!F27+'Bloom Cleaner Data'!V27+'OPERATING LEASES'!AW27)+(1-$CI$1)*'Bloom Cleaner Data'!BW27/('Bloom Cleaner Data'!F27+'Bloom Cleaner Data'!V27)-1</f>
        <v>0</v>
      </c>
      <c r="CL27" s="1709">
        <f>$CI$1*BS27/('Bloom Cleaner Data'!G27+'Bloom Cleaner Data'!W27+'OPERATING LEASES'!AX27)+(1-$CI$1)*'Bloom Cleaner Data'!BX27/('Bloom Cleaner Data'!G27+'Bloom Cleaner Data'!W27)-1</f>
        <v>-1.7056783785051377E-2</v>
      </c>
      <c r="CM27" s="1709">
        <f>$CI$1*BT27/('Bloom Cleaner Data'!H27+'Bloom Cleaner Data'!X27+'OPERATING LEASES'!AY27)+(1-$CI$1)*'Bloom Cleaner Data'!BY27/('Bloom Cleaner Data'!H27+'Bloom Cleaner Data'!X27)-1</f>
        <v>0</v>
      </c>
      <c r="CN27" s="1709">
        <f>$CI$1*BU27/('Bloom Cleaner Data'!I27+'Bloom Cleaner Data'!Y27+'OPERATING LEASES'!AZ27)+(1-$CI$1)*'Bloom Cleaner Data'!BZ27/('Bloom Cleaner Data'!I27+'Bloom Cleaner Data'!Y27)-1</f>
        <v>0</v>
      </c>
      <c r="CO27" s="1709">
        <f>$CI$1*BV27/('Bloom Cleaner Data'!J27+'Bloom Cleaner Data'!Z27+'OPERATING LEASES'!BA27)+(1-$CI$1)*'Bloom Cleaner Data'!CA27/('Bloom Cleaner Data'!J27+'Bloom Cleaner Data'!Z27)-1</f>
        <v>0</v>
      </c>
      <c r="CP27" s="1709">
        <f>$CI$1*BW27/('Bloom Cleaner Data'!K27+'Bloom Cleaner Data'!AA27+'OPERATING LEASES'!BB27)+(1-$CI$1)*'Bloom Cleaner Data'!CB27/('Bloom Cleaner Data'!K27+'Bloom Cleaner Data'!AA27)-1</f>
        <v>0</v>
      </c>
      <c r="CQ27" s="1709">
        <f>$CI$1*BX27/('Bloom Cleaner Data'!L27+'Bloom Cleaner Data'!AB27+'OPERATING LEASES'!BC27)+(1-$CI$1)*'Bloom Cleaner Data'!CC27/('Bloom Cleaner Data'!L27+'Bloom Cleaner Data'!AB27)-1</f>
        <v>0</v>
      </c>
      <c r="CR27" s="1709">
        <f>$CI$1*BY27/('Bloom Cleaner Data'!M27+'Bloom Cleaner Data'!AC27+'OPERATING LEASES'!BD27)+(1-$CI$1)*'Bloom Cleaner Data'!CD27/('Bloom Cleaner Data'!M27+'Bloom Cleaner Data'!AC27)-1</f>
        <v>0</v>
      </c>
      <c r="CS27" s="1709">
        <f>$CI$1*BZ27/('Bloom Cleaner Data'!N27+'Bloom Cleaner Data'!AD27+'OPERATING LEASES'!BE27)+(1-$CI$1)*'Bloom Cleaner Data'!CE27/('Bloom Cleaner Data'!N27+'Bloom Cleaner Data'!AD27)-1</f>
        <v>0</v>
      </c>
      <c r="CT27" s="1709">
        <f>$CI$1*CA27/('Bloom Cleaner Data'!O27+'Bloom Cleaner Data'!AE27+'OPERATING LEASES'!BF27)+(1-$CI$1)*'Bloom Cleaner Data'!CF27/('Bloom Cleaner Data'!O27+'Bloom Cleaner Data'!AE27)-1</f>
        <v>0</v>
      </c>
      <c r="CU27" s="1709">
        <f>$CI$1*CB27/('Bloom Cleaner Data'!P27+'Bloom Cleaner Data'!AF27+'OPERATING LEASES'!BG27)+(1-$CI$1)*'Bloom Cleaner Data'!CG27/('Bloom Cleaner Data'!P27+'Bloom Cleaner Data'!AF27)-1</f>
        <v>0</v>
      </c>
      <c r="CV27" s="1709">
        <f>$CI$1*CC27/('Bloom Cleaner Data'!Q27+'Bloom Cleaner Data'!AG27+'OPERATING LEASES'!BH27)+(1-$CI$1)*'Bloom Cleaner Data'!CH27/('Bloom Cleaner Data'!Q27+'Bloom Cleaner Data'!AG27)-1</f>
        <v>0</v>
      </c>
      <c r="CW27" s="1709">
        <f>$CI$1*CD27/('Bloom Cleaner Data'!R27+'Bloom Cleaner Data'!AH27+'OPERATING LEASES'!BI27)+(1-$CI$1)*'Bloom Cleaner Data'!CI27/('Bloom Cleaner Data'!R27+'Bloom Cleaner Data'!AH27)-1</f>
        <v>0</v>
      </c>
      <c r="CX27" s="1709">
        <f t="shared" si="38"/>
        <v>-1.3120602911577983E-3</v>
      </c>
      <c r="CY27" s="1706"/>
      <c r="CZ27" s="1706">
        <f>AVERAGE('Bloom Cleaner Data'!GX27:HJ27)</f>
        <v>261.83595001692174</v>
      </c>
      <c r="DA27" s="1709">
        <f>('Bloom Cleaner Data'!HJ27-'Bloom Cleaner Data'!GX27)/'Bloom Cleaner Data'!GX27</f>
        <v>-4.6967652693503906E-2</v>
      </c>
      <c r="DB27" s="1709">
        <f>('Bloom Cleaner Data'!HJ27+'Bloom Cleaner Data'!HI27-'Bloom Cleaner Data'!GX27-'Bloom Cleaner Data'!GW27)/('Bloom Cleaner Data'!GX27+'Bloom Cleaner Data'!GW27)</f>
        <v>-9.944399872416558E-2</v>
      </c>
      <c r="DC27" s="1706"/>
      <c r="DD27" s="1706">
        <f>'Bloom Cleaner Data'!GV27+'OPERATING LEASES'!BL27</f>
        <v>285.77706893136519</v>
      </c>
      <c r="DE27" s="1706">
        <f>'Bloom Cleaner Data'!GW27+'OPERATING LEASES'!BM27</f>
        <v>280.6626177715861</v>
      </c>
      <c r="DF27" s="1706">
        <f>'Bloom Cleaner Data'!GX27+'OPERATING LEASES'!BN27</f>
        <v>278.37005374940077</v>
      </c>
      <c r="DG27" s="1706">
        <f>'Bloom Cleaner Data'!GY27+'OPERATING LEASES'!BO27</f>
        <v>272.85499000791168</v>
      </c>
      <c r="DH27" s="1706">
        <f>'Bloom Cleaner Data'!GZ27+'OPERATING LEASES'!BP27</f>
        <v>293.15200551712343</v>
      </c>
      <c r="DI27" s="1706">
        <f>'Bloom Cleaner Data'!HA27+'OPERATING LEASES'!BQ27</f>
        <v>301.29788351737017</v>
      </c>
      <c r="DJ27" s="1706">
        <f>'Bloom Cleaner Data'!HB27+'OPERATING LEASES'!BR27</f>
        <v>301.37325623059257</v>
      </c>
      <c r="DK27" s="1706">
        <f>'Bloom Cleaner Data'!HC27+'OPERATING LEASES'!BS27</f>
        <v>309.24319002137071</v>
      </c>
      <c r="DL27" s="1706">
        <f>'Bloom Cleaner Data'!HD27+'OPERATING LEASES'!BT27</f>
        <v>263.93030963119833</v>
      </c>
      <c r="DM27" s="1706">
        <f>'Bloom Cleaner Data'!HE27+'OPERATING LEASES'!BU27</f>
        <v>261.28590839338972</v>
      </c>
      <c r="DN27" s="1706">
        <f>'Bloom Cleaner Data'!HF27+'OPERATING LEASES'!BV27</f>
        <v>259.91307370915786</v>
      </c>
      <c r="DO27" s="1706">
        <f>'Bloom Cleaner Data'!HG27+'OPERATING LEASES'!BW27</f>
        <v>255.28357761349517</v>
      </c>
      <c r="DP27" s="1706">
        <f>'Bloom Cleaner Data'!HH27+'OPERATING LEASES'!BX27</f>
        <v>255.04474102424808</v>
      </c>
      <c r="DQ27" s="1706">
        <f>'Bloom Cleaner Data'!HI27+'OPERATING LEASES'!BY27</f>
        <v>249.27300303260046</v>
      </c>
      <c r="DR27" s="1706">
        <f>'Bloom Cleaner Data'!HJ27+'OPERATING LEASES'!BZ27</f>
        <v>275.59824616498105</v>
      </c>
      <c r="DS27" s="1711">
        <f t="shared" si="39"/>
        <v>275.12463373944922</v>
      </c>
      <c r="DT27" s="1708">
        <f t="shared" si="40"/>
        <v>-9.9572764637786953E-3</v>
      </c>
      <c r="DU27" s="1709">
        <f t="shared" si="41"/>
        <v>5.0751944955108985E-2</v>
      </c>
      <c r="DV27" s="1706"/>
      <c r="DW27" s="1707">
        <f>'Bloom Cleaner Data'!DT27</f>
        <v>1.4028</v>
      </c>
      <c r="DX27" s="1707">
        <f>'Bloom Cleaner Data'!DX27</f>
        <v>1.0904</v>
      </c>
      <c r="DY27" s="1707">
        <f>'Bloom Cleaner Data'!EB27</f>
        <v>0.88700000000000001</v>
      </c>
      <c r="DZ27" s="1707">
        <f>'Bloom Cleaner Data'!EF27</f>
        <v>1.3070252722398332</v>
      </c>
      <c r="EA27" s="1707">
        <f>AVERAGE('Bloom Cleaner Data'!DT27:EF27)</f>
        <v>1.1192173286338334</v>
      </c>
      <c r="EB27" s="1709">
        <f t="shared" si="5"/>
        <v>-6.8273971884920751E-2</v>
      </c>
      <c r="EC27" s="1706"/>
      <c r="ED27" s="1707">
        <f>'Bloom Cleaner Data'!DC27</f>
        <v>4.4398999999999997</v>
      </c>
      <c r="EE27" s="1707">
        <f>'Bloom Cleaner Data'!DG27</f>
        <v>3.0916000000000001</v>
      </c>
      <c r="EF27" s="1707">
        <f>'Bloom Cleaner Data'!DK27</f>
        <v>2.9258999999999999</v>
      </c>
      <c r="EG27" s="1707">
        <f>'Bloom Cleaner Data'!DO27</f>
        <v>3.9569999999999999</v>
      </c>
      <c r="EH27" s="1707">
        <f>AVERAGE('Bloom Cleaner Data'!DC27:DO27)</f>
        <v>3.4943076923076926</v>
      </c>
      <c r="EI27" s="1707">
        <f>AVERAGE(ED27:EG27)</f>
        <v>3.6036000000000001</v>
      </c>
      <c r="EJ27" s="1707">
        <f t="shared" si="6"/>
        <v>-0.10929230769230758</v>
      </c>
      <c r="EK27" s="1709">
        <f>(EG27-ED27)/ED27</f>
        <v>-0.10876371089438949</v>
      </c>
      <c r="EL27" s="3115"/>
      <c r="EM27" s="1707">
        <f>('Bloom Cleaner Data'!BU27+'OPERATING LEASES'!AU27)/DD27</f>
        <v>5.3912511069394071</v>
      </c>
      <c r="EN27" s="1707">
        <f>('Bloom Cleaner Data'!BV27+'OPERATING LEASES'!AV27)/DE27</f>
        <v>5.252731811426754</v>
      </c>
      <c r="EO27" s="1707">
        <f>('Bloom Cleaner Data'!BW27+'OPERATING LEASES'!AW27)/DF27</f>
        <v>4.4764466051434839</v>
      </c>
      <c r="EP27" s="1707">
        <f>('Bloom Cleaner Data'!BX27+'OPERATING LEASES'!AX27)/DG27</f>
        <v>3.1738796621897944</v>
      </c>
      <c r="EQ27" s="1707">
        <f>('Bloom Cleaner Data'!BY27+'OPERATING LEASES'!AY27)/DH27</f>
        <v>3.8647746002881376</v>
      </c>
      <c r="ER27" s="1707">
        <f>('Bloom Cleaner Data'!BZ27+'OPERATING LEASES'!AZ27)/DI27</f>
        <v>3.5287733970071162</v>
      </c>
      <c r="ES27" s="1707">
        <f>('Bloom Cleaner Data'!CA27+'OPERATING LEASES'!BA27)/DJ27</f>
        <v>3.1968221034782847</v>
      </c>
      <c r="ET27" s="1707">
        <f>('Bloom Cleaner Data'!CB27+'OPERATING LEASES'!BB27)/DK27</f>
        <v>2.798179703940844</v>
      </c>
      <c r="EU27" s="1707">
        <f>('Bloom Cleaner Data'!CC27+'OPERATING LEASES'!BC27)/DL27</f>
        <v>3.3699276529743569</v>
      </c>
      <c r="EV27" s="1707">
        <f>('Bloom Cleaner Data'!CD27+'OPERATING LEASES'!BD27)/DM27</f>
        <v>3.4233590528046514</v>
      </c>
      <c r="EW27" s="1707">
        <f>('Bloom Cleaner Data'!CE27+'OPERATING LEASES'!BE27)/DN27</f>
        <v>3.1147802582614408</v>
      </c>
      <c r="EX27" s="1707">
        <f>('Bloom Cleaner Data'!CF27+'OPERATING LEASES'!BF27)/DO27</f>
        <v>3.6699224861863882</v>
      </c>
      <c r="EY27" s="1707">
        <f>('Bloom Cleaner Data'!CG27+'OPERATING LEASES'!BG27)/DP27</f>
        <v>4.1922690447506916</v>
      </c>
      <c r="EZ27" s="1707">
        <f>('Bloom Cleaner Data'!CH27+'OPERATING LEASES'!BH27)/DQ27</f>
        <v>4.1095764898713805</v>
      </c>
      <c r="FA27" s="1707">
        <f>('Bloom Cleaner Data'!CI27+'OPERATING LEASES'!BI27)/DR27</f>
        <v>4.0950023289395112</v>
      </c>
      <c r="FB27" s="1712">
        <f>AVERAGE(EO27:FA27)</f>
        <v>3.6164394912181601</v>
      </c>
      <c r="FC27" s="1708">
        <f t="shared" si="45"/>
        <v>-8.5211398649475509E-2</v>
      </c>
      <c r="FD27" s="1707">
        <f t="shared" si="7"/>
        <v>0.12213179891046755</v>
      </c>
      <c r="FE27" s="1707"/>
      <c r="FF27" s="1706"/>
      <c r="FG27" s="1707">
        <f>$FG$1*EM27+(1-$FG$1)*'Bloom Cleaner Data'!DA27</f>
        <v>5.3912511069394071</v>
      </c>
      <c r="FH27" s="1707">
        <f>$FG$1*EN27+(1-$FG$1)*'Bloom Cleaner Data'!DB27</f>
        <v>5.252731811426754</v>
      </c>
      <c r="FI27" s="1707">
        <f>$FG$1*EO27+(1-$FG$1)*'Bloom Cleaner Data'!DC27</f>
        <v>4.4764466051434839</v>
      </c>
      <c r="FJ27" s="1707">
        <f>$FG$1*EP27+(1-$FG$1)*'Bloom Cleaner Data'!DD27</f>
        <v>3.1738796621897944</v>
      </c>
      <c r="FK27" s="1707">
        <f>$FG$1*EQ27+(1-$FG$1)*'Bloom Cleaner Data'!DE27</f>
        <v>3.8647746002881376</v>
      </c>
      <c r="FL27" s="1707">
        <f>$FG$1*ER27+(1-$FG$1)*'Bloom Cleaner Data'!DF27</f>
        <v>3.5287733970071162</v>
      </c>
      <c r="FM27" s="1707">
        <f>$FG$1*ES27+(1-$FG$1)*'Bloom Cleaner Data'!DG27</f>
        <v>3.1968221034782847</v>
      </c>
      <c r="FN27" s="1707">
        <f>$FG$1*ET27+(1-$FG$1)*'Bloom Cleaner Data'!DH27</f>
        <v>2.798179703940844</v>
      </c>
      <c r="FO27" s="1707">
        <f>$FG$1*EU27+(1-$FG$1)*'Bloom Cleaner Data'!DI27</f>
        <v>3.3699276529743569</v>
      </c>
      <c r="FP27" s="1707">
        <f>$FG$1*EV27+(1-$FG$1)*'Bloom Cleaner Data'!DJ27</f>
        <v>3.4233590528046514</v>
      </c>
      <c r="FQ27" s="1707">
        <f>$FG$1*EW27+(1-$FG$1)*'Bloom Cleaner Data'!DK27</f>
        <v>3.1147802582614408</v>
      </c>
      <c r="FR27" s="1707">
        <f>$FG$1*EX27+(1-$FG$1)*'Bloom Cleaner Data'!DL27</f>
        <v>3.6699224861863882</v>
      </c>
      <c r="FS27" s="1707">
        <f>$FG$1*EY27+(1-$FG$1)*'Bloom Cleaner Data'!DM27</f>
        <v>4.1922690447506916</v>
      </c>
      <c r="FT27" s="1707">
        <f>$FG$1*EZ27+(1-$FG$1)*'Bloom Cleaner Data'!DN27</f>
        <v>4.1095764898713805</v>
      </c>
      <c r="FU27" s="1707">
        <f>$FG$1*FA27+(1-$FG$1)*'Bloom Cleaner Data'!DO27</f>
        <v>4.0950023289395112</v>
      </c>
      <c r="FV27" s="1712">
        <f>AVERAGE(FI27:FU27)</f>
        <v>3.6164394912181601</v>
      </c>
      <c r="FW27" s="1708">
        <f t="shared" si="48"/>
        <v>-8.5211398649475509E-2</v>
      </c>
      <c r="FX27" s="1712">
        <f t="shared" si="49"/>
        <v>3.5498612518214663</v>
      </c>
      <c r="FY27" s="2746"/>
      <c r="FZ27" s="2746"/>
      <c r="GA27" s="1708">
        <f>'Bloom Cleaner Data'!T27/('Bloom Cleaner Data'!T27+'Bloom Cleaner Data'!D27)</f>
        <v>0.41286439027586175</v>
      </c>
      <c r="GB27" s="1708">
        <f>'Bloom Cleaner Data'!U27/('Bloom Cleaner Data'!U27+'Bloom Cleaner Data'!E27)</f>
        <v>0.43514176400923932</v>
      </c>
      <c r="GC27" s="1708">
        <f>'Bloom Cleaner Data'!V27/('Bloom Cleaner Data'!V27+'Bloom Cleaner Data'!F27)</f>
        <v>0.46815593318522092</v>
      </c>
      <c r="GD27" s="1708">
        <f>'Bloom Cleaner Data'!W27/('Bloom Cleaner Data'!W27+'Bloom Cleaner Data'!G27)</f>
        <v>0.28100115453513785</v>
      </c>
      <c r="GE27" s="1708">
        <f>'Bloom Cleaner Data'!X27/('Bloom Cleaner Data'!X27+'Bloom Cleaner Data'!H27)</f>
        <v>0.48345345315123989</v>
      </c>
      <c r="GF27" s="1708">
        <f>'Bloom Cleaner Data'!Y27/('Bloom Cleaner Data'!Y27+'Bloom Cleaner Data'!I27)</f>
        <v>0.47608333332504782</v>
      </c>
      <c r="GG27" s="1708">
        <f>'Bloom Cleaner Data'!Z27/('Bloom Cleaner Data'!Z27+'Bloom Cleaner Data'!J27)</f>
        <v>0.49313723689680561</v>
      </c>
      <c r="GH27" s="1708">
        <f>'Bloom Cleaner Data'!AA27/('Bloom Cleaner Data'!AA27+'Bloom Cleaner Data'!K27)</f>
        <v>0.49531762791770773</v>
      </c>
      <c r="GI27" s="1708">
        <f>'Bloom Cleaner Data'!AB27/('Bloom Cleaner Data'!AB27+'Bloom Cleaner Data'!L27)</f>
        <v>0.49373587498192867</v>
      </c>
      <c r="GJ27" s="1708">
        <f>'Bloom Cleaner Data'!AC27/('Bloom Cleaner Data'!AC27+'Bloom Cleaner Data'!M27)</f>
        <v>0.4428070579908735</v>
      </c>
      <c r="GK27" s="1708">
        <f>'Bloom Cleaner Data'!AD27/('Bloom Cleaner Data'!AD27+'Bloom Cleaner Data'!N27)</f>
        <v>0.44444571996877513</v>
      </c>
      <c r="GL27" s="1708">
        <f>'Bloom Cleaner Data'!AE27/('Bloom Cleaner Data'!AE27+'Bloom Cleaner Data'!O27)</f>
        <v>0.40322163899337088</v>
      </c>
      <c r="GM27" s="1708">
        <f>'Bloom Cleaner Data'!AF27/('Bloom Cleaner Data'!AF27+'Bloom Cleaner Data'!P27)</f>
        <v>0.35170034127599797</v>
      </c>
      <c r="GN27" s="1708">
        <f>'Bloom Cleaner Data'!AG27/('Bloom Cleaner Data'!AG27+'Bloom Cleaner Data'!Q27)</f>
        <v>0.40924232582428277</v>
      </c>
      <c r="GO27" s="1708">
        <f>'Bloom Cleaner Data'!AH27/('Bloom Cleaner Data'!AH27+'Bloom Cleaner Data'!R27)</f>
        <v>0.33550595526325888</v>
      </c>
      <c r="GP27" s="1708">
        <f>AVERAGE(GC27:GO27)</f>
        <v>0.42906212717766518</v>
      </c>
      <c r="GQ27" s="1708">
        <f t="shared" si="51"/>
        <v>-0.28334571564530503</v>
      </c>
      <c r="GR27" s="1708"/>
      <c r="GS27" s="1713">
        <f t="shared" si="8"/>
        <v>0.70318404034434789</v>
      </c>
      <c r="GT27" s="1714">
        <f t="shared" si="9"/>
        <v>0.77035570393339703</v>
      </c>
      <c r="GU27" s="1714">
        <f t="shared" si="10"/>
        <v>0.88025036358685516</v>
      </c>
      <c r="GV27" s="1714">
        <f t="shared" si="11"/>
        <v>0.39082281746010195</v>
      </c>
      <c r="GW27" s="1714">
        <f t="shared" si="12"/>
        <v>0.9359339561954142</v>
      </c>
      <c r="GX27" s="1714">
        <f t="shared" si="13"/>
        <v>0.90870049305077549</v>
      </c>
      <c r="GY27" s="1714">
        <f t="shared" si="14"/>
        <v>0.97292062624139886</v>
      </c>
      <c r="GZ27" s="1714">
        <f t="shared" si="15"/>
        <v>0.98144428122990279</v>
      </c>
      <c r="HA27" s="1714">
        <f t="shared" si="16"/>
        <v>0.97525352989273062</v>
      </c>
      <c r="HB27" s="1714">
        <f t="shared" si="17"/>
        <v>0.79471045773516025</v>
      </c>
      <c r="HC27" s="1714">
        <f t="shared" si="18"/>
        <v>0.80000413270831994</v>
      </c>
      <c r="HD27" s="1714">
        <f t="shared" si="19"/>
        <v>0.67566397399736122</v>
      </c>
      <c r="HE27" s="1714">
        <f t="shared" si="20"/>
        <v>0.54249657013274155</v>
      </c>
      <c r="HF27" s="1714">
        <f t="shared" si="21"/>
        <v>0.69274144664357951</v>
      </c>
      <c r="HG27" s="1715">
        <f t="shared" si="22"/>
        <v>0.5049043823954501</v>
      </c>
      <c r="HH27" s="1708">
        <f t="shared" si="52"/>
        <v>0.7735266947130609</v>
      </c>
      <c r="HI27" s="1708">
        <f t="shared" si="53"/>
        <v>-0.4264082092075947</v>
      </c>
      <c r="HJ27" s="1708"/>
      <c r="HK27" s="1709">
        <f>('Bloom Cleaner Data'!T27+'OPERATING LEASES'!AU27)/('Bloom Cleaner Data'!T27+'OPERATING LEASES'!AU27+'Bloom Cleaner Data'!D27)</f>
        <v>0.42997221083871201</v>
      </c>
      <c r="HL27" s="1709">
        <f>('Bloom Cleaner Data'!U27+'OPERATING LEASES'!AV27)/('Bloom Cleaner Data'!U27+'OPERATING LEASES'!AV27+'Bloom Cleaner Data'!E27)</f>
        <v>0.45281886800186638</v>
      </c>
      <c r="HM27" s="1709">
        <f>('Bloom Cleaner Data'!V27+'OPERATING LEASES'!AW27)/('Bloom Cleaner Data'!V27+'OPERATING LEASES'!AW27+'Bloom Cleaner Data'!F27)</f>
        <v>0.48837785245523885</v>
      </c>
      <c r="HN27" s="1709">
        <f>('Bloom Cleaner Data'!W27+'OPERATING LEASES'!AX27)/('Bloom Cleaner Data'!W27+'OPERATING LEASES'!AX27+'Bloom Cleaner Data'!G27)</f>
        <v>0.32068204478749368</v>
      </c>
      <c r="HO27" s="1709">
        <f>('Bloom Cleaner Data'!X27+'OPERATING LEASES'!AY27)/('Bloom Cleaner Data'!X27+'OPERATING LEASES'!AY27+'Bloom Cleaner Data'!H27)</f>
        <v>0.50618916176036455</v>
      </c>
      <c r="HP27" s="1709">
        <f>('Bloom Cleaner Data'!Y27+'OPERATING LEASES'!AZ27)/('Bloom Cleaner Data'!Y27+'OPERATING LEASES'!AZ27+'Bloom Cleaner Data'!I27)</f>
        <v>0.50438508797734638</v>
      </c>
      <c r="HQ27" s="1709">
        <f>('Bloom Cleaner Data'!Z27+'OPERATING LEASES'!BA27)/('Bloom Cleaner Data'!Z27+'OPERATING LEASES'!BA27+'Bloom Cleaner Data'!J27)</f>
        <v>0.52733427511662723</v>
      </c>
      <c r="HR27" s="1709">
        <f>('Bloom Cleaner Data'!AA27+'OPERATING LEASES'!BB27)/('Bloom Cleaner Data'!AA27+'OPERATING LEASES'!BB27+'Bloom Cleaner Data'!K27)</f>
        <v>0.53764177825502679</v>
      </c>
      <c r="HS27" s="1709">
        <f>('Bloom Cleaner Data'!AB27+'OPERATING LEASES'!BC27)/('Bloom Cleaner Data'!AB27+'OPERATING LEASES'!BC27+'Bloom Cleaner Data'!L27)</f>
        <v>0.53934899870094088</v>
      </c>
      <c r="HT27" s="1709">
        <f>('Bloom Cleaner Data'!AC27+'OPERATING LEASES'!BD27)/('Bloom Cleaner Data'!AC27+'OPERATING LEASES'!BD27+'Bloom Cleaner Data'!M27)</f>
        <v>0.49743899065188774</v>
      </c>
      <c r="HU27" s="1709">
        <f>('Bloom Cleaner Data'!AD27+'OPERATING LEASES'!BE27)/('Bloom Cleaner Data'!AD27+'OPERATING LEASES'!BE27+'Bloom Cleaner Data'!N27)</f>
        <v>0.50982229417251801</v>
      </c>
      <c r="HV27" s="1709">
        <f>('Bloom Cleaner Data'!AE27+'OPERATING LEASES'!BF27)/('Bloom Cleaner Data'!AE27+'OPERATING LEASES'!BF27+'Bloom Cleaner Data'!O27)</f>
        <v>0.46872714503922225</v>
      </c>
      <c r="HW27" s="1709">
        <f>('Bloom Cleaner Data'!AF27+'OPERATING LEASES'!BG27)/('Bloom Cleaner Data'!AF27+'OPERATING LEASES'!BG27+'Bloom Cleaner Data'!P27)</f>
        <v>0.41864104210174313</v>
      </c>
      <c r="HX27" s="1709">
        <f>('Bloom Cleaner Data'!AG27+'OPERATING LEASES'!BH27)/('Bloom Cleaner Data'!AG27+'OPERATING LEASES'!BH27+'Bloom Cleaner Data'!Q27)</f>
        <v>0.47290971472258075</v>
      </c>
      <c r="HY27" s="1709">
        <f>('Bloom Cleaner Data'!AH27+'OPERATING LEASES'!BI27)/('Bloom Cleaner Data'!AH27+'OPERATING LEASES'!BI27+'Bloom Cleaner Data'!R27)</f>
        <v>0.40051001362688471</v>
      </c>
      <c r="HZ27" s="1708">
        <f t="shared" si="54"/>
        <v>0.47630833841291353</v>
      </c>
      <c r="IA27" s="1708">
        <f t="shared" si="55"/>
        <v>-0.17991773866610272</v>
      </c>
      <c r="IB27" s="1708">
        <f t="shared" si="23"/>
        <v>4.7246211235248359E-2</v>
      </c>
      <c r="IC27" s="1708">
        <f t="shared" si="24"/>
        <v>0.1101150818088513</v>
      </c>
      <c r="IE27" s="1716">
        <f t="shared" si="56"/>
        <v>0.75430043765296584</v>
      </c>
      <c r="IF27" s="1717">
        <f t="shared" si="108"/>
        <v>0.82754839580874084</v>
      </c>
      <c r="IG27" s="1717">
        <f t="shared" si="109"/>
        <v>0.95456745725127423</v>
      </c>
      <c r="IH27" s="1717">
        <f t="shared" si="110"/>
        <v>0.47206472657884763</v>
      </c>
      <c r="II27" s="1717">
        <f t="shared" si="111"/>
        <v>1.0250669336559239</v>
      </c>
      <c r="IJ27" s="1717">
        <f t="shared" si="112"/>
        <v>1.0176955449522307</v>
      </c>
      <c r="IK27" s="1717">
        <f t="shared" si="113"/>
        <v>1.1156600687446578</v>
      </c>
      <c r="IL27" s="1717">
        <f t="shared" si="114"/>
        <v>1.1628251709809074</v>
      </c>
      <c r="IM27" s="1717">
        <f t="shared" si="115"/>
        <v>1.1708408256574923</v>
      </c>
      <c r="IN27" s="1717">
        <f t="shared" si="116"/>
        <v>0.98980816537504868</v>
      </c>
      <c r="IO27" s="1717">
        <f t="shared" si="117"/>
        <v>1.0400764622941663</v>
      </c>
      <c r="IP27" s="1717">
        <f t="shared" si="118"/>
        <v>0.88227196376112038</v>
      </c>
      <c r="IQ27" s="1717">
        <f t="shared" si="119"/>
        <v>0.72010766569285256</v>
      </c>
      <c r="IR27" s="1717">
        <f t="shared" si="120"/>
        <v>0.89720817843128697</v>
      </c>
      <c r="IS27" s="1718">
        <f t="shared" si="121"/>
        <v>0.66808457644130204</v>
      </c>
      <c r="IT27" s="1708">
        <f t="shared" si="57"/>
        <v>0.93202136460131624</v>
      </c>
      <c r="IU27" s="1708">
        <f t="shared" si="58"/>
        <v>-0.30011800489712304</v>
      </c>
      <c r="IV27" s="1708">
        <f t="shared" si="59"/>
        <v>0.15849466988825534</v>
      </c>
      <c r="IW27" s="1708">
        <f t="shared" si="60"/>
        <v>0.20489877204179593</v>
      </c>
      <c r="IY27" s="1707">
        <f>'Bloom Cleaner Data'!T27/'Bloom Cleaner Data'!BU27*'Bloom Cleaner Data'!DA27</f>
        <v>2.2272382397821637</v>
      </c>
      <c r="IZ27" s="1707">
        <f>'Bloom Cleaner Data'!U27/'Bloom Cleaner Data'!BV27*'Bloom Cleaner Data'!DB27</f>
        <v>2.2827972081688706</v>
      </c>
      <c r="JA27" s="1707">
        <f>'Bloom Cleaner Data'!V27/'Bloom Cleaner Data'!BW27*'Bloom Cleaner Data'!DC27</f>
        <v>2.078565527749062</v>
      </c>
      <c r="JB27" s="1707">
        <f>'Bloom Cleaner Data'!W27/'Bloom Cleaner Data'!BX27*'Bloom Cleaner Data'!DD27</f>
        <v>0.88422855059908712</v>
      </c>
      <c r="JC27" s="1707">
        <f>'Bloom Cleaner Data'!X27/'Bloom Cleaner Data'!BY27*'Bloom Cleaner Data'!DE27</f>
        <v>1.8379933381903839</v>
      </c>
      <c r="JD27" s="1707">
        <f>'Bloom Cleaner Data'!Y27/'Bloom Cleaner Data'!BZ27*'Bloom Cleaner Data'!DF27</f>
        <v>1.64105924997144</v>
      </c>
      <c r="JE27" s="1707">
        <f>'Bloom Cleaner Data'!Z27/'Bloom Cleaner Data'!CA27*'Bloom Cleaner Data'!DG27</f>
        <v>1.5245830815901642</v>
      </c>
      <c r="JF27" s="1707">
        <f>'Bloom Cleaner Data'!AA27/'Bloom Cleaner Data'!CB27*'Bloom Cleaner Data'!DH27</f>
        <v>1.3211111771821102</v>
      </c>
      <c r="JG27" s="1707">
        <f>'Bloom Cleaner Data'!AB27/'Bloom Cleaner Data'!CC27*'Bloom Cleaner Data'!DI27</f>
        <v>1.5941250195541528</v>
      </c>
      <c r="JH27" s="1707">
        <f>'Bloom Cleaner Data'!AC27/'Bloom Cleaner Data'!CD27*'Bloom Cleaner Data'!DJ27</f>
        <v>1.4477576761011608</v>
      </c>
      <c r="JI27" s="1707">
        <f>'Bloom Cleaner Data'!AD27/'Bloom Cleaner Data'!CE27*'Bloom Cleaner Data'!DK27</f>
        <v>1.3004037320566393</v>
      </c>
      <c r="JJ27" s="1707">
        <f>'Bloom Cleaner Data'!AE27/'Bloom Cleaner Data'!CF27*'Bloom Cleaner Data'!DL27</f>
        <v>1.4115579916240935</v>
      </c>
      <c r="JK27" s="1707">
        <f>'Bloom Cleaner Data'!AF27/'Bloom Cleaner Data'!CG27*'Bloom Cleaner Data'!DM27</f>
        <v>1.4243160420995367</v>
      </c>
      <c r="JL27" s="1707">
        <f>'Bloom Cleaner Data'!AG27/'Bloom Cleaner Data'!CH27*'Bloom Cleaner Data'!DN27</f>
        <v>1.6193718832866868</v>
      </c>
      <c r="JM27" s="1707">
        <f>'Bloom Cleaner Data'!AH27/'Bloom Cleaner Data'!CI27*'Bloom Cleaner Data'!DO27</f>
        <v>1.3275970649767153</v>
      </c>
      <c r="JN27" s="1707">
        <f>AVERAGE(JK27:JM27)</f>
        <v>1.4570949967876461</v>
      </c>
      <c r="JO27" s="1707">
        <f>AVERAGE(JJ27:JM27)</f>
        <v>1.4457107454967582</v>
      </c>
      <c r="JP27" s="1707">
        <f>AVERAGE(JA27:JM27)</f>
        <v>1.4932823334600944</v>
      </c>
      <c r="JQ27" s="1709">
        <f>(JM27-JA27)/JA27</f>
        <v>-0.36129169504008468</v>
      </c>
      <c r="JR27" s="1709"/>
      <c r="JS27" s="1096" t="s">
        <v>358</v>
      </c>
      <c r="JT27" s="1712">
        <f>('Bloom Cleaner Data'!T27+'OPERATING LEASES'!AU27)/DD27</f>
        <v>2.3180881576373897</v>
      </c>
      <c r="JU27" s="1712">
        <f>('Bloom Cleaner Data'!U27+'OPERATING LEASES'!AV27)/DE27</f>
        <v>2.3785360727676554</v>
      </c>
      <c r="JV27" s="1712">
        <f>('Bloom Cleaner Data'!V27+'OPERATING LEASES'!AW27)/DF27</f>
        <v>2.1861973796505194</v>
      </c>
      <c r="JW27" s="1712">
        <f>('Bloom Cleaner Data'!W27+'OPERATING LEASES'!AX27)/DG27</f>
        <v>1.0354679733176881</v>
      </c>
      <c r="JX27" s="1712">
        <f>('Bloom Cleaner Data'!X27+'OPERATING LEASES'!AY27)/DH27</f>
        <v>1.9563070153126001</v>
      </c>
      <c r="JY27" s="1712">
        <f>('Bloom Cleaner Data'!Y27+'OPERATING LEASES'!AZ27)/DI27</f>
        <v>1.7798606803015535</v>
      </c>
      <c r="JZ27" s="1712">
        <f>('Bloom Cleaner Data'!Z27+'OPERATING LEASES'!BA27)/DJ27</f>
        <v>1.6857938666145329</v>
      </c>
      <c r="KA27" s="1712">
        <f>('Bloom Cleaner Data'!AA27+'OPERATING LEASES'!BB27)/DK27</f>
        <v>1.5044183119038794</v>
      </c>
      <c r="KB27" s="1712">
        <f>('Bloom Cleaner Data'!AB27+'OPERATING LEASES'!BC27)/DL27</f>
        <v>1.8175671053263309</v>
      </c>
      <c r="KC27" s="1712">
        <f>('Bloom Cleaner Data'!AC27+'OPERATING LEASES'!BD27)/DM27</f>
        <v>1.702912271866148</v>
      </c>
      <c r="KD27" s="1712">
        <f>('Bloom Cleaner Data'!AD27+'OPERATING LEASES'!BE27)/DN27</f>
        <v>1.5879844171101163</v>
      </c>
      <c r="KE27" s="1712">
        <f>('Bloom Cleaner Data'!AE27+'OPERATING LEASES'!BF27)/DO27</f>
        <v>1.72019228946539</v>
      </c>
      <c r="KF27" s="1712">
        <f>('Bloom Cleaner Data'!AF27+'OPERATING LEASES'!BG27)/DP27</f>
        <v>1.7550558816653088</v>
      </c>
      <c r="KG27" s="1712">
        <f>('Bloom Cleaner Data'!AG27+'OPERATING LEASES'!BH27)/DQ27</f>
        <v>1.9434586454556992</v>
      </c>
      <c r="KH27" s="1712">
        <f>('Bloom Cleaner Data'!AH27+'OPERATING LEASES'!BI27)/DR27</f>
        <v>1.6400894385656881</v>
      </c>
      <c r="KI27" s="1707">
        <f>AVERAGE(KF27:KH27)</f>
        <v>1.7795346552288986</v>
      </c>
      <c r="KJ27" s="1707">
        <f>AVERAGE(KE27:KH27)</f>
        <v>1.7646990637880215</v>
      </c>
      <c r="KK27" s="1707">
        <f>AVERAGE(JV27:KH27)</f>
        <v>1.7165619443504196</v>
      </c>
      <c r="KL27" s="1709">
        <f>(KH27-JV27)/JV27</f>
        <v>-0.24979809516198892</v>
      </c>
      <c r="KM27" s="1707">
        <f t="shared" si="69"/>
        <v>0.22327961089032522</v>
      </c>
      <c r="KN27" s="1709"/>
      <c r="KO27" s="1707">
        <f t="shared" si="70"/>
        <v>2.3180881576373897</v>
      </c>
      <c r="KP27" s="1707">
        <f t="shared" si="122"/>
        <v>2.3785360727676554</v>
      </c>
      <c r="KQ27" s="1707">
        <f t="shared" si="123"/>
        <v>2.1861973796505194</v>
      </c>
      <c r="KR27" s="1707">
        <f t="shared" si="124"/>
        <v>1.0354679733176881</v>
      </c>
      <c r="KS27" s="1707">
        <f t="shared" si="125"/>
        <v>1.9563070153126001</v>
      </c>
      <c r="KT27" s="1707">
        <f t="shared" si="126"/>
        <v>1.7798606803015535</v>
      </c>
      <c r="KU27" s="1707">
        <f t="shared" si="127"/>
        <v>1.6857938666145329</v>
      </c>
      <c r="KV27" s="1707">
        <f t="shared" si="128"/>
        <v>1.5044183119038794</v>
      </c>
      <c r="KW27" s="1707">
        <f t="shared" si="129"/>
        <v>1.8175671053263309</v>
      </c>
      <c r="KX27" s="1707">
        <f t="shared" si="130"/>
        <v>1.702912271866148</v>
      </c>
      <c r="KY27" s="1707">
        <f t="shared" si="131"/>
        <v>1.5879844171101163</v>
      </c>
      <c r="KZ27" s="1707">
        <f t="shared" si="132"/>
        <v>1.72019228946539</v>
      </c>
      <c r="LA27" s="1707">
        <f t="shared" si="133"/>
        <v>1.7550558816653088</v>
      </c>
      <c r="LB27" s="1707">
        <f t="shared" si="134"/>
        <v>1.9434586454556992</v>
      </c>
      <c r="LC27" s="1707">
        <f t="shared" si="135"/>
        <v>1.6400894385656881</v>
      </c>
      <c r="LD27" s="1707">
        <f>AVERAGE(LA27:LC27)</f>
        <v>1.7795346552288986</v>
      </c>
      <c r="LE27" s="1707">
        <f>AVERAGE(KZ27:LC27)</f>
        <v>1.7646990637880215</v>
      </c>
      <c r="LF27" s="1712">
        <f>AVERAGE(KQ27:LC27)</f>
        <v>1.7165619443504196</v>
      </c>
      <c r="LG27" s="1708">
        <f t="shared" si="88"/>
        <v>-0.24979809516198892</v>
      </c>
      <c r="LH27" s="1709"/>
      <c r="LI27" s="1707">
        <f>('Bloom Cleaner Data'!T27+'Bloom Cleaner Data'!EY27)/'Bloom Cleaner Data'!GV27</f>
        <v>2.3037318875106254</v>
      </c>
      <c r="LJ27" s="1707">
        <f>('Bloom Cleaner Data'!U27+'Bloom Cleaner Data'!EZ27)/'Bloom Cleaner Data'!GW27</f>
        <v>2.3201819935630974</v>
      </c>
      <c r="LK27" s="1707">
        <f>('Bloom Cleaner Data'!V27+'Bloom Cleaner Data'!FA27)/'Bloom Cleaner Data'!GX27</f>
        <v>2.2407233585277999</v>
      </c>
      <c r="LL27" s="1707">
        <f>('Bloom Cleaner Data'!W27+'Bloom Cleaner Data'!FB27)/'Bloom Cleaner Data'!GY27</f>
        <v>1.0218362856537793</v>
      </c>
      <c r="LM27" s="1707">
        <f>('Bloom Cleaner Data'!X27+'Bloom Cleaner Data'!FC27)/'Bloom Cleaner Data'!GZ27</f>
        <v>2.0020068682542536</v>
      </c>
      <c r="LN27" s="1707">
        <f>('Bloom Cleaner Data'!Y27+'Bloom Cleaner Data'!FD27)/'Bloom Cleaner Data'!HA27</f>
        <v>1.7849844582953069</v>
      </c>
      <c r="LO27" s="1707">
        <f>('Bloom Cleaner Data'!Z27+'Bloom Cleaner Data'!FE27)/'Bloom Cleaner Data'!HB27</f>
        <v>1.7379858974851286</v>
      </c>
      <c r="LP27" s="1707">
        <f>('Bloom Cleaner Data'!AA27+'Bloom Cleaner Data'!FF27)/'Bloom Cleaner Data'!HC27</f>
        <v>1.5315096294556454</v>
      </c>
      <c r="LQ27" s="1707">
        <f>('Bloom Cleaner Data'!AB27+'Bloom Cleaner Data'!FG27)/'Bloom Cleaner Data'!HD27</f>
        <v>1.8385442772747997</v>
      </c>
      <c r="LR27" s="1707">
        <f>('Bloom Cleaner Data'!AC27+'Bloom Cleaner Data'!FH27)/'Bloom Cleaner Data'!HE27</f>
        <v>1.543527832161071</v>
      </c>
      <c r="LS27" s="1707">
        <f>('Bloom Cleaner Data'!AD27+'Bloom Cleaner Data'!FI27)/'Bloom Cleaner Data'!HF27</f>
        <v>1.5068911438447989</v>
      </c>
      <c r="LT27" s="1707">
        <f>('Bloom Cleaner Data'!AE27+'Bloom Cleaner Data'!FJ27)/'Bloom Cleaner Data'!HG27</f>
        <v>1.5699307176640409</v>
      </c>
      <c r="LU27" s="1707">
        <f>('Bloom Cleaner Data'!AF27+'Bloom Cleaner Data'!FK27)/'Bloom Cleaner Data'!HH27</f>
        <v>1.6104741466900652</v>
      </c>
      <c r="LV27" s="1707">
        <f>('Bloom Cleaner Data'!AG27+'Bloom Cleaner Data'!FL27)/'Bloom Cleaner Data'!HI27</f>
        <v>1.8588386830381538</v>
      </c>
      <c r="LW27" s="1707">
        <f>('Bloom Cleaner Data'!AH27+'Bloom Cleaner Data'!FM27)/'Bloom Cleaner Data'!HJ27</f>
        <v>1.5425640777226721</v>
      </c>
      <c r="LX27" s="1707">
        <f t="shared" si="89"/>
        <v>0.21496701274595686</v>
      </c>
      <c r="LY27" s="1707">
        <f>AVERAGE(LU27:LW27)</f>
        <v>1.6706256358169638</v>
      </c>
      <c r="LZ27" s="1707">
        <f t="shared" si="27"/>
        <v>0.21353063902931768</v>
      </c>
      <c r="MA27" s="1707">
        <f>AVERAGE(LT27:LW27)</f>
        <v>1.6454519062787329</v>
      </c>
      <c r="MB27" s="1707">
        <f>AVERAGE(LK27:LW27)</f>
        <v>1.6761397981590398</v>
      </c>
      <c r="MC27" s="1709">
        <f>(LW27-LK27)/LK27</f>
        <v>-0.31157763324421822</v>
      </c>
      <c r="MD27" s="1707">
        <f t="shared" si="28"/>
        <v>0.18285746469894537</v>
      </c>
      <c r="ME27" s="1709"/>
      <c r="MF27" s="1096" t="s">
        <v>358</v>
      </c>
      <c r="MG27" s="1707">
        <f>JT27+'Bloom Cleaner Data'!EY27/CALCULATIONS!DD27</f>
        <v>2.39230684872871</v>
      </c>
      <c r="MH27" s="1707">
        <f>JU27+'Bloom Cleaner Data'!EZ27/CALCULATIONS!DE27</f>
        <v>2.4147966908749177</v>
      </c>
      <c r="MI27" s="1707">
        <f>JV27+'Bloom Cleaner Data'!FA27/CALCULATIONS!DF27</f>
        <v>2.3434736362388566</v>
      </c>
      <c r="MJ27" s="1707">
        <f>JW27+'Bloom Cleaner Data'!FB27/CALCULATIONS!DG27</f>
        <v>1.1688794971419161</v>
      </c>
      <c r="MK27" s="1707">
        <f>JX27+'Bloom Cleaner Data'!FC27/CALCULATIONS!DH27</f>
        <v>2.1156987271911349</v>
      </c>
      <c r="ML27" s="1707">
        <f>JY27+'Bloom Cleaner Data'!FD27/CALCULATIONS!DI27</f>
        <v>1.9192410155025439</v>
      </c>
      <c r="MM27" s="1707">
        <f>JZ27+'Bloom Cleaner Data'!FE27/CALCULATIONS!DJ27</f>
        <v>1.8915719133319533</v>
      </c>
      <c r="MN27" s="1707">
        <f>KA27+'Bloom Cleaner Data'!FF27/CALCULATIONS!DK27</f>
        <v>1.7066378013473766</v>
      </c>
      <c r="MO27" s="1707">
        <f>KB27+'Bloom Cleaner Data'!FG27/CALCULATIONS!DL27</f>
        <v>2.049692775491339</v>
      </c>
      <c r="MP27" s="1707">
        <f>KC27+'Bloom Cleaner Data'!FH27/CALCULATIONS!DM27</f>
        <v>1.7933572566160332</v>
      </c>
      <c r="MQ27" s="1707">
        <f>KD27+'Bloom Cleaner Data'!FI27/CALCULATIONS!DN27</f>
        <v>1.7819338759834651</v>
      </c>
      <c r="MR27" s="1707">
        <f>KE27+'Bloom Cleaner Data'!FJ27/CALCULATIONS!DO27</f>
        <v>1.8679965483712531</v>
      </c>
      <c r="MS27" s="1707">
        <f>KF27+'Bloom Cleaner Data'!FK27/CALCULATIONS!DP27</f>
        <v>1.9278647771673325</v>
      </c>
      <c r="MT27" s="1707">
        <f>KG27+'Bloom Cleaner Data'!FL27/CALCULATIONS!DQ27</f>
        <v>2.1653559200384827</v>
      </c>
      <c r="MU27" s="1707">
        <f>KH27+'Bloom Cleaner Data'!FM27/CALCULATIONS!DR27</f>
        <v>1.8407910060455046</v>
      </c>
      <c r="MV27" s="1707">
        <f t="shared" si="29"/>
        <v>0.20070156747981649</v>
      </c>
      <c r="MW27" s="1707">
        <f>AVERAGE(MS27:MU27)</f>
        <v>1.9780039010837733</v>
      </c>
      <c r="MX27" s="1707">
        <f t="shared" si="30"/>
        <v>0.19846924585487469</v>
      </c>
      <c r="MY27" s="1707">
        <f>AVERAGE(MR27:MU27)</f>
        <v>1.9505020629056433</v>
      </c>
      <c r="MZ27" s="1707">
        <f>AVERAGE(MI27:MU27)</f>
        <v>1.8901919038820916</v>
      </c>
      <c r="NA27" s="1709">
        <f>(MU27-MI27)/MI27</f>
        <v>-0.21450321540639533</v>
      </c>
      <c r="NB27" s="1707">
        <f t="shared" si="31"/>
        <v>0.17362995953167193</v>
      </c>
      <c r="NC27" s="1707"/>
      <c r="ND27" s="1706">
        <f>'Bloom Cleaner Data'!GF27+('Bloom Cleaner Data'!T27+'Bloom Cleaner Data'!EY27)+'Bloom Cleaner Data'!CK27</f>
        <v>1640.3400000000001</v>
      </c>
      <c r="NE27" s="1706">
        <f>'Bloom Cleaner Data'!GG27+('Bloom Cleaner Data'!U27+'Bloom Cleaner Data'!EZ27)+'Bloom Cleaner Data'!CL27</f>
        <v>1665.9839999999999</v>
      </c>
      <c r="NF27" s="1706">
        <f>'Bloom Cleaner Data'!GH27+('Bloom Cleaner Data'!V27+'Bloom Cleaner Data'!FA27)+'Bloom Cleaner Data'!CM27</f>
        <v>1644.2329999999999</v>
      </c>
      <c r="NG27" s="1706">
        <f>'Bloom Cleaner Data'!GI27+('Bloom Cleaner Data'!W27+'Bloom Cleaner Data'!FB27)+'Bloom Cleaner Data'!CN27</f>
        <v>1277.07935</v>
      </c>
      <c r="NH27" s="1706">
        <f>'Bloom Cleaner Data'!GJ27+('Bloom Cleaner Data'!X27+'Bloom Cleaner Data'!FC27)+'Bloom Cleaner Data'!CO27</f>
        <v>1378.1660000000002</v>
      </c>
      <c r="NI27" s="1706">
        <f>'Bloom Cleaner Data'!GK27+('Bloom Cleaner Data'!Y27+'Bloom Cleaner Data'!FD27)+'Bloom Cleaner Data'!CP27</f>
        <v>1339.6999999999998</v>
      </c>
      <c r="NJ27" s="1706">
        <f>'Bloom Cleaner Data'!GL27+('Bloom Cleaner Data'!Z27+'Bloom Cleaner Data'!FE27)+'Bloom Cleaner Data'!CQ27</f>
        <v>1334.81</v>
      </c>
      <c r="NK27" s="1706">
        <f>'Bloom Cleaner Data'!GM27+('Bloom Cleaner Data'!AA27+'Bloom Cleaner Data'!FF27)+'Bloom Cleaner Data'!CR27</f>
        <v>1275.6770000000001</v>
      </c>
      <c r="NL27" s="1706">
        <f>'Bloom Cleaner Data'!GN27+('Bloom Cleaner Data'!AB27+'Bloom Cleaner Data'!FG27)+'Bloom Cleaner Data'!CS27</f>
        <v>1276.116</v>
      </c>
      <c r="NM27" s="1706">
        <f>'Bloom Cleaner Data'!GO27+('Bloom Cleaner Data'!AC27+'Bloom Cleaner Data'!FH27)+'Bloom Cleaner Data'!CT27</f>
        <v>1211.971</v>
      </c>
      <c r="NN27" s="1706">
        <f>'Bloom Cleaner Data'!GP27+('Bloom Cleaner Data'!AD27+'Bloom Cleaner Data'!FI27)+'Bloom Cleaner Data'!CU27</f>
        <v>1166.971</v>
      </c>
      <c r="NO27" s="1706">
        <f>'Bloom Cleaner Data'!GQ27+('Bloom Cleaner Data'!AE27+'Bloom Cleaner Data'!FJ27)+'Bloom Cleaner Data'!CV27</f>
        <v>1186.6420000000001</v>
      </c>
      <c r="NP27" s="1706">
        <f>'Bloom Cleaner Data'!GR27+('Bloom Cleaner Data'!AF27+'Bloom Cleaner Data'!FK27)+'Bloom Cleaner Data'!CW27</f>
        <v>1196.0059999999999</v>
      </c>
      <c r="NQ27" s="1706">
        <f>'Bloom Cleaner Data'!GS27+('Bloom Cleaner Data'!AG27+'Bloom Cleaner Data'!FL27)+'Bloom Cleaner Data'!CX27</f>
        <v>1233.4409999999998</v>
      </c>
      <c r="NR27" s="1706">
        <f>'Bloom Cleaner Data'!GT27+('Bloom Cleaner Data'!AH27+'Bloom Cleaner Data'!FM27)+'Bloom Cleaner Data'!CY27</f>
        <v>1200.9949999999999</v>
      </c>
      <c r="NS27" s="1707"/>
      <c r="NT27" s="1096" t="s">
        <v>358</v>
      </c>
      <c r="NU27" s="1709">
        <f>('Bloom Cleaner Data'!T27+'Bloom Cleaner Data'!EY27+'OPERATING LEASES'!BL27)/CALCULATIONS!ND27</f>
        <v>0.39459693896213149</v>
      </c>
      <c r="NV27" s="1709">
        <f>('Bloom Cleaner Data'!U27+'Bloom Cleaner Data'!EZ27+'OPERATING LEASES'!BM27)/CALCULATIONS!NE27</f>
        <v>0.38418530783780469</v>
      </c>
      <c r="NW27" s="1709">
        <f>('Bloom Cleaner Data'!V27+'Bloom Cleaner Data'!FA27+'OPERATING LEASES'!BN27)/CALCULATIONS!NF27</f>
        <v>0.37303290283589458</v>
      </c>
      <c r="NX27" s="1709">
        <f>('Bloom Cleaner Data'!W27+'Bloom Cleaner Data'!FB27+'OPERATING LEASES'!BO27)/CALCULATIONS!NG27</f>
        <v>0.21817864486203278</v>
      </c>
      <c r="NY27" s="1709">
        <f>('Bloom Cleaner Data'!X27+'Bloom Cleaner Data'!FC27+'OPERATING LEASES'!BP27)/CALCULATIONS!NH27</f>
        <v>0.41984410803923478</v>
      </c>
      <c r="NZ27" s="1709">
        <f>('Bloom Cleaner Data'!Y27+'Bloom Cleaner Data'!FD27+'OPERATING LEASES'!BQ27)/CALCULATIONS!NI27</f>
        <v>0.39586727672240057</v>
      </c>
      <c r="OA27" s="1709">
        <f>('Bloom Cleaner Data'!Z27+'Bloom Cleaner Data'!FE27+'OPERATING LEASES'!BR27)/CALCULATIONS!NJ27</f>
        <v>0.3864489374892307</v>
      </c>
      <c r="OB27" s="1709">
        <f>('Bloom Cleaner Data'!AA27+'Bloom Cleaner Data'!FF27+'OPERATING LEASES'!BS27)/CALCULATIONS!NK27</f>
        <v>0.36625213269111218</v>
      </c>
      <c r="OC27" s="1709">
        <f>('Bloom Cleaner Data'!AB27+'Bloom Cleaner Data'!FG27+'OPERATING LEASES'!BT27)/CALCULATIONS!NL27</f>
        <v>0.37153043884725218</v>
      </c>
      <c r="OD27" s="1709">
        <f>('Bloom Cleaner Data'!AC27+'Bloom Cleaner Data'!FH27+'OPERATING LEASES'!BU27)/CALCULATIONS!NM27</f>
        <v>0.32624992935061981</v>
      </c>
      <c r="OE27" s="1709">
        <f>('Bloom Cleaner Data'!AD27+'Bloom Cleaner Data'!FI27+'OPERATING LEASES'!BV27)/CALCULATIONS!NN27</f>
        <v>0.32876649783927792</v>
      </c>
      <c r="OF27" s="1709">
        <f>('Bloom Cleaner Data'!AE27+'Bloom Cleaner Data'!FJ27+'OPERATING LEASES'!BW27)/CALCULATIONS!NO27</f>
        <v>0.32955894395698115</v>
      </c>
      <c r="OG27" s="1709">
        <f>('Bloom Cleaner Data'!AF27+'Bloom Cleaner Data'!FK27+'OPERATING LEASES'!BX27)/CALCULATIONS!NP27</f>
        <v>0.334093641670694</v>
      </c>
      <c r="OH27" s="1709">
        <f>('Bloom Cleaner Data'!AG27+'Bloom Cleaner Data'!FL27+'OPERATING LEASES'!BY27)/CALCULATIONS!NQ27</f>
        <v>0.36292858758546215</v>
      </c>
      <c r="OI27" s="1709">
        <f>('Bloom Cleaner Data'!AH27+'Bloom Cleaner Data'!FM27+'OPERATING LEASES'!BZ27)/CALCULATIONS!NR27</f>
        <v>0.34571750923192857</v>
      </c>
      <c r="OJ27" s="1709">
        <f>AVERAGE(OG27:OI27)</f>
        <v>0.34757991282936151</v>
      </c>
      <c r="OK27" s="1709">
        <f>AVERAGE(OF27:OI27)</f>
        <v>0.34307467061126651</v>
      </c>
      <c r="OL27" s="1709">
        <f>AVERAGE(NW27:OI27)</f>
        <v>0.35065150393247085</v>
      </c>
      <c r="OM27" s="1708">
        <f t="shared" si="101"/>
        <v>-7.3225158950610464E-2</v>
      </c>
      <c r="ON27" s="1708"/>
      <c r="OO27" s="2752"/>
      <c r="OP27" s="1712">
        <f>'Bloom Cleaner Data'!D27/'Bloom Cleaner Data'!GF27</f>
        <v>0.87686632733139902</v>
      </c>
      <c r="OQ27" s="1712">
        <f>'Bloom Cleaner Data'!E27/'Bloom Cleaner Data'!GG27</f>
        <v>0.77986971868090649</v>
      </c>
      <c r="OR27" s="1712">
        <f>'Bloom Cleaner Data'!F27/'Bloom Cleaner Data'!GH27</f>
        <v>0.61345264900025021</v>
      </c>
      <c r="OS27" s="1712">
        <f>'Bloom Cleaner Data'!G27/'Bloom Cleaner Data'!GI27</f>
        <v>0.58573722151975538</v>
      </c>
      <c r="OT27" s="1712">
        <f>'Bloom Cleaner Data'!H27/'Bloom Cleaner Data'!GJ27</f>
        <v>0.69257587161369227</v>
      </c>
      <c r="OU27" s="1712">
        <f>'Bloom Cleaner Data'!I27/'Bloom Cleaner Data'!GK27</f>
        <v>0.64350025828244017</v>
      </c>
      <c r="OV27" s="1712">
        <f>'Bloom Cleaner Data'!J27/'Bloom Cleaner Data'!GL27</f>
        <v>0.54882541802150553</v>
      </c>
      <c r="OW27" s="1712">
        <f>'Bloom Cleaner Data'!K27/'Bloom Cleaner Data'!GM27</f>
        <v>0.48762600870954648</v>
      </c>
      <c r="OX27" s="1712">
        <f>'Bloom Cleaner Data'!L27/'Bloom Cleaner Data'!GN27</f>
        <v>0.50254821992579191</v>
      </c>
      <c r="OY27" s="1712">
        <f>'Bloom Cleaner Data'!M27/'Bloom Cleaner Data'!GO27</f>
        <v>0.54088767335584176</v>
      </c>
      <c r="OZ27" s="1712">
        <f>'Bloom Cleaner Data'!N27/'Bloom Cleaner Data'!GP27</f>
        <v>0.4966063982620274</v>
      </c>
      <c r="PA27" s="1712">
        <f>'Bloom Cleaner Data'!O27/'Bloom Cleaner Data'!GQ27</f>
        <v>0.61251364432340771</v>
      </c>
      <c r="PB27" s="1712">
        <f>'Bloom Cleaner Data'!P27/'Bloom Cleaner Data'!GR27</f>
        <v>0.76296235379892652</v>
      </c>
      <c r="PC27" s="1712">
        <f>'Bloom Cleaner Data'!Q27/'Bloom Cleaner Data'!GS27</f>
        <v>0.67151946512718286</v>
      </c>
      <c r="PD27" s="1712">
        <f>'Bloom Cleaner Data'!R27/'Bloom Cleaner Data'!GT27</f>
        <v>0.84142190888560697</v>
      </c>
      <c r="PE27" s="1712">
        <f>AVERAGE(OR27:PD27)</f>
        <v>0.61539823775584435</v>
      </c>
      <c r="PF27" s="1708">
        <f t="shared" si="103"/>
        <v>0.37161671769920712</v>
      </c>
      <c r="PG27" s="1712">
        <f t="shared" si="104"/>
        <v>0.70873819316745246</v>
      </c>
      <c r="PH27" s="1709"/>
      <c r="PI27" s="2812"/>
      <c r="PJ27" s="1712">
        <f>CALCULATIONS!DD27/'Bloom Cleaner Data'!GF27</f>
        <v>0.28533024177274907</v>
      </c>
      <c r="PK27" s="1712">
        <f>CALCULATIONS!DE27/'Bloom Cleaner Data'!GG27</f>
        <v>0.27133493665422387</v>
      </c>
      <c r="PL27" s="1712">
        <f>CALCULATIONS!DF27/'Bloom Cleaner Data'!GH27</f>
        <v>0.26785410171602947</v>
      </c>
      <c r="PM27" s="1712">
        <f>CALCULATIONS!DG27/'Bloom Cleaner Data'!GI27</f>
        <v>0.26703470165073229</v>
      </c>
      <c r="PN27" s="1712">
        <f>CALCULATIONS!DH27/'Bloom Cleaner Data'!GJ27</f>
        <v>0.36289632428971519</v>
      </c>
      <c r="PO27" s="1712">
        <f>CALCULATIONS!DI27/'Bloom Cleaner Data'!GK27</f>
        <v>0.36794303805772849</v>
      </c>
      <c r="PP27" s="1712">
        <f>CALCULATIONS!DJ27/'Bloom Cleaner Data'!GL27</f>
        <v>0.36321321113140298</v>
      </c>
      <c r="PQ27" s="1712">
        <f>CALCULATIONS!DK27/'Bloom Cleaner Data'!GM27</f>
        <v>0.37690567341927178</v>
      </c>
      <c r="PR27" s="1712">
        <f>CALCULATIONS!DL27/'Bloom Cleaner Data'!GN27</f>
        <v>0.32373163611198469</v>
      </c>
      <c r="PS27" s="1712">
        <f>CALCULATIONS!DM27/'Bloom Cleaner Data'!GO27</f>
        <v>0.31438791327261378</v>
      </c>
      <c r="PT27" s="1712">
        <f>CALCULATIONS!DN27/'Bloom Cleaner Data'!GP27</f>
        <v>0.32526051281849633</v>
      </c>
      <c r="PU27" s="1712">
        <f>CALCULATIONS!DO27/'Bloom Cleaner Data'!GQ27</f>
        <v>0.31415302761044384</v>
      </c>
      <c r="PV27" s="1712">
        <f>CALCULATIONS!DP27/'Bloom Cleaner Data'!GR27</f>
        <v>0.31304703476697809</v>
      </c>
      <c r="PW27" s="1712">
        <f>CALCULATIONS!DQ27/'Bloom Cleaner Data'!GS27</f>
        <v>0.31001058730871028</v>
      </c>
      <c r="PX27" s="1712">
        <f>CALCULATIONS!DR27/'Bloom Cleaner Data'!GT27</f>
        <v>0.34275021007261858</v>
      </c>
      <c r="PY27" s="1712">
        <f>AVERAGE(PL27:PX27)</f>
        <v>0.32686061324820975</v>
      </c>
      <c r="PZ27" s="1712">
        <f t="shared" si="106"/>
        <v>0.33149553405694671</v>
      </c>
      <c r="QA27" s="1709"/>
      <c r="QC27" s="1707">
        <f>'Bloom Cleaner Data'!HZ27</f>
        <v>9.4055999999999997</v>
      </c>
      <c r="QD27" s="1707">
        <f>AVERAGE('Bloom Cleaner Data'!HN27:HZ27)</f>
        <v>7.9605999999999995</v>
      </c>
      <c r="QE27" s="1719">
        <f>('Bloom Cleaner Data'!HZ27-'Bloom Cleaner Data'!HN27)/'Bloom Cleaner Data'!HN27</f>
        <v>0.49649170259820846</v>
      </c>
      <c r="QF27" s="1707">
        <f>'Bloom Cleaner Data'!HZ27-'Bloom Cleaner Data'!HL27</f>
        <v>3.3202999999999996</v>
      </c>
      <c r="QH27" s="2381"/>
    </row>
    <row r="28" spans="1:450">
      <c r="A28" s="3120" t="s">
        <v>2600</v>
      </c>
      <c r="E28" s="7"/>
      <c r="T28" s="1362"/>
      <c r="U28" s="1362"/>
      <c r="V28" s="1362"/>
      <c r="W28" s="1362"/>
      <c r="X28" s="1362"/>
      <c r="Y28" s="1362"/>
      <c r="Z28" s="1362"/>
      <c r="AA28" s="1362"/>
      <c r="AB28" s="1362"/>
      <c r="AC28" s="1362"/>
      <c r="AD28" s="1362"/>
      <c r="AE28" s="1362"/>
      <c r="AF28" s="1362"/>
      <c r="AG28" s="1362"/>
      <c r="AH28" s="1362"/>
      <c r="EB28" s="18"/>
      <c r="GS28" s="11" t="s">
        <v>2590</v>
      </c>
      <c r="IE28" s="21" t="s">
        <v>2592</v>
      </c>
      <c r="JM28" s="15"/>
      <c r="JN28" s="15"/>
      <c r="MC28" s="1093"/>
      <c r="NA28" s="1093"/>
      <c r="OO28" s="11" t="s">
        <v>2270</v>
      </c>
      <c r="OP28" s="15">
        <f>SUMPRODUCT($OO$5:$OO$27,OP5:OP27)/SUM($OO$5:$OO$27)</f>
        <v>2.4484533013016803</v>
      </c>
      <c r="OQ28" s="15">
        <f t="shared" ref="OQ28:PE28" si="136">SUMPRODUCT($OO$5:$OO$27,OQ5:OQ27)/SUM($OO$5:$OO$27)</f>
        <v>2.3264482596446912</v>
      </c>
      <c r="OR28" s="15">
        <f t="shared" si="136"/>
        <v>2.3732903951182465</v>
      </c>
      <c r="OS28" s="15">
        <f t="shared" si="136"/>
        <v>2.6200721033969279</v>
      </c>
      <c r="OT28" s="15">
        <f t="shared" si="136"/>
        <v>2.6667877724897533</v>
      </c>
      <c r="OU28" s="15">
        <f t="shared" si="136"/>
        <v>2.5423289669066742</v>
      </c>
      <c r="OV28" s="15">
        <f t="shared" si="136"/>
        <v>3.0267502181838695</v>
      </c>
      <c r="OW28" s="15">
        <f t="shared" si="136"/>
        <v>2.9379613776407667</v>
      </c>
      <c r="OX28" s="15">
        <f t="shared" si="136"/>
        <v>2.8868321526873877</v>
      </c>
      <c r="OY28" s="15">
        <f t="shared" si="136"/>
        <v>2.6566681146463722</v>
      </c>
      <c r="OZ28" s="15">
        <f t="shared" si="136"/>
        <v>2.8677510237828105</v>
      </c>
      <c r="PA28" s="15">
        <f t="shared" si="136"/>
        <v>2.3914144802048418</v>
      </c>
      <c r="PB28" s="15">
        <f t="shared" si="136"/>
        <v>2.2460737371327757</v>
      </c>
      <c r="PC28" s="15">
        <f t="shared" si="136"/>
        <v>1.8853665381826119</v>
      </c>
      <c r="PD28" s="15">
        <f t="shared" si="136"/>
        <v>1.8609400503853164</v>
      </c>
      <c r="PE28" s="15">
        <f t="shared" si="136"/>
        <v>2.5355566869814115</v>
      </c>
      <c r="PF28" s="18">
        <f t="shared" ref="PF28" si="137">SUMPRODUCT($OO$5:$OO$27,PF5:PF27)/SUM($OO$5:$OO$27)</f>
        <v>-0.14654012518070203</v>
      </c>
      <c r="PG28" s="15">
        <f t="shared" ref="PG28" si="138">SUMPRODUCT($OO$5:$OO$27,PG5:PG27)/SUM($OO$5:$OO$27)</f>
        <v>2.562036740902899</v>
      </c>
      <c r="PI28" s="11" t="s">
        <v>2270</v>
      </c>
      <c r="PJ28" s="15">
        <f>SUMPRODUCT($OO$5:$OO$27,PJ5:PJ27)/SUM($OO$5:$OO$27)</f>
        <v>0.75233140924652941</v>
      </c>
      <c r="PK28" s="15">
        <f t="shared" ref="PK28:PZ28" si="139">SUMPRODUCT($OO$5:$OO$27,PK5:PK27)/SUM($OO$5:$OO$27)</f>
        <v>0.70917015951279672</v>
      </c>
      <c r="PL28" s="15">
        <f t="shared" si="139"/>
        <v>0.79737570459732077</v>
      </c>
      <c r="PM28" s="15">
        <f t="shared" si="139"/>
        <v>0.79543390776750333</v>
      </c>
      <c r="PN28" s="15">
        <f t="shared" si="139"/>
        <v>0.81834661552186161</v>
      </c>
      <c r="PO28" s="15">
        <f t="shared" si="139"/>
        <v>0.77511287694509712</v>
      </c>
      <c r="PP28" s="15">
        <f t="shared" si="139"/>
        <v>1.0241892570286861</v>
      </c>
      <c r="PQ28" s="15">
        <f t="shared" si="139"/>
        <v>1.0467919342121617</v>
      </c>
      <c r="PR28" s="15">
        <f t="shared" si="139"/>
        <v>0.99922423719474451</v>
      </c>
      <c r="PS28" s="15">
        <f t="shared" si="139"/>
        <v>0.95114747695652901</v>
      </c>
      <c r="PT28" s="15">
        <f t="shared" si="139"/>
        <v>1.0660150656054506</v>
      </c>
      <c r="PU28" s="15">
        <f t="shared" si="139"/>
        <v>0.99235456348215301</v>
      </c>
      <c r="PV28" s="15">
        <f t="shared" si="139"/>
        <v>1.0308330810360327</v>
      </c>
      <c r="PW28" s="15">
        <f t="shared" si="139"/>
        <v>0.95192135407173994</v>
      </c>
      <c r="PX28" s="15">
        <f t="shared" si="139"/>
        <v>0.77292800334148326</v>
      </c>
      <c r="PY28" s="15">
        <f t="shared" si="139"/>
        <v>0.92474415982775104</v>
      </c>
      <c r="PZ28" s="15">
        <f t="shared" si="139"/>
        <v>0.98171166365877571</v>
      </c>
    </row>
    <row r="29" spans="1:450">
      <c r="A29" s="11" t="s">
        <v>305</v>
      </c>
      <c r="B29" s="3122" t="s">
        <v>139</v>
      </c>
      <c r="C29" s="176"/>
      <c r="E29" s="13">
        <f>SUM(E5:E26)</f>
        <v>429300.74104362004</v>
      </c>
      <c r="G29" s="13">
        <f>SUM(G5:G26)</f>
        <v>402032.870228855</v>
      </c>
      <c r="H29" s="13">
        <f t="shared" ref="H29:N29" si="140">SUM(H5:H26)</f>
        <v>430980.44933752192</v>
      </c>
      <c r="I29" s="13">
        <f t="shared" si="140"/>
        <v>421285.77013945504</v>
      </c>
      <c r="J29" s="13">
        <f t="shared" si="140"/>
        <v>384348.91366306867</v>
      </c>
      <c r="K29" s="13">
        <f t="shared" si="140"/>
        <v>368731.9669602763</v>
      </c>
      <c r="L29" s="13">
        <f t="shared" si="140"/>
        <v>363485.06367072801</v>
      </c>
      <c r="M29" s="13">
        <f t="shared" si="140"/>
        <v>361115.74212221766</v>
      </c>
      <c r="N29" s="13">
        <f t="shared" si="140"/>
        <v>390282.96801744605</v>
      </c>
      <c r="O29" s="13">
        <f>SUM(O5:O26)</f>
        <v>364444.2575844074</v>
      </c>
      <c r="P29" s="10">
        <f>(M29-G29)/G29</f>
        <v>-0.10177557890563894</v>
      </c>
      <c r="R29" s="18"/>
      <c r="T29" s="1344"/>
      <c r="AN29" s="13">
        <f t="shared" ref="AN29:AU29" si="141">SUM(AN5:AN26)</f>
        <v>697884.53157885512</v>
      </c>
      <c r="AO29" s="13">
        <f t="shared" si="141"/>
        <v>713865.33588752197</v>
      </c>
      <c r="AP29" s="13">
        <f t="shared" si="141"/>
        <v>708379.72565945506</v>
      </c>
      <c r="AQ29" s="13">
        <f t="shared" si="141"/>
        <v>667688.29332134756</v>
      </c>
      <c r="AR29" s="13">
        <f t="shared" si="141"/>
        <v>660824.4392789671</v>
      </c>
      <c r="AS29" s="13">
        <f t="shared" si="141"/>
        <v>640678.58624072792</v>
      </c>
      <c r="AT29" s="13">
        <f t="shared" si="141"/>
        <v>641197.55370746471</v>
      </c>
      <c r="AU29" s="13">
        <f t="shared" si="141"/>
        <v>675788.3522391913</v>
      </c>
      <c r="AV29" s="10">
        <f>(AT29-AN29)/AN29</f>
        <v>-8.1226872507325742E-2</v>
      </c>
      <c r="BP29" s="13"/>
      <c r="BQ29" s="13"/>
      <c r="BR29" s="13"/>
      <c r="BS29" s="13"/>
      <c r="BT29" s="13"/>
      <c r="BU29" s="13"/>
      <c r="BV29" s="13"/>
      <c r="BW29" s="13"/>
      <c r="BX29" s="13"/>
      <c r="BY29" s="13"/>
      <c r="BZ29" s="13"/>
      <c r="CA29" s="13"/>
      <c r="CB29" s="13"/>
      <c r="CC29" s="13"/>
      <c r="CD29" s="13"/>
      <c r="CE29" s="13"/>
      <c r="CF29" s="10"/>
      <c r="DZ29" s="11" t="s">
        <v>304</v>
      </c>
      <c r="EA29" s="168">
        <f>AVERAGE(EA5:EA26)</f>
        <v>1.9848215034965038</v>
      </c>
      <c r="EB29" s="998">
        <f>AVERAGE(EB5:EB26)</f>
        <v>-3.8744189374314342E-2</v>
      </c>
      <c r="EG29" s="11" t="s">
        <v>304</v>
      </c>
      <c r="EH29" s="168">
        <f>AVERAGE(EH5:EH26)</f>
        <v>5.6685519566471676</v>
      </c>
      <c r="EK29" s="998">
        <f>AVERAGE(EK5:EK26)</f>
        <v>3.3242981565341334E-2</v>
      </c>
      <c r="EL29" s="3116"/>
      <c r="FA29" s="11" t="s">
        <v>304</v>
      </c>
      <c r="FB29" s="168">
        <f>AVERAGE(FB5:FB26)</f>
        <v>5.7179308075518716</v>
      </c>
      <c r="FC29" s="998">
        <f>AVERAGE(FC5:FC26)</f>
        <v>3.528624280932776E-2</v>
      </c>
      <c r="FD29" s="168">
        <f>AVERAGE(FD5:FD26)</f>
        <v>4.9378850904704757E-2</v>
      </c>
      <c r="FE29" s="168">
        <f>AVERAGE(FE5:FE26)</f>
        <v>5.7280078764592695</v>
      </c>
      <c r="FU29" s="11" t="s">
        <v>304</v>
      </c>
      <c r="FV29" s="168">
        <f>AVERAGE(FV5:FV26)</f>
        <v>5.7179308075518716</v>
      </c>
      <c r="FW29" s="998">
        <f>AVERAGE(FW5:FW26)</f>
        <v>3.528624280932776E-2</v>
      </c>
      <c r="FX29" s="168">
        <f>AVERAGE(FX5:FX26)</f>
        <v>5.7280078764592695</v>
      </c>
      <c r="GO29" s="11" t="s">
        <v>304</v>
      </c>
      <c r="GP29" s="998">
        <f>AVERAGE(GP5:GP26)</f>
        <v>0.35910504197369392</v>
      </c>
      <c r="GQ29" s="998">
        <f>AVERAGE(GQ5:GQ26)</f>
        <v>0.30347730672886458</v>
      </c>
      <c r="HG29" s="11" t="s">
        <v>304</v>
      </c>
      <c r="HH29" s="998">
        <f>AVERAGE(HH5:HH26)</f>
        <v>0.73209875613408582</v>
      </c>
      <c r="HI29" s="998">
        <f>AVERAGE(HI5:HI26)</f>
        <v>0.58220827702435463</v>
      </c>
      <c r="HY29" s="11" t="s">
        <v>304</v>
      </c>
      <c r="HZ29" s="998">
        <f>AVERAGE(HZ5:HZ26)</f>
        <v>0.39802437502436577</v>
      </c>
      <c r="IA29" s="998">
        <f>AVERAGE(IA5:IA26)</f>
        <v>0.23130218359838456</v>
      </c>
      <c r="IB29" s="998">
        <f>AVERAGE(IB5:IB26)</f>
        <v>3.8919333050671863E-2</v>
      </c>
      <c r="IC29" s="998">
        <f>AVERAGE(IC5:IC26)</f>
        <v>0.14674042712667107</v>
      </c>
      <c r="IS29" s="11" t="s">
        <v>304</v>
      </c>
      <c r="IT29" s="998">
        <f>AVERAGE(IT5:IT26)</f>
        <v>0.85341394738881771</v>
      </c>
      <c r="IU29" s="998">
        <f>AVERAGE(IU5:IU26)</f>
        <v>0.50962936705250417</v>
      </c>
      <c r="IV29" s="11" t="s">
        <v>304</v>
      </c>
      <c r="IW29" s="998">
        <f>AVERAGE(IW5:IW26)</f>
        <v>0.23211052549046496</v>
      </c>
      <c r="JM29" s="11" t="s">
        <v>304</v>
      </c>
      <c r="JN29" s="1094">
        <f>AVERAGE(JN5:JN26)</f>
        <v>1.9936780451038045</v>
      </c>
      <c r="JO29" s="11" t="s">
        <v>304</v>
      </c>
      <c r="JP29" s="1094">
        <f>AVERAGE(JP5:JP26)</f>
        <v>1.8848507392399769</v>
      </c>
      <c r="KH29" s="11" t="s">
        <v>304</v>
      </c>
      <c r="KI29" s="1094">
        <f>AVERAGE(KI5:KI26)</f>
        <v>2.2324144078508144</v>
      </c>
      <c r="KJ29" s="11" t="s">
        <v>304</v>
      </c>
      <c r="KK29" s="1094">
        <f>AVERAGE(KK5:KK26)</f>
        <v>2.1121798431666194</v>
      </c>
      <c r="KL29" s="998">
        <f>AVERAGE(KL5:KL26)</f>
        <v>0.21608997547872918</v>
      </c>
      <c r="KM29" s="1094">
        <f>AVERAGE(KM5:KM26)</f>
        <v>0.22732910392664296</v>
      </c>
      <c r="KN29" s="461"/>
      <c r="LC29" s="11" t="s">
        <v>304</v>
      </c>
      <c r="LD29" s="1094">
        <f>AVERAGE(LD5:LD26)</f>
        <v>2.2324144078508144</v>
      </c>
      <c r="LE29" s="11" t="s">
        <v>304</v>
      </c>
      <c r="LF29" s="1094">
        <f>AVERAGE(LF5:LF26)</f>
        <v>2.1121798431666194</v>
      </c>
      <c r="LG29" s="998">
        <f>AVERAGE(LG5:LG26)</f>
        <v>0.21608997547872918</v>
      </c>
      <c r="LW29" s="11" t="s">
        <v>304</v>
      </c>
      <c r="LX29" s="1094">
        <f>AVERAGE(LX5:LX26)</f>
        <v>0.34744451824484962</v>
      </c>
      <c r="LY29" s="1094">
        <f>AVERAGE(LY5:LY26)</f>
        <v>2.3616229494309433</v>
      </c>
      <c r="LZ29" s="15">
        <f>AVERAGE(LZ5:LZ26)</f>
        <v>0.36794490432713917</v>
      </c>
      <c r="MA29" s="11" t="s">
        <v>304</v>
      </c>
      <c r="MB29" s="1094">
        <f>AVERAGE(MB5:MB26)</f>
        <v>2.2333099580977023</v>
      </c>
      <c r="MC29" s="998">
        <f>AVERAGE(MC5:MC26)</f>
        <v>0.20475687290843272</v>
      </c>
      <c r="MD29" s="15">
        <f>AVERAGE(MD5:MD26)</f>
        <v>0.34845921885772468</v>
      </c>
      <c r="MF29" s="15"/>
      <c r="MU29" s="11" t="s">
        <v>304</v>
      </c>
      <c r="MV29" s="1094">
        <f>AVERAGE(MV5:MV26)</f>
        <v>0.33166833305896826</v>
      </c>
      <c r="MW29" s="1094">
        <f>AVERAGE(MW5:MW26)</f>
        <v>2.5850050899266095</v>
      </c>
      <c r="MX29" s="15">
        <f>AVERAGE(MX5:MX26)</f>
        <v>0.35259068207579447</v>
      </c>
      <c r="MY29" s="11" t="s">
        <v>304</v>
      </c>
      <c r="MZ29" s="1094">
        <f>AVERAGE(MZ5:MZ26)</f>
        <v>2.4478061602992764</v>
      </c>
      <c r="NA29" s="998">
        <f>AVERAGE(NA5:NA26)</f>
        <v>0.1746061042936331</v>
      </c>
      <c r="NB29" s="15">
        <f>AVERAGE(NB5:NB26)</f>
        <v>0.33562631713265628</v>
      </c>
      <c r="NC29" s="15"/>
      <c r="ND29" s="15"/>
      <c r="NE29" s="15"/>
      <c r="NF29" s="15"/>
      <c r="NG29" s="15"/>
      <c r="NH29" s="15"/>
      <c r="NI29" s="15"/>
      <c r="NJ29" s="15"/>
      <c r="NK29" s="15"/>
      <c r="NL29" s="15"/>
      <c r="NM29" s="15"/>
      <c r="NN29" s="15"/>
      <c r="NO29" s="15"/>
      <c r="NP29" s="15"/>
      <c r="NQ29" s="15"/>
      <c r="NR29" s="15"/>
      <c r="NS29" s="168"/>
      <c r="NT29" s="168"/>
      <c r="NU29" s="168"/>
      <c r="NV29" s="15"/>
      <c r="NW29" s="15"/>
      <c r="NX29" s="15"/>
      <c r="NY29" s="15"/>
      <c r="NZ29" s="15"/>
      <c r="OA29" s="15"/>
      <c r="OB29" s="15"/>
      <c r="OC29" s="15"/>
      <c r="OD29" s="15"/>
      <c r="OE29" s="15"/>
      <c r="OF29" s="15"/>
      <c r="OG29" s="15"/>
      <c r="OH29" s="15"/>
      <c r="OI29" s="11" t="s">
        <v>304</v>
      </c>
      <c r="OJ29" s="998">
        <f>AVERAGE(OJ5:OJ26)</f>
        <v>0.5998540036405392</v>
      </c>
      <c r="OK29" s="11" t="s">
        <v>304</v>
      </c>
      <c r="OL29" s="998">
        <f>AVERAGE(OL5:OL26)</f>
        <v>0.57072798378683387</v>
      </c>
      <c r="OM29" s="998">
        <f>AVERAGE(OM5:OM26)</f>
        <v>0.10726714093126169</v>
      </c>
      <c r="ON29" s="998"/>
      <c r="OO29" s="15"/>
      <c r="PD29" s="11" t="s">
        <v>304</v>
      </c>
      <c r="PE29" s="1094">
        <f>AVERAGE(PE5:PE26)</f>
        <v>1.9858789889507662</v>
      </c>
      <c r="PG29" s="1094">
        <f>SUMPRODUCT(PG5:PG27,$N$5:$N$27)/$N$29</f>
        <v>1.5457977442653568</v>
      </c>
      <c r="QC29" s="11" t="s">
        <v>304</v>
      </c>
      <c r="QD29" s="1094">
        <f>AVERAGE(QD5:QD26)</f>
        <v>7.3362931818181814</v>
      </c>
      <c r="QE29" s="11" t="s">
        <v>304</v>
      </c>
      <c r="QF29" s="1094">
        <f>AVERAGE(QF5:QF26)</f>
        <v>-0.53119090909090916</v>
      </c>
    </row>
    <row r="30" spans="1:450">
      <c r="A30" s="11" t="s">
        <v>1126</v>
      </c>
      <c r="B30" s="3122" t="s">
        <v>306</v>
      </c>
      <c r="C30" s="176"/>
      <c r="E30" s="13">
        <f>AVERAGE(E5:E26)</f>
        <v>19513.670047437274</v>
      </c>
      <c r="G30" s="13">
        <f>AVERAGE(G5:G26)</f>
        <v>18274.221374038865</v>
      </c>
      <c r="H30" s="13">
        <f t="shared" ref="H30:N30" si="142">AVERAGE(H5:H26)</f>
        <v>19590.020424432816</v>
      </c>
      <c r="I30" s="13">
        <f t="shared" si="142"/>
        <v>19149.353188157049</v>
      </c>
      <c r="J30" s="13">
        <f t="shared" si="142"/>
        <v>17470.405166503122</v>
      </c>
      <c r="K30" s="13">
        <f t="shared" si="142"/>
        <v>16760.54395273983</v>
      </c>
      <c r="L30" s="13">
        <f t="shared" si="142"/>
        <v>16522.048348669454</v>
      </c>
      <c r="M30" s="13">
        <f t="shared" si="142"/>
        <v>16414.351914646257</v>
      </c>
      <c r="N30" s="13">
        <f t="shared" si="142"/>
        <v>17740.134909883913</v>
      </c>
      <c r="O30" s="13">
        <f>AVERAGE(O5:O26)</f>
        <v>16565.648072018517</v>
      </c>
      <c r="P30" s="10"/>
      <c r="R30" s="18"/>
      <c r="AN30" s="13">
        <f t="shared" ref="AN30:AU30" si="143">AVERAGE(AN5:AN26)</f>
        <v>31722.024162675232</v>
      </c>
      <c r="AO30" s="13">
        <f t="shared" si="143"/>
        <v>32448.424358523727</v>
      </c>
      <c r="AP30" s="13">
        <f t="shared" si="143"/>
        <v>32199.078439066139</v>
      </c>
      <c r="AQ30" s="13">
        <f t="shared" si="143"/>
        <v>30349.467878243071</v>
      </c>
      <c r="AR30" s="13">
        <f t="shared" si="143"/>
        <v>30037.474512680321</v>
      </c>
      <c r="AS30" s="13">
        <f t="shared" si="143"/>
        <v>29121.753920033087</v>
      </c>
      <c r="AT30" s="13">
        <f t="shared" si="143"/>
        <v>29145.343350339306</v>
      </c>
      <c r="AU30" s="13">
        <f t="shared" si="143"/>
        <v>30717.652374508696</v>
      </c>
      <c r="AV30" s="10"/>
      <c r="BP30" s="13"/>
      <c r="BQ30" s="13"/>
      <c r="BR30" s="13"/>
      <c r="BS30" s="13"/>
      <c r="BT30" s="13"/>
      <c r="BU30" s="13"/>
      <c r="BV30" s="13"/>
      <c r="BW30" s="13"/>
      <c r="BX30" s="13"/>
      <c r="BY30" s="13"/>
      <c r="BZ30" s="13"/>
      <c r="CA30" s="13"/>
      <c r="CB30" s="13"/>
      <c r="CC30" s="13"/>
      <c r="CD30" s="13"/>
      <c r="CE30" s="13"/>
      <c r="CF30" s="10"/>
      <c r="DZ30" s="11" t="s">
        <v>510</v>
      </c>
      <c r="EA30" s="1094">
        <f>SUMPRODUCT(EA5:EA26,$N$5:$N$26)/$N$29</f>
        <v>2.0751434582185557</v>
      </c>
      <c r="EB30" s="998">
        <f>SUMPRODUCT(EB5:EB26,$N$5:$N$26)/$N$29</f>
        <v>-1.4256902987169948E-2</v>
      </c>
      <c r="EG30" s="11" t="s">
        <v>510</v>
      </c>
      <c r="EH30" s="1094">
        <f>SUMPRODUCT(EH5:EH26,$N$5:$N$26)/$N$29</f>
        <v>6.0687446074715652</v>
      </c>
      <c r="EK30" s="998">
        <f>SUMPRODUCT(EK5:EK26,$N$5:$N$26)/$N$29</f>
        <v>5.3788387543626436E-2</v>
      </c>
      <c r="EL30" s="3116"/>
      <c r="EM30" s="228"/>
      <c r="EN30" s="228"/>
      <c r="EO30" s="228"/>
      <c r="EP30" s="228"/>
      <c r="EQ30" s="228"/>
      <c r="ER30" s="228"/>
      <c r="ES30" s="228"/>
      <c r="ET30" s="228"/>
      <c r="EU30" s="228"/>
      <c r="EV30" s="228"/>
      <c r="EW30" s="228"/>
      <c r="EX30" s="228"/>
      <c r="EY30" s="228"/>
      <c r="EZ30" s="228"/>
      <c r="FA30" s="11" t="s">
        <v>510</v>
      </c>
      <c r="FB30" s="1094">
        <f>SUMPRODUCT(FB5:FB26,$N$5:$N$26)/$N$29</f>
        <v>6.107386174559605</v>
      </c>
      <c r="FC30" s="998">
        <f>SUMPRODUCT(FC5:FC26,$N$5:$N$26)/$N$29</f>
        <v>5.1515555977315872E-2</v>
      </c>
      <c r="FD30" s="1094">
        <f>SUMPRODUCT(FD5:FD26,$N$5:$N$26)/$N$29</f>
        <v>3.864156708803914E-2</v>
      </c>
      <c r="FE30" s="1094">
        <f>SUMPRODUCT(FE5:FE26,$N$5:$N$26)/$N$29</f>
        <v>6.0724619961705653</v>
      </c>
      <c r="FF30" s="228"/>
      <c r="FG30" s="228"/>
      <c r="FH30" s="228"/>
      <c r="FI30" s="228"/>
      <c r="FJ30" s="228"/>
      <c r="FK30" s="228"/>
      <c r="FL30" s="228"/>
      <c r="FM30" s="228"/>
      <c r="FN30" s="228"/>
      <c r="FO30" s="228"/>
      <c r="FP30" s="228"/>
      <c r="FQ30" s="228"/>
      <c r="FR30" s="228"/>
      <c r="FS30" s="228"/>
      <c r="FT30" s="228"/>
      <c r="FU30" s="11" t="s">
        <v>510</v>
      </c>
      <c r="FV30" s="1094">
        <f>SUMPRODUCT(FV5:FV26,$N$5:$N$26)/$N$29</f>
        <v>6.107386174559605</v>
      </c>
      <c r="FW30" s="998">
        <f>SUMPRODUCT(FW5:FW26,$N$5:$N$26)/$N$29</f>
        <v>5.1515555977315872E-2</v>
      </c>
      <c r="FX30" s="1094">
        <f>SUMPRODUCT(FX5:FX26,$N$5:$N$26)/$N$29</f>
        <v>6.0724619961705653</v>
      </c>
      <c r="FY30" s="228"/>
      <c r="FZ30" s="228"/>
      <c r="GA30" s="176"/>
      <c r="GB30" s="176"/>
      <c r="GC30" s="176"/>
      <c r="GD30" s="176"/>
      <c r="GE30" s="176"/>
      <c r="GF30" s="176"/>
      <c r="GG30" s="176"/>
      <c r="GH30" s="176"/>
      <c r="GI30" s="176"/>
      <c r="GJ30" s="176"/>
      <c r="GK30" s="176"/>
      <c r="GL30" s="176"/>
      <c r="GM30" s="176"/>
      <c r="GN30" s="176"/>
      <c r="GO30" s="11" t="s">
        <v>510</v>
      </c>
      <c r="GP30" s="998">
        <f>SUMPRODUCT(GP5:GP26,$N$5:$N$26)/$N$29</f>
        <v>0.36588419844568365</v>
      </c>
      <c r="GQ30" s="998">
        <f>SUMPRODUCT(GQ5:GQ26,$N$5:$N$26)/$N$29</f>
        <v>9.1658575846042908E-2</v>
      </c>
      <c r="GS30" s="11"/>
      <c r="HG30" s="11" t="s">
        <v>510</v>
      </c>
      <c r="HH30" s="998">
        <f>SUMPRODUCT(HH5:HH26,$N$5:$N$26)/$N$29</f>
        <v>0.70384968605690412</v>
      </c>
      <c r="HI30" s="998">
        <f>SUMPRODUCT(HI5:HI26,$N$5:$N$26)/$N$29</f>
        <v>0.23565522552595677</v>
      </c>
      <c r="HY30" s="11" t="s">
        <v>510</v>
      </c>
      <c r="HZ30" s="998">
        <f>SUMPRODUCT(HZ5:HZ26,$N$5:$N$26)/$N$29</f>
        <v>0.40496631120719301</v>
      </c>
      <c r="IA30" s="998">
        <f>SUMPRODUCT(IA5:IA26,$N$5:$N$26)/$N$29</f>
        <v>7.835184389347187E-2</v>
      </c>
      <c r="IB30" s="998">
        <f>SUMPRODUCT(IB5:IB26,$N$5:$N$26)/$N$29</f>
        <v>3.9082112761509337E-2</v>
      </c>
      <c r="IC30" s="998">
        <f>SUMPRODUCT(IC5:IC26,$N$5:$N$26)/$N$29</f>
        <v>0.12470220094796379</v>
      </c>
      <c r="IS30" s="11" t="s">
        <v>510</v>
      </c>
      <c r="IT30" s="998">
        <f>SUMPRODUCT(IT5:IT26,$N$5:$N$26)/$N$29</f>
        <v>0.83596882197083111</v>
      </c>
      <c r="IU30" s="998">
        <f>SUMPRODUCT(IU5:IU26,$N$5:$N$26)/$N$29</f>
        <v>0.23190956337030671</v>
      </c>
      <c r="IV30" s="11" t="s">
        <v>510</v>
      </c>
      <c r="IW30" s="998">
        <f>SUMPRODUCT(IW5:IW26,$N$5:$N$26)/$N$29</f>
        <v>0.21013961287042501</v>
      </c>
      <c r="JM30" s="11" t="s">
        <v>510</v>
      </c>
      <c r="JN30" s="1094">
        <f>SUMPRODUCT(JN5:JN26,$N$5:$N$26)/$N$29</f>
        <v>2.105339311887203</v>
      </c>
      <c r="JO30" s="11" t="s">
        <v>510</v>
      </c>
      <c r="JP30" s="1094">
        <f>SUMPRODUCT(JP5:JP26,$N$5:$N$26)/$N$29</f>
        <v>2.0226531346492815</v>
      </c>
      <c r="KH30" s="11" t="s">
        <v>510</v>
      </c>
      <c r="KI30" s="1094">
        <f>SUMPRODUCT(KI5:KI26,$N$5:$N$26)/$N$29</f>
        <v>2.3710307032678495</v>
      </c>
      <c r="KJ30" s="11" t="s">
        <v>510</v>
      </c>
      <c r="KK30" s="1094">
        <f>SUMPRODUCT(KK5:KK26,$N$5:$N$26)/$N$29</f>
        <v>2.2700754333431159</v>
      </c>
      <c r="KL30" s="998">
        <f>SUMPRODUCT(KL5:KL26,$N$5:$N$26)/$N$29</f>
        <v>8.9095493207941995E-2</v>
      </c>
      <c r="KM30" s="1094">
        <f>SUMPRODUCT(KM5:KM26,$N$5:$N$26)/$N$29</f>
        <v>0.24742229869383406</v>
      </c>
      <c r="KO30" s="228"/>
      <c r="KP30" s="228"/>
      <c r="KQ30" s="228"/>
      <c r="KR30" s="228"/>
      <c r="KS30" s="228"/>
      <c r="KT30" s="228"/>
      <c r="KU30" s="228"/>
      <c r="KV30" s="228"/>
      <c r="KW30" s="228"/>
      <c r="KX30" s="228"/>
      <c r="KY30" s="228"/>
      <c r="KZ30" s="228"/>
      <c r="LA30" s="228"/>
      <c r="LB30" s="228"/>
      <c r="LC30" s="11" t="s">
        <v>510</v>
      </c>
      <c r="LD30" s="1094">
        <f>SUMPRODUCT(LD5:LD26,$N$5:$N$26)/$N$29</f>
        <v>2.3710307032678495</v>
      </c>
      <c r="LE30" s="11" t="s">
        <v>510</v>
      </c>
      <c r="LF30" s="1094">
        <f>SUMPRODUCT(LF5:LF26,$N$5:$N$26)/$N$29</f>
        <v>2.2700754333431159</v>
      </c>
      <c r="LG30" s="998">
        <f>SUMPRODUCT(LG5:LG26,$N$5:$N$26)/$N$29</f>
        <v>8.9095493207941995E-2</v>
      </c>
      <c r="LW30" s="11" t="s">
        <v>510</v>
      </c>
      <c r="LX30" s="1094">
        <f>SUMPRODUCT(LX5:LX26,$N$5:$N$26)/$N$29</f>
        <v>0.41772187152184981</v>
      </c>
      <c r="LY30" s="1094">
        <f>SUMPRODUCT(LY5:LY26,$N$5:$N$26)/$N$29</f>
        <v>2.5073597766747246</v>
      </c>
      <c r="LZ30" s="15">
        <f>SUMPRODUCT(LZ5:LZ26,$N$5:$N$26)/$N$29</f>
        <v>0.40202046478752218</v>
      </c>
      <c r="MA30" s="11" t="s">
        <v>510</v>
      </c>
      <c r="MB30" s="1094">
        <f>SUMPRODUCT(MB5:MB26,$N$5:$N$26)/$N$29</f>
        <v>2.3504131587343067</v>
      </c>
      <c r="MC30" s="998">
        <f>SUMPRODUCT(MC5:MC26,$N$5:$N$26)/$N$29</f>
        <v>0.10319725575972012</v>
      </c>
      <c r="MD30" s="15">
        <f>SUMPRODUCT(MD5:MD26,$N$5:$N$26)/$N$29</f>
        <v>0.32776002408502514</v>
      </c>
      <c r="MF30" s="15"/>
      <c r="MU30" s="11" t="s">
        <v>510</v>
      </c>
      <c r="MV30" s="1094">
        <f>SUMPRODUCT(MV5:MV26,$N$5:$N$26)/$N$29</f>
        <v>0.39452625946638936</v>
      </c>
      <c r="MW30" s="1094">
        <f>SUMPRODUCT(MW5:MW26,$N$5:$N$26)/$N$29</f>
        <v>2.7512777908860966</v>
      </c>
      <c r="MX30" s="15">
        <f>SUMPRODUCT(MX5:MX26,$N$5:$N$26)/$N$29</f>
        <v>0.38024708761824749</v>
      </c>
      <c r="MY30" s="11" t="s">
        <v>510</v>
      </c>
      <c r="MZ30" s="1094">
        <f>SUMPRODUCT(MZ5:MZ26,$N$5:$N$26)/$N$29</f>
        <v>2.5824092375154786</v>
      </c>
      <c r="NA30" s="998">
        <f>SUMPRODUCT(NA5:NA26,$N$5:$N$26)/$N$29</f>
        <v>9.7859138774325255E-2</v>
      </c>
      <c r="NB30" s="15">
        <f>SUMPRODUCT(NB5:NB26,$N$5:$N$26)/$N$29</f>
        <v>0.31233380417236245</v>
      </c>
      <c r="NC30" s="15"/>
      <c r="ND30" s="15"/>
      <c r="NE30" s="15"/>
      <c r="NF30" s="15"/>
      <c r="NG30" s="15"/>
      <c r="NH30" s="15"/>
      <c r="NI30" s="15"/>
      <c r="NJ30" s="15"/>
      <c r="NK30" s="15"/>
      <c r="NL30" s="15"/>
      <c r="NM30" s="15"/>
      <c r="NN30" s="15"/>
      <c r="NO30" s="15"/>
      <c r="NP30" s="15"/>
      <c r="NQ30" s="15"/>
      <c r="NR30" s="15"/>
      <c r="NS30" s="168"/>
      <c r="NT30" s="168"/>
      <c r="NU30" s="168"/>
      <c r="NV30" s="15"/>
      <c r="NW30" s="15"/>
      <c r="NX30" s="15"/>
      <c r="NY30" s="15"/>
      <c r="NZ30" s="15"/>
      <c r="OA30" s="15"/>
      <c r="OB30" s="15"/>
      <c r="OC30" s="15"/>
      <c r="OD30" s="15"/>
      <c r="OE30" s="15"/>
      <c r="OF30" s="15"/>
      <c r="OG30" s="15"/>
      <c r="OH30" s="15"/>
      <c r="OI30" s="11" t="s">
        <v>510</v>
      </c>
      <c r="OJ30" s="998">
        <f>SUMPRODUCT(OJ5:OJ26,$N$5:$N$26)/$N$29</f>
        <v>0.54172049056699856</v>
      </c>
      <c r="OK30" s="11" t="s">
        <v>510</v>
      </c>
      <c r="OL30" s="998">
        <f>SUMPRODUCT(OL5:OL26,$N$5:$N$26)/$N$29</f>
        <v>0.51705246364857127</v>
      </c>
      <c r="OM30" s="998">
        <f>SUMPRODUCT(OM5:OM26,$N$5:$N$26)/$N$29</f>
        <v>8.186422385625633E-2</v>
      </c>
      <c r="ON30" s="998"/>
      <c r="OO30" s="15"/>
      <c r="PD30" s="11" t="s">
        <v>510</v>
      </c>
      <c r="PE30" s="1094">
        <f>SUMPRODUCT(PE5:PE26,$N$5:$N$26)/$N$29</f>
        <v>1.5913950440925444</v>
      </c>
      <c r="QC30" s="11" t="s">
        <v>510</v>
      </c>
      <c r="QD30" s="1094">
        <f>SUMPRODUCT(QD5:QD26,$N$5:$N$26)/$N$29</f>
        <v>7.3164609411683434</v>
      </c>
      <c r="QE30" s="11" t="s">
        <v>510</v>
      </c>
      <c r="QF30" s="1094">
        <f>SUMPRODUCT(QF5:QF26,$N$5:$N$26)/$N$29</f>
        <v>-0.93388246016587051</v>
      </c>
    </row>
    <row r="31" spans="1:450">
      <c r="A31" s="11"/>
      <c r="B31" s="3122"/>
      <c r="C31" s="176"/>
      <c r="E31" s="13"/>
      <c r="G31" s="13"/>
      <c r="H31" s="13"/>
      <c r="I31" s="13"/>
      <c r="J31" s="13"/>
      <c r="K31" s="13"/>
      <c r="L31" s="13"/>
      <c r="M31" s="174"/>
      <c r="N31" s="174"/>
      <c r="O31" s="174"/>
      <c r="P31" s="10"/>
      <c r="R31" s="18"/>
      <c r="AN31" s="13"/>
      <c r="AO31" s="13"/>
      <c r="AP31" s="13"/>
      <c r="AQ31" s="13"/>
      <c r="AR31" s="13"/>
      <c r="AS31" s="13"/>
      <c r="AT31" s="13"/>
      <c r="AU31" s="13"/>
      <c r="AV31" s="10"/>
      <c r="CE31" s="13"/>
      <c r="CF31" s="10"/>
      <c r="DZ31" s="11" t="s">
        <v>1124</v>
      </c>
      <c r="EA31" s="1094">
        <f>MEDIAN(EA5:EA26)</f>
        <v>1.8725076923076927</v>
      </c>
      <c r="EB31" s="998">
        <f>MEDIAN(EB5:EB26)</f>
        <v>-0.1484578788526357</v>
      </c>
      <c r="EG31" s="11" t="s">
        <v>1124</v>
      </c>
      <c r="EH31" s="1094">
        <f>MEDIAN(EH5:EH26)</f>
        <v>5.2495961538461531</v>
      </c>
      <c r="EK31" s="998">
        <f>MEDIAN(EK5:EK26)</f>
        <v>7.8204784716955772E-4</v>
      </c>
      <c r="EL31" s="3116"/>
      <c r="EM31" s="228"/>
      <c r="EN31" s="228"/>
      <c r="EO31" s="228"/>
      <c r="EP31" s="228"/>
      <c r="EQ31" s="228"/>
      <c r="ER31" s="228"/>
      <c r="ES31" s="228"/>
      <c r="ET31" s="228"/>
      <c r="EU31" s="228"/>
      <c r="EV31" s="228"/>
      <c r="EW31" s="228"/>
      <c r="EX31" s="228"/>
      <c r="EY31" s="228"/>
      <c r="EZ31" s="228"/>
      <c r="FA31" s="11" t="s">
        <v>1124</v>
      </c>
      <c r="FB31" s="1094">
        <f>MEDIAN(FB5:FB26)</f>
        <v>5.3424534211511574</v>
      </c>
      <c r="FC31" s="998">
        <f>MEDIAN(FC5:FC26)</f>
        <v>1.1144852319824582E-2</v>
      </c>
      <c r="FD31" s="1094">
        <f>MEDIAN(FD5:FD26)</f>
        <v>3.2216970365728681E-2</v>
      </c>
      <c r="FE31" s="1094">
        <f>MEDIAN(FE5:FE26)</f>
        <v>5.346859102575463</v>
      </c>
      <c r="FF31" s="228"/>
      <c r="FG31" s="228"/>
      <c r="FH31" s="228"/>
      <c r="FI31" s="228"/>
      <c r="FJ31" s="228"/>
      <c r="FK31" s="228"/>
      <c r="FL31" s="228"/>
      <c r="FM31" s="228"/>
      <c r="FN31" s="228"/>
      <c r="FO31" s="228"/>
      <c r="FP31" s="228"/>
      <c r="FQ31" s="228"/>
      <c r="FR31" s="228"/>
      <c r="FS31" s="228"/>
      <c r="FT31" s="228"/>
      <c r="FU31" s="11" t="s">
        <v>1124</v>
      </c>
      <c r="FV31" s="1094">
        <f>MEDIAN(FV5:FV26)</f>
        <v>5.3424534211511574</v>
      </c>
      <c r="FW31" s="998">
        <f>MEDIAN(FW5:FW26)</f>
        <v>1.1144852319824582E-2</v>
      </c>
      <c r="FX31" s="1094">
        <f>MEDIAN(FX5:FX26)</f>
        <v>5.346859102575463</v>
      </c>
      <c r="FY31" s="228"/>
      <c r="FZ31" s="228"/>
      <c r="GA31" s="176"/>
      <c r="GB31" s="176"/>
      <c r="GC31" s="176"/>
      <c r="GD31" s="176"/>
      <c r="GE31" s="176"/>
      <c r="GF31" s="176"/>
      <c r="GG31" s="176"/>
      <c r="GH31" s="176"/>
      <c r="GI31" s="176"/>
      <c r="GJ31" s="176"/>
      <c r="GK31" s="176"/>
      <c r="GL31" s="176"/>
      <c r="GM31" s="176"/>
      <c r="GN31" s="176"/>
      <c r="GO31" s="11" t="s">
        <v>1124</v>
      </c>
      <c r="GP31" s="998">
        <f>MEDIAN(GP5:GP26)</f>
        <v>0.37592759247651186</v>
      </c>
      <c r="GQ31" s="998">
        <f>MEDIAN(GQ5:GQ26)</f>
        <v>0.16974645761339807</v>
      </c>
      <c r="HG31" s="11" t="s">
        <v>1124</v>
      </c>
      <c r="HH31" s="998">
        <f>MEDIAN(HH5:HH26)</f>
        <v>0.61252171798027599</v>
      </c>
      <c r="HI31" s="998">
        <f>MEDIAN(HI5:HI26)</f>
        <v>0.3643930131406542</v>
      </c>
      <c r="HY31" s="11" t="s">
        <v>1124</v>
      </c>
      <c r="HZ31" s="998">
        <f>MEDIAN(HZ5:HZ26)</f>
        <v>0.43894270290351611</v>
      </c>
      <c r="IA31" s="998">
        <f>MEDIAN(IA5:IA26)</f>
        <v>0.15409433791715371</v>
      </c>
      <c r="IB31" s="998">
        <f>MEDIAN(IB5:IB26)</f>
        <v>2.838003076872446E-2</v>
      </c>
      <c r="IC31" s="998">
        <f>MEDIAN(IC5:IC26)</f>
        <v>0.10749583518266115</v>
      </c>
      <c r="IS31" s="11" t="s">
        <v>1124</v>
      </c>
      <c r="IT31" s="998">
        <f>MEDIAN(IT5:IT26)</f>
        <v>0.78715134642938234</v>
      </c>
      <c r="IU31" s="998">
        <f>MEDIAN(IU5:IU26)</f>
        <v>0.36563544822918115</v>
      </c>
      <c r="IV31" s="11" t="s">
        <v>1124</v>
      </c>
      <c r="IW31" s="998">
        <f>MEDIAN(IW5:IW26)</f>
        <v>0.16915361657353334</v>
      </c>
      <c r="JM31" s="11" t="s">
        <v>1124</v>
      </c>
      <c r="JN31" s="1094">
        <f>MEDIAN(JN5:JN26)</f>
        <v>1.8998907611069638</v>
      </c>
      <c r="JO31" s="11" t="s">
        <v>1124</v>
      </c>
      <c r="JP31" s="1094">
        <f>MEDIAN(JP5:JP26)</f>
        <v>1.9463348378940308</v>
      </c>
      <c r="KH31" s="11" t="s">
        <v>1124</v>
      </c>
      <c r="KI31" s="1094">
        <f>MEDIAN(KI5:KI26)</f>
        <v>2.167023759491665</v>
      </c>
      <c r="KJ31" s="11" t="s">
        <v>1124</v>
      </c>
      <c r="KK31" s="1094">
        <f>MEDIAN(KK5:KK26)</f>
        <v>2.1652734031482241</v>
      </c>
      <c r="KL31" s="998">
        <f>MEDIAN(KL5:KL26)</f>
        <v>0.10494387956735066</v>
      </c>
      <c r="KM31" s="1094">
        <f>MEDIAN(KM5:KM26)</f>
        <v>0.19908587982371695</v>
      </c>
      <c r="KO31" s="228"/>
      <c r="KP31" s="228"/>
      <c r="KQ31" s="228"/>
      <c r="KR31" s="228"/>
      <c r="KS31" s="228"/>
      <c r="KT31" s="228"/>
      <c r="KU31" s="228"/>
      <c r="KV31" s="228"/>
      <c r="KW31" s="228"/>
      <c r="KX31" s="228"/>
      <c r="KY31" s="228"/>
      <c r="KZ31" s="228"/>
      <c r="LA31" s="228"/>
      <c r="LB31" s="228"/>
      <c r="LC31" s="11" t="s">
        <v>1124</v>
      </c>
      <c r="LD31" s="1094">
        <f>MEDIAN(LD5:LD26)</f>
        <v>2.167023759491665</v>
      </c>
      <c r="LE31" s="11" t="s">
        <v>1124</v>
      </c>
      <c r="LF31" s="1094">
        <f>MEDIAN(LF5:LF26)</f>
        <v>2.1652734031482241</v>
      </c>
      <c r="LG31" s="998">
        <f>MEDIAN(LG5:LG26)</f>
        <v>0.10494387956735066</v>
      </c>
      <c r="LW31" s="11" t="s">
        <v>1124</v>
      </c>
      <c r="LX31" s="1094">
        <f>MEDIAN(LX5:LX26)</f>
        <v>0.21603655203968475</v>
      </c>
      <c r="LY31" s="1094">
        <f>MEDIAN(LY5:LY26)</f>
        <v>2.2763710556320671</v>
      </c>
      <c r="LZ31" s="15">
        <f>MEDIAN(LZ5:LZ26)</f>
        <v>0.28765524186384084</v>
      </c>
      <c r="MA31" s="11" t="s">
        <v>1124</v>
      </c>
      <c r="MB31" s="1094">
        <f>MEDIAN(MB5:MB26)</f>
        <v>2.2263237145433132</v>
      </c>
      <c r="MC31" s="998">
        <f>MEDIAN(MC5:MC26)</f>
        <v>9.6785841301315678E-2</v>
      </c>
      <c r="MD31" s="15">
        <f>MEDIAN(MD5:MD26)</f>
        <v>0.27932791227003673</v>
      </c>
      <c r="MU31" s="11" t="s">
        <v>1124</v>
      </c>
      <c r="MV31" s="1094">
        <f>MEDIAN(MV5:MV26)</f>
        <v>0.19898485003140753</v>
      </c>
      <c r="MW31" s="1094">
        <f>MEDIAN(MW5:MW26)</f>
        <v>2.5185517163934974</v>
      </c>
      <c r="MX31" s="15">
        <f>MEDIAN(MX5:MX26)</f>
        <v>0.2689470434387683</v>
      </c>
      <c r="MY31" s="11" t="s">
        <v>1124</v>
      </c>
      <c r="MZ31" s="1094">
        <f>MEDIAN(MZ5:MZ26)</f>
        <v>2.3912475906336303</v>
      </c>
      <c r="NA31" s="998">
        <f>MEDIAN(NA5:NA26)</f>
        <v>0.13391421926795266</v>
      </c>
      <c r="NB31" s="15">
        <f>MEDIAN(NB5:NB26)</f>
        <v>0.27004978204189212</v>
      </c>
      <c r="NC31" s="15"/>
      <c r="ND31" s="15"/>
      <c r="NE31" s="15"/>
      <c r="NF31" s="15"/>
      <c r="NG31" s="15"/>
      <c r="NH31" s="15"/>
      <c r="NI31" s="15"/>
      <c r="NJ31" s="15"/>
      <c r="NK31" s="15"/>
      <c r="NL31" s="15"/>
      <c r="NM31" s="15"/>
      <c r="NN31" s="15"/>
      <c r="NO31" s="15"/>
      <c r="NP31" s="15"/>
      <c r="NQ31" s="15"/>
      <c r="NR31" s="15"/>
      <c r="NS31" s="168"/>
      <c r="NT31" s="168"/>
      <c r="NU31" s="168"/>
      <c r="NV31" s="15"/>
      <c r="NW31" s="15"/>
      <c r="NX31" s="15"/>
      <c r="NY31" s="15"/>
      <c r="NZ31" s="15"/>
      <c r="OA31" s="15"/>
      <c r="OB31" s="15"/>
      <c r="OC31" s="15"/>
      <c r="OD31" s="15"/>
      <c r="OE31" s="15"/>
      <c r="OF31" s="15"/>
      <c r="OG31" s="15"/>
      <c r="OH31" s="15"/>
      <c r="OI31" s="11" t="s">
        <v>1124</v>
      </c>
      <c r="OJ31" s="998">
        <f>MEDIAN(OJ5:OJ26)</f>
        <v>0.58114936423007491</v>
      </c>
      <c r="OK31" s="11" t="s">
        <v>1124</v>
      </c>
      <c r="OL31" s="998">
        <f>MEDIAN(OL5:OL26)</f>
        <v>0.54775406988587894</v>
      </c>
      <c r="OM31" s="998">
        <f>MEDIAN(OM5:OM26)</f>
        <v>6.2493231085082014E-2</v>
      </c>
      <c r="ON31" s="998"/>
      <c r="OO31" s="15"/>
      <c r="PD31" s="11" t="s">
        <v>1124</v>
      </c>
      <c r="PE31" s="1094">
        <f>MEDIAN(PE5:PE26)</f>
        <v>1.7252859884732519</v>
      </c>
      <c r="QC31" s="11" t="s">
        <v>1124</v>
      </c>
      <c r="QD31" s="1094">
        <f>MEDIAN(QD5:QD26)</f>
        <v>7.4747346153846159</v>
      </c>
      <c r="QE31" s="11" t="s">
        <v>1124</v>
      </c>
      <c r="QF31" s="1094">
        <f>MEDIAN(QF5:QF26)</f>
        <v>-0.40750000000000064</v>
      </c>
    </row>
    <row r="32" spans="1:450">
      <c r="A32" s="238"/>
      <c r="B32" s="3123"/>
      <c r="C32" s="1205"/>
      <c r="E32" s="238"/>
      <c r="G32" s="238"/>
      <c r="H32" s="238"/>
      <c r="I32" s="238"/>
      <c r="J32" s="238"/>
      <c r="K32" s="238"/>
      <c r="L32" s="238"/>
      <c r="M32" s="238"/>
      <c r="N32" s="238"/>
      <c r="O32" s="238"/>
      <c r="P32" s="461"/>
      <c r="EM32" s="480"/>
      <c r="EN32" s="480"/>
      <c r="EO32" s="480"/>
      <c r="EP32" s="480"/>
      <c r="EQ32" s="480"/>
      <c r="ER32" s="480"/>
      <c r="ES32" s="480"/>
      <c r="ET32" s="480"/>
      <c r="EU32" s="480"/>
      <c r="EV32" s="480"/>
      <c r="EW32" s="480"/>
      <c r="EX32" s="480"/>
      <c r="EY32" s="480"/>
      <c r="EZ32" s="480"/>
      <c r="FA32" s="176"/>
      <c r="FD32" s="480"/>
      <c r="FF32" s="480"/>
      <c r="FG32" s="480"/>
      <c r="FH32" s="480"/>
      <c r="FI32" s="480"/>
      <c r="FJ32" s="480"/>
      <c r="FK32" s="480"/>
      <c r="FL32" s="480"/>
      <c r="FM32" s="480"/>
      <c r="FN32" s="480"/>
      <c r="FO32" s="480"/>
      <c r="FP32" s="480"/>
      <c r="FQ32" s="480"/>
      <c r="FR32" s="480"/>
      <c r="FS32" s="480"/>
      <c r="FT32" s="480"/>
      <c r="FU32" s="11" t="s">
        <v>2587</v>
      </c>
      <c r="FV32" s="15">
        <f t="shared" ref="FV32:FW32" si="144">SUMPRODUCT(FV5:FV27,$FY$5:$FY$27)/6</f>
        <v>5.1696044219312425</v>
      </c>
      <c r="FW32" s="998">
        <f t="shared" si="144"/>
        <v>-8.9473814834546098E-2</v>
      </c>
      <c r="FX32" s="15">
        <f>SUMPRODUCT(FX5:FX27,$FY$5:$FY$27)/6</f>
        <v>5.0820357722780374</v>
      </c>
      <c r="FY32" s="480"/>
      <c r="FZ32" s="480"/>
      <c r="GA32" s="481"/>
      <c r="GB32" s="481"/>
      <c r="GC32" s="481"/>
      <c r="GD32" s="481"/>
      <c r="GE32" s="481"/>
      <c r="GF32" s="481"/>
      <c r="GG32" s="481"/>
      <c r="GH32" s="481"/>
      <c r="GI32" s="481"/>
      <c r="GJ32" s="481"/>
      <c r="GK32" s="481"/>
      <c r="GL32" s="481"/>
      <c r="GM32" s="481"/>
      <c r="GN32" s="481"/>
      <c r="GO32" s="229"/>
      <c r="MF32" s="15"/>
      <c r="OP32" s="11" t="s">
        <v>726</v>
      </c>
      <c r="OQ32" s="11" t="s">
        <v>726</v>
      </c>
      <c r="OR32" s="11" t="s">
        <v>726</v>
      </c>
      <c r="OS32" s="11" t="s">
        <v>726</v>
      </c>
      <c r="OT32" s="11" t="s">
        <v>726</v>
      </c>
      <c r="OU32" s="11" t="s">
        <v>726</v>
      </c>
      <c r="OV32" s="11" t="s">
        <v>726</v>
      </c>
      <c r="OW32" s="11" t="s">
        <v>726</v>
      </c>
      <c r="OX32" s="11" t="s">
        <v>726</v>
      </c>
      <c r="OY32" s="11" t="s">
        <v>726</v>
      </c>
      <c r="OZ32" s="11" t="s">
        <v>726</v>
      </c>
      <c r="PA32" s="11" t="s">
        <v>726</v>
      </c>
      <c r="PB32" s="11" t="s">
        <v>726</v>
      </c>
      <c r="PC32" s="11" t="s">
        <v>726</v>
      </c>
      <c r="PD32" s="11" t="s">
        <v>726</v>
      </c>
      <c r="PE32" s="9" t="s">
        <v>1751</v>
      </c>
      <c r="PF32" s="11" t="s">
        <v>1752</v>
      </c>
      <c r="PG32" s="9" t="s">
        <v>1753</v>
      </c>
    </row>
    <row r="33" spans="1:450">
      <c r="A33" s="11" t="s">
        <v>728</v>
      </c>
      <c r="B33" s="3122" t="s">
        <v>485</v>
      </c>
      <c r="D33" s="236" t="s">
        <v>32</v>
      </c>
      <c r="E33" s="1213">
        <f>E22+E21</f>
        <v>102054.21715775001</v>
      </c>
      <c r="F33" s="461">
        <f>E33/(E$29-E$27)</f>
        <v>0.23820928356947965</v>
      </c>
      <c r="G33" s="1213">
        <f>G22+G21</f>
        <v>112200.6487049</v>
      </c>
      <c r="H33" s="461">
        <f>G33/(G$29-G$27)</f>
        <v>0.27952653994864374</v>
      </c>
      <c r="P33" s="241">
        <f>'OUTPUTS &amp; Inputs'!C109</f>
        <v>-4.470625286303239E-2</v>
      </c>
      <c r="ED33" s="15">
        <f>'Bloom Cleaner Data'!DC35</f>
        <v>5.4523999999999999</v>
      </c>
      <c r="EE33" s="15">
        <f>'Bloom Cleaner Data'!DG35</f>
        <v>5.6826999999999996</v>
      </c>
      <c r="EF33" s="15">
        <f>'Bloom Cleaner Data'!DK35</f>
        <v>5.2505600000000001</v>
      </c>
      <c r="EG33" s="15">
        <f>'Bloom Cleaner Data'!DO35</f>
        <v>5.9102666666666668</v>
      </c>
      <c r="EH33" s="15">
        <f>AVERAGE('Bloom Cleaner Data'!DC35:DO35)</f>
        <v>5.5040384615384612</v>
      </c>
      <c r="EK33" s="18">
        <f t="shared" ref="EK33:EK39" si="145">(EG33-ED33)/ED33</f>
        <v>8.3975252488200952E-2</v>
      </c>
      <c r="EL33" s="241"/>
      <c r="EM33" s="77"/>
      <c r="EN33" s="77"/>
      <c r="EO33" s="77"/>
      <c r="EP33" s="77"/>
      <c r="EQ33" s="77"/>
      <c r="ER33" s="77"/>
      <c r="ES33" s="77"/>
      <c r="ET33" s="77"/>
      <c r="EU33" s="77"/>
      <c r="EV33" s="77"/>
      <c r="EW33" s="77"/>
      <c r="EX33" s="77"/>
      <c r="EY33" s="77"/>
      <c r="EZ33" s="77"/>
      <c r="FA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JQ33" s="236" t="s">
        <v>1055</v>
      </c>
      <c r="KL33" s="236" t="s">
        <v>1055</v>
      </c>
      <c r="LG33" s="236" t="s">
        <v>1055</v>
      </c>
      <c r="MC33" s="236" t="s">
        <v>1055</v>
      </c>
      <c r="MF33" s="236"/>
      <c r="MG33" s="236" t="s">
        <v>2593</v>
      </c>
      <c r="MH33" s="236" t="s">
        <v>2593</v>
      </c>
      <c r="MI33" s="236" t="s">
        <v>2593</v>
      </c>
      <c r="MJ33" s="236" t="s">
        <v>2593</v>
      </c>
      <c r="MK33" s="236" t="s">
        <v>2593</v>
      </c>
      <c r="ML33" s="236" t="s">
        <v>2593</v>
      </c>
      <c r="MM33" s="236" t="s">
        <v>2593</v>
      </c>
      <c r="MN33" s="236" t="s">
        <v>2593</v>
      </c>
      <c r="MO33" s="236" t="s">
        <v>2593</v>
      </c>
      <c r="MP33" s="236" t="s">
        <v>2593</v>
      </c>
      <c r="MQ33" s="236" t="s">
        <v>2593</v>
      </c>
      <c r="MR33" s="236" t="s">
        <v>2593</v>
      </c>
      <c r="MS33" s="236" t="s">
        <v>2593</v>
      </c>
      <c r="MT33" s="236" t="s">
        <v>2593</v>
      </c>
      <c r="MU33" s="236" t="s">
        <v>2593</v>
      </c>
      <c r="MV33" s="236" t="s">
        <v>2594</v>
      </c>
      <c r="NA33" s="236" t="s">
        <v>1055</v>
      </c>
      <c r="OM33" s="236" t="s">
        <v>1055</v>
      </c>
      <c r="ON33" s="236"/>
      <c r="OP33" s="15">
        <f>'Bloom Cleaner Data'!FO35</f>
        <v>1.6254999999999999</v>
      </c>
      <c r="OQ33" s="15">
        <f>'Bloom Cleaner Data'!FP35</f>
        <v>1.522</v>
      </c>
      <c r="OR33" s="15">
        <f>'Bloom Cleaner Data'!FQ35</f>
        <v>1.4018999999999999</v>
      </c>
      <c r="OS33" s="15">
        <f>'Bloom Cleaner Data'!FR35</f>
        <v>1.4748000000000001</v>
      </c>
      <c r="OT33" s="15">
        <f>'Bloom Cleaner Data'!FS35</f>
        <v>1.4508000000000001</v>
      </c>
      <c r="OU33" s="15">
        <f>'Bloom Cleaner Data'!FT35</f>
        <v>1.5234000000000001</v>
      </c>
      <c r="OV33" s="15">
        <f>'Bloom Cleaner Data'!FU35</f>
        <v>1.5146999999999999</v>
      </c>
      <c r="OW33" s="15">
        <f>'Bloom Cleaner Data'!FV35</f>
        <v>1.4112</v>
      </c>
      <c r="OX33" s="15">
        <f>'Bloom Cleaner Data'!FW35</f>
        <v>1.4157200000000001</v>
      </c>
      <c r="OY33" s="15">
        <f>'Bloom Cleaner Data'!FX35</f>
        <v>1.4202399999999999</v>
      </c>
      <c r="OZ33" s="15">
        <f>'Bloom Cleaner Data'!FY35</f>
        <v>1.42476</v>
      </c>
      <c r="PA33" s="15">
        <f>'Bloom Cleaner Data'!FZ35</f>
        <v>1.4292799999999999</v>
      </c>
      <c r="PB33" s="15">
        <f>'Bloom Cleaner Data'!GA35</f>
        <v>1.4338</v>
      </c>
      <c r="PC33" s="15">
        <f>'Bloom Cleaner Data'!GB35</f>
        <v>1.5669</v>
      </c>
      <c r="PD33" s="15">
        <f>'Bloom Cleaner Data'!GC35</f>
        <v>1.7</v>
      </c>
      <c r="PE33" s="526">
        <f>AVERAGE(OR33:PD33)</f>
        <v>1.4744230769230771</v>
      </c>
      <c r="PF33" s="10">
        <f>(PD33-OR33)/OR33</f>
        <v>0.21263998858691779</v>
      </c>
      <c r="PG33" s="526">
        <f t="shared" ref="PG33:PG38" si="146">AVERAGE(OP33,OT33,OX33,PB33)</f>
        <v>1.481455</v>
      </c>
      <c r="QC33" s="11" t="s">
        <v>767</v>
      </c>
    </row>
    <row r="34" spans="1:450">
      <c r="A34" s="11" t="s">
        <v>728</v>
      </c>
      <c r="B34" s="3122" t="s">
        <v>487</v>
      </c>
      <c r="D34" s="1210" t="s">
        <v>1105</v>
      </c>
      <c r="E34" s="1213">
        <f>E5+E6+E7+E13+E14+E15+E16+E18+E19</f>
        <v>158603.3844944</v>
      </c>
      <c r="F34" s="461">
        <f t="shared" ref="F34:H37" si="147">E34/(E$29-E$27)</f>
        <v>0.37020320810169149</v>
      </c>
      <c r="G34" s="1213">
        <f>G5+G6+G7+G13+G14+G15+G16+G18+G19</f>
        <v>138583.96728815002</v>
      </c>
      <c r="H34" s="461">
        <f t="shared" si="147"/>
        <v>0.34525555168845334</v>
      </c>
      <c r="I34" s="13"/>
      <c r="J34" s="13"/>
      <c r="K34" s="13"/>
      <c r="L34" s="167"/>
      <c r="M34" s="13"/>
      <c r="N34" s="13"/>
      <c r="O34" s="13"/>
      <c r="P34" s="241"/>
      <c r="ED34" s="15">
        <f>'Bloom Cleaner Data'!DC36</f>
        <v>5.4523999999999999</v>
      </c>
      <c r="EE34" s="15">
        <f>'Bloom Cleaner Data'!DG36</f>
        <v>5.6826999999999996</v>
      </c>
      <c r="EF34" s="15">
        <f>'Bloom Cleaner Data'!DK36</f>
        <v>5.2505600000000001</v>
      </c>
      <c r="EG34" s="15">
        <f>'Bloom Cleaner Data'!DO36</f>
        <v>5.9102666666666668</v>
      </c>
      <c r="EH34" s="15">
        <f>AVERAGE('Bloom Cleaner Data'!DC36:DO36)</f>
        <v>5.5040384615384612</v>
      </c>
      <c r="EK34" s="18">
        <f t="shared" si="145"/>
        <v>8.3975252488200952E-2</v>
      </c>
      <c r="EL34" s="241"/>
      <c r="EM34" s="77"/>
      <c r="EN34" s="77"/>
      <c r="EO34" s="77"/>
      <c r="EP34" s="77"/>
      <c r="EQ34" s="77"/>
      <c r="ER34" s="77"/>
      <c r="ES34" s="77"/>
      <c r="ET34" s="77"/>
      <c r="EU34" s="77"/>
      <c r="EV34" s="77"/>
      <c r="EW34" s="77"/>
      <c r="EX34" s="77"/>
      <c r="EY34" s="77"/>
      <c r="EZ34" s="77"/>
      <c r="FA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JP34" s="236" t="s">
        <v>1523</v>
      </c>
      <c r="JQ34" s="461">
        <f>(JM8-JG8)/JG8</f>
        <v>0.93538058140363545</v>
      </c>
      <c r="KK34" s="236" t="s">
        <v>1523</v>
      </c>
      <c r="KL34" s="461">
        <f>(KH8-KB8)/KB8</f>
        <v>0.49111346624625907</v>
      </c>
      <c r="LF34" s="236" t="s">
        <v>1523</v>
      </c>
      <c r="LG34" s="461">
        <f>(LC8-KW8)/KW8</f>
        <v>0.49111346624625907</v>
      </c>
      <c r="MB34" s="236" t="s">
        <v>1523</v>
      </c>
      <c r="MC34" s="461">
        <f>(LW8-LQ8)/LQ8</f>
        <v>0.93797911880636897</v>
      </c>
      <c r="MF34" s="236" t="s">
        <v>38</v>
      </c>
      <c r="MG34" s="2745">
        <f t="shared" ref="MG34:MU34" si="148">MG9-JT9</f>
        <v>6.6327445940437713E-2</v>
      </c>
      <c r="MH34" s="2745">
        <f t="shared" si="148"/>
        <v>0.32283516305994198</v>
      </c>
      <c r="MI34" s="2745">
        <f t="shared" si="148"/>
        <v>0.11829637239760915</v>
      </c>
      <c r="MJ34" s="2745">
        <f t="shared" si="148"/>
        <v>0.33265492197221613</v>
      </c>
      <c r="MK34" s="2745">
        <f t="shared" si="148"/>
        <v>0.14690883326229409</v>
      </c>
      <c r="ML34" s="2745">
        <f t="shared" si="148"/>
        <v>1.0819925000961033</v>
      </c>
      <c r="MM34" s="2745">
        <f t="shared" si="148"/>
        <v>0.18458955600937887</v>
      </c>
      <c r="MN34" s="2745">
        <f t="shared" si="148"/>
        <v>0.42843869753799879</v>
      </c>
      <c r="MO34" s="2745">
        <f t="shared" si="148"/>
        <v>9.5434112464451548E-2</v>
      </c>
      <c r="MP34" s="2745">
        <f t="shared" si="148"/>
        <v>0.61246947652184414</v>
      </c>
      <c r="MQ34" s="2745">
        <f t="shared" si="148"/>
        <v>0.28407193958775423</v>
      </c>
      <c r="MR34" s="2745">
        <f t="shared" si="148"/>
        <v>1.0602190427685496</v>
      </c>
      <c r="MS34" s="2745">
        <f t="shared" si="148"/>
        <v>1.1716021280668159</v>
      </c>
      <c r="MT34" s="2745">
        <f t="shared" si="148"/>
        <v>1.1506039421047776</v>
      </c>
      <c r="MU34" s="2745">
        <f t="shared" si="148"/>
        <v>0.13163348477647219</v>
      </c>
      <c r="MV34" s="2745">
        <f>AVERAGE(MI34:MU34)</f>
        <v>0.52299346212048203</v>
      </c>
      <c r="MW34" s="236" t="s">
        <v>38</v>
      </c>
      <c r="MZ34" s="236" t="s">
        <v>1523</v>
      </c>
      <c r="NA34" s="461">
        <f>(MU8-MO8)/MO8</f>
        <v>0.49660485905546947</v>
      </c>
      <c r="OL34" s="236" t="s">
        <v>1523</v>
      </c>
      <c r="OM34" s="461">
        <f>(OI8-OC8)/OC8</f>
        <v>0.30890171416525858</v>
      </c>
      <c r="ON34" s="461"/>
      <c r="OP34" s="15">
        <f>'Bloom Cleaner Data'!FO36</f>
        <v>1.6787000000000001</v>
      </c>
      <c r="OQ34" s="15">
        <f>'Bloom Cleaner Data'!FP36</f>
        <v>1.5789</v>
      </c>
      <c r="OR34" s="15">
        <f>'Bloom Cleaner Data'!FQ36</f>
        <v>1.4570000000000001</v>
      </c>
      <c r="OS34" s="15">
        <f>'Bloom Cleaner Data'!FR36</f>
        <v>1.5349999999999999</v>
      </c>
      <c r="OT34" s="15">
        <f>'Bloom Cleaner Data'!FS36</f>
        <v>1.5138</v>
      </c>
      <c r="OU34" s="15">
        <f>'Bloom Cleaner Data'!FT36</f>
        <v>1.5987</v>
      </c>
      <c r="OV34" s="15">
        <f>'Bloom Cleaner Data'!FU36</f>
        <v>1.6189</v>
      </c>
      <c r="OW34" s="15">
        <f>'Bloom Cleaner Data'!FV36</f>
        <v>1.5083</v>
      </c>
      <c r="OX34" s="15">
        <f>'Bloom Cleaner Data'!FW36</f>
        <v>1.5264199999999999</v>
      </c>
      <c r="OY34" s="15">
        <f>'Bloom Cleaner Data'!FX36</f>
        <v>1.54454</v>
      </c>
      <c r="OZ34" s="15">
        <f>'Bloom Cleaner Data'!FY36</f>
        <v>1.5626599999999999</v>
      </c>
      <c r="PA34" s="15">
        <f>'Bloom Cleaner Data'!FZ36</f>
        <v>1.5807800000000001</v>
      </c>
      <c r="PB34" s="15">
        <f>'Bloom Cleaner Data'!GA36</f>
        <v>1.5989</v>
      </c>
      <c r="PC34" s="15">
        <f>'Bloom Cleaner Data'!GB36</f>
        <v>1.6762999999999999</v>
      </c>
      <c r="PD34" s="15">
        <f>'Bloom Cleaner Data'!GC36</f>
        <v>1.7537</v>
      </c>
      <c r="PE34" s="526">
        <f>AVERAGE(OR34:PD34)</f>
        <v>1.5749999999999997</v>
      </c>
      <c r="PF34" s="10">
        <f>(PD34-OR34)/OR34</f>
        <v>0.20363761153054216</v>
      </c>
      <c r="PG34" s="526">
        <f t="shared" si="146"/>
        <v>1.5794549999999998</v>
      </c>
      <c r="QC34" s="11" t="s">
        <v>766</v>
      </c>
    </row>
    <row r="35" spans="1:450">
      <c r="A35" s="11" t="s">
        <v>728</v>
      </c>
      <c r="B35" s="3122" t="s">
        <v>489</v>
      </c>
      <c r="D35" s="236" t="s">
        <v>1108</v>
      </c>
      <c r="E35" s="1213">
        <f>E34+E11+E20</f>
        <v>255031.47719439998</v>
      </c>
      <c r="F35" s="461">
        <f t="shared" si="147"/>
        <v>0.59528030454869518</v>
      </c>
      <c r="G35" s="1213">
        <f>G34+G11+G20</f>
        <v>215541.08648815003</v>
      </c>
      <c r="H35" s="461">
        <f t="shared" si="147"/>
        <v>0.53697955242011663</v>
      </c>
      <c r="P35" s="241">
        <f>'OUTPUTS &amp; Inputs'!C110</f>
        <v>-0.3727157311583888</v>
      </c>
      <c r="ED35" s="15">
        <f>'Bloom Cleaner Data'!DC37</f>
        <v>4.7956000000000003</v>
      </c>
      <c r="EE35" s="15">
        <f>'Bloom Cleaner Data'!DG37</f>
        <v>4.7956000000000003</v>
      </c>
      <c r="EF35" s="15">
        <f>'Bloom Cleaner Data'!DK37</f>
        <v>4.7956000000000003</v>
      </c>
      <c r="EG35" s="15">
        <f>'Bloom Cleaner Data'!DO37</f>
        <v>4.7956000000000003</v>
      </c>
      <c r="EH35" s="15">
        <f>AVERAGE('Bloom Cleaner Data'!DC37:DO37)</f>
        <v>4.7956000000000003</v>
      </c>
      <c r="EK35" s="18">
        <f t="shared" si="145"/>
        <v>0</v>
      </c>
      <c r="EL35" s="241"/>
      <c r="EM35" s="77"/>
      <c r="EN35" s="77"/>
      <c r="EO35" s="77"/>
      <c r="EP35" s="77"/>
      <c r="EQ35" s="77"/>
      <c r="ER35" s="77"/>
      <c r="ES35" s="77"/>
      <c r="ET35" s="77"/>
      <c r="EU35" s="77"/>
      <c r="EV35" s="77"/>
      <c r="EW35" s="77"/>
      <c r="EX35" s="77"/>
      <c r="EY35" s="77"/>
      <c r="EZ35" s="77"/>
      <c r="FA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OP35" s="15"/>
      <c r="OQ35" s="15"/>
      <c r="OR35" s="15"/>
      <c r="OS35" s="15"/>
      <c r="OT35" s="15"/>
      <c r="OU35" s="15"/>
      <c r="OV35" s="15"/>
      <c r="OW35" s="15"/>
      <c r="OX35" s="15"/>
      <c r="OY35" s="15"/>
      <c r="OZ35" s="15"/>
      <c r="PA35" s="15"/>
      <c r="PB35" s="15"/>
      <c r="PC35" s="15"/>
      <c r="PD35" s="15"/>
      <c r="PE35" s="15"/>
      <c r="PG35" s="526"/>
      <c r="QC35" s="11" t="s">
        <v>1172</v>
      </c>
    </row>
    <row r="36" spans="1:450" s="228" customFormat="1">
      <c r="A36" s="725" t="s">
        <v>728</v>
      </c>
      <c r="B36" s="3124" t="s">
        <v>493</v>
      </c>
      <c r="D36" s="1211" t="s">
        <v>1103</v>
      </c>
      <c r="E36" s="1213">
        <f>E10+E12+E17+E23+E24+E25</f>
        <v>66419.508991469993</v>
      </c>
      <c r="F36" s="461">
        <f t="shared" si="147"/>
        <v>0.15503272762788689</v>
      </c>
      <c r="G36" s="1213">
        <f>G10+G12+G17+G23+G24+G25</f>
        <v>68746.874135805003</v>
      </c>
      <c r="H36" s="461">
        <f t="shared" si="147"/>
        <v>0.17126973935781939</v>
      </c>
      <c r="I36" s="481"/>
      <c r="J36" s="481"/>
      <c r="K36" s="481"/>
      <c r="L36" s="229"/>
      <c r="M36" s="481"/>
      <c r="P36" s="731">
        <f>'OUTPUTS &amp; Inputs'!C111</f>
        <v>-0.27415919560156515</v>
      </c>
      <c r="DV36" s="176"/>
      <c r="ED36" s="732">
        <f>'Bloom Cleaner Data'!DC38</f>
        <v>6.1234000000000002</v>
      </c>
      <c r="EE36" s="732">
        <f>'Bloom Cleaner Data'!DG38</f>
        <v>6.6776999999999997</v>
      </c>
      <c r="EF36" s="732">
        <f>'Bloom Cleaner Data'!DK38</f>
        <v>6.2901799999999994</v>
      </c>
      <c r="EG36" s="732">
        <f>'Bloom Cleaner Data'!DO38</f>
        <v>7.500633333333333</v>
      </c>
      <c r="EH36" s="732">
        <f>AVERAGE('Bloom Cleaner Data'!DC38:DO38)</f>
        <v>6.5472461538461548</v>
      </c>
      <c r="EI36" s="739"/>
      <c r="EJ36" s="739"/>
      <c r="EK36" s="731">
        <f t="shared" si="145"/>
        <v>0.22491317459799015</v>
      </c>
      <c r="EL36" s="241"/>
      <c r="EM36" s="77"/>
      <c r="EN36" s="77"/>
      <c r="EO36" s="77"/>
      <c r="EP36" s="77"/>
      <c r="EQ36" s="77"/>
      <c r="ER36" s="77"/>
      <c r="ES36" s="77"/>
      <c r="ET36" s="77"/>
      <c r="EU36" s="77"/>
      <c r="EV36" s="77"/>
      <c r="EW36" s="77"/>
      <c r="EX36" s="77"/>
      <c r="EY36" s="77"/>
      <c r="EZ36" s="77"/>
      <c r="FA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NS36" s="176"/>
      <c r="NT36" s="176"/>
      <c r="NU36" s="176"/>
      <c r="OP36" s="732">
        <f>'Bloom Cleaner Data'!FO38</f>
        <v>1.028</v>
      </c>
      <c r="OQ36" s="732">
        <f>'Bloom Cleaner Data'!FP38</f>
        <v>1.0049999999999999</v>
      </c>
      <c r="OR36" s="732">
        <f>'Bloom Cleaner Data'!FQ38</f>
        <v>0.98580000000000001</v>
      </c>
      <c r="OS36" s="732">
        <f>'Bloom Cleaner Data'!FR38</f>
        <v>1.0396000000000001</v>
      </c>
      <c r="OT36" s="732">
        <f>'Bloom Cleaner Data'!FS38</f>
        <v>1.0711999999999999</v>
      </c>
      <c r="OU36" s="732">
        <f>'Bloom Cleaner Data'!FT38</f>
        <v>1.1758999999999999</v>
      </c>
      <c r="OV36" s="732">
        <f>'Bloom Cleaner Data'!FU38</f>
        <v>1.1246</v>
      </c>
      <c r="OW36" s="732">
        <f>'Bloom Cleaner Data'!FV38</f>
        <v>1.0964</v>
      </c>
      <c r="OX36" s="732">
        <f>'Bloom Cleaner Data'!FW38</f>
        <v>1.1269400000000001</v>
      </c>
      <c r="OY36" s="732">
        <f>'Bloom Cleaner Data'!FX38</f>
        <v>1.1574800000000001</v>
      </c>
      <c r="OZ36" s="732">
        <f>'Bloom Cleaner Data'!FY38</f>
        <v>1.1880199999999999</v>
      </c>
      <c r="PA36" s="732">
        <f>'Bloom Cleaner Data'!FZ38</f>
        <v>1.2185599999999999</v>
      </c>
      <c r="PB36" s="732">
        <f>'Bloom Cleaner Data'!GA38</f>
        <v>1.2490999999999999</v>
      </c>
      <c r="PC36" s="732">
        <f>'Bloom Cleaner Data'!GB38</f>
        <v>1.3798333333333332</v>
      </c>
      <c r="PD36" s="732">
        <f>'Bloom Cleaner Data'!GC38</f>
        <v>1.5105666666666666</v>
      </c>
      <c r="PE36" s="740">
        <f>AVERAGE(OR36:PD36)</f>
        <v>1.1787692307692308</v>
      </c>
      <c r="PF36" s="730">
        <f>(PD36-OR36)/OR36</f>
        <v>0.53232569148576447</v>
      </c>
      <c r="PG36" s="734">
        <f t="shared" si="146"/>
        <v>1.1188099999999999</v>
      </c>
      <c r="QC36" s="176" t="s">
        <v>1174</v>
      </c>
      <c r="QH36" s="2387"/>
    </row>
    <row r="37" spans="1:450" s="228" customFormat="1">
      <c r="A37" s="725" t="s">
        <v>728</v>
      </c>
      <c r="B37" s="3124" t="s">
        <v>491</v>
      </c>
      <c r="D37" s="1212" t="s">
        <v>1121</v>
      </c>
      <c r="E37" s="1213">
        <f>E8+E9+E26</f>
        <v>5795.5376999999999</v>
      </c>
      <c r="F37" s="461">
        <f t="shared" si="147"/>
        <v>1.3527622099956215E-2</v>
      </c>
      <c r="G37" s="1213">
        <f>G8+G9+G26</f>
        <v>5544.2608999999993</v>
      </c>
      <c r="H37" s="461">
        <f t="shared" si="147"/>
        <v>1.3812469748063693E-2</v>
      </c>
      <c r="I37" s="1097"/>
      <c r="J37" s="1097"/>
      <c r="K37" s="1097"/>
      <c r="L37" s="1098"/>
      <c r="M37" s="1097"/>
      <c r="P37" s="731">
        <f>'OUTPUTS &amp; Inputs'!C112</f>
        <v>0.2084448816446475</v>
      </c>
      <c r="DV37" s="176"/>
      <c r="ED37" s="732">
        <f>'Bloom Cleaner Data'!DC39</f>
        <v>5.0982000000000003</v>
      </c>
      <c r="EE37" s="732">
        <f>'Bloom Cleaner Data'!DG39</f>
        <v>5.1737000000000002</v>
      </c>
      <c r="EF37" s="732">
        <f>'Bloom Cleaner Data'!DK39</f>
        <v>4.6656399999999998</v>
      </c>
      <c r="EG37" s="732">
        <f>'Bloom Cleaner Data'!DO39</f>
        <v>4.9539999999999997</v>
      </c>
      <c r="EH37" s="732">
        <f>AVERAGE('Bloom Cleaner Data'!DC39:DO39)</f>
        <v>4.9289769230769229</v>
      </c>
      <c r="EI37" s="739"/>
      <c r="EJ37" s="739"/>
      <c r="EK37" s="731">
        <f t="shared" si="145"/>
        <v>-2.8284492566003794E-2</v>
      </c>
      <c r="EL37" s="241"/>
      <c r="EM37" s="77"/>
      <c r="EN37" s="77"/>
      <c r="EO37" s="77"/>
      <c r="EP37" s="77"/>
      <c r="EQ37" s="77"/>
      <c r="ER37" s="77"/>
      <c r="ES37" s="77"/>
      <c r="ET37" s="77"/>
      <c r="EU37" s="77"/>
      <c r="EV37" s="77"/>
      <c r="EW37" s="77"/>
      <c r="EX37" s="77"/>
      <c r="EY37" s="77"/>
      <c r="EZ37" s="77"/>
      <c r="FA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NS37" s="176"/>
      <c r="NT37" s="176"/>
      <c r="NU37" s="176"/>
      <c r="OP37" s="732">
        <f>'Bloom Cleaner Data'!FO39</f>
        <v>2.6835</v>
      </c>
      <c r="OQ37" s="732">
        <f>'Bloom Cleaner Data'!FP39</f>
        <v>2.4567999999999999</v>
      </c>
      <c r="OR37" s="732">
        <f>'Bloom Cleaner Data'!FQ39</f>
        <v>2.1610999999999998</v>
      </c>
      <c r="OS37" s="732">
        <f>'Bloom Cleaner Data'!FR39</f>
        <v>2.19</v>
      </c>
      <c r="OT37" s="732">
        <f>'Bloom Cleaner Data'!FS39</f>
        <v>2.0546000000000002</v>
      </c>
      <c r="OU37" s="732">
        <f>'Bloom Cleaner Data'!FT39</f>
        <v>2.0670000000000002</v>
      </c>
      <c r="OV37" s="732">
        <f>'Bloom Cleaner Data'!FU39</f>
        <v>2.1957</v>
      </c>
      <c r="OW37" s="732">
        <f>'Bloom Cleaner Data'!FV39</f>
        <v>1.9914000000000001</v>
      </c>
      <c r="OX37" s="732">
        <f>'Bloom Cleaner Data'!FW39</f>
        <v>1.9504600000000001</v>
      </c>
      <c r="OY37" s="732">
        <f>'Bloom Cleaner Data'!FX39</f>
        <v>1.9095200000000001</v>
      </c>
      <c r="OZ37" s="732">
        <f>'Bloom Cleaner Data'!FY39</f>
        <v>1.8685799999999999</v>
      </c>
      <c r="PA37" s="732">
        <f>'Bloom Cleaner Data'!FZ39</f>
        <v>1.8276399999999999</v>
      </c>
      <c r="PB37" s="732">
        <f>'Bloom Cleaner Data'!GA39</f>
        <v>1.7867</v>
      </c>
      <c r="PC37" s="732">
        <f>'Bloom Cleaner Data'!GB39</f>
        <v>1.9305333333333332</v>
      </c>
      <c r="PD37" s="732">
        <f>'Bloom Cleaner Data'!GC39</f>
        <v>2.0743666666666667</v>
      </c>
      <c r="PE37" s="740">
        <f>AVERAGE(OR37:PD37)</f>
        <v>2.0005846153846152</v>
      </c>
      <c r="PF37" s="730">
        <f>(PD37-OR37)/OR37</f>
        <v>-4.0133882436413457E-2</v>
      </c>
      <c r="PG37" s="734">
        <f t="shared" si="146"/>
        <v>2.1188150000000001</v>
      </c>
      <c r="QC37" s="176" t="s">
        <v>1173</v>
      </c>
      <c r="QH37" s="2387"/>
    </row>
    <row r="38" spans="1:450">
      <c r="A38" s="11" t="s">
        <v>728</v>
      </c>
      <c r="B38" s="3122" t="s">
        <v>495</v>
      </c>
      <c r="C38" s="176"/>
      <c r="H38" s="19"/>
      <c r="I38" s="19"/>
      <c r="J38" s="19"/>
      <c r="K38" s="20"/>
      <c r="L38" s="233"/>
      <c r="M38" s="19"/>
      <c r="P38" s="228"/>
      <c r="ED38" s="15">
        <f>'Bloom Cleaner Data'!DC40</f>
        <v>6.7767999999999997</v>
      </c>
      <c r="EE38" s="15">
        <f>'Bloom Cleaner Data'!DG40</f>
        <v>6.8548999999999998</v>
      </c>
      <c r="EF38" s="15">
        <f>'Bloom Cleaner Data'!DK40</f>
        <v>6.4223400000000002</v>
      </c>
      <c r="EG38" s="15">
        <f>'Bloom Cleaner Data'!DO40</f>
        <v>6.5732333333333335</v>
      </c>
      <c r="EH38" s="15">
        <f>AVERAGE('Bloom Cleaner Data'!DC40:DO40)</f>
        <v>6.6341769230769234</v>
      </c>
      <c r="EK38" s="18">
        <f t="shared" si="145"/>
        <v>-3.0038759689922416E-2</v>
      </c>
      <c r="EL38" s="241"/>
      <c r="EM38" s="227"/>
      <c r="EN38" s="227"/>
      <c r="EO38" s="227"/>
      <c r="EP38" s="227"/>
      <c r="EQ38" s="227"/>
      <c r="ER38" s="227"/>
      <c r="ES38" s="227"/>
      <c r="ET38" s="227"/>
      <c r="EU38" s="227"/>
      <c r="EV38" s="227"/>
      <c r="EW38" s="227"/>
      <c r="EX38" s="227"/>
      <c r="EY38" s="227"/>
      <c r="EZ38" s="227"/>
      <c r="FA38" s="227"/>
      <c r="FD38" s="227"/>
      <c r="FE38" s="227"/>
      <c r="FF38" s="227"/>
      <c r="FG38" s="227"/>
      <c r="FH38" s="227"/>
      <c r="FI38" s="227"/>
      <c r="FJ38" s="227"/>
      <c r="FK38" s="227"/>
      <c r="FL38" s="227"/>
      <c r="FM38" s="227"/>
      <c r="FN38" s="227"/>
      <c r="FO38" s="227"/>
      <c r="FP38" s="227"/>
      <c r="FQ38" s="227"/>
      <c r="FR38" s="227"/>
      <c r="FS38" s="227"/>
      <c r="FT38" s="227"/>
      <c r="FU38" s="227"/>
      <c r="FV38" s="227"/>
      <c r="FW38" s="227"/>
      <c r="FX38" s="227"/>
      <c r="FY38" s="227"/>
      <c r="FZ38" s="227"/>
      <c r="OP38" s="15">
        <f>'Bloom Cleaner Data'!FO40</f>
        <v>1.6503000000000001</v>
      </c>
      <c r="OQ38" s="15">
        <f>'Bloom Cleaner Data'!FP40</f>
        <v>1.5335999999999999</v>
      </c>
      <c r="OR38" s="15">
        <f>'Bloom Cleaner Data'!FQ40</f>
        <v>1.3122</v>
      </c>
      <c r="OS38" s="15">
        <f>'Bloom Cleaner Data'!FR40</f>
        <v>1.3708</v>
      </c>
      <c r="OT38" s="15">
        <f>'Bloom Cleaner Data'!FS40</f>
        <v>1.3264</v>
      </c>
      <c r="OU38" s="15">
        <f>'Bloom Cleaner Data'!FT40</f>
        <v>1.3075000000000001</v>
      </c>
      <c r="OV38" s="15">
        <f>'Bloom Cleaner Data'!FU40</f>
        <v>1.3391</v>
      </c>
      <c r="OW38" s="15">
        <f>'Bloom Cleaner Data'!FV40</f>
        <v>1.1859</v>
      </c>
      <c r="OX38" s="15">
        <f>'Bloom Cleaner Data'!FW40</f>
        <v>1.1853</v>
      </c>
      <c r="OY38" s="15">
        <f>'Bloom Cleaner Data'!FX40</f>
        <v>1.1847000000000001</v>
      </c>
      <c r="OZ38" s="15">
        <f>'Bloom Cleaner Data'!FY40</f>
        <v>1.1840999999999999</v>
      </c>
      <c r="PA38" s="15">
        <f>'Bloom Cleaner Data'!FZ40</f>
        <v>1.1835</v>
      </c>
      <c r="PB38" s="15">
        <f>'Bloom Cleaner Data'!GA40</f>
        <v>1.1829000000000001</v>
      </c>
      <c r="PC38" s="15">
        <f>'Bloom Cleaner Data'!GB40</f>
        <v>1.1926333333333334</v>
      </c>
      <c r="PD38" s="15">
        <f>'Bloom Cleaner Data'!GC40</f>
        <v>1.2023666666666666</v>
      </c>
      <c r="PE38" s="526">
        <f>AVERAGE(OR38:PD38)</f>
        <v>1.2428769230769232</v>
      </c>
      <c r="PF38" s="10">
        <f>(PD38-OR38)/OR38</f>
        <v>-8.3701671493166777E-2</v>
      </c>
      <c r="PG38" s="526">
        <f t="shared" si="146"/>
        <v>1.336225</v>
      </c>
    </row>
    <row r="39" spans="1:450">
      <c r="A39" s="11" t="s">
        <v>728</v>
      </c>
      <c r="B39" s="3122" t="s">
        <v>497</v>
      </c>
      <c r="C39" s="176"/>
      <c r="G39" s="19"/>
      <c r="H39" s="19"/>
      <c r="I39" s="20"/>
      <c r="J39" s="20"/>
      <c r="K39" s="19"/>
      <c r="L39" s="232"/>
      <c r="M39" s="20"/>
      <c r="P39" s="241">
        <f>'OUTPUTS &amp; Inputs'!C113</f>
        <v>-0.3106488614963191</v>
      </c>
      <c r="ED39" s="15">
        <f>'Bloom Cleaner Data'!DC41</f>
        <v>6.1516999999999999</v>
      </c>
      <c r="EE39" s="15">
        <f>'Bloom Cleaner Data'!DG41</f>
        <v>6.1516999999999999</v>
      </c>
      <c r="EF39" s="15">
        <f>'Bloom Cleaner Data'!DK41</f>
        <v>6.1516999999999999</v>
      </c>
      <c r="EG39" s="15">
        <f>'Bloom Cleaner Data'!DO41</f>
        <v>6.1516999999999999</v>
      </c>
      <c r="EH39" s="15">
        <f>AVERAGE('Bloom Cleaner Data'!DC41:DO41)</f>
        <v>6.1516999999999999</v>
      </c>
      <c r="EK39" s="18">
        <f t="shared" si="145"/>
        <v>0</v>
      </c>
      <c r="EL39" s="241"/>
      <c r="EM39" s="77"/>
      <c r="EN39" s="77"/>
      <c r="EO39" s="77"/>
      <c r="EP39" s="77"/>
      <c r="EQ39" s="77"/>
      <c r="ER39" s="77"/>
      <c r="ES39" s="77"/>
      <c r="ET39" s="77"/>
      <c r="EU39" s="77"/>
      <c r="EV39" s="77"/>
      <c r="EW39" s="77"/>
      <c r="EX39" s="77"/>
      <c r="EY39" s="77"/>
      <c r="EZ39" s="77"/>
      <c r="FA39" s="77"/>
      <c r="FD39" s="77"/>
      <c r="FE39" s="77"/>
      <c r="FF39" s="77" t="s">
        <v>1815</v>
      </c>
      <c r="FG39" s="1760"/>
      <c r="FH39" s="1760"/>
      <c r="FI39" s="1760"/>
      <c r="FJ39" s="1760"/>
      <c r="FK39" s="1760"/>
      <c r="FL39" s="1760"/>
      <c r="FM39" s="1760"/>
      <c r="FN39" s="1760"/>
      <c r="FO39" s="1760"/>
      <c r="FP39" s="1760"/>
      <c r="FQ39" s="1760"/>
      <c r="FR39" s="1760"/>
      <c r="FS39" s="1760"/>
      <c r="FT39" s="1760"/>
      <c r="FU39" s="1760"/>
      <c r="FV39" s="77"/>
      <c r="FW39" s="77"/>
      <c r="FX39" s="77"/>
      <c r="FY39" s="77" t="s">
        <v>2589</v>
      </c>
      <c r="FZ39" s="77"/>
      <c r="MF39" s="11"/>
      <c r="MG39" s="11" t="s">
        <v>2097</v>
      </c>
      <c r="MH39" s="11"/>
      <c r="MI39" s="11"/>
      <c r="MJ39" s="11"/>
      <c r="MK39" s="11"/>
      <c r="ML39" s="11"/>
      <c r="MM39" s="11"/>
      <c r="MN39" s="11"/>
      <c r="MO39" s="11"/>
      <c r="MP39" s="11"/>
      <c r="MQ39" s="11"/>
      <c r="MR39" s="11"/>
      <c r="MS39" s="11"/>
      <c r="MT39" s="11"/>
      <c r="MU39" s="11"/>
      <c r="MV39" s="11"/>
      <c r="MW39" s="11"/>
      <c r="MX39" s="11" t="s">
        <v>2097</v>
      </c>
      <c r="MY39" s="11"/>
      <c r="MZ39" s="11"/>
      <c r="OP39" s="15"/>
      <c r="OQ39" s="15"/>
      <c r="OR39" s="15"/>
      <c r="OS39" s="15"/>
      <c r="OT39" s="15"/>
      <c r="OU39" s="15"/>
      <c r="OV39" s="15"/>
      <c r="OW39" s="15"/>
      <c r="OX39" s="15"/>
      <c r="OY39" s="15"/>
      <c r="OZ39" s="15"/>
      <c r="PA39" s="15"/>
      <c r="PB39" s="15"/>
      <c r="PC39" s="15"/>
      <c r="PD39" s="15"/>
      <c r="PE39" s="15"/>
    </row>
    <row r="40" spans="1:450">
      <c r="G40" s="19"/>
      <c r="H40" s="19"/>
      <c r="I40" s="20"/>
      <c r="J40" s="20"/>
      <c r="K40" s="20"/>
      <c r="L40" s="232"/>
      <c r="M40" s="20"/>
      <c r="N40" s="11" t="s">
        <v>323</v>
      </c>
      <c r="O40" s="11"/>
      <c r="P40" s="482">
        <f>'OUTPUTS &amp; Inputs'!C114</f>
        <v>5.8721709974853362E-2</v>
      </c>
      <c r="EM40" s="77"/>
      <c r="EN40" s="77"/>
      <c r="EO40" s="77"/>
      <c r="EP40" s="77"/>
      <c r="EQ40" s="77"/>
      <c r="ER40" s="77"/>
      <c r="ES40" s="77"/>
      <c r="ET40" s="77"/>
      <c r="EU40" s="77"/>
      <c r="EV40" s="77"/>
      <c r="EW40" s="77"/>
      <c r="EX40" s="77"/>
      <c r="EY40" s="77"/>
      <c r="EZ40" s="77"/>
      <c r="FA40" s="77"/>
      <c r="FD40" s="77"/>
      <c r="FE40" s="77"/>
      <c r="FF40" s="77" t="s">
        <v>2159</v>
      </c>
      <c r="FG40" s="168">
        <f t="shared" ref="FG40:FU40" si="149">AVERAGE(FG7:FG9)</f>
        <v>5.750687428326664</v>
      </c>
      <c r="FH40" s="22">
        <f t="shared" si="149"/>
        <v>5.6260152784153377</v>
      </c>
      <c r="FI40" s="22">
        <f t="shared" si="149"/>
        <v>5.435129449110228</v>
      </c>
      <c r="FJ40" s="22">
        <f t="shared" si="149"/>
        <v>5.8014058361717487</v>
      </c>
      <c r="FK40" s="22">
        <f t="shared" si="149"/>
        <v>6.1371722154052177</v>
      </c>
      <c r="FL40" s="22">
        <f t="shared" si="149"/>
        <v>6.7672393127317783</v>
      </c>
      <c r="FM40" s="22">
        <f t="shared" si="149"/>
        <v>6.7451421877806483</v>
      </c>
      <c r="FN40" s="22">
        <f t="shared" si="149"/>
        <v>6.5046510785086475</v>
      </c>
      <c r="FO40" s="22">
        <f t="shared" si="149"/>
        <v>6.3505329716932524</v>
      </c>
      <c r="FP40" s="22">
        <f t="shared" si="149"/>
        <v>6.208182680825435</v>
      </c>
      <c r="FQ40" s="22">
        <f t="shared" si="149"/>
        <v>6.2389551508379597</v>
      </c>
      <c r="FR40" s="22">
        <f t="shared" si="149"/>
        <v>6.1417429581536522</v>
      </c>
      <c r="FS40" s="22">
        <f t="shared" si="149"/>
        <v>5.8497148407163309</v>
      </c>
      <c r="FT40" s="22">
        <f t="shared" si="149"/>
        <v>5.9287474405133258</v>
      </c>
      <c r="FU40" s="22">
        <f t="shared" si="149"/>
        <v>5.7963739945321882</v>
      </c>
      <c r="FV40" s="1094">
        <f>AVERAGE(FI40:FU40)</f>
        <v>6.146537701306185</v>
      </c>
      <c r="FW40" s="10">
        <f t="shared" ref="FW40:FW42" si="150">(FU40-FI40)/FI40</f>
        <v>6.646475466763696E-2</v>
      </c>
      <c r="FX40" s="168">
        <f>AVERAGE(FX16:FX37)</f>
        <v>5.5509114373387716</v>
      </c>
      <c r="FY40" s="77" t="s">
        <v>2159</v>
      </c>
      <c r="FZ40" s="77"/>
      <c r="MF40" s="11"/>
      <c r="MG40" s="24">
        <v>40178</v>
      </c>
      <c r="MH40" s="24">
        <v>40268</v>
      </c>
      <c r="MI40" s="24">
        <v>40359</v>
      </c>
      <c r="MJ40" s="24">
        <v>40451</v>
      </c>
      <c r="MK40" s="24">
        <v>40543</v>
      </c>
      <c r="ML40" s="24">
        <v>40633</v>
      </c>
      <c r="MM40" s="24">
        <v>40724</v>
      </c>
      <c r="MN40" s="24">
        <v>40816</v>
      </c>
      <c r="MO40" s="24">
        <v>40908</v>
      </c>
      <c r="MP40" s="24">
        <v>40999</v>
      </c>
      <c r="MQ40" s="24">
        <v>41090</v>
      </c>
      <c r="MR40" s="24">
        <v>41182</v>
      </c>
      <c r="MS40" s="24">
        <v>41274</v>
      </c>
      <c r="MT40" s="24">
        <v>41364</v>
      </c>
      <c r="MU40" s="24">
        <v>41455</v>
      </c>
      <c r="MV40" s="17">
        <v>41455</v>
      </c>
      <c r="MW40" s="17" t="s">
        <v>367</v>
      </c>
      <c r="MX40" s="17"/>
      <c r="MY40" s="9" t="s">
        <v>484</v>
      </c>
      <c r="MZ40" s="9" t="s">
        <v>483</v>
      </c>
      <c r="NA40" s="9"/>
      <c r="NB40" s="9"/>
    </row>
    <row r="41" spans="1:450">
      <c r="G41" s="19"/>
      <c r="H41" s="19"/>
      <c r="I41" s="19"/>
      <c r="J41" s="19"/>
      <c r="K41" s="19"/>
      <c r="L41" s="232"/>
      <c r="M41" s="20"/>
      <c r="N41" s="11" t="s">
        <v>729</v>
      </c>
      <c r="O41" s="11"/>
      <c r="P41" s="482">
        <f>'OUTPUTS &amp; Inputs'!C115</f>
        <v>6.7822063479178421E-2</v>
      </c>
      <c r="EM41" s="77"/>
      <c r="EN41" s="77"/>
      <c r="EO41" s="77"/>
      <c r="EP41" s="77"/>
      <c r="EQ41" s="77"/>
      <c r="ER41" s="77"/>
      <c r="ES41" s="77"/>
      <c r="ET41" s="77"/>
      <c r="EU41" s="77"/>
      <c r="EV41" s="77"/>
      <c r="EW41" s="77"/>
      <c r="EX41" s="77"/>
      <c r="EY41" s="77"/>
      <c r="EZ41" s="77"/>
      <c r="FA41" s="77"/>
      <c r="FD41" s="77"/>
      <c r="FE41" s="77"/>
      <c r="FF41" s="77" t="s">
        <v>2588</v>
      </c>
      <c r="FG41" s="3117">
        <f>(FG7*'Bloom Cleaner Data'!D29+FG8*'Bloom Cleaner Data'!D30+CALCULATIONS!FG9*'Bloom Cleaner Data'!D31)</f>
        <v>5.0857987540790237</v>
      </c>
      <c r="FH41" s="3118">
        <f>(FH7*'Bloom Cleaner Data'!E29+FH8*'Bloom Cleaner Data'!E30+CALCULATIONS!FH9*'Bloom Cleaner Data'!E31)</f>
        <v>4.8462173235416532</v>
      </c>
      <c r="FI41" s="3118">
        <f>(FI7*'Bloom Cleaner Data'!F29+FI8*'Bloom Cleaner Data'!F30+CALCULATIONS!FI9*'Bloom Cleaner Data'!F31)</f>
        <v>4.7281901422629922</v>
      </c>
      <c r="FJ41" s="3118">
        <f>(FJ7*'Bloom Cleaner Data'!G29+FJ8*'Bloom Cleaner Data'!G30+CALCULATIONS!FJ9*'Bloom Cleaner Data'!G31)</f>
        <v>5.0455917230427243</v>
      </c>
      <c r="FK41" s="3118">
        <f>(FK7*'Bloom Cleaner Data'!H29+FK8*'Bloom Cleaner Data'!H30+CALCULATIONS!FK9*'Bloom Cleaner Data'!H31)</f>
        <v>5.4740552716495561</v>
      </c>
      <c r="FL41" s="3118">
        <f>(FL7*'Bloom Cleaner Data'!I29+FL8*'Bloom Cleaner Data'!I30+CALCULATIONS!FL9*'Bloom Cleaner Data'!I31)</f>
        <v>6.3081733140473482</v>
      </c>
      <c r="FM41" s="3118">
        <f>(FM7*'Bloom Cleaner Data'!J29+FM8*'Bloom Cleaner Data'!J30+CALCULATIONS!FM9*'Bloom Cleaner Data'!J31)</f>
        <v>6.2927768296860034</v>
      </c>
      <c r="FN41" s="3118">
        <f>(FN7*'Bloom Cleaner Data'!K29+FN8*'Bloom Cleaner Data'!K30+CALCULATIONS!FN9*'Bloom Cleaner Data'!K31)</f>
        <v>5.9568594704927982</v>
      </c>
      <c r="FO41" s="3118">
        <f>(FO7*'Bloom Cleaner Data'!L29+FO8*'Bloom Cleaner Data'!L30+CALCULATIONS!FO9*'Bloom Cleaner Data'!L31)</f>
        <v>5.9971334360864601</v>
      </c>
      <c r="FP41" s="3118">
        <f>(FP7*'Bloom Cleaner Data'!M29+FP8*'Bloom Cleaner Data'!M30+CALCULATIONS!FP9*'Bloom Cleaner Data'!M31)</f>
        <v>6.0205830680178254</v>
      </c>
      <c r="FQ41" s="3118">
        <f>(FQ7*'Bloom Cleaner Data'!N29+FQ8*'Bloom Cleaner Data'!N30+CALCULATIONS!FQ9*'Bloom Cleaner Data'!N31)</f>
        <v>6.3390055343071374</v>
      </c>
      <c r="FR41" s="3118">
        <f>(FR7*'Bloom Cleaner Data'!O29+FR8*'Bloom Cleaner Data'!O30+CALCULATIONS!FR9*'Bloom Cleaner Data'!O31)</f>
        <v>6.3782047963979753</v>
      </c>
      <c r="FS41" s="3118">
        <f>(FS7*'Bloom Cleaner Data'!P29+FS8*'Bloom Cleaner Data'!P30+CALCULATIONS!FS9*'Bloom Cleaner Data'!P31)</f>
        <v>6.2149521900387903</v>
      </c>
      <c r="FT41" s="3118">
        <f>(FT7*'Bloom Cleaner Data'!Q29+FT8*'Bloom Cleaner Data'!Q30+CALCULATIONS!FT9*'Bloom Cleaner Data'!Q31)</f>
        <v>6.3783142020381636</v>
      </c>
      <c r="FU41" s="3118">
        <f>(FU7*'Bloom Cleaner Data'!R29+FU8*'Bloom Cleaner Data'!R30+CALCULATIONS!FU9*'Bloom Cleaner Data'!R31)</f>
        <v>6.2146690797526505</v>
      </c>
      <c r="FV41" s="1094">
        <f>AVERAGE(FI41:FU41)</f>
        <v>5.9498853121400339</v>
      </c>
      <c r="FW41" s="10">
        <f t="shared" si="150"/>
        <v>0.31438645502065282</v>
      </c>
      <c r="FX41" s="168">
        <f t="shared" ref="FX41:FX42" si="151">AVERAGE(FX17:FX38)</f>
        <v>5.6270187811751731</v>
      </c>
      <c r="FY41" s="77" t="s">
        <v>2588</v>
      </c>
      <c r="FZ41" s="77"/>
      <c r="HK41" s="21" t="s">
        <v>2250</v>
      </c>
      <c r="HL41" s="21"/>
      <c r="HM41" s="21"/>
      <c r="HN41" s="2859">
        <f>'GEARINGS, E&amp;Enot'!AB3</f>
        <v>1</v>
      </c>
      <c r="HZ41" s="2864" t="s">
        <v>483</v>
      </c>
      <c r="MF41" s="11"/>
      <c r="MG41" s="11" t="s">
        <v>2595</v>
      </c>
      <c r="MH41" s="11" t="s">
        <v>2595</v>
      </c>
      <c r="MI41" s="11" t="s">
        <v>2595</v>
      </c>
      <c r="MJ41" s="11" t="s">
        <v>2595</v>
      </c>
      <c r="MK41" s="11" t="s">
        <v>2595</v>
      </c>
      <c r="ML41" s="11" t="s">
        <v>2595</v>
      </c>
      <c r="MM41" s="11" t="s">
        <v>2595</v>
      </c>
      <c r="MN41" s="11" t="s">
        <v>2595</v>
      </c>
      <c r="MO41" s="11" t="s">
        <v>2595</v>
      </c>
      <c r="MP41" s="11" t="s">
        <v>2595</v>
      </c>
      <c r="MQ41" s="11" t="s">
        <v>2595</v>
      </c>
      <c r="MR41" s="11" t="s">
        <v>2595</v>
      </c>
      <c r="MS41" s="11" t="s">
        <v>2595</v>
      </c>
      <c r="MT41" s="11" t="s">
        <v>2595</v>
      </c>
      <c r="MU41" s="11" t="s">
        <v>2595</v>
      </c>
      <c r="MV41" s="9" t="s">
        <v>2597</v>
      </c>
      <c r="MW41" s="9" t="s">
        <v>2596</v>
      </c>
      <c r="MX41" s="9"/>
      <c r="MY41" s="9" t="s">
        <v>2595</v>
      </c>
      <c r="MZ41" s="9" t="s">
        <v>2595</v>
      </c>
      <c r="NA41" s="9"/>
      <c r="NB41" s="9"/>
      <c r="OP41" s="9" t="s">
        <v>1060</v>
      </c>
    </row>
    <row r="42" spans="1:450">
      <c r="B42" s="3125" t="s">
        <v>52</v>
      </c>
      <c r="C42" s="1180"/>
      <c r="G42" s="1086"/>
      <c r="H42" s="1086"/>
      <c r="I42" s="1086"/>
      <c r="J42" s="1086"/>
      <c r="K42" s="1087"/>
      <c r="L42" s="1086"/>
      <c r="M42" s="1086"/>
      <c r="N42" s="236" t="s">
        <v>65</v>
      </c>
      <c r="O42" s="236"/>
      <c r="P42" s="1088">
        <f>'OUTPUTS &amp; Inputs'!C116</f>
        <v>0.1597197757400679</v>
      </c>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c r="BU42" s="236"/>
      <c r="BV42" s="236"/>
      <c r="BW42" s="236"/>
      <c r="BX42" s="236"/>
      <c r="BY42" s="236"/>
      <c r="BZ42" s="236"/>
      <c r="CA42" s="236"/>
      <c r="CB42" s="236"/>
      <c r="CC42" s="236"/>
      <c r="CD42" s="236"/>
      <c r="CE42" s="236"/>
      <c r="CF42" s="236"/>
      <c r="CG42" s="236"/>
      <c r="CH42" s="236"/>
      <c r="CI42" s="236"/>
      <c r="CJ42" s="236"/>
      <c r="CK42" s="236"/>
      <c r="CL42" s="236"/>
      <c r="CM42" s="236"/>
      <c r="CN42" s="236"/>
      <c r="CO42" s="236"/>
      <c r="CP42" s="236"/>
      <c r="CQ42" s="236"/>
      <c r="CR42" s="236"/>
      <c r="CS42" s="236"/>
      <c r="CT42" s="236"/>
      <c r="CU42" s="236"/>
      <c r="CV42" s="236"/>
      <c r="CW42" s="236"/>
      <c r="CX42" s="236"/>
      <c r="CY42" s="236"/>
      <c r="CZ42" s="236"/>
      <c r="DA42" s="236"/>
      <c r="DB42" s="236"/>
      <c r="DC42" s="236"/>
      <c r="DD42" s="236"/>
      <c r="DE42" s="236"/>
      <c r="DF42" s="236"/>
      <c r="DG42" s="236"/>
      <c r="DH42" s="236"/>
      <c r="DI42" s="236"/>
      <c r="DJ42" s="236"/>
      <c r="DK42" s="236"/>
      <c r="DL42" s="236"/>
      <c r="DM42" s="236"/>
      <c r="DN42" s="236"/>
      <c r="DO42" s="236"/>
      <c r="DP42" s="236"/>
      <c r="DQ42" s="236"/>
      <c r="DR42" s="236"/>
      <c r="DS42" s="236"/>
      <c r="DT42" s="236"/>
      <c r="DU42" s="236"/>
      <c r="DV42" s="236"/>
      <c r="DW42" s="236"/>
      <c r="DX42" s="236"/>
      <c r="DY42" s="236"/>
      <c r="DZ42" s="236"/>
      <c r="EA42" s="236"/>
      <c r="EB42" s="236"/>
      <c r="EC42" s="236"/>
      <c r="ED42" s="236"/>
      <c r="EE42" s="236"/>
      <c r="EF42" s="236"/>
      <c r="EG42" s="236"/>
      <c r="EH42" s="236"/>
      <c r="EI42" s="236"/>
      <c r="EJ42" s="236"/>
      <c r="EK42" s="236"/>
      <c r="EL42" s="1090"/>
      <c r="EM42" s="1089"/>
      <c r="EN42" s="1089"/>
      <c r="EO42" s="1089"/>
      <c r="EP42" s="1089"/>
      <c r="EQ42" s="1089"/>
      <c r="ER42" s="1089"/>
      <c r="ES42" s="1089"/>
      <c r="ET42" s="1089"/>
      <c r="EU42" s="1089"/>
      <c r="EV42" s="1089"/>
      <c r="EW42" s="1089"/>
      <c r="EX42" s="1089"/>
      <c r="EY42" s="1089"/>
      <c r="EZ42" s="1089"/>
      <c r="FA42" s="1089"/>
      <c r="FB42" s="236"/>
      <c r="FC42" s="236"/>
      <c r="FD42" s="1089"/>
      <c r="FE42" s="1089"/>
      <c r="FF42" s="77" t="s">
        <v>1259</v>
      </c>
      <c r="FG42" s="3117">
        <f t="shared" ref="FG42:FU42" si="152">SUMPRODUCT(FG7:FG9,BP44:BP46)</f>
        <v>5.2967542491987132</v>
      </c>
      <c r="FH42" s="3118">
        <f t="shared" si="152"/>
        <v>5.0737318467773678</v>
      </c>
      <c r="FI42" s="3118">
        <f t="shared" si="152"/>
        <v>4.9171437546117289</v>
      </c>
      <c r="FJ42" s="3118">
        <f t="shared" si="152"/>
        <v>5.2716242268817162</v>
      </c>
      <c r="FK42" s="3118">
        <f t="shared" si="152"/>
        <v>5.6882436822288636</v>
      </c>
      <c r="FL42" s="3118">
        <f t="shared" si="152"/>
        <v>6.4913339947622788</v>
      </c>
      <c r="FM42" s="3118">
        <f t="shared" si="152"/>
        <v>6.4227292587138756</v>
      </c>
      <c r="FN42" s="3118">
        <f t="shared" si="152"/>
        <v>6.2488976706353814</v>
      </c>
      <c r="FO42" s="3118">
        <f t="shared" si="152"/>
        <v>6.2487365146844596</v>
      </c>
      <c r="FP42" s="3118">
        <f t="shared" si="152"/>
        <v>6.2603565393348699</v>
      </c>
      <c r="FQ42" s="3118">
        <f t="shared" si="152"/>
        <v>6.5340810446223898</v>
      </c>
      <c r="FR42" s="3118">
        <f t="shared" si="152"/>
        <v>6.6182307194366299</v>
      </c>
      <c r="FS42" s="3118">
        <f t="shared" si="152"/>
        <v>6.4302951723889556</v>
      </c>
      <c r="FT42" s="3118">
        <f t="shared" si="152"/>
        <v>6.5858108925210557</v>
      </c>
      <c r="FU42" s="3118">
        <f t="shared" si="152"/>
        <v>6.4803078290533485</v>
      </c>
      <c r="FV42" s="1094">
        <f>AVERAGE(FI42:FU42)</f>
        <v>6.1690608692211963</v>
      </c>
      <c r="FW42" s="10">
        <f t="shared" si="150"/>
        <v>0.31790082870274988</v>
      </c>
      <c r="FX42" s="168">
        <f t="shared" si="151"/>
        <v>5.6222028032423461</v>
      </c>
      <c r="FY42" s="77" t="s">
        <v>1259</v>
      </c>
      <c r="FZ42" s="1089"/>
      <c r="GA42" s="236"/>
      <c r="GB42" s="236"/>
      <c r="GC42" s="236"/>
      <c r="GD42" s="236"/>
      <c r="GE42" s="236"/>
      <c r="GF42" s="236"/>
      <c r="GG42" s="236"/>
      <c r="GH42" s="236"/>
      <c r="GI42" s="236"/>
      <c r="GJ42" s="236"/>
      <c r="GK42" s="236"/>
      <c r="GL42" s="236"/>
      <c r="GM42" s="236"/>
      <c r="GN42" s="236"/>
      <c r="GO42" s="236"/>
      <c r="GP42" s="236"/>
      <c r="GQ42" s="236"/>
      <c r="GR42" s="236"/>
      <c r="GS42" s="236"/>
      <c r="GT42" s="236"/>
      <c r="GU42" s="236"/>
      <c r="GV42" s="236"/>
      <c r="GW42" s="236"/>
      <c r="GX42" s="236"/>
      <c r="GY42" s="236"/>
      <c r="GZ42" s="236"/>
      <c r="HA42" s="236"/>
      <c r="HB42" s="236"/>
      <c r="HC42" s="236"/>
      <c r="HD42" s="236"/>
      <c r="HE42" s="236"/>
      <c r="HF42" s="236"/>
      <c r="HG42" s="236"/>
      <c r="HH42" s="236"/>
      <c r="HI42" s="236"/>
      <c r="HJ42" s="236"/>
      <c r="HK42" s="2860">
        <f>$HN$41*HK5+(1-$HN$41)*GA5</f>
        <v>0.58937818116081442</v>
      </c>
      <c r="HL42" s="2860">
        <f t="shared" ref="HL42:HY57" si="153">$HN$41*HL5+(1-$HN$41)*GB5</f>
        <v>0.58715140559196333</v>
      </c>
      <c r="HM42" s="2860">
        <f t="shared" si="153"/>
        <v>0.60790876867087129</v>
      </c>
      <c r="HN42" s="2860">
        <f t="shared" si="153"/>
        <v>0.58780193816956527</v>
      </c>
      <c r="HO42" s="2860">
        <f t="shared" si="153"/>
        <v>0.58957517882241384</v>
      </c>
      <c r="HP42" s="2860">
        <f t="shared" si="153"/>
        <v>0.55448370256814439</v>
      </c>
      <c r="HQ42" s="2860">
        <f t="shared" si="153"/>
        <v>0.56386630994390285</v>
      </c>
      <c r="HR42" s="2860">
        <f t="shared" si="153"/>
        <v>0.61067944094457305</v>
      </c>
      <c r="HS42" s="2860">
        <f t="shared" si="153"/>
        <v>0.59638493339332066</v>
      </c>
      <c r="HT42" s="2860">
        <f t="shared" si="153"/>
        <v>0.58244392597587236</v>
      </c>
      <c r="HU42" s="2860">
        <f t="shared" si="153"/>
        <v>0.60505124187144299</v>
      </c>
      <c r="HV42" s="2860">
        <f t="shared" si="153"/>
        <v>0.57188320770012269</v>
      </c>
      <c r="HW42" s="2860">
        <f t="shared" si="153"/>
        <v>0.58809032915191828</v>
      </c>
      <c r="HX42" s="2860">
        <f t="shared" si="153"/>
        <v>0.59623196470130613</v>
      </c>
      <c r="HY42" s="2860">
        <f t="shared" si="153"/>
        <v>0.59074959904524027</v>
      </c>
      <c r="HZ42" s="2860">
        <f>AVERAGE(HM42:HY42)</f>
        <v>0.58808850315066874</v>
      </c>
      <c r="IA42" s="236"/>
      <c r="IB42" s="236"/>
      <c r="IC42" s="236"/>
      <c r="ID42" s="236"/>
      <c r="IE42" s="236"/>
      <c r="IF42" s="236"/>
      <c r="IG42" s="236"/>
      <c r="IH42" s="236"/>
      <c r="II42" s="236"/>
      <c r="IJ42" s="236"/>
      <c r="IK42" s="236"/>
      <c r="IL42" s="236"/>
      <c r="IM42" s="236"/>
      <c r="IN42" s="236"/>
      <c r="IO42" s="236"/>
      <c r="IP42" s="236"/>
      <c r="IQ42" s="236"/>
      <c r="IR42" s="236"/>
      <c r="IS42" s="236"/>
      <c r="IT42" s="236"/>
      <c r="IU42" s="236"/>
      <c r="IV42" s="236"/>
      <c r="IW42" s="236"/>
      <c r="IX42" s="236"/>
      <c r="IY42" s="236"/>
      <c r="IZ42" s="236"/>
      <c r="JA42" s="236"/>
      <c r="JB42" s="236"/>
      <c r="JC42" s="236"/>
      <c r="JD42" s="236"/>
      <c r="JE42" s="236"/>
      <c r="JF42" s="236"/>
      <c r="JG42" s="236"/>
      <c r="JH42" s="236"/>
      <c r="JI42" s="236"/>
      <c r="JJ42" s="236"/>
      <c r="JK42" s="236"/>
      <c r="JL42" s="236"/>
      <c r="JM42" s="236"/>
      <c r="JN42" s="236"/>
      <c r="JO42" s="236"/>
      <c r="JP42" s="236"/>
      <c r="JQ42" s="236"/>
      <c r="JR42" s="236"/>
      <c r="JS42" s="236"/>
      <c r="JT42" s="236"/>
      <c r="JU42" s="236"/>
      <c r="JV42" s="236"/>
      <c r="JW42" s="236"/>
      <c r="JX42" s="236"/>
      <c r="JY42" s="236"/>
      <c r="JZ42" s="236"/>
      <c r="KA42" s="236"/>
      <c r="KB42" s="236"/>
      <c r="KC42" s="236"/>
      <c r="KD42" s="236"/>
      <c r="KE42" s="236"/>
      <c r="KF42" s="236"/>
      <c r="KG42" s="236"/>
      <c r="KH42" s="236"/>
      <c r="KI42" s="236"/>
      <c r="KJ42" s="236"/>
      <c r="KK42" s="236"/>
      <c r="KL42" s="236"/>
      <c r="KM42" s="236"/>
      <c r="KN42" s="236"/>
      <c r="KO42" s="236"/>
      <c r="KP42" s="236"/>
      <c r="KQ42" s="236"/>
      <c r="KR42" s="236"/>
      <c r="KS42" s="236"/>
      <c r="KT42" s="236"/>
      <c r="KU42" s="236"/>
      <c r="KV42" s="236"/>
      <c r="KW42" s="236"/>
      <c r="KX42" s="236"/>
      <c r="KY42" s="236"/>
      <c r="KZ42" s="236"/>
      <c r="LA42" s="236"/>
      <c r="LB42" s="236"/>
      <c r="LC42" s="236"/>
      <c r="LD42" s="236"/>
      <c r="LE42" s="236"/>
      <c r="LF42" s="236"/>
      <c r="LG42" s="236"/>
      <c r="LH42" s="236"/>
      <c r="LI42" s="236"/>
      <c r="LJ42" s="236"/>
      <c r="LK42" s="236"/>
      <c r="LL42" s="236"/>
      <c r="LM42" s="236"/>
      <c r="LN42" s="236"/>
      <c r="LO42" s="236"/>
      <c r="LP42" s="236"/>
      <c r="LQ42" s="236"/>
      <c r="LR42" s="236"/>
      <c r="LS42" s="236"/>
      <c r="LT42" s="236"/>
      <c r="LU42" s="236"/>
      <c r="LV42" s="236"/>
      <c r="LW42" s="236"/>
      <c r="LX42" s="236"/>
      <c r="LY42" s="236"/>
      <c r="LZ42" s="236"/>
      <c r="MA42" s="236"/>
      <c r="MB42" s="236"/>
      <c r="MC42" s="236"/>
      <c r="MD42" s="236"/>
      <c r="ME42" s="236"/>
      <c r="MF42" s="73" t="s">
        <v>52</v>
      </c>
      <c r="MG42" s="168">
        <f>MG5+0.2</f>
        <v>2.9002406760015296</v>
      </c>
      <c r="MH42" s="168">
        <f t="shared" ref="MH42:MY42" si="154">MH5+0.2</f>
        <v>2.8843761599832871</v>
      </c>
      <c r="MI42" s="168">
        <f t="shared" si="154"/>
        <v>2.9623347268980518</v>
      </c>
      <c r="MJ42" s="168">
        <f t="shared" si="154"/>
        <v>2.9499013572954111</v>
      </c>
      <c r="MK42" s="168">
        <f t="shared" si="154"/>
        <v>3.3352374888111838</v>
      </c>
      <c r="ML42" s="168">
        <f t="shared" si="154"/>
        <v>3.2658418190036453</v>
      </c>
      <c r="MM42" s="168">
        <f t="shared" si="154"/>
        <v>3.5257058137122872</v>
      </c>
      <c r="MN42" s="168">
        <f t="shared" si="154"/>
        <v>3.4876047815222968</v>
      </c>
      <c r="MO42" s="168">
        <f t="shared" si="154"/>
        <v>3.0485220589054669</v>
      </c>
      <c r="MP42" s="168">
        <f t="shared" si="154"/>
        <v>2.9139411892422049</v>
      </c>
      <c r="MQ42" s="168">
        <f t="shared" si="154"/>
        <v>2.9598788205538447</v>
      </c>
      <c r="MR42" s="168">
        <f t="shared" si="154"/>
        <v>2.8510915320741317</v>
      </c>
      <c r="MS42" s="168">
        <f t="shared" si="154"/>
        <v>3.0260908736718024</v>
      </c>
      <c r="MT42" s="168">
        <f t="shared" si="154"/>
        <v>3.0926581567680342</v>
      </c>
      <c r="MU42" s="168">
        <f t="shared" si="154"/>
        <v>3.3841649798132134</v>
      </c>
      <c r="MV42" s="11"/>
      <c r="MW42" s="168">
        <f t="shared" si="154"/>
        <v>3.1676380034176832</v>
      </c>
      <c r="MX42" s="11"/>
      <c r="MY42" s="168">
        <f t="shared" si="154"/>
        <v>3.0885013855817953</v>
      </c>
      <c r="MZ42" s="168">
        <f t="shared" ref="MZ42:MZ64" si="155">MZ5+0.2</f>
        <v>3.138690276790121</v>
      </c>
      <c r="NA42" s="236"/>
      <c r="NB42" s="236"/>
      <c r="NC42" s="236"/>
      <c r="ND42" s="236"/>
      <c r="NE42" s="236"/>
      <c r="NF42" s="236"/>
      <c r="NG42" s="236"/>
      <c r="NH42" s="236"/>
      <c r="NI42" s="236"/>
      <c r="NJ42" s="236"/>
      <c r="NK42" s="236"/>
      <c r="NL42" s="236"/>
      <c r="NM42" s="236"/>
      <c r="NN42" s="236"/>
      <c r="NO42" s="236"/>
      <c r="NP42" s="236"/>
      <c r="NQ42" s="236"/>
      <c r="NR42" s="236"/>
      <c r="NS42" s="236"/>
      <c r="NT42" s="236"/>
      <c r="NU42" s="236"/>
      <c r="NV42" s="236"/>
      <c r="NW42" s="236"/>
      <c r="NX42" s="236"/>
      <c r="NY42" s="236"/>
      <c r="NZ42" s="236"/>
      <c r="OA42" s="236"/>
      <c r="OB42" s="236"/>
      <c r="OC42" s="236"/>
      <c r="OD42" s="236"/>
      <c r="OE42" s="236"/>
      <c r="OF42" s="236"/>
      <c r="OG42" s="236"/>
      <c r="OH42" s="236"/>
      <c r="OI42" s="236"/>
      <c r="OJ42" s="236"/>
      <c r="OK42" s="236"/>
      <c r="OL42" s="236"/>
      <c r="OM42" s="236"/>
      <c r="ON42" s="236"/>
      <c r="OO42" s="236"/>
      <c r="OP42" s="168"/>
      <c r="OQ42" s="168">
        <f>OQ5-'Bloom Cleaner Data'!FP5</f>
        <v>-0.14771450348923876</v>
      </c>
      <c r="OR42" s="168">
        <f>OR5-'Bloom Cleaner Data'!FQ5</f>
        <v>-0.12004936477102734</v>
      </c>
      <c r="OS42" s="168">
        <f>OS5-'Bloom Cleaner Data'!FR5</f>
        <v>-0.13789972324723232</v>
      </c>
      <c r="OT42" s="168"/>
      <c r="OU42" s="168">
        <f>OU5-'Bloom Cleaner Data'!FT5</f>
        <v>-0.14798245498874718</v>
      </c>
      <c r="OV42" s="168">
        <f>OV5-'Bloom Cleaner Data'!FU5</f>
        <v>-0.16209508655804483</v>
      </c>
      <c r="OW42" s="168">
        <f>OW5-'Bloom Cleaner Data'!FV5</f>
        <v>-0.12669118702383886</v>
      </c>
      <c r="OX42" s="168"/>
      <c r="OY42" s="168"/>
      <c r="OZ42" s="168"/>
      <c r="PA42" s="168"/>
      <c r="PB42" s="168"/>
      <c r="PC42" s="168"/>
      <c r="PD42" s="168"/>
    </row>
    <row r="43" spans="1:450">
      <c r="B43" s="3125" t="s">
        <v>278</v>
      </c>
      <c r="C43" s="1180"/>
      <c r="G43" s="236"/>
      <c r="H43" s="236"/>
      <c r="I43" s="236"/>
      <c r="J43" s="236"/>
      <c r="K43" s="236"/>
      <c r="L43" s="236"/>
      <c r="M43" s="236"/>
      <c r="N43" s="236" t="s">
        <v>730</v>
      </c>
      <c r="O43" s="236"/>
      <c r="P43" s="1088">
        <f>'OUTPUTS &amp; Inputs'!C117</f>
        <v>0.35356636626584159</v>
      </c>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t="s">
        <v>2586</v>
      </c>
      <c r="BQ43" s="236"/>
      <c r="BR43" s="236"/>
      <c r="BS43" s="236"/>
      <c r="BT43" s="236"/>
      <c r="BU43" s="236"/>
      <c r="BV43" s="236"/>
      <c r="BW43" s="236"/>
      <c r="BX43" s="236"/>
      <c r="BY43" s="236"/>
      <c r="BZ43" s="236"/>
      <c r="CA43" s="236"/>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c r="CZ43" s="236"/>
      <c r="DA43" s="236"/>
      <c r="DB43" s="236"/>
      <c r="DC43" s="236"/>
      <c r="DD43" s="236"/>
      <c r="DE43" s="236"/>
      <c r="DF43" s="236"/>
      <c r="DG43" s="236"/>
      <c r="DH43" s="236"/>
      <c r="DI43" s="236"/>
      <c r="DJ43" s="236"/>
      <c r="DK43" s="236"/>
      <c r="DL43" s="236"/>
      <c r="DM43" s="236"/>
      <c r="DN43" s="236"/>
      <c r="DO43" s="236"/>
      <c r="DP43" s="236"/>
      <c r="DQ43" s="236"/>
      <c r="DR43" s="236"/>
      <c r="DS43" s="236"/>
      <c r="DT43" s="236"/>
      <c r="DU43" s="236"/>
      <c r="DV43" s="236"/>
      <c r="DW43" s="236"/>
      <c r="DX43" s="236"/>
      <c r="DY43" s="236"/>
      <c r="DZ43" s="236"/>
      <c r="EA43" s="236"/>
      <c r="EB43" s="236"/>
      <c r="EC43" s="236"/>
      <c r="ED43" s="236"/>
      <c r="EE43" s="236"/>
      <c r="EF43" s="236"/>
      <c r="EG43" s="236"/>
      <c r="EH43" s="236"/>
      <c r="EI43" s="236"/>
      <c r="EJ43" s="236"/>
      <c r="EK43" s="236"/>
      <c r="EL43" s="1090"/>
      <c r="EM43" s="1089"/>
      <c r="EN43" s="1089"/>
      <c r="EO43" s="1089"/>
      <c r="EP43" s="1089"/>
      <c r="EQ43" s="1089"/>
      <c r="ER43" s="1089"/>
      <c r="ES43" s="1089"/>
      <c r="ET43" s="1089"/>
      <c r="EU43" s="1089"/>
      <c r="EV43" s="1089"/>
      <c r="EW43" s="1089"/>
      <c r="EX43" s="1089"/>
      <c r="EY43" s="1089"/>
      <c r="EZ43" s="1089"/>
      <c r="FA43" s="1089"/>
      <c r="FB43" s="236"/>
      <c r="FC43" s="236"/>
      <c r="FD43" s="1089"/>
      <c r="FE43" s="1089"/>
      <c r="FF43" s="1089"/>
      <c r="FG43" s="1089"/>
      <c r="FH43" s="1089"/>
      <c r="FI43" s="1089"/>
      <c r="FJ43" s="1089"/>
      <c r="FK43" s="1089"/>
      <c r="FL43" s="1089"/>
      <c r="FM43" s="1089"/>
      <c r="FN43" s="1089"/>
      <c r="FO43" s="1089"/>
      <c r="FP43" s="1089"/>
      <c r="FQ43" s="1089"/>
      <c r="FR43" s="1089"/>
      <c r="FS43" s="1089"/>
      <c r="FT43" s="1089"/>
      <c r="FU43" s="1089"/>
      <c r="FV43" s="1089"/>
      <c r="FW43" s="1089"/>
      <c r="FX43" s="1089"/>
      <c r="FY43" s="1089"/>
      <c r="FZ43" s="1089"/>
      <c r="GA43" s="236"/>
      <c r="GB43" s="236"/>
      <c r="GC43" s="236"/>
      <c r="GD43" s="236"/>
      <c r="GE43" s="236"/>
      <c r="GF43" s="236"/>
      <c r="GG43" s="236"/>
      <c r="GH43" s="236"/>
      <c r="GI43" s="236"/>
      <c r="GJ43" s="236"/>
      <c r="GK43" s="236"/>
      <c r="GL43" s="236"/>
      <c r="GM43" s="236"/>
      <c r="GN43" s="236"/>
      <c r="GO43" s="236"/>
      <c r="GP43" s="236"/>
      <c r="GQ43" s="236"/>
      <c r="GR43" s="236"/>
      <c r="GS43" s="236"/>
      <c r="GT43" s="236"/>
      <c r="GU43" s="236"/>
      <c r="GV43" s="236"/>
      <c r="GW43" s="236"/>
      <c r="GX43" s="236"/>
      <c r="GY43" s="236"/>
      <c r="GZ43" s="236"/>
      <c r="HA43" s="236"/>
      <c r="HB43" s="236"/>
      <c r="HC43" s="236"/>
      <c r="HD43" s="236"/>
      <c r="HE43" s="236"/>
      <c r="HF43" s="236"/>
      <c r="HG43" s="236"/>
      <c r="HH43" s="236"/>
      <c r="HI43" s="236"/>
      <c r="HJ43" s="236"/>
      <c r="HK43" s="2860">
        <f t="shared" ref="HK43:HK64" si="156">$HN$41*HK6+(1-$HN$41)*GA6</f>
        <v>0.42425875843701322</v>
      </c>
      <c r="HL43" s="2860">
        <f t="shared" si="153"/>
        <v>0.40066820400578501</v>
      </c>
      <c r="HM43" s="2860">
        <f t="shared" si="153"/>
        <v>0.44187886716513403</v>
      </c>
      <c r="HN43" s="2860">
        <f t="shared" si="153"/>
        <v>0.37368331958919732</v>
      </c>
      <c r="HO43" s="2860">
        <f t="shared" si="153"/>
        <v>0.4248586569263863</v>
      </c>
      <c r="HP43" s="2860">
        <f t="shared" si="153"/>
        <v>0.42790254930033284</v>
      </c>
      <c r="HQ43" s="2860">
        <f t="shared" si="153"/>
        <v>0.48210950131634289</v>
      </c>
      <c r="HR43" s="2860">
        <f t="shared" si="153"/>
        <v>0.51254771371859198</v>
      </c>
      <c r="HS43" s="2860">
        <f t="shared" si="153"/>
        <v>0.45491433161360073</v>
      </c>
      <c r="HT43" s="2860">
        <f t="shared" si="153"/>
        <v>0.465641871913135</v>
      </c>
      <c r="HU43" s="2860">
        <f t="shared" si="153"/>
        <v>0.50177090554661785</v>
      </c>
      <c r="HV43" s="2860">
        <f t="shared" si="153"/>
        <v>0.57526092367076309</v>
      </c>
      <c r="HW43" s="2860">
        <f t="shared" si="153"/>
        <v>0.56363961733210066</v>
      </c>
      <c r="HX43" s="2860">
        <f t="shared" si="153"/>
        <v>0.61341498692103946</v>
      </c>
      <c r="HY43" s="2860">
        <f t="shared" si="153"/>
        <v>0.62319136029119382</v>
      </c>
      <c r="HZ43" s="2860">
        <f t="shared" ref="HZ43:HZ64" si="157">AVERAGE(HM43:HY43)</f>
        <v>0.49698573886957192</v>
      </c>
      <c r="IA43" s="236"/>
      <c r="IB43" s="236"/>
      <c r="IC43" s="236"/>
      <c r="ID43" s="236"/>
      <c r="IE43" s="236"/>
      <c r="IF43" s="236"/>
      <c r="IG43" s="236"/>
      <c r="IH43" s="236"/>
      <c r="II43" s="236"/>
      <c r="IJ43" s="236"/>
      <c r="IK43" s="236"/>
      <c r="IL43" s="236"/>
      <c r="IM43" s="236"/>
      <c r="IN43" s="236"/>
      <c r="IO43" s="236"/>
      <c r="IP43" s="236"/>
      <c r="IQ43" s="236"/>
      <c r="IR43" s="236"/>
      <c r="IS43" s="236"/>
      <c r="IT43" s="236"/>
      <c r="IU43" s="236"/>
      <c r="IV43" s="236"/>
      <c r="IW43" s="236"/>
      <c r="IX43" s="236"/>
      <c r="IY43" s="236"/>
      <c r="IZ43" s="236"/>
      <c r="JA43" s="236"/>
      <c r="JB43" s="236"/>
      <c r="JC43" s="236"/>
      <c r="JD43" s="236"/>
      <c r="JE43" s="236"/>
      <c r="JF43" s="236"/>
      <c r="JG43" s="236"/>
      <c r="JH43" s="236"/>
      <c r="JI43" s="236"/>
      <c r="JJ43" s="236"/>
      <c r="JK43" s="236"/>
      <c r="JL43" s="236"/>
      <c r="JM43" s="236"/>
      <c r="JN43" s="236"/>
      <c r="JO43" s="236"/>
      <c r="JR43" s="236"/>
      <c r="JS43" s="236"/>
      <c r="JT43" s="236"/>
      <c r="JU43" s="236"/>
      <c r="JV43" s="236"/>
      <c r="JW43" s="236"/>
      <c r="JX43" s="236"/>
      <c r="JY43" s="236"/>
      <c r="JZ43" s="236"/>
      <c r="KA43" s="236"/>
      <c r="KB43" s="236"/>
      <c r="KC43" s="236"/>
      <c r="KD43" s="236"/>
      <c r="KE43" s="236"/>
      <c r="KF43" s="236"/>
      <c r="KG43" s="236"/>
      <c r="KH43" s="236"/>
      <c r="KI43" s="236"/>
      <c r="KJ43" s="236"/>
      <c r="KK43" s="236"/>
      <c r="KL43" s="236"/>
      <c r="KM43" s="236"/>
      <c r="KN43" s="236"/>
      <c r="KO43" s="236"/>
      <c r="KP43" s="236"/>
      <c r="KQ43" s="236"/>
      <c r="KR43" s="236"/>
      <c r="KS43" s="236"/>
      <c r="KT43" s="236"/>
      <c r="KU43" s="236"/>
      <c r="KV43" s="236"/>
      <c r="KW43" s="236"/>
      <c r="KX43" s="236"/>
      <c r="KY43" s="236"/>
      <c r="KZ43" s="236"/>
      <c r="LA43" s="236"/>
      <c r="LB43" s="236"/>
      <c r="LC43" s="236"/>
      <c r="LD43" s="236"/>
      <c r="LE43" s="236"/>
      <c r="LF43" s="236"/>
      <c r="LG43" s="236"/>
      <c r="LH43" s="236"/>
      <c r="LI43" s="236"/>
      <c r="LJ43" s="236"/>
      <c r="LK43" s="236"/>
      <c r="LL43" s="236"/>
      <c r="LM43" s="236"/>
      <c r="LN43" s="236"/>
      <c r="LO43" s="236"/>
      <c r="LP43" s="236"/>
      <c r="LQ43" s="236"/>
      <c r="LR43" s="236"/>
      <c r="LS43" s="236"/>
      <c r="LT43" s="236"/>
      <c r="LU43" s="236"/>
      <c r="LV43" s="236"/>
      <c r="LW43" s="236"/>
      <c r="LX43" s="236"/>
      <c r="LY43" s="236"/>
      <c r="LZ43" s="236"/>
      <c r="MA43" s="236"/>
      <c r="MB43" s="236"/>
      <c r="MC43" s="236"/>
      <c r="MD43" s="236"/>
      <c r="ME43" s="236"/>
      <c r="MF43" s="73" t="s">
        <v>278</v>
      </c>
      <c r="MG43" s="168">
        <f t="shared" ref="MG43:MG64" si="158">MG6+0.2</f>
        <v>2.3941740268158518</v>
      </c>
      <c r="MH43" s="168">
        <f t="shared" ref="MH43:MU43" si="159">MH6+0.2</f>
        <v>2.0487269782805981</v>
      </c>
      <c r="MI43" s="168">
        <f t="shared" si="159"/>
        <v>2.1452872486354573</v>
      </c>
      <c r="MJ43" s="168">
        <f t="shared" si="159"/>
        <v>2.4101966979237504</v>
      </c>
      <c r="MK43" s="168">
        <f t="shared" si="159"/>
        <v>2.34463198565909</v>
      </c>
      <c r="ML43" s="168">
        <f t="shared" si="159"/>
        <v>2.5119145823128353</v>
      </c>
      <c r="MM43" s="168">
        <f t="shared" si="159"/>
        <v>2.5600339108063328</v>
      </c>
      <c r="MN43" s="168">
        <f t="shared" si="159"/>
        <v>2.6472083701783538</v>
      </c>
      <c r="MO43" s="168">
        <f t="shared" si="159"/>
        <v>2.7125853015659667</v>
      </c>
      <c r="MP43" s="168">
        <f t="shared" si="159"/>
        <v>2.8517375283843585</v>
      </c>
      <c r="MQ43" s="168">
        <f t="shared" si="159"/>
        <v>2.7277381870363437</v>
      </c>
      <c r="MR43" s="168">
        <f t="shared" si="159"/>
        <v>2.7578491457199328</v>
      </c>
      <c r="MS43" s="168">
        <f t="shared" si="159"/>
        <v>2.8432058001804896</v>
      </c>
      <c r="MT43" s="168">
        <f t="shared" si="159"/>
        <v>2.9802715654105052</v>
      </c>
      <c r="MU43" s="168">
        <f t="shared" si="159"/>
        <v>3.1018039513877329</v>
      </c>
      <c r="MV43" s="11"/>
      <c r="MW43" s="168">
        <f t="shared" ref="MW43" si="160">MW6+0.2</f>
        <v>2.9750937723262423</v>
      </c>
      <c r="MX43" s="11"/>
      <c r="MY43" s="168">
        <f t="shared" ref="MY43" si="161">MY6+0.2</f>
        <v>2.920782615674665</v>
      </c>
      <c r="MZ43" s="168">
        <f t="shared" si="155"/>
        <v>2.6611126365539346</v>
      </c>
      <c r="NA43" s="236"/>
      <c r="NB43" s="236"/>
      <c r="NC43" s="236"/>
      <c r="ND43" s="236"/>
      <c r="NE43" s="236"/>
      <c r="NF43" s="236"/>
      <c r="NG43" s="236"/>
      <c r="NH43" s="236"/>
      <c r="NI43" s="236"/>
      <c r="NJ43" s="236"/>
      <c r="NK43" s="236"/>
      <c r="NL43" s="236"/>
      <c r="NM43" s="236"/>
      <c r="NN43" s="236"/>
      <c r="NO43" s="236"/>
      <c r="NP43" s="236"/>
      <c r="NQ43" s="236"/>
      <c r="NR43" s="236"/>
      <c r="NS43" s="236"/>
      <c r="NT43" s="236"/>
      <c r="NU43" s="236"/>
      <c r="NV43" s="236"/>
      <c r="NW43" s="236"/>
      <c r="NX43" s="236"/>
      <c r="NY43" s="236"/>
      <c r="NZ43" s="236"/>
      <c r="OA43" s="236"/>
      <c r="OB43" s="236"/>
      <c r="OC43" s="236"/>
      <c r="OD43" s="236"/>
      <c r="OE43" s="236"/>
      <c r="OF43" s="236"/>
      <c r="OG43" s="236"/>
      <c r="OH43" s="236"/>
      <c r="OI43" s="236"/>
      <c r="OJ43" s="236"/>
      <c r="OK43" s="236"/>
      <c r="OL43" s="236"/>
      <c r="OM43" s="236"/>
      <c r="ON43" s="236"/>
      <c r="OO43" s="236"/>
      <c r="OP43" s="168"/>
      <c r="OQ43" s="168">
        <f>OQ6-'Bloom Cleaner Data'!FP6</f>
        <v>-4.4233333333334457E-3</v>
      </c>
      <c r="OR43" s="168">
        <f>OR6-'Bloom Cleaner Data'!FQ6</f>
        <v>-4.649021695727118E-3</v>
      </c>
      <c r="OS43" s="168">
        <f>OS6-'Bloom Cleaner Data'!FR6</f>
        <v>-5.7817750230775289E-3</v>
      </c>
      <c r="OT43" s="168"/>
      <c r="OU43" s="168">
        <f>OU6-'Bloom Cleaner Data'!FT6</f>
        <v>-5.4357642725597621E-3</v>
      </c>
      <c r="OV43" s="168">
        <f>OV6-'Bloom Cleaner Data'!FU6</f>
        <v>-1.5771727609962483E-2</v>
      </c>
      <c r="OW43" s="168">
        <f>OW6-'Bloom Cleaner Data'!FV6</f>
        <v>-1.2016872964169423E-2</v>
      </c>
      <c r="OX43" s="168"/>
      <c r="OY43" s="168"/>
      <c r="OZ43" s="168"/>
      <c r="PA43" s="168"/>
      <c r="PB43" s="168"/>
      <c r="PC43" s="168"/>
      <c r="PD43" s="168"/>
    </row>
    <row r="44" spans="1:450">
      <c r="B44" s="3126" t="s">
        <v>37</v>
      </c>
      <c r="C44" s="1180"/>
      <c r="G44" s="461"/>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146">
        <f>BP7/SUM(BP$7:BP$9)</f>
        <v>0.56257409853102769</v>
      </c>
      <c r="BQ44" s="146">
        <f t="shared" ref="BQ44:CD44" si="162">BQ7/SUM(BQ$7:BQ$9)</f>
        <v>0.58207624947965053</v>
      </c>
      <c r="BR44" s="146">
        <f t="shared" si="162"/>
        <v>0.58557828030120862</v>
      </c>
      <c r="BS44" s="146">
        <f t="shared" si="162"/>
        <v>0.58015248429535882</v>
      </c>
      <c r="BT44" s="146">
        <f t="shared" si="162"/>
        <v>0.5255661218496992</v>
      </c>
      <c r="BU44" s="146">
        <f t="shared" si="162"/>
        <v>0.52303789005802892</v>
      </c>
      <c r="BV44" s="146">
        <f t="shared" si="162"/>
        <v>0.52130990773821462</v>
      </c>
      <c r="BW44" s="146">
        <f t="shared" si="162"/>
        <v>0.50869942070999596</v>
      </c>
      <c r="BX44" s="146">
        <f t="shared" si="162"/>
        <v>0.51946401549184917</v>
      </c>
      <c r="BY44" s="146">
        <f t="shared" si="162"/>
        <v>0.53084005357733699</v>
      </c>
      <c r="BZ44" s="146">
        <f t="shared" si="162"/>
        <v>0.52500258357958451</v>
      </c>
      <c r="CA44" s="146">
        <f t="shared" si="162"/>
        <v>0.52576443897509173</v>
      </c>
      <c r="CB44" s="146">
        <f t="shared" si="162"/>
        <v>0.50920502149882929</v>
      </c>
      <c r="CC44" s="146">
        <f t="shared" si="162"/>
        <v>0.48376204714621868</v>
      </c>
      <c r="CD44" s="146">
        <f t="shared" si="162"/>
        <v>0.46535348984986485</v>
      </c>
      <c r="CE44" s="236"/>
      <c r="CF44" s="236"/>
      <c r="CG44" s="236"/>
      <c r="CH44" s="236"/>
      <c r="CI44" s="236"/>
      <c r="CJ44" s="236"/>
      <c r="CK44" s="236"/>
      <c r="CL44" s="236"/>
      <c r="CM44" s="236"/>
      <c r="CN44" s="236"/>
      <c r="CO44" s="236"/>
      <c r="CP44" s="236"/>
      <c r="CQ44" s="236"/>
      <c r="CR44" s="236"/>
      <c r="CS44" s="236"/>
      <c r="CT44" s="236"/>
      <c r="CU44" s="236"/>
      <c r="CV44" s="236"/>
      <c r="CW44" s="236"/>
      <c r="CX44" s="236"/>
      <c r="CY44" s="236"/>
      <c r="CZ44" s="236"/>
      <c r="DA44" s="236"/>
      <c r="DB44" s="236"/>
      <c r="DC44" s="236"/>
      <c r="DD44" s="236"/>
      <c r="DE44" s="236"/>
      <c r="DF44" s="236"/>
      <c r="DG44" s="236"/>
      <c r="DH44" s="236"/>
      <c r="DI44" s="236"/>
      <c r="DJ44" s="236"/>
      <c r="DK44" s="236"/>
      <c r="DL44" s="236"/>
      <c r="DM44" s="236"/>
      <c r="DN44" s="236"/>
      <c r="DO44" s="236"/>
      <c r="DP44" s="236"/>
      <c r="DQ44" s="236"/>
      <c r="DR44" s="236"/>
      <c r="DS44" s="236"/>
      <c r="DT44" s="236"/>
      <c r="DU44" s="236"/>
      <c r="DV44" s="236"/>
      <c r="DW44" s="236"/>
      <c r="DX44" s="236"/>
      <c r="DY44" s="236"/>
      <c r="DZ44" s="236"/>
      <c r="EA44" s="236"/>
      <c r="EB44" s="236"/>
      <c r="EC44" s="236"/>
      <c r="ED44" s="236"/>
      <c r="EE44" s="236"/>
      <c r="EF44" s="236"/>
      <c r="EG44" s="236"/>
      <c r="EH44" s="236"/>
      <c r="EI44" s="236"/>
      <c r="EJ44" s="236"/>
      <c r="EK44" s="236"/>
      <c r="EL44" s="1090"/>
      <c r="EM44" s="1089"/>
      <c r="EN44" s="1089"/>
      <c r="EO44" s="1089"/>
      <c r="EP44" s="1089"/>
      <c r="EQ44" s="1089"/>
      <c r="ER44" s="1089"/>
      <c r="ES44" s="1089"/>
      <c r="ET44" s="1089"/>
      <c r="EU44" s="1089"/>
      <c r="EV44" s="1089"/>
      <c r="EW44" s="1089"/>
      <c r="EX44" s="1089"/>
      <c r="EY44" s="1089"/>
      <c r="EZ44" s="1089"/>
      <c r="FA44" s="1089"/>
      <c r="FB44" s="236"/>
      <c r="FC44" s="236"/>
      <c r="FD44" s="1089"/>
      <c r="FE44" s="1089"/>
      <c r="FF44" s="1089"/>
      <c r="FH44" s="1089"/>
      <c r="FI44" s="1089"/>
      <c r="FJ44" s="1089"/>
      <c r="FK44" s="1089"/>
      <c r="FL44" s="1089"/>
      <c r="FM44" s="1089"/>
      <c r="FN44" s="1089"/>
      <c r="FO44" s="1089"/>
      <c r="FP44" s="1089"/>
      <c r="FQ44" s="1089"/>
      <c r="FR44" s="1089"/>
      <c r="FS44" s="1089"/>
      <c r="FT44" s="1089"/>
      <c r="FU44" s="1089"/>
      <c r="FV44" s="1089"/>
      <c r="FW44" s="1089"/>
      <c r="FX44" s="1089"/>
      <c r="FY44" s="1089"/>
      <c r="FZ44" s="1089"/>
      <c r="GA44" s="236"/>
      <c r="GB44" s="236"/>
      <c r="GC44" s="236"/>
      <c r="GD44" s="236"/>
      <c r="GE44" s="236"/>
      <c r="GF44" s="236"/>
      <c r="GG44" s="236"/>
      <c r="GH44" s="236"/>
      <c r="GI44" s="236"/>
      <c r="GJ44" s="236"/>
      <c r="GK44" s="236"/>
      <c r="GL44" s="236"/>
      <c r="GM44" s="236"/>
      <c r="GN44" s="236"/>
      <c r="GO44" s="236"/>
      <c r="GP44" s="236"/>
      <c r="GQ44" s="236"/>
      <c r="GR44" s="236"/>
      <c r="GS44" s="236"/>
      <c r="GT44" s="236"/>
      <c r="GU44" s="236"/>
      <c r="GV44" s="236"/>
      <c r="GW44" s="236"/>
      <c r="GX44" s="236"/>
      <c r="GY44" s="236"/>
      <c r="GZ44" s="236"/>
      <c r="HA44" s="236"/>
      <c r="HB44" s="236"/>
      <c r="HC44" s="236"/>
      <c r="HD44" s="236"/>
      <c r="HE44" s="236"/>
      <c r="HF44" s="236"/>
      <c r="HG44" s="236"/>
      <c r="HH44" s="236"/>
      <c r="HI44" s="236"/>
      <c r="HJ44" s="236"/>
      <c r="HK44" s="2861">
        <f t="shared" si="156"/>
        <v>0.20015860822181847</v>
      </c>
      <c r="HL44" s="2861">
        <f t="shared" si="153"/>
        <v>0.15637595741809657</v>
      </c>
      <c r="HM44" s="2861">
        <f t="shared" si="153"/>
        <v>0.19166470879994948</v>
      </c>
      <c r="HN44" s="2861">
        <f t="shared" si="153"/>
        <v>0.15708151620068025</v>
      </c>
      <c r="HO44" s="2861">
        <f t="shared" si="153"/>
        <v>0.18534933727772515</v>
      </c>
      <c r="HP44" s="2861">
        <f t="shared" si="153"/>
        <v>0.15107889961592022</v>
      </c>
      <c r="HQ44" s="2861">
        <f t="shared" si="153"/>
        <v>0.19322451129092647</v>
      </c>
      <c r="HR44" s="2861">
        <f t="shared" si="153"/>
        <v>0.18375563588209659</v>
      </c>
      <c r="HS44" s="2861">
        <f t="shared" si="153"/>
        <v>0.19729974692710131</v>
      </c>
      <c r="HT44" s="2861">
        <f t="shared" si="153"/>
        <v>0.17027869672691731</v>
      </c>
      <c r="HU44" s="2861">
        <f t="shared" si="153"/>
        <v>0.21812604513918368</v>
      </c>
      <c r="HV44" s="2861">
        <f t="shared" si="153"/>
        <v>0.18869327657203672</v>
      </c>
      <c r="HW44" s="2861">
        <f t="shared" si="153"/>
        <v>0.21687899743461636</v>
      </c>
      <c r="HX44" s="2861">
        <f t="shared" si="153"/>
        <v>0.2203272196092004</v>
      </c>
      <c r="HY44" s="2861">
        <f t="shared" si="153"/>
        <v>0.28756363720088318</v>
      </c>
      <c r="HZ44" s="2861">
        <f t="shared" si="157"/>
        <v>0.19702478682132593</v>
      </c>
      <c r="IA44" s="236"/>
      <c r="IB44" s="236"/>
      <c r="IC44" s="236"/>
      <c r="ID44" s="236"/>
      <c r="IE44" s="236"/>
      <c r="IF44" s="236"/>
      <c r="IG44" s="236"/>
      <c r="IH44" s="236"/>
      <c r="II44" s="236"/>
      <c r="IJ44" s="236"/>
      <c r="IK44" s="236"/>
      <c r="IL44" s="236"/>
      <c r="IM44" s="236"/>
      <c r="IN44" s="236"/>
      <c r="IO44" s="236"/>
      <c r="IP44" s="236"/>
      <c r="IQ44" s="236"/>
      <c r="IR44" s="236"/>
      <c r="IS44" s="236"/>
      <c r="IT44" s="236"/>
      <c r="IU44" s="236"/>
      <c r="IV44" s="236"/>
      <c r="IW44" s="236"/>
      <c r="IX44" s="236"/>
      <c r="IY44" s="236"/>
      <c r="IZ44" s="236"/>
      <c r="JA44" s="236"/>
      <c r="JB44" s="236"/>
      <c r="JC44" s="236"/>
      <c r="JD44" s="236"/>
      <c r="JE44" s="236"/>
      <c r="JF44" s="236"/>
      <c r="JG44" s="236"/>
      <c r="JH44" s="236"/>
      <c r="JI44" s="236"/>
      <c r="JJ44" s="236"/>
      <c r="JK44" s="236"/>
      <c r="JL44" s="236"/>
      <c r="JM44" s="236"/>
      <c r="JN44" s="236"/>
      <c r="JO44" s="236"/>
      <c r="JR44" s="236"/>
      <c r="JS44" s="236"/>
      <c r="JT44" s="236"/>
      <c r="JU44" s="236"/>
      <c r="JV44" s="236"/>
      <c r="JW44" s="236"/>
      <c r="JX44" s="236"/>
      <c r="JY44" s="236"/>
      <c r="JZ44" s="236"/>
      <c r="KA44" s="236"/>
      <c r="KB44" s="236"/>
      <c r="KC44" s="236"/>
      <c r="KD44" s="236"/>
      <c r="KE44" s="236"/>
      <c r="KF44" s="236"/>
      <c r="KG44" s="236"/>
      <c r="KH44" s="236"/>
      <c r="KI44" s="236"/>
      <c r="KJ44" s="236"/>
      <c r="KK44" s="236"/>
      <c r="KL44" s="236"/>
      <c r="KM44" s="236"/>
      <c r="KN44" s="236"/>
      <c r="KO44" s="236"/>
      <c r="KP44" s="236"/>
      <c r="KQ44" s="236"/>
      <c r="KR44" s="236"/>
      <c r="KS44" s="236"/>
      <c r="KT44" s="236"/>
      <c r="KU44" s="236"/>
      <c r="KV44" s="236"/>
      <c r="KW44" s="236"/>
      <c r="KX44" s="236"/>
      <c r="KY44" s="236"/>
      <c r="KZ44" s="236"/>
      <c r="LA44" s="236"/>
      <c r="LB44" s="236"/>
      <c r="LC44" s="236"/>
      <c r="LD44" s="236"/>
      <c r="LE44" s="236"/>
      <c r="LF44" s="236"/>
      <c r="LG44" s="236"/>
      <c r="LH44" s="236"/>
      <c r="LI44" s="236"/>
      <c r="LJ44" s="236"/>
      <c r="LK44" s="236"/>
      <c r="LL44" s="236"/>
      <c r="LM44" s="236"/>
      <c r="LN44" s="236"/>
      <c r="LO44" s="236"/>
      <c r="LP44" s="236"/>
      <c r="LQ44" s="236"/>
      <c r="LR44" s="236"/>
      <c r="LS44" s="236"/>
      <c r="LT44" s="236"/>
      <c r="LU44" s="236"/>
      <c r="LV44" s="236"/>
      <c r="LW44" s="236"/>
      <c r="LX44" s="236"/>
      <c r="LY44" s="236"/>
      <c r="LZ44" s="236"/>
      <c r="MA44" s="236"/>
      <c r="MB44" s="236"/>
      <c r="MC44" s="236"/>
      <c r="MD44" s="236"/>
      <c r="ME44" s="236"/>
      <c r="MF44" s="726" t="s">
        <v>37</v>
      </c>
      <c r="MG44" s="742">
        <f t="shared" si="158"/>
        <v>1.1966321865997969</v>
      </c>
      <c r="MH44" s="742">
        <f t="shared" ref="MH44:MU44" si="163">MH7+0.2</f>
        <v>1.0328608819273422</v>
      </c>
      <c r="MI44" s="742">
        <f t="shared" si="163"/>
        <v>1.0587441326682507</v>
      </c>
      <c r="MJ44" s="742">
        <f t="shared" si="163"/>
        <v>1.0554117761615498</v>
      </c>
      <c r="MK44" s="742">
        <f t="shared" si="163"/>
        <v>1.1840030117950784</v>
      </c>
      <c r="ML44" s="742">
        <f t="shared" si="163"/>
        <v>1.4361891838484342</v>
      </c>
      <c r="MM44" s="742">
        <f t="shared" si="163"/>
        <v>1.431272579951725</v>
      </c>
      <c r="MN44" s="742">
        <f t="shared" si="163"/>
        <v>1.4701878517367672</v>
      </c>
      <c r="MO44" s="742">
        <f t="shared" si="163"/>
        <v>1.3333518500487402</v>
      </c>
      <c r="MP44" s="742">
        <f t="shared" si="163"/>
        <v>1.326254337183826</v>
      </c>
      <c r="MQ44" s="742">
        <f t="shared" si="163"/>
        <v>1.4743407279408194</v>
      </c>
      <c r="MR44" s="742">
        <f t="shared" si="163"/>
        <v>1.4038231881979957</v>
      </c>
      <c r="MS44" s="742">
        <f t="shared" si="163"/>
        <v>1.3782860861592188</v>
      </c>
      <c r="MT44" s="742">
        <f t="shared" si="163"/>
        <v>1.4300818538032165</v>
      </c>
      <c r="MU44" s="742">
        <f t="shared" si="163"/>
        <v>1.6330538995779535</v>
      </c>
      <c r="MV44" s="725"/>
      <c r="MW44" s="742">
        <f t="shared" ref="MW44" si="164">MW7+0.2</f>
        <v>1.4804739465134629</v>
      </c>
      <c r="MX44" s="725"/>
      <c r="MY44" s="742">
        <f t="shared" ref="MY44" si="165">MY7+0.2</f>
        <v>1.4613112569345961</v>
      </c>
      <c r="MZ44" s="742">
        <f t="shared" si="155"/>
        <v>1.3550000368518134</v>
      </c>
      <c r="NA44" s="236"/>
      <c r="NB44" s="236"/>
      <c r="NC44" s="236"/>
      <c r="ND44" s="236"/>
      <c r="NE44" s="236"/>
      <c r="NF44" s="236"/>
      <c r="NG44" s="236"/>
      <c r="NH44" s="236"/>
      <c r="NI44" s="236"/>
      <c r="NJ44" s="236"/>
      <c r="NK44" s="236"/>
      <c r="NL44" s="236"/>
      <c r="NM44" s="236"/>
      <c r="NN44" s="236"/>
      <c r="NO44" s="236"/>
      <c r="NP44" s="236"/>
      <c r="NQ44" s="236"/>
      <c r="NR44" s="236"/>
      <c r="NS44" s="236"/>
      <c r="NT44" s="236"/>
      <c r="NU44" s="236"/>
      <c r="NV44" s="236"/>
      <c r="NW44" s="236"/>
      <c r="NX44" s="236"/>
      <c r="NY44" s="236"/>
      <c r="NZ44" s="236"/>
      <c r="OA44" s="236"/>
      <c r="OB44" s="236"/>
      <c r="OC44" s="236"/>
      <c r="OD44" s="236"/>
      <c r="OE44" s="236"/>
      <c r="OF44" s="236"/>
      <c r="OG44" s="236"/>
      <c r="OH44" s="236"/>
      <c r="OI44" s="236"/>
      <c r="OJ44" s="236"/>
      <c r="OK44" s="236"/>
      <c r="OL44" s="236"/>
      <c r="OM44" s="236"/>
      <c r="ON44" s="236"/>
      <c r="OO44" s="236"/>
      <c r="OP44" s="742">
        <f>OP7-'Bloom Cleaner Data'!FO7</f>
        <v>3.7584587955625803E-2</v>
      </c>
      <c r="OQ44" s="742">
        <f>OQ7-'Bloom Cleaner Data'!FP7</f>
        <v>-0.15411916838690631</v>
      </c>
      <c r="OR44" s="742">
        <f>OR7-'Bloom Cleaner Data'!FQ7</f>
        <v>-0.17940503267973806</v>
      </c>
      <c r="OS44" s="742">
        <f>OS7-'Bloom Cleaner Data'!FR7</f>
        <v>-0.17754126109580692</v>
      </c>
      <c r="OT44" s="742">
        <f>OT7-'Bloom Cleaner Data'!FS7</f>
        <v>-0.14560849790544594</v>
      </c>
      <c r="OU44" s="742">
        <f>OU7-'Bloom Cleaner Data'!FT7</f>
        <v>-0.13943821368004494</v>
      </c>
      <c r="OV44" s="742">
        <f>OV7-'Bloom Cleaner Data'!FU7</f>
        <v>-0.1736789855072467</v>
      </c>
      <c r="OW44" s="742">
        <f>OW7-'Bloom Cleaner Data'!FV7</f>
        <v>-0.151506312292359</v>
      </c>
      <c r="OX44" s="742"/>
      <c r="OY44" s="742"/>
      <c r="OZ44" s="742"/>
      <c r="PA44" s="742"/>
      <c r="PB44" s="742">
        <f>PB7-'Bloom Cleaner Data'!GA7</f>
        <v>-0.15402733188720186</v>
      </c>
      <c r="PC44" s="742"/>
      <c r="PD44" s="742"/>
    </row>
    <row r="45" spans="1:450">
      <c r="B45" s="3126" t="s">
        <v>36</v>
      </c>
      <c r="C45" s="1180"/>
      <c r="G45" s="461"/>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146">
        <f t="shared" ref="BP45:CD46" si="166">BP8/SUM(BP$7:BP$9)</f>
        <v>0.19177462786348237</v>
      </c>
      <c r="BQ45" s="146">
        <f t="shared" si="166"/>
        <v>0.17638123439855663</v>
      </c>
      <c r="BR45" s="146">
        <f t="shared" si="166"/>
        <v>0.17489054426150372</v>
      </c>
      <c r="BS45" s="146">
        <f t="shared" si="166"/>
        <v>0.17037585705042876</v>
      </c>
      <c r="BT45" s="146">
        <f t="shared" si="166"/>
        <v>0.18513277451013904</v>
      </c>
      <c r="BU45" s="146">
        <f t="shared" si="166"/>
        <v>0.18294471403634302</v>
      </c>
      <c r="BV45" s="146">
        <f t="shared" si="166"/>
        <v>0.18940997317121075</v>
      </c>
      <c r="BW45" s="146">
        <f t="shared" si="166"/>
        <v>0.1827431662960429</v>
      </c>
      <c r="BX45" s="146">
        <f t="shared" si="166"/>
        <v>0.16344783470315735</v>
      </c>
      <c r="BY45" s="146">
        <f t="shared" si="166"/>
        <v>0.14435396574581333</v>
      </c>
      <c r="BZ45" s="146">
        <f t="shared" si="166"/>
        <v>0.12545842741733579</v>
      </c>
      <c r="CA45" s="146">
        <f t="shared" si="166"/>
        <v>0.11066807556059816</v>
      </c>
      <c r="CB45" s="146">
        <f t="shared" si="166"/>
        <v>0.10420524359893271</v>
      </c>
      <c r="CC45" s="146">
        <f t="shared" si="166"/>
        <v>0.1025350674976952</v>
      </c>
      <c r="CD45" s="146">
        <f t="shared" si="166"/>
        <v>9.8261157982500735E-2</v>
      </c>
      <c r="CE45" s="236"/>
      <c r="CF45" s="236"/>
      <c r="CG45" s="236"/>
      <c r="CH45" s="236"/>
      <c r="CI45" s="236"/>
      <c r="CJ45" s="236"/>
      <c r="CK45" s="236"/>
      <c r="CL45" s="236"/>
      <c r="CM45" s="236"/>
      <c r="CN45" s="236"/>
      <c r="CO45" s="236"/>
      <c r="CP45" s="236"/>
      <c r="CQ45" s="236"/>
      <c r="CR45" s="236"/>
      <c r="CS45" s="236"/>
      <c r="CT45" s="236"/>
      <c r="CU45" s="236"/>
      <c r="CV45" s="236"/>
      <c r="CW45" s="236"/>
      <c r="CX45" s="236"/>
      <c r="CY45" s="236"/>
      <c r="CZ45" s="236"/>
      <c r="DA45" s="236"/>
      <c r="DB45" s="236"/>
      <c r="DC45" s="236"/>
      <c r="DD45" s="236"/>
      <c r="DE45" s="236"/>
      <c r="DF45" s="236"/>
      <c r="DG45" s="236"/>
      <c r="DH45" s="236"/>
      <c r="DI45" s="236"/>
      <c r="DJ45" s="236"/>
      <c r="DK45" s="236"/>
      <c r="DL45" s="236"/>
      <c r="DM45" s="236"/>
      <c r="DN45" s="236"/>
      <c r="DO45" s="236"/>
      <c r="DP45" s="236"/>
      <c r="DQ45" s="236"/>
      <c r="DR45" s="236"/>
      <c r="DS45" s="236"/>
      <c r="DT45" s="236"/>
      <c r="DU45" s="236"/>
      <c r="DV45" s="236"/>
      <c r="DW45" s="236"/>
      <c r="DX45" s="236"/>
      <c r="DY45" s="236"/>
      <c r="DZ45" s="236"/>
      <c r="EA45" s="236"/>
      <c r="EB45" s="236"/>
      <c r="EC45" s="236"/>
      <c r="ED45" s="236"/>
      <c r="EE45" s="236"/>
      <c r="EF45" s="236"/>
      <c r="EG45" s="236"/>
      <c r="EH45" s="236"/>
      <c r="EI45" s="236"/>
      <c r="EJ45" s="236"/>
      <c r="EK45" s="236"/>
      <c r="EL45" s="1090"/>
      <c r="EM45" s="1089"/>
      <c r="EN45" s="1089"/>
      <c r="EO45" s="1089"/>
      <c r="EP45" s="1089"/>
      <c r="EQ45" s="1089"/>
      <c r="ER45" s="1089"/>
      <c r="ES45" s="1089"/>
      <c r="ET45" s="1089"/>
      <c r="EU45" s="1089"/>
      <c r="EV45" s="1089"/>
      <c r="EW45" s="1089"/>
      <c r="EX45" s="1089"/>
      <c r="EY45" s="1089"/>
      <c r="EZ45" s="1089"/>
      <c r="FA45" s="1089"/>
      <c r="FB45" s="236"/>
      <c r="FC45" s="236"/>
      <c r="FD45" s="1089"/>
      <c r="FE45" s="1089"/>
      <c r="FF45" s="1089"/>
      <c r="FG45" s="1089"/>
      <c r="FH45" s="1089"/>
      <c r="FI45" s="1089"/>
      <c r="FJ45" s="1089"/>
      <c r="FK45" s="1089"/>
      <c r="FL45" s="1089"/>
      <c r="FM45" s="1089"/>
      <c r="FN45" s="1089"/>
      <c r="FO45" s="1089"/>
      <c r="FP45" s="1089"/>
      <c r="FQ45" s="1089"/>
      <c r="FR45" s="1089"/>
      <c r="FS45" s="1089"/>
      <c r="FT45" s="1089"/>
      <c r="FU45" s="1089"/>
      <c r="FV45" s="1089"/>
      <c r="FW45" s="1089"/>
      <c r="FX45" s="1089"/>
      <c r="FY45" s="1089"/>
      <c r="FZ45" s="1089"/>
      <c r="GA45" s="236"/>
      <c r="GB45" s="236"/>
      <c r="GC45" s="236"/>
      <c r="GD45" s="236"/>
      <c r="GE45" s="236"/>
      <c r="GF45" s="236"/>
      <c r="GG45" s="236"/>
      <c r="GH45" s="236"/>
      <c r="GI45" s="236"/>
      <c r="GJ45" s="236"/>
      <c r="GK45" s="236"/>
      <c r="GL45" s="236"/>
      <c r="GM45" s="236"/>
      <c r="GN45" s="236"/>
      <c r="GO45" s="236"/>
      <c r="GP45" s="236"/>
      <c r="GQ45" s="236"/>
      <c r="GR45" s="236"/>
      <c r="GS45" s="236"/>
      <c r="GT45" s="236"/>
      <c r="GU45" s="236"/>
      <c r="GV45" s="236"/>
      <c r="GW45" s="236"/>
      <c r="GX45" s="236"/>
      <c r="GY45" s="236"/>
      <c r="GZ45" s="236"/>
      <c r="HA45" s="236"/>
      <c r="HB45" s="236"/>
      <c r="HC45" s="236"/>
      <c r="HD45" s="236"/>
      <c r="HE45" s="236"/>
      <c r="HF45" s="236"/>
      <c r="HG45" s="236"/>
      <c r="HH45" s="236"/>
      <c r="HI45" s="236"/>
      <c r="HJ45" s="236"/>
      <c r="HK45" s="2861">
        <f t="shared" si="156"/>
        <v>0.17782338342712184</v>
      </c>
      <c r="HL45" s="2861">
        <f t="shared" si="153"/>
        <v>0.19133327286441576</v>
      </c>
      <c r="HM45" s="2861">
        <f t="shared" si="153"/>
        <v>0.20566035155923143</v>
      </c>
      <c r="HN45" s="2861">
        <f t="shared" si="153"/>
        <v>0.19529400485537676</v>
      </c>
      <c r="HO45" s="2861">
        <f t="shared" si="153"/>
        <v>0.1857357403879977</v>
      </c>
      <c r="HP45" s="2861">
        <f t="shared" si="153"/>
        <v>0.18251603426575017</v>
      </c>
      <c r="HQ45" s="2861">
        <f t="shared" si="153"/>
        <v>0.17951141684610042</v>
      </c>
      <c r="HR45" s="2861">
        <f t="shared" si="153"/>
        <v>0.19461391334390823</v>
      </c>
      <c r="HS45" s="2861">
        <f t="shared" si="153"/>
        <v>0.21334564271236822</v>
      </c>
      <c r="HT45" s="2861">
        <f t="shared" si="153"/>
        <v>0.25835323631844559</v>
      </c>
      <c r="HU45" s="2861">
        <f t="shared" si="153"/>
        <v>0.31687818834722925</v>
      </c>
      <c r="HV45" s="2861">
        <f t="shared" si="153"/>
        <v>0.3468208820258078</v>
      </c>
      <c r="HW45" s="2861">
        <f t="shared" si="153"/>
        <v>0.38444680732634928</v>
      </c>
      <c r="HX45" s="2861">
        <f t="shared" si="153"/>
        <v>0.41909511400886007</v>
      </c>
      <c r="HY45" s="2861">
        <f t="shared" si="153"/>
        <v>0.4561905930983241</v>
      </c>
      <c r="HZ45" s="2861">
        <f t="shared" si="157"/>
        <v>0.27218937885351913</v>
      </c>
      <c r="IA45" s="236"/>
      <c r="IB45" s="236"/>
      <c r="IC45" s="236"/>
      <c r="ID45" s="236"/>
      <c r="IE45" s="236"/>
      <c r="IF45" s="236"/>
      <c r="IG45" s="236"/>
      <c r="IH45" s="236"/>
      <c r="II45" s="236"/>
      <c r="IJ45" s="236"/>
      <c r="IK45" s="236"/>
      <c r="IL45" s="236"/>
      <c r="IM45" s="236"/>
      <c r="IN45" s="236"/>
      <c r="IO45" s="236"/>
      <c r="IP45" s="236"/>
      <c r="IQ45" s="236"/>
      <c r="IR45" s="236"/>
      <c r="IS45" s="236"/>
      <c r="IT45" s="236"/>
      <c r="IU45" s="236"/>
      <c r="IV45" s="236"/>
      <c r="IW45" s="236"/>
      <c r="IX45" s="236"/>
      <c r="IY45" s="236"/>
      <c r="IZ45" s="236"/>
      <c r="JA45" s="236"/>
      <c r="JB45" s="236"/>
      <c r="JC45" s="236"/>
      <c r="JD45" s="236"/>
      <c r="JE45" s="236"/>
      <c r="JF45" s="236"/>
      <c r="JG45" s="236"/>
      <c r="JH45" s="236"/>
      <c r="JI45" s="236"/>
      <c r="JJ45" s="236"/>
      <c r="JK45" s="236"/>
      <c r="JL45" s="236"/>
      <c r="JM45" s="236"/>
      <c r="JN45" s="236"/>
      <c r="JO45" s="236"/>
      <c r="JR45" s="236"/>
      <c r="JS45" s="236"/>
      <c r="JT45" s="236"/>
      <c r="JU45" s="236"/>
      <c r="JV45" s="236"/>
      <c r="JW45" s="236"/>
      <c r="JX45" s="236"/>
      <c r="JY45" s="236"/>
      <c r="JZ45" s="236"/>
      <c r="KA45" s="236"/>
      <c r="KB45" s="236"/>
      <c r="KC45" s="236"/>
      <c r="KD45" s="236"/>
      <c r="KE45" s="236"/>
      <c r="KF45" s="236"/>
      <c r="KG45" s="236"/>
      <c r="KH45" s="236"/>
      <c r="KI45" s="236"/>
      <c r="KJ45" s="236"/>
      <c r="KK45" s="236"/>
      <c r="KL45" s="236"/>
      <c r="KM45" s="236"/>
      <c r="KN45" s="236"/>
      <c r="KO45" s="236"/>
      <c r="KP45" s="236"/>
      <c r="KQ45" s="236"/>
      <c r="KR45" s="236"/>
      <c r="KS45" s="236"/>
      <c r="KT45" s="236"/>
      <c r="KU45" s="236"/>
      <c r="KV45" s="236"/>
      <c r="KW45" s="236"/>
      <c r="KX45" s="236"/>
      <c r="KY45" s="236"/>
      <c r="KZ45" s="236"/>
      <c r="LA45" s="236"/>
      <c r="LB45" s="236"/>
      <c r="LC45" s="236"/>
      <c r="LD45" s="236"/>
      <c r="LE45" s="236"/>
      <c r="LF45" s="236"/>
      <c r="LG45" s="236"/>
      <c r="LH45" s="236"/>
      <c r="LI45" s="236"/>
      <c r="LJ45" s="236"/>
      <c r="LK45" s="236"/>
      <c r="LL45" s="236"/>
      <c r="LM45" s="236"/>
      <c r="LN45" s="236"/>
      <c r="LO45" s="236"/>
      <c r="LP45" s="236"/>
      <c r="LQ45" s="236"/>
      <c r="LR45" s="236"/>
      <c r="LS45" s="236"/>
      <c r="LT45" s="236"/>
      <c r="LU45" s="236"/>
      <c r="LV45" s="236"/>
      <c r="LW45" s="236"/>
      <c r="LX45" s="236"/>
      <c r="LY45" s="236"/>
      <c r="LZ45" s="236"/>
      <c r="MA45" s="236"/>
      <c r="MB45" s="236"/>
      <c r="MC45" s="236"/>
      <c r="MD45" s="236"/>
      <c r="ME45" s="236"/>
      <c r="MF45" s="726" t="s">
        <v>36</v>
      </c>
      <c r="MG45" s="742">
        <f t="shared" si="158"/>
        <v>1.2073688972374654</v>
      </c>
      <c r="MH45" s="742">
        <f t="shared" ref="MH45:MU45" si="167">MH8+0.2</f>
        <v>1.2465248276448195</v>
      </c>
      <c r="MI45" s="742">
        <f t="shared" si="167"/>
        <v>1.2852996616201011</v>
      </c>
      <c r="MJ45" s="742">
        <f t="shared" si="167"/>
        <v>1.3003886396800928</v>
      </c>
      <c r="MK45" s="742">
        <f t="shared" si="167"/>
        <v>1.3136426316730332</v>
      </c>
      <c r="ML45" s="742">
        <f t="shared" si="167"/>
        <v>1.3414825976373252</v>
      </c>
      <c r="MM45" s="742">
        <f t="shared" si="167"/>
        <v>1.3688664009344598</v>
      </c>
      <c r="MN45" s="742">
        <f t="shared" si="167"/>
        <v>1.3521897255895834</v>
      </c>
      <c r="MO45" s="742">
        <f t="shared" si="167"/>
        <v>1.3369242875294411</v>
      </c>
      <c r="MP45" s="742">
        <f t="shared" si="167"/>
        <v>1.4361604953687481</v>
      </c>
      <c r="MQ45" s="742">
        <f t="shared" si="167"/>
        <v>1.544975264772025</v>
      </c>
      <c r="MR45" s="742">
        <f t="shared" si="167"/>
        <v>1.543202041089526</v>
      </c>
      <c r="MS45" s="742">
        <f t="shared" si="167"/>
        <v>1.545718716126997</v>
      </c>
      <c r="MT45" s="742">
        <f t="shared" si="167"/>
        <v>1.715098509561406</v>
      </c>
      <c r="MU45" s="742">
        <f t="shared" si="167"/>
        <v>1.9015264130947394</v>
      </c>
      <c r="MV45" s="725"/>
      <c r="MW45" s="742">
        <f t="shared" ref="MW45" si="168">MW8+0.2</f>
        <v>1.720781212927714</v>
      </c>
      <c r="MX45" s="725"/>
      <c r="MY45" s="742">
        <f t="shared" ref="MY45" si="169">MY8+0.2</f>
        <v>1.6763864199681668</v>
      </c>
      <c r="MZ45" s="742">
        <f t="shared" si="155"/>
        <v>1.4604211834367289</v>
      </c>
      <c r="NA45" s="236"/>
      <c r="NB45" s="236"/>
      <c r="NC45" s="236"/>
      <c r="ND45" s="236"/>
      <c r="NE45" s="236"/>
      <c r="NF45" s="236"/>
      <c r="NG45" s="236"/>
      <c r="NH45" s="236"/>
      <c r="NI45" s="236"/>
      <c r="NJ45" s="236"/>
      <c r="NK45" s="236"/>
      <c r="NL45" s="236"/>
      <c r="NM45" s="236"/>
      <c r="NN45" s="236"/>
      <c r="NO45" s="236"/>
      <c r="NP45" s="236"/>
      <c r="NQ45" s="236"/>
      <c r="NR45" s="236"/>
      <c r="NS45" s="236"/>
      <c r="NT45" s="236"/>
      <c r="NU45" s="236"/>
      <c r="NV45" s="236"/>
      <c r="NW45" s="236"/>
      <c r="NX45" s="236"/>
      <c r="NY45" s="236"/>
      <c r="NZ45" s="236"/>
      <c r="OA45" s="236"/>
      <c r="OB45" s="236"/>
      <c r="OC45" s="236"/>
      <c r="OD45" s="236"/>
      <c r="OE45" s="236"/>
      <c r="OF45" s="236"/>
      <c r="OG45" s="236"/>
      <c r="OH45" s="236"/>
      <c r="OI45" s="236"/>
      <c r="OJ45" s="236"/>
      <c r="OK45" s="236"/>
      <c r="OL45" s="236"/>
      <c r="OM45" s="236"/>
      <c r="ON45" s="236"/>
      <c r="OO45" s="236"/>
      <c r="OP45" s="746">
        <f>OP8-'Bloom Cleaner Data'!FO8</f>
        <v>0.61584997243816719</v>
      </c>
      <c r="OQ45" s="747">
        <f>OQ8-'Bloom Cleaner Data'!FP8</f>
        <v>1.7974701150201069</v>
      </c>
      <c r="OR45" s="746">
        <f>OR8-'Bloom Cleaner Data'!FQ8</f>
        <v>0.82450499999999938</v>
      </c>
      <c r="OS45" s="747">
        <f>OS8-'Bloom Cleaner Data'!FR8</f>
        <v>-0.88701948110562689</v>
      </c>
      <c r="OT45" s="746">
        <f>OT8-'Bloom Cleaner Data'!FS8</f>
        <v>0.4025912864995238</v>
      </c>
      <c r="OU45" s="747">
        <f>OU8-'Bloom Cleaner Data'!FT8</f>
        <v>2.0020003831364441</v>
      </c>
      <c r="OV45" s="746">
        <f>OV8-'Bloom Cleaner Data'!FU8</f>
        <v>0.64813056708160488</v>
      </c>
      <c r="OW45" s="747">
        <f>OW8-'Bloom Cleaner Data'!FV8</f>
        <v>-0.4786758883560811</v>
      </c>
      <c r="OX45" s="746"/>
      <c r="OY45" s="747"/>
      <c r="OZ45" s="746"/>
      <c r="PA45" s="747"/>
      <c r="PB45" s="746">
        <f>PB8-'Bloom Cleaner Data'!GA8</f>
        <v>2.7424056523450702E-5</v>
      </c>
      <c r="PC45" s="747"/>
      <c r="PD45" s="746"/>
    </row>
    <row r="46" spans="1:450">
      <c r="A46" s="11"/>
      <c r="B46" s="3126" t="s">
        <v>38</v>
      </c>
      <c r="C46" s="1180"/>
      <c r="G46" s="461"/>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146">
        <f t="shared" si="166"/>
        <v>0.24565127360548994</v>
      </c>
      <c r="BQ46" s="146">
        <f t="shared" si="166"/>
        <v>0.24154251612179281</v>
      </c>
      <c r="BR46" s="146">
        <f t="shared" si="166"/>
        <v>0.23953117543728758</v>
      </c>
      <c r="BS46" s="146">
        <f t="shared" si="166"/>
        <v>0.24947165865421245</v>
      </c>
      <c r="BT46" s="146">
        <f t="shared" si="166"/>
        <v>0.28930110364016165</v>
      </c>
      <c r="BU46" s="146">
        <f t="shared" si="166"/>
        <v>0.29401739590562798</v>
      </c>
      <c r="BV46" s="146">
        <f t="shared" si="166"/>
        <v>0.28928011909057461</v>
      </c>
      <c r="BW46" s="146">
        <f t="shared" si="166"/>
        <v>0.30855741299396117</v>
      </c>
      <c r="BX46" s="146">
        <f t="shared" si="166"/>
        <v>0.3170881498049935</v>
      </c>
      <c r="BY46" s="146">
        <f t="shared" si="166"/>
        <v>0.32480598067684968</v>
      </c>
      <c r="BZ46" s="146">
        <f t="shared" si="166"/>
        <v>0.34953898900307973</v>
      </c>
      <c r="CA46" s="146">
        <f t="shared" si="166"/>
        <v>0.36356748546431006</v>
      </c>
      <c r="CB46" s="146">
        <f t="shared" si="166"/>
        <v>0.38658973490223808</v>
      </c>
      <c r="CC46" s="146">
        <f t="shared" si="166"/>
        <v>0.41370288535608613</v>
      </c>
      <c r="CD46" s="146">
        <f t="shared" si="166"/>
        <v>0.43638535216763424</v>
      </c>
      <c r="CE46" s="236"/>
      <c r="CF46" s="236"/>
      <c r="CG46" s="236"/>
      <c r="CH46" s="236"/>
      <c r="CI46" s="236"/>
      <c r="CJ46" s="236"/>
      <c r="CK46" s="236"/>
      <c r="CL46" s="236"/>
      <c r="CM46" s="236"/>
      <c r="CN46" s="236"/>
      <c r="CO46" s="236"/>
      <c r="CP46" s="236"/>
      <c r="CQ46" s="236"/>
      <c r="CR46" s="236"/>
      <c r="CS46" s="236"/>
      <c r="CT46" s="236"/>
      <c r="CU46" s="236"/>
      <c r="CV46" s="236"/>
      <c r="CW46" s="236"/>
      <c r="CX46" s="236"/>
      <c r="CY46" s="236"/>
      <c r="CZ46" s="236"/>
      <c r="DA46" s="236"/>
      <c r="DB46" s="236"/>
      <c r="DC46" s="236"/>
      <c r="DD46" s="236"/>
      <c r="DE46" s="236"/>
      <c r="DF46" s="236"/>
      <c r="DG46" s="236"/>
      <c r="DH46" s="236"/>
      <c r="DI46" s="236"/>
      <c r="DJ46" s="236"/>
      <c r="DK46" s="236"/>
      <c r="DL46" s="236"/>
      <c r="DM46" s="236"/>
      <c r="DN46" s="236"/>
      <c r="DO46" s="236"/>
      <c r="DP46" s="236"/>
      <c r="DQ46" s="236"/>
      <c r="DR46" s="236"/>
      <c r="DS46" s="236"/>
      <c r="DT46" s="236"/>
      <c r="DU46" s="236"/>
      <c r="DV46" s="236"/>
      <c r="DW46" s="236"/>
      <c r="DX46" s="236"/>
      <c r="DY46" s="236"/>
      <c r="DZ46" s="236"/>
      <c r="EA46" s="236"/>
      <c r="EB46" s="236"/>
      <c r="EC46" s="236"/>
      <c r="ED46" s="236"/>
      <c r="EE46" s="236"/>
      <c r="EF46" s="236"/>
      <c r="EG46" s="236"/>
      <c r="EH46" s="236"/>
      <c r="EI46" s="236"/>
      <c r="EJ46" s="236"/>
      <c r="EK46" s="236"/>
      <c r="EL46" s="1090"/>
      <c r="EM46" s="1089"/>
      <c r="EN46" s="1089"/>
      <c r="EO46" s="1089"/>
      <c r="EP46" s="1089"/>
      <c r="EQ46" s="1089"/>
      <c r="ER46" s="1089"/>
      <c r="ES46" s="1089"/>
      <c r="ET46" s="1089"/>
      <c r="EU46" s="1089"/>
      <c r="EV46" s="1089"/>
      <c r="EW46" s="1089"/>
      <c r="EX46" s="1089"/>
      <c r="EY46" s="1089"/>
      <c r="EZ46" s="1089"/>
      <c r="FA46" s="1089"/>
      <c r="FB46" s="236"/>
      <c r="FC46" s="236"/>
      <c r="FD46" s="1089"/>
      <c r="FE46" s="1089"/>
      <c r="FF46" s="1089"/>
      <c r="FG46" s="1089"/>
      <c r="FH46" s="1089"/>
      <c r="FI46" s="1089"/>
      <c r="FJ46" s="1089"/>
      <c r="FK46" s="1089"/>
      <c r="FL46" s="1089"/>
      <c r="FM46" s="1089"/>
      <c r="FN46" s="1089"/>
      <c r="FO46" s="1089"/>
      <c r="FP46" s="1089"/>
      <c r="FQ46" s="1089"/>
      <c r="FR46" s="1089"/>
      <c r="FS46" s="1089"/>
      <c r="FT46" s="1089"/>
      <c r="FU46" s="1089"/>
      <c r="FV46" s="1089"/>
      <c r="FW46" s="1089"/>
      <c r="FX46" s="1089"/>
      <c r="FY46" s="1089"/>
      <c r="FZ46" s="1089"/>
      <c r="GA46" s="236"/>
      <c r="GB46" s="236"/>
      <c r="GC46" s="236"/>
      <c r="GD46" s="236"/>
      <c r="GE46" s="236"/>
      <c r="GF46" s="236"/>
      <c r="GG46" s="236"/>
      <c r="GH46" s="236"/>
      <c r="GI46" s="236"/>
      <c r="GJ46" s="236"/>
      <c r="GK46" s="236"/>
      <c r="GL46" s="236"/>
      <c r="GM46" s="236"/>
      <c r="GN46" s="236"/>
      <c r="GO46" s="236"/>
      <c r="GP46" s="236"/>
      <c r="GQ46" s="236"/>
      <c r="GR46" s="236"/>
      <c r="GS46" s="236"/>
      <c r="GT46" s="236"/>
      <c r="GU46" s="236"/>
      <c r="GV46" s="236"/>
      <c r="GW46" s="236"/>
      <c r="GX46" s="236"/>
      <c r="GY46" s="236"/>
      <c r="GZ46" s="236"/>
      <c r="HA46" s="236"/>
      <c r="HB46" s="236"/>
      <c r="HC46" s="236"/>
      <c r="HD46" s="236"/>
      <c r="HE46" s="236"/>
      <c r="HF46" s="236"/>
      <c r="HG46" s="236"/>
      <c r="HH46" s="236"/>
      <c r="HI46" s="236"/>
      <c r="HJ46" s="236"/>
      <c r="HK46" s="2861">
        <f t="shared" si="156"/>
        <v>0.50261617157260619</v>
      </c>
      <c r="HL46" s="2861">
        <f t="shared" si="153"/>
        <v>0.46283410666608638</v>
      </c>
      <c r="HM46" s="2861">
        <f t="shared" si="153"/>
        <v>0.4640683722500239</v>
      </c>
      <c r="HN46" s="2861">
        <f t="shared" si="153"/>
        <v>0.45222436615696288</v>
      </c>
      <c r="HO46" s="2861">
        <f t="shared" si="153"/>
        <v>0.40678261884422395</v>
      </c>
      <c r="HP46" s="2861">
        <f t="shared" si="153"/>
        <v>0.37178729606389038</v>
      </c>
      <c r="HQ46" s="2861">
        <f t="shared" si="153"/>
        <v>0.36792052162676608</v>
      </c>
      <c r="HR46" s="2861">
        <f t="shared" si="153"/>
        <v>0.46544877279506219</v>
      </c>
      <c r="HS46" s="2861">
        <f t="shared" si="153"/>
        <v>0.44138119570523726</v>
      </c>
      <c r="HT46" s="2861">
        <f t="shared" si="153"/>
        <v>0.42583131816712549</v>
      </c>
      <c r="HU46" s="2861">
        <f t="shared" si="153"/>
        <v>0.40754165826630995</v>
      </c>
      <c r="HV46" s="2861">
        <f t="shared" si="153"/>
        <v>0.4363634349502537</v>
      </c>
      <c r="HW46" s="2861">
        <f t="shared" si="153"/>
        <v>0.42302270192736452</v>
      </c>
      <c r="HX46" s="2861">
        <f t="shared" si="153"/>
        <v>0.40471537584686967</v>
      </c>
      <c r="HY46" s="2861">
        <f t="shared" si="153"/>
        <v>0.4832654138496531</v>
      </c>
      <c r="HZ46" s="2861">
        <f t="shared" si="157"/>
        <v>0.42695023434228802</v>
      </c>
      <c r="IA46" s="236"/>
      <c r="IB46" s="236"/>
      <c r="IC46" s="236"/>
      <c r="ID46" s="236"/>
      <c r="IE46" s="236"/>
      <c r="IF46" s="236"/>
      <c r="IG46" s="236"/>
      <c r="IH46" s="236"/>
      <c r="II46" s="236"/>
      <c r="IJ46" s="236"/>
      <c r="IK46" s="236"/>
      <c r="IL46" s="236"/>
      <c r="IM46" s="236"/>
      <c r="IN46" s="236"/>
      <c r="IO46" s="236"/>
      <c r="IP46" s="236"/>
      <c r="IQ46" s="236"/>
      <c r="IR46" s="236"/>
      <c r="IS46" s="236"/>
      <c r="IT46" s="236"/>
      <c r="IU46" s="236"/>
      <c r="IV46" s="236"/>
      <c r="IW46" s="236"/>
      <c r="IX46" s="236"/>
      <c r="IY46" s="236"/>
      <c r="IZ46" s="236"/>
      <c r="JA46" s="236"/>
      <c r="JB46" s="236"/>
      <c r="JC46" s="236"/>
      <c r="JD46" s="236"/>
      <c r="JE46" s="236"/>
      <c r="JF46" s="236"/>
      <c r="JG46" s="236"/>
      <c r="JH46" s="236"/>
      <c r="JI46" s="236"/>
      <c r="JJ46" s="236"/>
      <c r="JK46" s="236"/>
      <c r="JL46" s="236"/>
      <c r="JM46" s="236"/>
      <c r="JN46" s="236"/>
      <c r="JO46" s="236"/>
      <c r="JP46" s="236"/>
      <c r="JQ46" s="236"/>
      <c r="JR46" s="236"/>
      <c r="JS46" s="236"/>
      <c r="JT46" s="236"/>
      <c r="JU46" s="236"/>
      <c r="JV46" s="236"/>
      <c r="JW46" s="236"/>
      <c r="JX46" s="236"/>
      <c r="JY46" s="236"/>
      <c r="JZ46" s="236"/>
      <c r="KA46" s="236"/>
      <c r="KB46" s="236"/>
      <c r="KC46" s="236"/>
      <c r="KD46" s="236"/>
      <c r="KE46" s="236"/>
      <c r="KF46" s="236"/>
      <c r="KG46" s="236"/>
      <c r="KH46" s="236"/>
      <c r="KI46" s="236"/>
      <c r="KJ46" s="236"/>
      <c r="KK46" s="236"/>
      <c r="KL46" s="236"/>
      <c r="KM46" s="236"/>
      <c r="KN46" s="236"/>
      <c r="KO46" s="236"/>
      <c r="KP46" s="236"/>
      <c r="KQ46" s="236"/>
      <c r="KR46" s="236"/>
      <c r="KS46" s="236"/>
      <c r="KT46" s="236"/>
      <c r="KU46" s="236"/>
      <c r="KV46" s="236"/>
      <c r="KW46" s="236"/>
      <c r="KX46" s="236"/>
      <c r="KY46" s="236"/>
      <c r="KZ46" s="236"/>
      <c r="LA46" s="236"/>
      <c r="LB46" s="236"/>
      <c r="LC46" s="236"/>
      <c r="LD46" s="236"/>
      <c r="LE46" s="236"/>
      <c r="LF46" s="236"/>
      <c r="LG46" s="236"/>
      <c r="LH46" s="236"/>
      <c r="LI46" s="236"/>
      <c r="LJ46" s="236"/>
      <c r="LK46" s="236"/>
      <c r="LL46" s="236"/>
      <c r="LM46" s="236"/>
      <c r="LN46" s="236"/>
      <c r="LO46" s="236"/>
      <c r="LP46" s="236"/>
      <c r="LQ46" s="236"/>
      <c r="LR46" s="236"/>
      <c r="LS46" s="236"/>
      <c r="LT46" s="236"/>
      <c r="LU46" s="236"/>
      <c r="LV46" s="236"/>
      <c r="LW46" s="236"/>
      <c r="LX46" s="236"/>
      <c r="LY46" s="236"/>
      <c r="LZ46" s="236"/>
      <c r="MA46" s="236"/>
      <c r="MB46" s="236"/>
      <c r="MC46" s="236"/>
      <c r="MD46" s="236"/>
      <c r="ME46" s="236"/>
      <c r="MF46" s="726" t="s">
        <v>38</v>
      </c>
      <c r="MG46" s="742">
        <f t="shared" si="158"/>
        <v>3.9797962040773882</v>
      </c>
      <c r="MH46" s="742">
        <f t="shared" ref="MH46:MU46" si="170">MH9+0.2</f>
        <v>3.9993935221895835</v>
      </c>
      <c r="MI46" s="742">
        <f t="shared" si="170"/>
        <v>3.6460352679844825</v>
      </c>
      <c r="MJ46" s="742">
        <f t="shared" si="170"/>
        <v>4.0172862885814373</v>
      </c>
      <c r="MK46" s="742">
        <f t="shared" si="170"/>
        <v>3.7664381216534801</v>
      </c>
      <c r="ML46" s="742">
        <f t="shared" si="170"/>
        <v>4.5821068746211262</v>
      </c>
      <c r="MM46" s="742">
        <f t="shared" si="170"/>
        <v>3.5404184188425245</v>
      </c>
      <c r="MN46" s="742">
        <f t="shared" si="170"/>
        <v>4.7438424063714857</v>
      </c>
      <c r="MO46" s="742">
        <f t="shared" si="170"/>
        <v>4.1578427963681364</v>
      </c>
      <c r="MP46" s="742">
        <f t="shared" si="170"/>
        <v>4.5200991539620503</v>
      </c>
      <c r="MQ46" s="742">
        <f t="shared" si="170"/>
        <v>4.2247766176283585</v>
      </c>
      <c r="MR46" s="742">
        <f t="shared" si="170"/>
        <v>5.2447009644855731</v>
      </c>
      <c r="MS46" s="742">
        <f t="shared" si="170"/>
        <v>5.2035394649622857</v>
      </c>
      <c r="MT46" s="742">
        <f t="shared" si="170"/>
        <v>5.1689071784647069</v>
      </c>
      <c r="MU46" s="742">
        <f t="shared" si="170"/>
        <v>4.702105462841617</v>
      </c>
      <c r="MV46" s="725"/>
      <c r="MW46" s="742">
        <f t="shared" ref="MW46" si="171">MW9+0.2</f>
        <v>5.0248507020895357</v>
      </c>
      <c r="MX46" s="725"/>
      <c r="MY46" s="742">
        <f t="shared" ref="MY46" si="172">MY9+0.2</f>
        <v>5.0798132676885457</v>
      </c>
      <c r="MZ46" s="742">
        <f t="shared" si="155"/>
        <v>4.4244691551359434</v>
      </c>
      <c r="NA46" s="236"/>
      <c r="NB46" s="236"/>
      <c r="NC46" s="236"/>
      <c r="ND46" s="236"/>
      <c r="NE46" s="236"/>
      <c r="NF46" s="236"/>
      <c r="NG46" s="236"/>
      <c r="NH46" s="236"/>
      <c r="NI46" s="236"/>
      <c r="NJ46" s="236"/>
      <c r="NK46" s="236"/>
      <c r="NL46" s="236"/>
      <c r="NM46" s="236"/>
      <c r="NN46" s="236"/>
      <c r="NO46" s="236"/>
      <c r="NP46" s="236"/>
      <c r="NQ46" s="236"/>
      <c r="NR46" s="236"/>
      <c r="NS46" s="236"/>
      <c r="NT46" s="236"/>
      <c r="NU46" s="236"/>
      <c r="NV46" s="236"/>
      <c r="NW46" s="236"/>
      <c r="NX46" s="236"/>
      <c r="NY46" s="236"/>
      <c r="NZ46" s="236"/>
      <c r="OA46" s="236"/>
      <c r="OB46" s="236"/>
      <c r="OC46" s="236"/>
      <c r="OD46" s="236"/>
      <c r="OE46" s="236"/>
      <c r="OF46" s="236"/>
      <c r="OG46" s="236"/>
      <c r="OH46" s="236"/>
      <c r="OI46" s="236"/>
      <c r="OJ46" s="236"/>
      <c r="OK46" s="236"/>
      <c r="OL46" s="236"/>
      <c r="OM46" s="236"/>
      <c r="ON46" s="236"/>
      <c r="OO46" s="236"/>
      <c r="OP46" s="742">
        <f>OP9-'Bloom Cleaner Data'!FO9</f>
        <v>2.6334876885817757</v>
      </c>
      <c r="OQ46" s="742">
        <f>OQ9-'Bloom Cleaner Data'!FP9</f>
        <v>2.8256591392136032</v>
      </c>
      <c r="OR46" s="742">
        <f>OR9-'Bloom Cleaner Data'!FQ9</f>
        <v>7.4483893484406956</v>
      </c>
      <c r="OS46" s="742">
        <f>OS9-'Bloom Cleaner Data'!FR9</f>
        <v>6.1433219927096001</v>
      </c>
      <c r="OT46" s="742">
        <f>OT9-'Bloom Cleaner Data'!FS9</f>
        <v>5.5918842922307235</v>
      </c>
      <c r="OU46" s="742">
        <f>OU9-'Bloom Cleaner Data'!FT9</f>
        <v>4.972376078289237</v>
      </c>
      <c r="OV46" s="742"/>
      <c r="OW46" s="742"/>
      <c r="OX46" s="742"/>
      <c r="OY46" s="742"/>
      <c r="OZ46" s="742"/>
      <c r="PA46" s="742"/>
      <c r="PB46" s="742"/>
      <c r="PC46" s="742"/>
      <c r="PD46" s="742"/>
    </row>
    <row r="47" spans="1:450">
      <c r="B47" s="3125" t="s">
        <v>39</v>
      </c>
      <c r="C47" s="1180"/>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c r="BU47" s="236"/>
      <c r="BV47" s="236"/>
      <c r="BW47" s="236"/>
      <c r="BX47" s="236"/>
      <c r="BY47" s="236"/>
      <c r="BZ47" s="236"/>
      <c r="CA47" s="236"/>
      <c r="CB47" s="236"/>
      <c r="CC47" s="236"/>
      <c r="CD47" s="236"/>
      <c r="CE47" s="236"/>
      <c r="CF47" s="236"/>
      <c r="CG47" s="236"/>
      <c r="CH47" s="236"/>
      <c r="CI47" s="236"/>
      <c r="CJ47" s="236"/>
      <c r="CK47" s="236"/>
      <c r="CL47" s="236"/>
      <c r="CM47" s="236"/>
      <c r="CN47" s="236"/>
      <c r="CO47" s="236"/>
      <c r="CP47" s="236"/>
      <c r="CQ47" s="236"/>
      <c r="CR47" s="236"/>
      <c r="CS47" s="236"/>
      <c r="CT47" s="236"/>
      <c r="CU47" s="236"/>
      <c r="CV47" s="236"/>
      <c r="CW47" s="236"/>
      <c r="CX47" s="236"/>
      <c r="CY47" s="236"/>
      <c r="CZ47" s="236"/>
      <c r="DA47" s="236"/>
      <c r="DB47" s="236"/>
      <c r="DC47" s="236"/>
      <c r="DD47" s="236"/>
      <c r="DE47" s="236"/>
      <c r="DF47" s="236"/>
      <c r="DG47" s="236"/>
      <c r="DH47" s="236"/>
      <c r="DI47" s="236"/>
      <c r="DJ47" s="236"/>
      <c r="DK47" s="236"/>
      <c r="DL47" s="236"/>
      <c r="DM47" s="236"/>
      <c r="DN47" s="236"/>
      <c r="DO47" s="236"/>
      <c r="DP47" s="236"/>
      <c r="DQ47" s="236"/>
      <c r="DR47" s="236"/>
      <c r="DS47" s="236"/>
      <c r="DT47" s="236"/>
      <c r="DU47" s="236"/>
      <c r="DV47" s="236"/>
      <c r="DW47" s="236"/>
      <c r="DX47" s="236"/>
      <c r="DY47" s="236"/>
      <c r="DZ47" s="236"/>
      <c r="EA47" s="236"/>
      <c r="EB47" s="236"/>
      <c r="EC47" s="236"/>
      <c r="ED47" s="236"/>
      <c r="EE47" s="236"/>
      <c r="EF47" s="236"/>
      <c r="EG47" s="236"/>
      <c r="EH47" s="236"/>
      <c r="EI47" s="236"/>
      <c r="EJ47" s="236"/>
      <c r="EK47" s="236"/>
      <c r="EL47" s="1090"/>
      <c r="EM47" s="1089"/>
      <c r="EN47" s="1089"/>
      <c r="EO47" s="1089"/>
      <c r="EP47" s="1089"/>
      <c r="EQ47" s="1089"/>
      <c r="ER47" s="1089"/>
      <c r="ES47" s="1089"/>
      <c r="ET47" s="1089"/>
      <c r="EU47" s="1089"/>
      <c r="EV47" s="1089"/>
      <c r="EW47" s="1089"/>
      <c r="EX47" s="1089"/>
      <c r="EY47" s="1089"/>
      <c r="EZ47" s="1089"/>
      <c r="FA47" s="1089"/>
      <c r="FB47" s="236"/>
      <c r="FC47" s="236"/>
      <c r="FD47" s="1089"/>
      <c r="FE47" s="1089"/>
      <c r="FF47" s="1089"/>
      <c r="FG47" s="1089"/>
      <c r="FH47" s="1089"/>
      <c r="FI47" s="1089"/>
      <c r="FJ47" s="1089"/>
      <c r="FK47" s="1089"/>
      <c r="FL47" s="1089"/>
      <c r="FM47" s="1089"/>
      <c r="FN47" s="1089"/>
      <c r="FO47" s="1089"/>
      <c r="FP47" s="1089"/>
      <c r="FQ47" s="1089"/>
      <c r="FR47" s="1089"/>
      <c r="FS47" s="1089"/>
      <c r="FT47" s="1089"/>
      <c r="FU47" s="1089"/>
      <c r="FV47" s="1089"/>
      <c r="FW47" s="1089"/>
      <c r="FX47" s="1089"/>
      <c r="FY47" s="1089"/>
      <c r="FZ47" s="1089"/>
      <c r="GA47" s="236"/>
      <c r="GB47" s="236"/>
      <c r="GC47" s="236"/>
      <c r="GD47" s="236"/>
      <c r="GE47" s="236"/>
      <c r="GF47" s="236"/>
      <c r="GG47" s="236"/>
      <c r="GH47" s="236"/>
      <c r="GI47" s="236"/>
      <c r="GJ47" s="236"/>
      <c r="GK47" s="236"/>
      <c r="GL47" s="236"/>
      <c r="GM47" s="236"/>
      <c r="GN47" s="236"/>
      <c r="GO47" s="236"/>
      <c r="GP47" s="236"/>
      <c r="GQ47" s="236"/>
      <c r="GR47" s="236"/>
      <c r="GS47" s="236"/>
      <c r="GT47" s="236"/>
      <c r="GU47" s="236"/>
      <c r="GV47" s="236"/>
      <c r="GW47" s="236"/>
      <c r="GX47" s="236"/>
      <c r="GY47" s="236"/>
      <c r="GZ47" s="236"/>
      <c r="HA47" s="236"/>
      <c r="HB47" s="236"/>
      <c r="HC47" s="236"/>
      <c r="HD47" s="236"/>
      <c r="HE47" s="236"/>
      <c r="HF47" s="236"/>
      <c r="HG47" s="236"/>
      <c r="HH47" s="236"/>
      <c r="HI47" s="236"/>
      <c r="HJ47" s="236"/>
      <c r="HK47" s="2860">
        <f t="shared" si="156"/>
        <v>0.45714618790245432</v>
      </c>
      <c r="HL47" s="2860">
        <f t="shared" si="153"/>
        <v>0.45759858135370385</v>
      </c>
      <c r="HM47" s="2860">
        <f t="shared" si="153"/>
        <v>0.47921904004458188</v>
      </c>
      <c r="HN47" s="2860">
        <f t="shared" si="153"/>
        <v>0.45748300479233606</v>
      </c>
      <c r="HO47" s="2860">
        <f t="shared" si="153"/>
        <v>0.42956066338194404</v>
      </c>
      <c r="HP47" s="2860">
        <f t="shared" si="153"/>
        <v>0.44932069694465154</v>
      </c>
      <c r="HQ47" s="2860">
        <f t="shared" si="153"/>
        <v>0.42152031213288332</v>
      </c>
      <c r="HR47" s="2860">
        <f t="shared" si="153"/>
        <v>0.43261876851622022</v>
      </c>
      <c r="HS47" s="2860">
        <f t="shared" si="153"/>
        <v>0.4317184522649169</v>
      </c>
      <c r="HT47" s="2860">
        <f t="shared" si="153"/>
        <v>0.46675281832417964</v>
      </c>
      <c r="HU47" s="2860">
        <f t="shared" si="153"/>
        <v>0.46890550523374647</v>
      </c>
      <c r="HV47" s="2860">
        <f t="shared" si="153"/>
        <v>0.46520914151348258</v>
      </c>
      <c r="HW47" s="2860">
        <f t="shared" si="153"/>
        <v>0.47126048466553006</v>
      </c>
      <c r="HX47" s="2860">
        <f t="shared" si="153"/>
        <v>0.44941888737738012</v>
      </c>
      <c r="HY47" s="2860">
        <f t="shared" si="153"/>
        <v>0.43916945384982109</v>
      </c>
      <c r="HZ47" s="2860">
        <f t="shared" si="157"/>
        <v>0.45093517146474416</v>
      </c>
      <c r="IA47" s="236"/>
      <c r="IB47" s="236"/>
      <c r="IC47" s="236"/>
      <c r="ID47" s="236"/>
      <c r="IE47" s="236"/>
      <c r="IF47" s="236"/>
      <c r="IG47" s="236"/>
      <c r="IH47" s="236"/>
      <c r="II47" s="236"/>
      <c r="IJ47" s="236"/>
      <c r="IK47" s="236"/>
      <c r="IL47" s="236"/>
      <c r="IM47" s="236"/>
      <c r="IN47" s="236"/>
      <c r="IO47" s="236"/>
      <c r="IP47" s="236"/>
      <c r="IQ47" s="236"/>
      <c r="IR47" s="236"/>
      <c r="IS47" s="236"/>
      <c r="IT47" s="236"/>
      <c r="IU47" s="236"/>
      <c r="IV47" s="236"/>
      <c r="IW47" s="236"/>
      <c r="IX47" s="236"/>
      <c r="IY47" s="236"/>
      <c r="IZ47" s="236"/>
      <c r="JA47" s="236"/>
      <c r="JB47" s="236"/>
      <c r="JC47" s="236"/>
      <c r="JD47" s="236"/>
      <c r="JE47" s="236"/>
      <c r="JF47" s="236"/>
      <c r="JG47" s="236"/>
      <c r="JH47" s="236"/>
      <c r="JI47" s="236"/>
      <c r="JJ47" s="236"/>
      <c r="JK47" s="236"/>
      <c r="JL47" s="236"/>
      <c r="JM47" s="236"/>
      <c r="JN47" s="236"/>
      <c r="JO47" s="236"/>
      <c r="JP47" s="236"/>
      <c r="JQ47" s="236"/>
      <c r="JR47" s="236"/>
      <c r="JS47" s="236"/>
      <c r="JT47" s="236"/>
      <c r="JU47" s="236"/>
      <c r="JV47" s="236"/>
      <c r="JW47" s="236"/>
      <c r="JX47" s="236"/>
      <c r="JY47" s="236"/>
      <c r="JZ47" s="236"/>
      <c r="KA47" s="236"/>
      <c r="KB47" s="236"/>
      <c r="KC47" s="236"/>
      <c r="KD47" s="236"/>
      <c r="KE47" s="236"/>
      <c r="KF47" s="236"/>
      <c r="KG47" s="236"/>
      <c r="KH47" s="236"/>
      <c r="KI47" s="236"/>
      <c r="KJ47" s="236"/>
      <c r="KK47" s="236"/>
      <c r="KL47" s="236"/>
      <c r="KM47" s="236"/>
      <c r="KN47" s="236"/>
      <c r="KO47" s="236"/>
      <c r="KP47" s="236"/>
      <c r="KQ47" s="236"/>
      <c r="KR47" s="236"/>
      <c r="KS47" s="236"/>
      <c r="KT47" s="236"/>
      <c r="KU47" s="236"/>
      <c r="KV47" s="236"/>
      <c r="KW47" s="236"/>
      <c r="KX47" s="236"/>
      <c r="KY47" s="236"/>
      <c r="KZ47" s="236"/>
      <c r="LA47" s="236"/>
      <c r="LB47" s="236"/>
      <c r="LC47" s="236"/>
      <c r="LD47" s="236"/>
      <c r="LE47" s="236"/>
      <c r="LF47" s="236"/>
      <c r="LG47" s="236"/>
      <c r="LH47" s="236"/>
      <c r="LI47" s="236"/>
      <c r="LJ47" s="236"/>
      <c r="LK47" s="236"/>
      <c r="LL47" s="236"/>
      <c r="LM47" s="236"/>
      <c r="LN47" s="236"/>
      <c r="LO47" s="236"/>
      <c r="LP47" s="236"/>
      <c r="LQ47" s="236"/>
      <c r="LR47" s="236"/>
      <c r="LS47" s="236"/>
      <c r="LT47" s="236"/>
      <c r="LU47" s="236"/>
      <c r="LV47" s="236"/>
      <c r="LW47" s="236"/>
      <c r="LX47" s="236"/>
      <c r="LY47" s="236"/>
      <c r="LZ47" s="236"/>
      <c r="MA47" s="236"/>
      <c r="MB47" s="236"/>
      <c r="MC47" s="236"/>
      <c r="MD47" s="236"/>
      <c r="ME47" s="236"/>
      <c r="MF47" s="73" t="s">
        <v>39</v>
      </c>
      <c r="MG47" s="168">
        <f t="shared" si="158"/>
        <v>3.7185786924523887</v>
      </c>
      <c r="MH47" s="168">
        <f t="shared" ref="MH47:MU47" si="173">MH10+0.2</f>
        <v>3.841586514837767</v>
      </c>
      <c r="MI47" s="168">
        <f t="shared" si="173"/>
        <v>3.7311752593784755</v>
      </c>
      <c r="MJ47" s="168">
        <f t="shared" si="173"/>
        <v>3.5966266889339948</v>
      </c>
      <c r="MK47" s="168">
        <f t="shared" si="173"/>
        <v>2.7842221240629859</v>
      </c>
      <c r="ML47" s="168">
        <f t="shared" si="173"/>
        <v>2.6598512924038751</v>
      </c>
      <c r="MM47" s="168">
        <f t="shared" si="173"/>
        <v>2.8246439111093737</v>
      </c>
      <c r="MN47" s="168">
        <f t="shared" si="173"/>
        <v>2.8409991277729159</v>
      </c>
      <c r="MO47" s="168">
        <f t="shared" si="173"/>
        <v>2.7064392664239829</v>
      </c>
      <c r="MP47" s="168">
        <f t="shared" si="173"/>
        <v>2.997216409852494</v>
      </c>
      <c r="MQ47" s="168">
        <f t="shared" si="173"/>
        <v>2.7789143029964425</v>
      </c>
      <c r="MR47" s="168">
        <f t="shared" si="173"/>
        <v>2.8081690522086471</v>
      </c>
      <c r="MS47" s="168">
        <f t="shared" si="173"/>
        <v>2.8367089932821314</v>
      </c>
      <c r="MT47" s="168">
        <f t="shared" si="173"/>
        <v>2.8499385337384715</v>
      </c>
      <c r="MU47" s="168">
        <f t="shared" si="173"/>
        <v>2.8312459451226379</v>
      </c>
      <c r="MV47" s="11"/>
      <c r="MW47" s="168">
        <f t="shared" ref="MW47" si="174">MW10+0.2</f>
        <v>2.8392978240477471</v>
      </c>
      <c r="MX47" s="11"/>
      <c r="MY47" s="168">
        <f t="shared" ref="MY47" si="175">MY10+0.2</f>
        <v>2.8315156310879721</v>
      </c>
      <c r="MZ47" s="168">
        <f t="shared" si="155"/>
        <v>2.9420116082528023</v>
      </c>
      <c r="NA47" s="236"/>
      <c r="NB47" s="236"/>
      <c r="NC47" s="236"/>
      <c r="ND47" s="236"/>
      <c r="NE47" s="236"/>
      <c r="NF47" s="236"/>
      <c r="NG47" s="236"/>
      <c r="NH47" s="236"/>
      <c r="NI47" s="236"/>
      <c r="NJ47" s="236"/>
      <c r="NK47" s="236"/>
      <c r="NL47" s="236"/>
      <c r="NM47" s="236"/>
      <c r="NN47" s="236"/>
      <c r="NO47" s="236"/>
      <c r="NP47" s="236"/>
      <c r="NQ47" s="236"/>
      <c r="NR47" s="236"/>
      <c r="NS47" s="236"/>
      <c r="NT47" s="236"/>
      <c r="NU47" s="236"/>
      <c r="NV47" s="236"/>
      <c r="NW47" s="236"/>
      <c r="NX47" s="236"/>
      <c r="NY47" s="236"/>
      <c r="NZ47" s="236"/>
      <c r="OA47" s="236"/>
      <c r="OB47" s="236"/>
      <c r="OC47" s="236"/>
      <c r="OD47" s="236"/>
      <c r="OE47" s="236"/>
      <c r="OF47" s="236"/>
      <c r="OG47" s="236"/>
      <c r="OH47" s="236"/>
      <c r="OI47" s="236"/>
      <c r="OJ47" s="236"/>
      <c r="OK47" s="236"/>
      <c r="OL47" s="236"/>
      <c r="OM47" s="236"/>
      <c r="ON47" s="236"/>
      <c r="OO47" s="236"/>
      <c r="OP47" s="168"/>
      <c r="OQ47" s="168">
        <f>OQ10-'Bloom Cleaner Data'!FP10</f>
        <v>3.2924335378492486E-5</v>
      </c>
      <c r="OR47" s="168">
        <f>OR10-'Bloom Cleaner Data'!FQ10</f>
        <v>-1.2913440027739753E-5</v>
      </c>
      <c r="OS47" s="168">
        <f>OS10-'Bloom Cleaner Data'!FR10</f>
        <v>1.8057684269212615E-5</v>
      </c>
      <c r="OT47" s="168"/>
      <c r="OU47" s="168">
        <f>OU10-'Bloom Cleaner Data'!FT10</f>
        <v>2.5703893304473979E-5</v>
      </c>
      <c r="OV47" s="168">
        <f>OV10-'Bloom Cleaner Data'!FU10</f>
        <v>-3.8539947579963041E-6</v>
      </c>
      <c r="OW47" s="168">
        <f>OW10-'Bloom Cleaner Data'!FV10</f>
        <v>-2.630492480104607E-5</v>
      </c>
      <c r="OX47" s="168"/>
      <c r="OY47" s="168"/>
      <c r="OZ47" s="168"/>
      <c r="PA47" s="168"/>
      <c r="PB47" s="168"/>
      <c r="PC47" s="168"/>
      <c r="PD47" s="168"/>
    </row>
    <row r="48" spans="1:450">
      <c r="A48" s="5"/>
      <c r="B48" s="3125" t="s">
        <v>53</v>
      </c>
      <c r="C48" s="1180"/>
      <c r="D48" s="237"/>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c r="BU48" s="237"/>
      <c r="BV48" s="237"/>
      <c r="BW48" s="237"/>
      <c r="BX48" s="237"/>
      <c r="BY48" s="237"/>
      <c r="BZ48" s="237"/>
      <c r="CA48" s="237"/>
      <c r="CB48" s="237"/>
      <c r="CC48" s="237"/>
      <c r="CD48" s="237"/>
      <c r="CE48" s="237"/>
      <c r="CF48" s="237"/>
      <c r="CG48" s="237"/>
      <c r="CH48" s="237"/>
      <c r="CI48" s="237"/>
      <c r="CJ48" s="237"/>
      <c r="CK48" s="237"/>
      <c r="CL48" s="237"/>
      <c r="CM48" s="237"/>
      <c r="CN48" s="237"/>
      <c r="CO48" s="237"/>
      <c r="CP48" s="237"/>
      <c r="CQ48" s="237"/>
      <c r="CR48" s="237"/>
      <c r="CS48" s="237"/>
      <c r="CT48" s="237"/>
      <c r="CU48" s="237"/>
      <c r="CV48" s="237"/>
      <c r="CW48" s="237"/>
      <c r="CX48" s="237"/>
      <c r="CY48" s="237"/>
      <c r="CZ48" s="237"/>
      <c r="DA48" s="237"/>
      <c r="DB48" s="237"/>
      <c r="DC48" s="237"/>
      <c r="DD48" s="237"/>
      <c r="DE48" s="237"/>
      <c r="DF48" s="237"/>
      <c r="DG48" s="237"/>
      <c r="DH48" s="237"/>
      <c r="DI48" s="237"/>
      <c r="DJ48" s="237"/>
      <c r="DK48" s="237"/>
      <c r="DL48" s="237"/>
      <c r="DM48" s="237"/>
      <c r="DN48" s="237"/>
      <c r="DO48" s="237"/>
      <c r="DP48" s="237"/>
      <c r="DQ48" s="237"/>
      <c r="DR48" s="237"/>
      <c r="DS48" s="237"/>
      <c r="DT48" s="237"/>
      <c r="DU48" s="237"/>
      <c r="DV48" s="237"/>
      <c r="DW48" s="237"/>
      <c r="DX48" s="237"/>
      <c r="DY48" s="237"/>
      <c r="DZ48" s="237"/>
      <c r="EA48" s="237"/>
      <c r="EB48" s="237"/>
      <c r="EC48" s="237"/>
      <c r="ED48" s="237"/>
      <c r="EE48" s="237"/>
      <c r="EF48" s="237"/>
      <c r="EG48" s="237"/>
      <c r="EH48" s="237"/>
      <c r="EI48" s="237"/>
      <c r="EJ48" s="237"/>
      <c r="EK48" s="237"/>
      <c r="EL48" s="1088"/>
      <c r="EM48" s="1089"/>
      <c r="EN48" s="1089"/>
      <c r="EO48" s="1089"/>
      <c r="EP48" s="1089"/>
      <c r="EQ48" s="1089"/>
      <c r="ER48" s="1089"/>
      <c r="ES48" s="1089"/>
      <c r="ET48" s="1089"/>
      <c r="EU48" s="1089"/>
      <c r="EV48" s="1089"/>
      <c r="EW48" s="1089"/>
      <c r="EX48" s="1089"/>
      <c r="EY48" s="1089"/>
      <c r="EZ48" s="1089"/>
      <c r="FA48" s="1089"/>
      <c r="FB48" s="236"/>
      <c r="FC48" s="236"/>
      <c r="FD48" s="1089"/>
      <c r="FE48" s="1089"/>
      <c r="FF48" s="1089"/>
      <c r="FG48" s="1089"/>
      <c r="FH48" s="1089"/>
      <c r="FI48" s="1089"/>
      <c r="FJ48" s="1089"/>
      <c r="FK48" s="1089"/>
      <c r="FL48" s="1089"/>
      <c r="FM48" s="1089"/>
      <c r="FN48" s="1089"/>
      <c r="FO48" s="1089"/>
      <c r="FP48" s="1089"/>
      <c r="FQ48" s="1089"/>
      <c r="FR48" s="1089"/>
      <c r="FS48" s="1089"/>
      <c r="FT48" s="1089"/>
      <c r="FU48" s="1089"/>
      <c r="FV48" s="1089"/>
      <c r="FW48" s="1089"/>
      <c r="FX48" s="1089"/>
      <c r="FY48" s="1089"/>
      <c r="FZ48" s="1089"/>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860">
        <f t="shared" si="156"/>
        <v>0.36474864914532357</v>
      </c>
      <c r="HL48" s="2860">
        <f t="shared" si="153"/>
        <v>0.40365773058843141</v>
      </c>
      <c r="HM48" s="2860">
        <f t="shared" si="153"/>
        <v>0.45928285863452023</v>
      </c>
      <c r="HN48" s="2860">
        <f t="shared" si="153"/>
        <v>0.42472398451114246</v>
      </c>
      <c r="HO48" s="2860">
        <f t="shared" si="153"/>
        <v>0.44957936162873002</v>
      </c>
      <c r="HP48" s="2860">
        <f t="shared" si="153"/>
        <v>0.42875723173070435</v>
      </c>
      <c r="HQ48" s="2860">
        <f t="shared" si="153"/>
        <v>0.44675296899314992</v>
      </c>
      <c r="HR48" s="2860">
        <f t="shared" si="153"/>
        <v>0.48982200347580435</v>
      </c>
      <c r="HS48" s="2860">
        <f t="shared" si="153"/>
        <v>0.52900871126840054</v>
      </c>
      <c r="HT48" s="2860">
        <f t="shared" si="153"/>
        <v>0.55089917176590131</v>
      </c>
      <c r="HU48" s="2860">
        <f t="shared" si="153"/>
        <v>0.59895089367894749</v>
      </c>
      <c r="HV48" s="2860">
        <f t="shared" si="153"/>
        <v>0.58856941725285861</v>
      </c>
      <c r="HW48" s="2860">
        <f t="shared" si="153"/>
        <v>0.57992540679211424</v>
      </c>
      <c r="HX48" s="2860">
        <f t="shared" si="153"/>
        <v>0.5711213717248842</v>
      </c>
      <c r="HY48" s="2860">
        <f t="shared" si="153"/>
        <v>0.57929804018594233</v>
      </c>
      <c r="HZ48" s="2860">
        <f t="shared" si="157"/>
        <v>0.51513010935716153</v>
      </c>
      <c r="IA48" s="236"/>
      <c r="IB48" s="236"/>
      <c r="IC48" s="236"/>
      <c r="ID48" s="236"/>
      <c r="IE48" s="236"/>
      <c r="IF48" s="236"/>
      <c r="IG48" s="236"/>
      <c r="IH48" s="236"/>
      <c r="II48" s="236"/>
      <c r="IJ48" s="236"/>
      <c r="IK48" s="236"/>
      <c r="IL48" s="236"/>
      <c r="IM48" s="236"/>
      <c r="IN48" s="236"/>
      <c r="IO48" s="236"/>
      <c r="IP48" s="236"/>
      <c r="IQ48" s="236"/>
      <c r="IR48" s="236"/>
      <c r="IS48" s="236"/>
      <c r="IT48" s="236"/>
      <c r="IU48" s="236"/>
      <c r="IV48" s="236"/>
      <c r="IW48" s="236"/>
      <c r="IX48" s="236"/>
      <c r="IY48" s="236"/>
      <c r="IZ48" s="236"/>
      <c r="JA48" s="236"/>
      <c r="JB48" s="236"/>
      <c r="JC48" s="236"/>
      <c r="JD48" s="236"/>
      <c r="JE48" s="236"/>
      <c r="JF48" s="236"/>
      <c r="JG48" s="236"/>
      <c r="JH48" s="236"/>
      <c r="JI48" s="236"/>
      <c r="JJ48" s="236"/>
      <c r="JK48" s="236"/>
      <c r="JL48" s="236"/>
      <c r="JM48" s="236"/>
      <c r="JN48" s="236"/>
      <c r="JO48" s="236"/>
      <c r="JP48" s="236"/>
      <c r="JQ48" s="236"/>
      <c r="JR48" s="236"/>
      <c r="JS48" s="236"/>
      <c r="JT48" s="236"/>
      <c r="JU48" s="236"/>
      <c r="JV48" s="236"/>
      <c r="JW48" s="236"/>
      <c r="JX48" s="236"/>
      <c r="JY48" s="236"/>
      <c r="JZ48" s="236"/>
      <c r="KA48" s="236"/>
      <c r="KB48" s="236"/>
      <c r="KC48" s="236"/>
      <c r="KD48" s="236"/>
      <c r="KE48" s="236"/>
      <c r="KF48" s="236"/>
      <c r="KG48" s="236"/>
      <c r="KH48" s="236"/>
      <c r="KI48" s="236"/>
      <c r="KJ48" s="236"/>
      <c r="KK48" s="236"/>
      <c r="KL48" s="236"/>
      <c r="KM48" s="236"/>
      <c r="KN48" s="236"/>
      <c r="KO48" s="236"/>
      <c r="KP48" s="236"/>
      <c r="KQ48" s="236"/>
      <c r="KR48" s="236"/>
      <c r="KS48" s="236"/>
      <c r="KT48" s="236"/>
      <c r="KU48" s="236"/>
      <c r="KV48" s="236"/>
      <c r="KW48" s="236"/>
      <c r="KX48" s="236"/>
      <c r="KY48" s="236"/>
      <c r="KZ48" s="236"/>
      <c r="LA48" s="236"/>
      <c r="LB48" s="236"/>
      <c r="LC48" s="236"/>
      <c r="LD48" s="236"/>
      <c r="LE48" s="236"/>
      <c r="LF48" s="236"/>
      <c r="LG48" s="236"/>
      <c r="LH48" s="236"/>
      <c r="LI48" s="236"/>
      <c r="LJ48" s="236"/>
      <c r="LK48" s="236"/>
      <c r="LL48" s="236"/>
      <c r="LM48" s="236"/>
      <c r="LN48" s="236"/>
      <c r="LO48" s="236"/>
      <c r="LP48" s="236"/>
      <c r="LQ48" s="236"/>
      <c r="LR48" s="236"/>
      <c r="LS48" s="236"/>
      <c r="LT48" s="236"/>
      <c r="LU48" s="236"/>
      <c r="LV48" s="236"/>
      <c r="LW48" s="236"/>
      <c r="LX48" s="236"/>
      <c r="LY48" s="236"/>
      <c r="LZ48" s="236"/>
      <c r="MA48" s="236"/>
      <c r="MB48" s="236"/>
      <c r="MC48" s="236"/>
      <c r="MD48" s="236"/>
      <c r="ME48" s="236"/>
      <c r="MF48" s="73" t="s">
        <v>53</v>
      </c>
      <c r="MG48" s="168">
        <f t="shared" si="158"/>
        <v>2.7573657493709738</v>
      </c>
      <c r="MH48" s="168">
        <f t="shared" ref="MH48:MU48" si="176">MH11+0.2</f>
        <v>2.8621263161634505</v>
      </c>
      <c r="MI48" s="168">
        <f t="shared" si="176"/>
        <v>3.0062522953860276</v>
      </c>
      <c r="MJ48" s="168">
        <f t="shared" si="176"/>
        <v>3.0009769385968426</v>
      </c>
      <c r="MK48" s="168">
        <f t="shared" si="176"/>
        <v>2.6811291780414823</v>
      </c>
      <c r="ML48" s="168">
        <f t="shared" si="176"/>
        <v>2.6227190890341738</v>
      </c>
      <c r="MM48" s="168">
        <f t="shared" si="176"/>
        <v>2.5997213806527077</v>
      </c>
      <c r="MN48" s="168">
        <f t="shared" si="176"/>
        <v>2.9129644767768927</v>
      </c>
      <c r="MO48" s="168">
        <f t="shared" si="176"/>
        <v>3.6710482076392839</v>
      </c>
      <c r="MP48" s="168">
        <f t="shared" si="176"/>
        <v>3.8377967595463911</v>
      </c>
      <c r="MQ48" s="168">
        <f t="shared" si="176"/>
        <v>3.9616961628031615</v>
      </c>
      <c r="MR48" s="168">
        <f t="shared" si="176"/>
        <v>3.5706175546861441</v>
      </c>
      <c r="MS48" s="168">
        <f t="shared" si="176"/>
        <v>3.4571206537639183</v>
      </c>
      <c r="MT48" s="168">
        <f t="shared" si="176"/>
        <v>3.3628998387695619</v>
      </c>
      <c r="MU48" s="168">
        <f t="shared" si="176"/>
        <v>3.3940393135057518</v>
      </c>
      <c r="MV48" s="11"/>
      <c r="MW48" s="168">
        <f t="shared" ref="MW48" si="177">MW11+0.2</f>
        <v>3.404686602013077</v>
      </c>
      <c r="MX48" s="11"/>
      <c r="MY48" s="168">
        <f t="shared" ref="MY48" si="178">MY11+0.2</f>
        <v>3.4461693401813438</v>
      </c>
      <c r="MZ48" s="168">
        <f t="shared" si="155"/>
        <v>3.2368447576309496</v>
      </c>
      <c r="NA48" s="236"/>
      <c r="NB48" s="236"/>
      <c r="NC48" s="236"/>
      <c r="ND48" s="236"/>
      <c r="NE48" s="236"/>
      <c r="NF48" s="236"/>
      <c r="NG48" s="236"/>
      <c r="NH48" s="236"/>
      <c r="NI48" s="236"/>
      <c r="NJ48" s="236"/>
      <c r="NK48" s="236"/>
      <c r="NL48" s="236"/>
      <c r="NM48" s="236"/>
      <c r="NN48" s="236"/>
      <c r="NO48" s="236"/>
      <c r="NP48" s="236"/>
      <c r="NQ48" s="236"/>
      <c r="NR48" s="236"/>
      <c r="NS48" s="236"/>
      <c r="NT48" s="236"/>
      <c r="NU48" s="236"/>
      <c r="NV48" s="236"/>
      <c r="NW48" s="236"/>
      <c r="NX48" s="236"/>
      <c r="NY48" s="236"/>
      <c r="NZ48" s="236"/>
      <c r="OA48" s="236"/>
      <c r="OB48" s="236"/>
      <c r="OC48" s="236"/>
      <c r="OD48" s="236"/>
      <c r="OE48" s="236"/>
      <c r="OF48" s="236"/>
      <c r="OG48" s="236"/>
      <c r="OH48" s="236"/>
      <c r="OI48" s="236"/>
      <c r="OJ48" s="236"/>
      <c r="OK48" s="236"/>
      <c r="OL48" s="236"/>
      <c r="OM48" s="236"/>
      <c r="ON48" s="236"/>
      <c r="OO48" s="236"/>
      <c r="OP48" s="168"/>
      <c r="OQ48" s="168">
        <f>OQ11-'Bloom Cleaner Data'!FP11</f>
        <v>-0.31566326172364834</v>
      </c>
      <c r="OR48" s="168">
        <f>OR11-'Bloom Cleaner Data'!FQ11</f>
        <v>-0.32574868576625748</v>
      </c>
      <c r="OS48" s="168">
        <f>OS11-'Bloom Cleaner Data'!FR11</f>
        <v>-0.99656740294933233</v>
      </c>
      <c r="OT48" s="168"/>
      <c r="OU48" s="168">
        <f>OU11-'Bloom Cleaner Data'!FT11</f>
        <v>-0.54963711714004004</v>
      </c>
      <c r="OV48" s="168">
        <f>OV11-'Bloom Cleaner Data'!FU11</f>
        <v>-0.72496848153731497</v>
      </c>
      <c r="OW48" s="168">
        <f>OW11-'Bloom Cleaner Data'!FV11</f>
        <v>-0.7242919321419321</v>
      </c>
      <c r="OX48" s="168"/>
      <c r="OY48" s="168"/>
      <c r="OZ48" s="168"/>
      <c r="PA48" s="168"/>
      <c r="PB48" s="168">
        <f>PB11-'Bloom Cleaner Data'!GA11</f>
        <v>-0.58378053577238731</v>
      </c>
      <c r="PC48" s="168"/>
      <c r="PD48" s="168"/>
    </row>
    <row r="49" spans="1:420">
      <c r="A49" s="5"/>
      <c r="B49" s="3125" t="s">
        <v>285</v>
      </c>
      <c r="C49" s="1180"/>
      <c r="D49" s="237"/>
      <c r="E49" s="237"/>
      <c r="F49" s="237"/>
      <c r="G49" s="237"/>
      <c r="H49" s="237"/>
      <c r="I49" s="23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c r="BU49" s="237"/>
      <c r="BV49" s="237"/>
      <c r="BW49" s="237"/>
      <c r="BX49" s="237"/>
      <c r="BY49" s="237"/>
      <c r="BZ49" s="237"/>
      <c r="CA49" s="237"/>
      <c r="CB49" s="237"/>
      <c r="CC49" s="237"/>
      <c r="CD49" s="237"/>
      <c r="CE49" s="237"/>
      <c r="CF49" s="237"/>
      <c r="CG49" s="237"/>
      <c r="CH49" s="237"/>
      <c r="CI49" s="237"/>
      <c r="CJ49" s="237"/>
      <c r="CK49" s="237"/>
      <c r="CL49" s="237"/>
      <c r="CM49" s="237"/>
      <c r="CN49" s="237"/>
      <c r="CO49" s="237"/>
      <c r="CP49" s="237"/>
      <c r="CQ49" s="237"/>
      <c r="CR49" s="237"/>
      <c r="CS49" s="237"/>
      <c r="CT49" s="237"/>
      <c r="CU49" s="237"/>
      <c r="CV49" s="237"/>
      <c r="CW49" s="237"/>
      <c r="CX49" s="237"/>
      <c r="CY49" s="237"/>
      <c r="CZ49" s="237"/>
      <c r="DA49" s="237"/>
      <c r="DB49" s="237"/>
      <c r="DC49" s="237"/>
      <c r="DD49" s="237"/>
      <c r="DE49" s="237"/>
      <c r="DF49" s="237"/>
      <c r="DG49" s="237"/>
      <c r="DH49" s="237"/>
      <c r="DI49" s="237"/>
      <c r="DJ49" s="237"/>
      <c r="DK49" s="237"/>
      <c r="DL49" s="237"/>
      <c r="DM49" s="237"/>
      <c r="DN49" s="237"/>
      <c r="DO49" s="237"/>
      <c r="DP49" s="237"/>
      <c r="DQ49" s="237"/>
      <c r="DR49" s="237"/>
      <c r="DS49" s="237"/>
      <c r="DT49" s="237"/>
      <c r="DU49" s="237"/>
      <c r="DV49" s="237"/>
      <c r="DW49" s="237"/>
      <c r="DX49" s="237"/>
      <c r="DY49" s="237"/>
      <c r="DZ49" s="237"/>
      <c r="EA49" s="237"/>
      <c r="EB49" s="237"/>
      <c r="EC49" s="237"/>
      <c r="ED49" s="237"/>
      <c r="EE49" s="237"/>
      <c r="EF49" s="237"/>
      <c r="EG49" s="237"/>
      <c r="EH49" s="237"/>
      <c r="EI49" s="237"/>
      <c r="EJ49" s="237"/>
      <c r="EK49" s="237"/>
      <c r="EL49" s="1088"/>
      <c r="EM49" s="1089"/>
      <c r="EN49" s="1089"/>
      <c r="EO49" s="1089"/>
      <c r="EP49" s="1089"/>
      <c r="EQ49" s="1089"/>
      <c r="ER49" s="1089"/>
      <c r="ES49" s="1089"/>
      <c r="ET49" s="1089"/>
      <c r="EU49" s="1089"/>
      <c r="EV49" s="1089"/>
      <c r="EW49" s="1089"/>
      <c r="EX49" s="1089"/>
      <c r="EY49" s="1089"/>
      <c r="EZ49" s="1089"/>
      <c r="FA49" s="1089"/>
      <c r="FB49" s="236"/>
      <c r="FC49" s="236"/>
      <c r="FD49" s="1089"/>
      <c r="FE49" s="1089"/>
      <c r="FF49" s="1089"/>
      <c r="FG49" s="1089"/>
      <c r="FH49" s="1089"/>
      <c r="FI49" s="1089"/>
      <c r="FJ49" s="1089"/>
      <c r="FK49" s="1089"/>
      <c r="FL49" s="1089"/>
      <c r="FM49" s="1089"/>
      <c r="FN49" s="1089"/>
      <c r="FO49" s="1089"/>
      <c r="FP49" s="1089"/>
      <c r="FQ49" s="1089"/>
      <c r="FR49" s="1089"/>
      <c r="FS49" s="1089"/>
      <c r="FT49" s="1089"/>
      <c r="FU49" s="1089"/>
      <c r="FV49" s="1089"/>
      <c r="FW49" s="1089"/>
      <c r="FX49" s="1089"/>
      <c r="FY49" s="1089"/>
      <c r="FZ49" s="1089"/>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860">
        <f t="shared" si="156"/>
        <v>0.23741684062374188</v>
      </c>
      <c r="HL49" s="2860">
        <f t="shared" si="153"/>
        <v>0.26799679924518788</v>
      </c>
      <c r="HM49" s="2860">
        <f t="shared" si="153"/>
        <v>0.26652313843845671</v>
      </c>
      <c r="HN49" s="2860">
        <f t="shared" si="153"/>
        <v>0.22818802111375897</v>
      </c>
      <c r="HO49" s="2860">
        <f t="shared" si="153"/>
        <v>0.23394833458408631</v>
      </c>
      <c r="HP49" s="2860">
        <f t="shared" si="153"/>
        <v>0.25442854691165689</v>
      </c>
      <c r="HQ49" s="2860">
        <f t="shared" si="153"/>
        <v>0.28992066859249549</v>
      </c>
      <c r="HR49" s="2860">
        <f t="shared" si="153"/>
        <v>0.2101669357185432</v>
      </c>
      <c r="HS49" s="2860">
        <f t="shared" si="153"/>
        <v>0.2708811432874707</v>
      </c>
      <c r="HT49" s="2860">
        <f t="shared" si="153"/>
        <v>0.2391392155588524</v>
      </c>
      <c r="HU49" s="2860">
        <f t="shared" si="153"/>
        <v>0.29077004313038934</v>
      </c>
      <c r="HV49" s="2860">
        <f t="shared" si="153"/>
        <v>0.25963288458602424</v>
      </c>
      <c r="HW49" s="2860">
        <f t="shared" si="153"/>
        <v>0.25787608282786412</v>
      </c>
      <c r="HX49" s="2860">
        <f t="shared" si="153"/>
        <v>0.27925914637198268</v>
      </c>
      <c r="HY49" s="2860">
        <f t="shared" si="153"/>
        <v>0.32061814749302248</v>
      </c>
      <c r="HZ49" s="2860">
        <f t="shared" si="157"/>
        <v>0.2616424852780464</v>
      </c>
      <c r="IA49" s="236"/>
      <c r="IB49" s="236"/>
      <c r="IC49" s="236"/>
      <c r="ID49" s="236"/>
      <c r="IE49" s="236"/>
      <c r="IF49" s="236"/>
      <c r="IG49" s="236"/>
      <c r="IH49" s="236"/>
      <c r="II49" s="236"/>
      <c r="IJ49" s="236"/>
      <c r="IK49" s="236"/>
      <c r="IL49" s="236"/>
      <c r="IM49" s="236"/>
      <c r="IN49" s="236"/>
      <c r="IO49" s="236"/>
      <c r="IP49" s="236"/>
      <c r="IQ49" s="236"/>
      <c r="IR49" s="236"/>
      <c r="IS49" s="236"/>
      <c r="IT49" s="236"/>
      <c r="IU49" s="236"/>
      <c r="IV49" s="236"/>
      <c r="IW49" s="236"/>
      <c r="IX49" s="236"/>
      <c r="IY49" s="236"/>
      <c r="IZ49" s="236"/>
      <c r="JA49" s="236"/>
      <c r="JB49" s="236"/>
      <c r="JC49" s="236"/>
      <c r="JD49" s="236"/>
      <c r="JE49" s="236"/>
      <c r="JF49" s="236"/>
      <c r="JG49" s="236"/>
      <c r="JH49" s="236"/>
      <c r="JI49" s="236"/>
      <c r="JJ49" s="236"/>
      <c r="JK49" s="236"/>
      <c r="JL49" s="236"/>
      <c r="JM49" s="236"/>
      <c r="JN49" s="236"/>
      <c r="JO49" s="236"/>
      <c r="JP49" s="236"/>
      <c r="JQ49" s="236"/>
      <c r="JR49" s="236"/>
      <c r="JS49" s="236"/>
      <c r="JT49" s="236"/>
      <c r="JU49" s="236"/>
      <c r="JV49" s="236"/>
      <c r="JW49" s="236"/>
      <c r="JX49" s="236"/>
      <c r="JY49" s="236"/>
      <c r="JZ49" s="236"/>
      <c r="KA49" s="236"/>
      <c r="KB49" s="236"/>
      <c r="KC49" s="236"/>
      <c r="KD49" s="236"/>
      <c r="KE49" s="236"/>
      <c r="KF49" s="236"/>
      <c r="KG49" s="236"/>
      <c r="KH49" s="236"/>
      <c r="KI49" s="236"/>
      <c r="KJ49" s="236"/>
      <c r="KK49" s="236"/>
      <c r="KL49" s="236"/>
      <c r="KM49" s="236"/>
      <c r="KN49" s="236"/>
      <c r="KO49" s="236"/>
      <c r="KP49" s="236"/>
      <c r="KQ49" s="236"/>
      <c r="KR49" s="236"/>
      <c r="KS49" s="236"/>
      <c r="KT49" s="236"/>
      <c r="KU49" s="236"/>
      <c r="KV49" s="236"/>
      <c r="KW49" s="236"/>
      <c r="KX49" s="236"/>
      <c r="KY49" s="236"/>
      <c r="KZ49" s="236"/>
      <c r="LA49" s="236"/>
      <c r="LB49" s="236"/>
      <c r="LC49" s="236"/>
      <c r="LD49" s="236"/>
      <c r="LE49" s="236"/>
      <c r="LF49" s="236"/>
      <c r="LG49" s="236"/>
      <c r="LH49" s="236"/>
      <c r="LI49" s="236"/>
      <c r="LJ49" s="236"/>
      <c r="LK49" s="236"/>
      <c r="LL49" s="236"/>
      <c r="LM49" s="236"/>
      <c r="LN49" s="236"/>
      <c r="LO49" s="236"/>
      <c r="LP49" s="236"/>
      <c r="LQ49" s="236"/>
      <c r="LR49" s="236"/>
      <c r="LS49" s="236"/>
      <c r="LT49" s="236"/>
      <c r="LU49" s="236"/>
      <c r="LV49" s="236"/>
      <c r="LW49" s="236"/>
      <c r="LX49" s="236"/>
      <c r="LY49" s="236"/>
      <c r="LZ49" s="236"/>
      <c r="MA49" s="236"/>
      <c r="MB49" s="236"/>
      <c r="MC49" s="236"/>
      <c r="MD49" s="236"/>
      <c r="ME49" s="236"/>
      <c r="MF49" s="73" t="s">
        <v>285</v>
      </c>
      <c r="MG49" s="168">
        <f t="shared" si="158"/>
        <v>1.8325143867397014</v>
      </c>
      <c r="MH49" s="168">
        <f t="shared" ref="MH49:MU49" si="179">MH12+0.2</f>
        <v>2.0197714287010742</v>
      </c>
      <c r="MI49" s="168">
        <f t="shared" si="179"/>
        <v>1.8913347725424037</v>
      </c>
      <c r="MJ49" s="168">
        <f t="shared" si="179"/>
        <v>1.8183069007717108</v>
      </c>
      <c r="MK49" s="168">
        <f t="shared" si="179"/>
        <v>1.9427418026588441</v>
      </c>
      <c r="ML49" s="168">
        <f t="shared" si="179"/>
        <v>1.9465842537849629</v>
      </c>
      <c r="MM49" s="168">
        <f t="shared" si="179"/>
        <v>2.1541042901464511</v>
      </c>
      <c r="MN49" s="168">
        <f t="shared" si="179"/>
        <v>1.5561257602847614</v>
      </c>
      <c r="MO49" s="168">
        <f t="shared" si="179"/>
        <v>2.0912304663558938</v>
      </c>
      <c r="MP49" s="168">
        <f t="shared" si="179"/>
        <v>1.997931492658229</v>
      </c>
      <c r="MQ49" s="168">
        <f t="shared" si="179"/>
        <v>2.2145323916094113</v>
      </c>
      <c r="MR49" s="168">
        <f t="shared" si="179"/>
        <v>2.088311509351604</v>
      </c>
      <c r="MS49" s="168">
        <f t="shared" si="179"/>
        <v>2.0578714595905927</v>
      </c>
      <c r="MT49" s="168">
        <f t="shared" si="179"/>
        <v>2.1277912349165256</v>
      </c>
      <c r="MU49" s="168">
        <f t="shared" si="179"/>
        <v>2.527291789938146</v>
      </c>
      <c r="MV49" s="11"/>
      <c r="MW49" s="168">
        <f t="shared" ref="MW49" si="180">MW12+0.2</f>
        <v>2.2376514948150881</v>
      </c>
      <c r="MX49" s="11"/>
      <c r="MY49" s="168">
        <f t="shared" ref="MY49" si="181">MY12+0.2</f>
        <v>2.200316498449217</v>
      </c>
      <c r="MZ49" s="168">
        <f t="shared" si="155"/>
        <v>2.0318583172776568</v>
      </c>
      <c r="NA49" s="236"/>
      <c r="NB49" s="236"/>
      <c r="NC49" s="236"/>
      <c r="ND49" s="236"/>
      <c r="NE49" s="236"/>
      <c r="NF49" s="236"/>
      <c r="NG49" s="236"/>
      <c r="NH49" s="236"/>
      <c r="NI49" s="236"/>
      <c r="NJ49" s="236"/>
      <c r="NK49" s="236"/>
      <c r="NL49" s="236"/>
      <c r="NM49" s="236"/>
      <c r="NN49" s="236"/>
      <c r="NO49" s="236"/>
      <c r="NP49" s="236"/>
      <c r="NQ49" s="236"/>
      <c r="NR49" s="236"/>
      <c r="NS49" s="236"/>
      <c r="NT49" s="236"/>
      <c r="NU49" s="236"/>
      <c r="NV49" s="236"/>
      <c r="NW49" s="236"/>
      <c r="NX49" s="236"/>
      <c r="NY49" s="236"/>
      <c r="NZ49" s="236"/>
      <c r="OA49" s="236"/>
      <c r="OB49" s="236"/>
      <c r="OC49" s="236"/>
      <c r="OD49" s="236"/>
      <c r="OE49" s="236"/>
      <c r="OF49" s="236"/>
      <c r="OG49" s="236"/>
      <c r="OH49" s="236"/>
      <c r="OI49" s="236"/>
      <c r="OJ49" s="236"/>
      <c r="OK49" s="236"/>
      <c r="OL49" s="236"/>
      <c r="OM49" s="236"/>
      <c r="ON49" s="236"/>
      <c r="OO49" s="236"/>
      <c r="OP49" s="168"/>
      <c r="OQ49" s="168">
        <f>OQ12-'Bloom Cleaner Data'!FP12</f>
        <v>0.16848249706763996</v>
      </c>
      <c r="OR49" s="168">
        <f>OR12-'Bloom Cleaner Data'!FQ12</f>
        <v>0.14184959752321946</v>
      </c>
      <c r="OS49" s="168">
        <f>OS12-'Bloom Cleaner Data'!FR12</f>
        <v>0.16037489836217933</v>
      </c>
      <c r="OT49" s="168"/>
      <c r="OU49" s="168">
        <f>OU12-'Bloom Cleaner Data'!FT12</f>
        <v>7.111799049558698E-2</v>
      </c>
      <c r="OV49" s="168">
        <f>OV12-'Bloom Cleaner Data'!FU12</f>
        <v>6.1639726727110045E-2</v>
      </c>
      <c r="OW49" s="168">
        <f>OW12-'Bloom Cleaner Data'!FV12</f>
        <v>6.6262447960033111E-2</v>
      </c>
      <c r="OX49" s="168"/>
      <c r="OY49" s="168"/>
      <c r="OZ49" s="168"/>
      <c r="PA49" s="168"/>
      <c r="PB49" s="168"/>
      <c r="PC49" s="168"/>
      <c r="PD49" s="168"/>
    </row>
    <row r="50" spans="1:420">
      <c r="A50" s="5"/>
      <c r="B50" s="3125" t="s">
        <v>287</v>
      </c>
      <c r="C50" s="1180"/>
      <c r="D50" s="237"/>
      <c r="E50" s="237"/>
      <c r="F50" s="237"/>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c r="BU50" s="237"/>
      <c r="BV50" s="237"/>
      <c r="BW50" s="237"/>
      <c r="BX50" s="237"/>
      <c r="BY50" s="237"/>
      <c r="BZ50" s="237"/>
      <c r="CA50" s="237"/>
      <c r="CB50" s="237"/>
      <c r="CC50" s="237"/>
      <c r="CD50" s="237"/>
      <c r="CE50" s="237"/>
      <c r="CF50" s="237"/>
      <c r="CG50" s="237"/>
      <c r="CH50" s="237"/>
      <c r="CI50" s="237"/>
      <c r="CJ50" s="237"/>
      <c r="CK50" s="237"/>
      <c r="CL50" s="237"/>
      <c r="CM50" s="237"/>
      <c r="CN50" s="237"/>
      <c r="CO50" s="237"/>
      <c r="CP50" s="237"/>
      <c r="CQ50" s="237"/>
      <c r="CR50" s="237"/>
      <c r="CS50" s="237"/>
      <c r="CT50" s="237"/>
      <c r="CU50" s="237"/>
      <c r="CV50" s="237"/>
      <c r="CW50" s="237"/>
      <c r="CX50" s="237"/>
      <c r="CY50" s="237"/>
      <c r="CZ50" s="237"/>
      <c r="DA50" s="237"/>
      <c r="DB50" s="237"/>
      <c r="DC50" s="237"/>
      <c r="DD50" s="237"/>
      <c r="DE50" s="237"/>
      <c r="DF50" s="237"/>
      <c r="DG50" s="237"/>
      <c r="DH50" s="237"/>
      <c r="DI50" s="237"/>
      <c r="DJ50" s="237"/>
      <c r="DK50" s="237"/>
      <c r="DL50" s="237"/>
      <c r="DM50" s="237"/>
      <c r="DN50" s="237"/>
      <c r="DO50" s="237"/>
      <c r="DP50" s="237"/>
      <c r="DQ50" s="237"/>
      <c r="DR50" s="237"/>
      <c r="DS50" s="237"/>
      <c r="DT50" s="237"/>
      <c r="DU50" s="237"/>
      <c r="DV50" s="237"/>
      <c r="DW50" s="237"/>
      <c r="DX50" s="237"/>
      <c r="DY50" s="237"/>
      <c r="DZ50" s="237"/>
      <c r="EA50" s="237"/>
      <c r="EB50" s="237"/>
      <c r="EC50" s="237"/>
      <c r="ED50" s="237"/>
      <c r="EE50" s="237"/>
      <c r="EF50" s="237"/>
      <c r="EG50" s="237"/>
      <c r="EH50" s="237"/>
      <c r="EI50" s="237"/>
      <c r="EJ50" s="237"/>
      <c r="EK50" s="237"/>
      <c r="EL50" s="1088"/>
      <c r="EM50" s="1089"/>
      <c r="EN50" s="1089"/>
      <c r="EO50" s="1089"/>
      <c r="EP50" s="1089"/>
      <c r="EQ50" s="1089"/>
      <c r="ER50" s="1089"/>
      <c r="ES50" s="1089"/>
      <c r="ET50" s="1089"/>
      <c r="EU50" s="1089"/>
      <c r="EV50" s="1089"/>
      <c r="EW50" s="1089"/>
      <c r="EX50" s="1089"/>
      <c r="EY50" s="1089"/>
      <c r="EZ50" s="1089"/>
      <c r="FA50" s="1089"/>
      <c r="FB50" s="236"/>
      <c r="FC50" s="236"/>
      <c r="FD50" s="1089"/>
      <c r="FE50" s="1089"/>
      <c r="FF50" s="1089"/>
      <c r="FG50" s="1089"/>
      <c r="FH50" s="1089"/>
      <c r="FI50" s="1089"/>
      <c r="FJ50" s="1089"/>
      <c r="FK50" s="1089"/>
      <c r="FL50" s="1089"/>
      <c r="FM50" s="1089"/>
      <c r="FN50" s="1089"/>
      <c r="FO50" s="1089"/>
      <c r="FP50" s="1089"/>
      <c r="FQ50" s="1089"/>
      <c r="FR50" s="1089"/>
      <c r="FS50" s="1089"/>
      <c r="FT50" s="1089"/>
      <c r="FU50" s="1089"/>
      <c r="FV50" s="1089"/>
      <c r="FW50" s="1089"/>
      <c r="FX50" s="1089"/>
      <c r="FY50" s="1089"/>
      <c r="FZ50" s="1089"/>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860">
        <f t="shared" si="156"/>
        <v>0.12941783528588477</v>
      </c>
      <c r="HL50" s="2860">
        <f t="shared" si="153"/>
        <v>0.14836250322021755</v>
      </c>
      <c r="HM50" s="2860">
        <f t="shared" si="153"/>
        <v>0.17191191489292371</v>
      </c>
      <c r="HN50" s="2860">
        <f t="shared" si="153"/>
        <v>0.15137838182597377</v>
      </c>
      <c r="HO50" s="2860">
        <f t="shared" si="153"/>
        <v>0.13456596409720589</v>
      </c>
      <c r="HP50" s="2860">
        <f t="shared" si="153"/>
        <v>0.13952791063486325</v>
      </c>
      <c r="HQ50" s="2860">
        <f t="shared" si="153"/>
        <v>0.14383983524363131</v>
      </c>
      <c r="HR50" s="2860">
        <f t="shared" si="153"/>
        <v>0.17024272073270599</v>
      </c>
      <c r="HS50" s="2860">
        <f t="shared" si="153"/>
        <v>0.19340865762048937</v>
      </c>
      <c r="HT50" s="2860">
        <f t="shared" si="153"/>
        <v>0.18878175927414945</v>
      </c>
      <c r="HU50" s="2860">
        <f t="shared" si="153"/>
        <v>0.18488503570511355</v>
      </c>
      <c r="HV50" s="2860">
        <f t="shared" si="153"/>
        <v>0.17224351757113707</v>
      </c>
      <c r="HW50" s="2860">
        <f t="shared" si="153"/>
        <v>0.16091197440640848</v>
      </c>
      <c r="HX50" s="2860">
        <f t="shared" si="153"/>
        <v>0.14303347616444623</v>
      </c>
      <c r="HY50" s="2860">
        <f t="shared" si="153"/>
        <v>0.12849893093161849</v>
      </c>
      <c r="HZ50" s="2860">
        <f t="shared" si="157"/>
        <v>0.16024846762312819</v>
      </c>
      <c r="IA50" s="236"/>
      <c r="IB50" s="236"/>
      <c r="IC50" s="236"/>
      <c r="ID50" s="236"/>
      <c r="IE50" s="236"/>
      <c r="IF50" s="236"/>
      <c r="IG50" s="236"/>
      <c r="IH50" s="236"/>
      <c r="II50" s="236"/>
      <c r="IJ50" s="236"/>
      <c r="IK50" s="236"/>
      <c r="IL50" s="236"/>
      <c r="IM50" s="236"/>
      <c r="IN50" s="236"/>
      <c r="IO50" s="236"/>
      <c r="IP50" s="236"/>
      <c r="IQ50" s="236"/>
      <c r="IR50" s="236"/>
      <c r="IS50" s="236"/>
      <c r="IT50" s="236"/>
      <c r="IU50" s="236"/>
      <c r="IV50" s="236"/>
      <c r="IW50" s="236"/>
      <c r="IX50" s="236"/>
      <c r="IY50" s="236"/>
      <c r="IZ50" s="236"/>
      <c r="JA50" s="236"/>
      <c r="JB50" s="236"/>
      <c r="JC50" s="236"/>
      <c r="JD50" s="236"/>
      <c r="JE50" s="236"/>
      <c r="JF50" s="236"/>
      <c r="JG50" s="236"/>
      <c r="JH50" s="236"/>
      <c r="JI50" s="236"/>
      <c r="JJ50" s="236"/>
      <c r="JK50" s="236"/>
      <c r="JL50" s="236"/>
      <c r="JM50" s="236"/>
      <c r="JN50" s="236"/>
      <c r="JO50" s="236"/>
      <c r="JP50" s="236"/>
      <c r="JQ50" s="236"/>
      <c r="JR50" s="236"/>
      <c r="JS50" s="236"/>
      <c r="JT50" s="236"/>
      <c r="JU50" s="236"/>
      <c r="JV50" s="236"/>
      <c r="JW50" s="236"/>
      <c r="JX50" s="236"/>
      <c r="JY50" s="236"/>
      <c r="JZ50" s="236"/>
      <c r="KA50" s="236"/>
      <c r="KB50" s="236"/>
      <c r="KC50" s="236"/>
      <c r="KD50" s="236"/>
      <c r="KE50" s="236"/>
      <c r="KF50" s="236"/>
      <c r="KG50" s="236"/>
      <c r="KH50" s="236"/>
      <c r="KI50" s="236"/>
      <c r="KJ50" s="236"/>
      <c r="KK50" s="236"/>
      <c r="KL50" s="236"/>
      <c r="KM50" s="236"/>
      <c r="KN50" s="236"/>
      <c r="KO50" s="236"/>
      <c r="KP50" s="236"/>
      <c r="KQ50" s="236"/>
      <c r="KR50" s="236"/>
      <c r="KS50" s="236"/>
      <c r="KT50" s="236"/>
      <c r="KU50" s="236"/>
      <c r="KV50" s="236"/>
      <c r="KW50" s="236"/>
      <c r="KX50" s="236"/>
      <c r="KY50" s="236"/>
      <c r="KZ50" s="236"/>
      <c r="LA50" s="236"/>
      <c r="LB50" s="236"/>
      <c r="LC50" s="236"/>
      <c r="LD50" s="236"/>
      <c r="LE50" s="236"/>
      <c r="LF50" s="236"/>
      <c r="LG50" s="236"/>
      <c r="LH50" s="236"/>
      <c r="LI50" s="236"/>
      <c r="LJ50" s="236"/>
      <c r="LK50" s="236"/>
      <c r="LL50" s="236"/>
      <c r="LM50" s="236"/>
      <c r="LN50" s="236"/>
      <c r="LO50" s="236"/>
      <c r="LP50" s="236"/>
      <c r="LQ50" s="236"/>
      <c r="LR50" s="236"/>
      <c r="LS50" s="236"/>
      <c r="LT50" s="236"/>
      <c r="LU50" s="236"/>
      <c r="LV50" s="236"/>
      <c r="LW50" s="236"/>
      <c r="LX50" s="236"/>
      <c r="LY50" s="236"/>
      <c r="LZ50" s="236"/>
      <c r="MA50" s="236"/>
      <c r="MB50" s="236"/>
      <c r="MC50" s="236"/>
      <c r="MD50" s="236"/>
      <c r="ME50" s="236"/>
      <c r="MF50" s="73" t="s">
        <v>287</v>
      </c>
      <c r="MG50" s="168">
        <f t="shared" si="158"/>
        <v>1.24619442158067</v>
      </c>
      <c r="MH50" s="168">
        <f t="shared" ref="MH50:MU50" si="182">MH13+0.2</f>
        <v>1.4700688372321931</v>
      </c>
      <c r="MI50" s="168">
        <f t="shared" si="182"/>
        <v>1.60426558606956</v>
      </c>
      <c r="MJ50" s="168">
        <f t="shared" si="182"/>
        <v>1.3916381725697906</v>
      </c>
      <c r="MK50" s="168">
        <f t="shared" si="182"/>
        <v>1.1733747472752558</v>
      </c>
      <c r="ML50" s="168">
        <f t="shared" si="182"/>
        <v>1.2393176958664498</v>
      </c>
      <c r="MM50" s="168">
        <f t="shared" si="182"/>
        <v>1.3023005347749153</v>
      </c>
      <c r="MN50" s="168">
        <f t="shared" si="182"/>
        <v>1.5570234043172304</v>
      </c>
      <c r="MO50" s="168">
        <f t="shared" si="182"/>
        <v>1.7847853386339634</v>
      </c>
      <c r="MP50" s="168">
        <f t="shared" si="182"/>
        <v>1.8415648713702955</v>
      </c>
      <c r="MQ50" s="168">
        <f t="shared" si="182"/>
        <v>1.8981552639439561</v>
      </c>
      <c r="MR50" s="168">
        <f t="shared" si="182"/>
        <v>1.9946358940388176</v>
      </c>
      <c r="MS50" s="168">
        <f t="shared" si="182"/>
        <v>2.0829531980701024</v>
      </c>
      <c r="MT50" s="168">
        <f t="shared" si="182"/>
        <v>1.7258378941331214</v>
      </c>
      <c r="MU50" s="168">
        <f t="shared" si="182"/>
        <v>1.4892026320099023</v>
      </c>
      <c r="MV50" s="11"/>
      <c r="MW50" s="168">
        <f t="shared" ref="MW50" si="183">MW13+0.2</f>
        <v>1.765997908071042</v>
      </c>
      <c r="MX50" s="11"/>
      <c r="MY50" s="168">
        <f t="shared" ref="MY50" si="184">MY13+0.2</f>
        <v>1.8231574045629859</v>
      </c>
      <c r="MZ50" s="168">
        <f t="shared" si="155"/>
        <v>1.621927325621028</v>
      </c>
      <c r="NA50" s="236"/>
      <c r="NB50" s="236"/>
      <c r="NC50" s="236"/>
      <c r="ND50" s="236"/>
      <c r="NE50" s="236"/>
      <c r="NF50" s="236"/>
      <c r="NG50" s="236"/>
      <c r="NH50" s="236"/>
      <c r="NI50" s="236"/>
      <c r="NJ50" s="236"/>
      <c r="NK50" s="236"/>
      <c r="NL50" s="236"/>
      <c r="NM50" s="236"/>
      <c r="NN50" s="236"/>
      <c r="NO50" s="236"/>
      <c r="NP50" s="236"/>
      <c r="NQ50" s="236"/>
      <c r="NR50" s="236"/>
      <c r="NS50" s="236"/>
      <c r="NT50" s="236"/>
      <c r="NU50" s="236"/>
      <c r="NV50" s="236"/>
      <c r="NW50" s="236"/>
      <c r="NX50" s="236"/>
      <c r="NY50" s="236"/>
      <c r="NZ50" s="236"/>
      <c r="OA50" s="236"/>
      <c r="OB50" s="236"/>
      <c r="OC50" s="236"/>
      <c r="OD50" s="236"/>
      <c r="OE50" s="236"/>
      <c r="OF50" s="236"/>
      <c r="OG50" s="236"/>
      <c r="OH50" s="236"/>
      <c r="OI50" s="236"/>
      <c r="OJ50" s="236"/>
      <c r="OK50" s="236"/>
      <c r="OL50" s="236"/>
      <c r="OM50" s="236"/>
      <c r="ON50" s="236"/>
      <c r="OO50" s="236"/>
      <c r="OP50" s="28">
        <f>OP13-'Bloom Cleaner Data'!FO13</f>
        <v>-4.1804450491227385E-3</v>
      </c>
      <c r="OQ50" s="175">
        <f>OQ13-'Bloom Cleaner Data'!FP13</f>
        <v>-0.68125298242512766</v>
      </c>
      <c r="OR50" s="28">
        <f>OR13-'Bloom Cleaner Data'!FQ13</f>
        <v>-2.8176024503201447E-3</v>
      </c>
      <c r="OS50" s="175">
        <f>OS13-'Bloom Cleaner Data'!FR13</f>
        <v>-0.56737279055532719</v>
      </c>
      <c r="OT50" s="28">
        <f>OT13-'Bloom Cleaner Data'!FS13</f>
        <v>-1.8240549585986088E-3</v>
      </c>
      <c r="OU50" s="175">
        <f>OU13-'Bloom Cleaner Data'!FT13</f>
        <v>-0.13954990354825458</v>
      </c>
      <c r="OV50" s="28">
        <f>OV13-'Bloom Cleaner Data'!FU13</f>
        <v>-1.0106500911453153E-3</v>
      </c>
      <c r="OW50" s="175">
        <f>OW13-'Bloom Cleaner Data'!FV13</f>
        <v>4.6726104165449645E-2</v>
      </c>
      <c r="OX50" s="28"/>
      <c r="OY50" s="175"/>
      <c r="OZ50" s="28"/>
      <c r="PA50" s="175"/>
      <c r="PB50" s="28">
        <f>PB13-'Bloom Cleaner Data'!GA13</f>
        <v>-3.6171861471423483E-5</v>
      </c>
      <c r="PC50" s="175"/>
      <c r="PD50" s="28"/>
    </row>
    <row r="51" spans="1:420">
      <c r="A51" s="5"/>
      <c r="B51" s="3125" t="s">
        <v>288</v>
      </c>
      <c r="C51" s="1180"/>
      <c r="D51" s="237"/>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c r="BQ51" s="237"/>
      <c r="BR51" s="237"/>
      <c r="BS51" s="237"/>
      <c r="BT51" s="237"/>
      <c r="BU51" s="237"/>
      <c r="BV51" s="237"/>
      <c r="BW51" s="237"/>
      <c r="BX51" s="237"/>
      <c r="BY51" s="237"/>
      <c r="BZ51" s="237"/>
      <c r="CA51" s="237"/>
      <c r="CB51" s="237"/>
      <c r="CC51" s="237"/>
      <c r="CD51" s="237"/>
      <c r="CE51" s="237"/>
      <c r="CF51" s="237"/>
      <c r="CG51" s="237"/>
      <c r="CH51" s="237"/>
      <c r="CI51" s="237"/>
      <c r="CJ51" s="237"/>
      <c r="CK51" s="237"/>
      <c r="CL51" s="237"/>
      <c r="CM51" s="237"/>
      <c r="CN51" s="237"/>
      <c r="CO51" s="237"/>
      <c r="CP51" s="237"/>
      <c r="CQ51" s="237"/>
      <c r="CR51" s="237"/>
      <c r="CS51" s="237"/>
      <c r="CT51" s="237"/>
      <c r="CU51" s="237"/>
      <c r="CV51" s="237"/>
      <c r="CW51" s="237"/>
      <c r="CX51" s="237"/>
      <c r="CY51" s="237"/>
      <c r="CZ51" s="237"/>
      <c r="DA51" s="237"/>
      <c r="DB51" s="237"/>
      <c r="DC51" s="237"/>
      <c r="DD51" s="237"/>
      <c r="DE51" s="237"/>
      <c r="DF51" s="237"/>
      <c r="DG51" s="237"/>
      <c r="DH51" s="237"/>
      <c r="DI51" s="237"/>
      <c r="DJ51" s="237"/>
      <c r="DK51" s="237"/>
      <c r="DL51" s="237"/>
      <c r="DM51" s="237"/>
      <c r="DN51" s="237"/>
      <c r="DO51" s="237"/>
      <c r="DP51" s="237"/>
      <c r="DQ51" s="237"/>
      <c r="DR51" s="237"/>
      <c r="DS51" s="237"/>
      <c r="DT51" s="237"/>
      <c r="DU51" s="237"/>
      <c r="DV51" s="237"/>
      <c r="DW51" s="237"/>
      <c r="DX51" s="237"/>
      <c r="DY51" s="237"/>
      <c r="DZ51" s="237"/>
      <c r="EA51" s="237"/>
      <c r="EB51" s="237"/>
      <c r="EC51" s="237"/>
      <c r="ED51" s="237"/>
      <c r="EE51" s="237"/>
      <c r="EF51" s="237"/>
      <c r="EG51" s="237"/>
      <c r="EH51" s="237"/>
      <c r="EI51" s="237"/>
      <c r="EJ51" s="237"/>
      <c r="EK51" s="237"/>
      <c r="EL51" s="1088"/>
      <c r="EM51" s="1089"/>
      <c r="EN51" s="1089"/>
      <c r="EO51" s="1089"/>
      <c r="EP51" s="1089"/>
      <c r="EQ51" s="1089"/>
      <c r="ER51" s="1089"/>
      <c r="ES51" s="1089"/>
      <c r="ET51" s="1089"/>
      <c r="EU51" s="1089"/>
      <c r="EV51" s="1089"/>
      <c r="EW51" s="1089"/>
      <c r="EX51" s="1089"/>
      <c r="EY51" s="1089"/>
      <c r="EZ51" s="1089"/>
      <c r="FA51" s="1089"/>
      <c r="FB51" s="236"/>
      <c r="FC51" s="236"/>
      <c r="FD51" s="1089"/>
      <c r="FE51" s="1089"/>
      <c r="FF51" s="1089"/>
      <c r="FG51" s="1089"/>
      <c r="FH51" s="1089"/>
      <c r="FI51" s="1089"/>
      <c r="FJ51" s="1089"/>
      <c r="FK51" s="1089"/>
      <c r="FL51" s="1089"/>
      <c r="FM51" s="1089"/>
      <c r="FN51" s="1089"/>
      <c r="FO51" s="1089"/>
      <c r="FP51" s="1089"/>
      <c r="FQ51" s="1089"/>
      <c r="FR51" s="1089"/>
      <c r="FS51" s="1089"/>
      <c r="FT51" s="1089"/>
      <c r="FU51" s="1089"/>
      <c r="FV51" s="1089"/>
      <c r="FW51" s="1089"/>
      <c r="FX51" s="1089"/>
      <c r="FY51" s="1089"/>
      <c r="FZ51" s="1089"/>
      <c r="GA51" s="236"/>
      <c r="GB51" s="236"/>
      <c r="GC51" s="236"/>
      <c r="GD51" s="236"/>
      <c r="GE51" s="236"/>
      <c r="GF51" s="236"/>
      <c r="GG51" s="236"/>
      <c r="GH51" s="236"/>
      <c r="GI51" s="236"/>
      <c r="GJ51" s="236"/>
      <c r="GK51" s="236"/>
      <c r="GL51" s="236"/>
      <c r="GM51" s="236"/>
      <c r="GN51" s="236"/>
      <c r="GO51" s="236"/>
      <c r="GP51" s="236"/>
      <c r="GQ51" s="236"/>
      <c r="GR51" s="236"/>
      <c r="GS51" s="236"/>
      <c r="GT51" s="236"/>
      <c r="GU51" s="236"/>
      <c r="GV51" s="236"/>
      <c r="GW51" s="236"/>
      <c r="GX51" s="236"/>
      <c r="GY51" s="236"/>
      <c r="GZ51" s="236"/>
      <c r="HA51" s="236"/>
      <c r="HB51" s="236"/>
      <c r="HC51" s="236"/>
      <c r="HD51" s="236"/>
      <c r="HE51" s="236"/>
      <c r="HF51" s="236"/>
      <c r="HG51" s="236"/>
      <c r="HH51" s="236"/>
      <c r="HI51" s="236"/>
      <c r="HJ51" s="236"/>
      <c r="HK51" s="2860">
        <f t="shared" si="156"/>
        <v>0.45470078502122796</v>
      </c>
      <c r="HL51" s="2860">
        <f t="shared" si="153"/>
        <v>0.48462960429046431</v>
      </c>
      <c r="HM51" s="2860">
        <f t="shared" si="153"/>
        <v>0.516976505862761</v>
      </c>
      <c r="HN51" s="2860">
        <f t="shared" si="153"/>
        <v>0.49315392325637686</v>
      </c>
      <c r="HO51" s="2860">
        <f t="shared" si="153"/>
        <v>0.46919315959316199</v>
      </c>
      <c r="HP51" s="2860">
        <f t="shared" si="153"/>
        <v>0.47877820044030561</v>
      </c>
      <c r="HQ51" s="2860">
        <f t="shared" si="153"/>
        <v>0.48860363603072154</v>
      </c>
      <c r="HR51" s="2860">
        <f t="shared" si="153"/>
        <v>0.50660256034708184</v>
      </c>
      <c r="HS51" s="2860">
        <f t="shared" si="153"/>
        <v>0.52683493315382302</v>
      </c>
      <c r="HT51" s="2860">
        <f t="shared" si="153"/>
        <v>0.55210478267619723</v>
      </c>
      <c r="HU51" s="2860">
        <f t="shared" si="153"/>
        <v>0.57846570352829951</v>
      </c>
      <c r="HV51" s="2860">
        <f t="shared" si="153"/>
        <v>0.60193554852555486</v>
      </c>
      <c r="HW51" s="2860">
        <f t="shared" si="153"/>
        <v>0.62775178035121393</v>
      </c>
      <c r="HX51" s="2860">
        <f t="shared" si="153"/>
        <v>0.64111973305713121</v>
      </c>
      <c r="HY51" s="2860">
        <f t="shared" si="153"/>
        <v>0.65530118542007598</v>
      </c>
      <c r="HZ51" s="2860">
        <f t="shared" si="157"/>
        <v>0.54898628094174651</v>
      </c>
      <c r="IA51" s="236"/>
      <c r="IB51" s="236"/>
      <c r="IC51" s="236"/>
      <c r="ID51" s="236"/>
      <c r="IE51" s="236"/>
      <c r="IF51" s="236"/>
      <c r="IG51" s="236"/>
      <c r="IH51" s="236"/>
      <c r="II51" s="236"/>
      <c r="IJ51" s="236"/>
      <c r="IK51" s="236"/>
      <c r="IL51" s="236"/>
      <c r="IM51" s="236"/>
      <c r="IN51" s="236"/>
      <c r="IO51" s="236"/>
      <c r="IP51" s="236"/>
      <c r="IQ51" s="236"/>
      <c r="IR51" s="236"/>
      <c r="IS51" s="236"/>
      <c r="IT51" s="236"/>
      <c r="IU51" s="236"/>
      <c r="IV51" s="236"/>
      <c r="IW51" s="236"/>
      <c r="IX51" s="236"/>
      <c r="IY51" s="236"/>
      <c r="IZ51" s="236"/>
      <c r="JA51" s="236"/>
      <c r="JB51" s="236"/>
      <c r="JC51" s="236"/>
      <c r="JD51" s="236"/>
      <c r="JE51" s="236"/>
      <c r="JF51" s="236"/>
      <c r="JG51" s="236"/>
      <c r="JH51" s="236"/>
      <c r="JI51" s="236"/>
      <c r="JJ51" s="236"/>
      <c r="JK51" s="236"/>
      <c r="JL51" s="236"/>
      <c r="JM51" s="236"/>
      <c r="JN51" s="236"/>
      <c r="JO51" s="236"/>
      <c r="JP51" s="236"/>
      <c r="JQ51" s="236"/>
      <c r="JR51" s="236"/>
      <c r="JS51" s="236"/>
      <c r="JT51" s="236"/>
      <c r="JU51" s="236"/>
      <c r="JV51" s="236"/>
      <c r="JW51" s="236"/>
      <c r="JX51" s="236"/>
      <c r="JY51" s="236"/>
      <c r="JZ51" s="236"/>
      <c r="KA51" s="236"/>
      <c r="KB51" s="236"/>
      <c r="KC51" s="236"/>
      <c r="KD51" s="236"/>
      <c r="KE51" s="236"/>
      <c r="KF51" s="236"/>
      <c r="KG51" s="236"/>
      <c r="KH51" s="236"/>
      <c r="KI51" s="236"/>
      <c r="KJ51" s="236"/>
      <c r="KK51" s="236"/>
      <c r="KL51" s="236"/>
      <c r="KM51" s="236"/>
      <c r="KN51" s="236"/>
      <c r="KO51" s="236"/>
      <c r="KP51" s="236"/>
      <c r="KQ51" s="236"/>
      <c r="KR51" s="236"/>
      <c r="KS51" s="236"/>
      <c r="KT51" s="236"/>
      <c r="KU51" s="236"/>
      <c r="KV51" s="236"/>
      <c r="KW51" s="236"/>
      <c r="KX51" s="236"/>
      <c r="KY51" s="236"/>
      <c r="KZ51" s="236"/>
      <c r="LA51" s="236"/>
      <c r="LB51" s="236"/>
      <c r="LC51" s="236"/>
      <c r="LD51" s="236"/>
      <c r="LE51" s="236"/>
      <c r="LF51" s="236"/>
      <c r="LG51" s="236"/>
      <c r="LH51" s="236"/>
      <c r="LI51" s="236"/>
      <c r="LJ51" s="236"/>
      <c r="LK51" s="236"/>
      <c r="LL51" s="236"/>
      <c r="LM51" s="236"/>
      <c r="LN51" s="236"/>
      <c r="LO51" s="236"/>
      <c r="LP51" s="236"/>
      <c r="LQ51" s="236"/>
      <c r="LR51" s="236"/>
      <c r="LS51" s="236"/>
      <c r="LT51" s="236"/>
      <c r="LU51" s="236"/>
      <c r="LV51" s="236"/>
      <c r="LW51" s="236"/>
      <c r="LX51" s="236"/>
      <c r="LY51" s="236"/>
      <c r="LZ51" s="236"/>
      <c r="MA51" s="236"/>
      <c r="MB51" s="236"/>
      <c r="MC51" s="236"/>
      <c r="MD51" s="236"/>
      <c r="ME51" s="236"/>
      <c r="MF51" s="73" t="s">
        <v>288</v>
      </c>
      <c r="MG51" s="168">
        <f t="shared" si="158"/>
        <v>2.8265018811893841</v>
      </c>
      <c r="MH51" s="168">
        <f t="shared" ref="MH51:MU51" si="185">MH14+0.2</f>
        <v>3.1532542787037823</v>
      </c>
      <c r="MI51" s="168">
        <f t="shared" si="185"/>
        <v>3.491436488656221</v>
      </c>
      <c r="MJ51" s="168">
        <f t="shared" si="185"/>
        <v>3.0431499992589028</v>
      </c>
      <c r="MK51" s="168">
        <f t="shared" si="185"/>
        <v>2.6165534450752861</v>
      </c>
      <c r="ML51" s="168">
        <f t="shared" si="185"/>
        <v>2.6537874645425354</v>
      </c>
      <c r="MM51" s="168">
        <f t="shared" si="185"/>
        <v>2.6920002691956539</v>
      </c>
      <c r="MN51" s="168">
        <f t="shared" si="185"/>
        <v>2.6153064611820973</v>
      </c>
      <c r="MO51" s="168">
        <f t="shared" si="185"/>
        <v>2.5348257014187601</v>
      </c>
      <c r="MP51" s="168">
        <f t="shared" si="185"/>
        <v>2.8382841498728748</v>
      </c>
      <c r="MQ51" s="168">
        <f t="shared" si="185"/>
        <v>3.1563593049613239</v>
      </c>
      <c r="MR51" s="168">
        <f t="shared" si="185"/>
        <v>3.369121127676078</v>
      </c>
      <c r="MS51" s="168">
        <f t="shared" si="185"/>
        <v>3.6022891033342144</v>
      </c>
      <c r="MT51" s="168">
        <f t="shared" si="185"/>
        <v>3.5324844590067892</v>
      </c>
      <c r="MU51" s="168">
        <f t="shared" si="185"/>
        <v>3.4623961251190862</v>
      </c>
      <c r="MV51" s="11"/>
      <c r="MW51" s="168">
        <f t="shared" ref="MW51" si="186">MW14+0.2</f>
        <v>3.5323898958200295</v>
      </c>
      <c r="MX51" s="11"/>
      <c r="MY51" s="168">
        <f t="shared" ref="MY51" si="187">MY14+0.2</f>
        <v>3.4915727037840418</v>
      </c>
      <c r="MZ51" s="168">
        <f t="shared" si="155"/>
        <v>3.046768776869218</v>
      </c>
      <c r="NA51" s="236"/>
      <c r="NB51" s="236"/>
      <c r="NC51" s="236"/>
      <c r="ND51" s="236"/>
      <c r="NE51" s="236"/>
      <c r="NF51" s="236"/>
      <c r="NG51" s="236"/>
      <c r="NH51" s="236"/>
      <c r="NI51" s="236"/>
      <c r="NJ51" s="236"/>
      <c r="NK51" s="236"/>
      <c r="NL51" s="236"/>
      <c r="NM51" s="236"/>
      <c r="NN51" s="236"/>
      <c r="NO51" s="236"/>
      <c r="NP51" s="236"/>
      <c r="NQ51" s="236"/>
      <c r="NR51" s="236"/>
      <c r="NS51" s="236"/>
      <c r="NT51" s="236"/>
      <c r="NU51" s="236"/>
      <c r="NV51" s="236"/>
      <c r="NW51" s="236"/>
      <c r="NX51" s="236"/>
      <c r="NY51" s="236"/>
      <c r="NZ51" s="236"/>
      <c r="OA51" s="236"/>
      <c r="OB51" s="236"/>
      <c r="OC51" s="236"/>
      <c r="OD51" s="236"/>
      <c r="OE51" s="236"/>
      <c r="OF51" s="236"/>
      <c r="OG51" s="236"/>
      <c r="OH51" s="236"/>
      <c r="OI51" s="236"/>
      <c r="OJ51" s="236"/>
      <c r="OK51" s="236"/>
      <c r="OL51" s="236"/>
      <c r="OM51" s="236"/>
      <c r="ON51" s="236"/>
      <c r="OO51" s="236"/>
      <c r="OP51" s="28">
        <f>OP14-'Bloom Cleaner Data'!FO14</f>
        <v>-0.15749466477330376</v>
      </c>
      <c r="OQ51" s="175">
        <f>OQ14-'Bloom Cleaner Data'!FP14</f>
        <v>-0.40256576446875902</v>
      </c>
      <c r="OR51" s="28">
        <f>OR14-'Bloom Cleaner Data'!FQ14</f>
        <v>-8.9503005738227559E-2</v>
      </c>
      <c r="OS51" s="175">
        <f>OS14-'Bloom Cleaner Data'!FR14</f>
        <v>-0.14601104115621988</v>
      </c>
      <c r="OT51" s="28">
        <f>OT14-'Bloom Cleaner Data'!FS14</f>
        <v>-0.11014382072331919</v>
      </c>
      <c r="OU51" s="175">
        <f>OU14-'Bloom Cleaner Data'!FT14</f>
        <v>-0.14135026883461821</v>
      </c>
      <c r="OV51" s="28">
        <f>OV14-'Bloom Cleaner Data'!FU14</f>
        <v>-9.2675565416073358E-2</v>
      </c>
      <c r="OW51" s="175">
        <f>OW14-'Bloom Cleaner Data'!FV14</f>
        <v>2.781089628873934E-2</v>
      </c>
      <c r="OX51" s="28"/>
      <c r="OY51" s="175"/>
      <c r="OZ51" s="28"/>
      <c r="PA51" s="175"/>
      <c r="PB51" s="28">
        <f>PB14-'Bloom Cleaner Data'!GA14</f>
        <v>-7.0975382807762277E-2</v>
      </c>
      <c r="PC51" s="175"/>
      <c r="PD51" s="28"/>
    </row>
    <row r="52" spans="1:420">
      <c r="A52" s="5"/>
      <c r="B52" s="3125" t="s">
        <v>42</v>
      </c>
      <c r="C52" s="1180"/>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c r="BU52" s="237"/>
      <c r="BV52" s="237"/>
      <c r="BW52" s="237"/>
      <c r="BX52" s="237"/>
      <c r="BY52" s="237"/>
      <c r="BZ52" s="237"/>
      <c r="CA52" s="237"/>
      <c r="CB52" s="237"/>
      <c r="CC52" s="237"/>
      <c r="CD52" s="237"/>
      <c r="CE52" s="237"/>
      <c r="CF52" s="237"/>
      <c r="CG52" s="237"/>
      <c r="CH52" s="237"/>
      <c r="CI52" s="237"/>
      <c r="CJ52" s="237"/>
      <c r="CK52" s="237"/>
      <c r="CL52" s="237"/>
      <c r="CM52" s="237"/>
      <c r="CN52" s="237"/>
      <c r="CO52" s="237"/>
      <c r="CP52" s="237"/>
      <c r="CQ52" s="237"/>
      <c r="CR52" s="237"/>
      <c r="CS52" s="237"/>
      <c r="CT52" s="237"/>
      <c r="CU52" s="237"/>
      <c r="CV52" s="237"/>
      <c r="CW52" s="237"/>
      <c r="CX52" s="237"/>
      <c r="CY52" s="237"/>
      <c r="CZ52" s="237"/>
      <c r="DA52" s="237"/>
      <c r="DB52" s="237"/>
      <c r="DC52" s="237"/>
      <c r="DD52" s="237"/>
      <c r="DE52" s="237"/>
      <c r="DF52" s="237"/>
      <c r="DG52" s="237"/>
      <c r="DH52" s="237"/>
      <c r="DI52" s="237"/>
      <c r="DJ52" s="237"/>
      <c r="DK52" s="237"/>
      <c r="DL52" s="237"/>
      <c r="DM52" s="237"/>
      <c r="DN52" s="237"/>
      <c r="DO52" s="237"/>
      <c r="DP52" s="237"/>
      <c r="DQ52" s="237"/>
      <c r="DR52" s="237"/>
      <c r="DS52" s="237"/>
      <c r="DT52" s="237"/>
      <c r="DU52" s="237"/>
      <c r="DV52" s="237"/>
      <c r="DW52" s="237"/>
      <c r="DX52" s="237"/>
      <c r="DY52" s="237"/>
      <c r="DZ52" s="237"/>
      <c r="EA52" s="237"/>
      <c r="EB52" s="237"/>
      <c r="EC52" s="237"/>
      <c r="ED52" s="237"/>
      <c r="EE52" s="237"/>
      <c r="EF52" s="237"/>
      <c r="EG52" s="237"/>
      <c r="EH52" s="237"/>
      <c r="EI52" s="237"/>
      <c r="EJ52" s="237"/>
      <c r="EK52" s="237"/>
      <c r="EL52" s="1088"/>
      <c r="EM52" s="1089"/>
      <c r="EN52" s="1089"/>
      <c r="EO52" s="1089"/>
      <c r="EP52" s="1089"/>
      <c r="EQ52" s="1089"/>
      <c r="ER52" s="1089"/>
      <c r="ES52" s="1089"/>
      <c r="ET52" s="1089"/>
      <c r="EU52" s="1089"/>
      <c r="EV52" s="1089"/>
      <c r="EW52" s="1089"/>
      <c r="EX52" s="1089"/>
      <c r="EY52" s="1089"/>
      <c r="EZ52" s="1089"/>
      <c r="FA52" s="1089"/>
      <c r="FB52" s="236"/>
      <c r="FC52" s="236"/>
      <c r="FD52" s="1089"/>
      <c r="FE52" s="1089"/>
      <c r="FF52" s="1089"/>
      <c r="FG52" s="1089"/>
      <c r="FH52" s="1089"/>
      <c r="FI52" s="1089"/>
      <c r="FJ52" s="1089"/>
      <c r="FK52" s="1089"/>
      <c r="FL52" s="1089"/>
      <c r="FM52" s="1089"/>
      <c r="FN52" s="1089"/>
      <c r="FO52" s="1089"/>
      <c r="FP52" s="1089"/>
      <c r="FQ52" s="1089"/>
      <c r="FR52" s="1089"/>
      <c r="FS52" s="1089"/>
      <c r="FT52" s="1089"/>
      <c r="FU52" s="1089"/>
      <c r="FV52" s="1089"/>
      <c r="FW52" s="1089"/>
      <c r="FX52" s="1089"/>
      <c r="FY52" s="1089"/>
      <c r="FZ52" s="1089"/>
      <c r="GA52" s="236"/>
      <c r="GB52" s="236"/>
      <c r="GC52" s="236"/>
      <c r="GD52" s="236"/>
      <c r="GE52" s="236"/>
      <c r="GF52" s="236"/>
      <c r="GG52" s="236"/>
      <c r="GH52" s="236"/>
      <c r="GI52" s="236"/>
      <c r="GJ52" s="236"/>
      <c r="GK52" s="236"/>
      <c r="GL52" s="236"/>
      <c r="GM52" s="236"/>
      <c r="GN52" s="236"/>
      <c r="GO52" s="236"/>
      <c r="GP52" s="236"/>
      <c r="GQ52" s="236"/>
      <c r="GR52" s="236"/>
      <c r="GS52" s="236"/>
      <c r="GT52" s="236"/>
      <c r="GU52" s="236"/>
      <c r="GV52" s="236"/>
      <c r="GW52" s="236"/>
      <c r="GX52" s="236"/>
      <c r="GY52" s="236"/>
      <c r="GZ52" s="236"/>
      <c r="HA52" s="236"/>
      <c r="HB52" s="236"/>
      <c r="HC52" s="236"/>
      <c r="HD52" s="236"/>
      <c r="HE52" s="236"/>
      <c r="HF52" s="236"/>
      <c r="HG52" s="236"/>
      <c r="HH52" s="236"/>
      <c r="HI52" s="236"/>
      <c r="HJ52" s="236"/>
      <c r="HK52" s="2860">
        <f t="shared" si="156"/>
        <v>0.4724961622825653</v>
      </c>
      <c r="HL52" s="2860">
        <f t="shared" si="153"/>
        <v>0.50011196337979591</v>
      </c>
      <c r="HM52" s="2860">
        <f t="shared" si="153"/>
        <v>0.60066761869939456</v>
      </c>
      <c r="HN52" s="2860">
        <f t="shared" si="153"/>
        <v>0.63623638397563642</v>
      </c>
      <c r="HO52" s="2860">
        <f t="shared" si="153"/>
        <v>0.58770886563146207</v>
      </c>
      <c r="HP52" s="2860">
        <f t="shared" si="153"/>
        <v>0.53421765729718218</v>
      </c>
      <c r="HQ52" s="2860">
        <f t="shared" si="153"/>
        <v>0.58120738558642016</v>
      </c>
      <c r="HR52" s="2860">
        <f t="shared" si="153"/>
        <v>0.73704755323658999</v>
      </c>
      <c r="HS52" s="2860">
        <f t="shared" si="153"/>
        <v>0.7387318689811192</v>
      </c>
      <c r="HT52" s="2860">
        <f t="shared" si="153"/>
        <v>0.71257174792641953</v>
      </c>
      <c r="HU52" s="2860">
        <f t="shared" si="153"/>
        <v>0.79254036893731128</v>
      </c>
      <c r="HV52" s="2860">
        <f t="shared" si="153"/>
        <v>0.71138693761362748</v>
      </c>
      <c r="HW52" s="2860">
        <f t="shared" si="153"/>
        <v>0.57639785291860424</v>
      </c>
      <c r="HX52" s="2860">
        <f t="shared" si="153"/>
        <v>0.58648609664797502</v>
      </c>
      <c r="HY52" s="2860">
        <f t="shared" si="153"/>
        <v>0.44527495080222473</v>
      </c>
      <c r="HZ52" s="2860">
        <f t="shared" si="157"/>
        <v>0.63388271448107447</v>
      </c>
      <c r="IA52" s="236"/>
      <c r="IB52" s="236"/>
      <c r="IC52" s="236"/>
      <c r="ID52" s="236"/>
      <c r="IE52" s="236"/>
      <c r="IF52" s="236"/>
      <c r="IG52" s="236"/>
      <c r="IH52" s="236"/>
      <c r="II52" s="236"/>
      <c r="IJ52" s="236"/>
      <c r="IK52" s="236"/>
      <c r="IL52" s="236"/>
      <c r="IM52" s="236"/>
      <c r="IN52" s="236"/>
      <c r="IO52" s="236"/>
      <c r="IP52" s="236"/>
      <c r="IQ52" s="236"/>
      <c r="IR52" s="236"/>
      <c r="IS52" s="236"/>
      <c r="IT52" s="236"/>
      <c r="IU52" s="236"/>
      <c r="IV52" s="236"/>
      <c r="IW52" s="236"/>
      <c r="IX52" s="236"/>
      <c r="IY52" s="236"/>
      <c r="IZ52" s="236"/>
      <c r="JA52" s="236"/>
      <c r="JB52" s="236"/>
      <c r="JC52" s="236"/>
      <c r="JD52" s="236"/>
      <c r="JE52" s="236"/>
      <c r="JF52" s="236"/>
      <c r="JG52" s="236"/>
      <c r="JH52" s="236"/>
      <c r="JI52" s="236"/>
      <c r="JJ52" s="236"/>
      <c r="JK52" s="236"/>
      <c r="JL52" s="236"/>
      <c r="JM52" s="236"/>
      <c r="JN52" s="236"/>
      <c r="JO52" s="236"/>
      <c r="JP52" s="236"/>
      <c r="JQ52" s="236"/>
      <c r="JR52" s="236"/>
      <c r="JS52" s="236"/>
      <c r="JT52" s="236"/>
      <c r="JU52" s="236"/>
      <c r="JV52" s="236"/>
      <c r="JW52" s="236"/>
      <c r="JX52" s="236"/>
      <c r="JY52" s="236"/>
      <c r="JZ52" s="236"/>
      <c r="KA52" s="236"/>
      <c r="KB52" s="236"/>
      <c r="KC52" s="236"/>
      <c r="KD52" s="236"/>
      <c r="KE52" s="236"/>
      <c r="KF52" s="236"/>
      <c r="KG52" s="236"/>
      <c r="KH52" s="236"/>
      <c r="KI52" s="236"/>
      <c r="KJ52" s="236"/>
      <c r="KK52" s="236"/>
      <c r="KL52" s="236"/>
      <c r="KM52" s="236"/>
      <c r="KN52" s="236"/>
      <c r="KO52" s="236"/>
      <c r="KP52" s="236"/>
      <c r="KQ52" s="236"/>
      <c r="KR52" s="236"/>
      <c r="KS52" s="236"/>
      <c r="KT52" s="236"/>
      <c r="KU52" s="236"/>
      <c r="KV52" s="236"/>
      <c r="KW52" s="236"/>
      <c r="KX52" s="236"/>
      <c r="KY52" s="236"/>
      <c r="KZ52" s="236"/>
      <c r="LA52" s="236"/>
      <c r="LB52" s="236"/>
      <c r="LC52" s="236"/>
      <c r="LD52" s="236"/>
      <c r="LE52" s="236"/>
      <c r="LF52" s="236"/>
      <c r="LG52" s="236"/>
      <c r="LH52" s="236"/>
      <c r="LI52" s="236"/>
      <c r="LJ52" s="236"/>
      <c r="LK52" s="236"/>
      <c r="LL52" s="236"/>
      <c r="LM52" s="236"/>
      <c r="LN52" s="236"/>
      <c r="LO52" s="236"/>
      <c r="LP52" s="236"/>
      <c r="LQ52" s="236"/>
      <c r="LR52" s="236"/>
      <c r="LS52" s="236"/>
      <c r="LT52" s="236"/>
      <c r="LU52" s="236"/>
      <c r="LV52" s="236"/>
      <c r="LW52" s="236"/>
      <c r="LX52" s="236"/>
      <c r="LY52" s="236"/>
      <c r="LZ52" s="236"/>
      <c r="MA52" s="236"/>
      <c r="MB52" s="236"/>
      <c r="MC52" s="236"/>
      <c r="MD52" s="236"/>
      <c r="ME52" s="236"/>
      <c r="MF52" s="73" t="s">
        <v>42</v>
      </c>
      <c r="MG52" s="168">
        <f t="shared" si="158"/>
        <v>2.5697567726090997</v>
      </c>
      <c r="MH52" s="168">
        <f t="shared" ref="MH52:MU52" si="188">MH15+0.2</f>
        <v>2.6270900430187161</v>
      </c>
      <c r="MI52" s="168">
        <f t="shared" si="188"/>
        <v>2.5216963332951425</v>
      </c>
      <c r="MJ52" s="168">
        <f t="shared" si="188"/>
        <v>2.6028859922159269</v>
      </c>
      <c r="MK52" s="168">
        <f t="shared" si="188"/>
        <v>3.1313864886151439</v>
      </c>
      <c r="ML52" s="168">
        <f t="shared" si="188"/>
        <v>2.995363719035951</v>
      </c>
      <c r="MM52" s="168">
        <f t="shared" si="188"/>
        <v>3.2425540777720565</v>
      </c>
      <c r="MN52" s="168">
        <f t="shared" si="188"/>
        <v>3.3948897886404263</v>
      </c>
      <c r="MO52" s="168">
        <f t="shared" si="188"/>
        <v>2.7843947247970435</v>
      </c>
      <c r="MP52" s="168">
        <f t="shared" si="188"/>
        <v>2.7749666827554504</v>
      </c>
      <c r="MQ52" s="168">
        <f t="shared" si="188"/>
        <v>3.0241665516858132</v>
      </c>
      <c r="MR52" s="168">
        <f t="shared" si="188"/>
        <v>2.7950638213005012</v>
      </c>
      <c r="MS52" s="168">
        <f t="shared" si="188"/>
        <v>3.0851977840651594</v>
      </c>
      <c r="MT52" s="168">
        <f t="shared" si="188"/>
        <v>3.2365095500169416</v>
      </c>
      <c r="MU52" s="168">
        <f t="shared" si="188"/>
        <v>2.5635308429250472</v>
      </c>
      <c r="MV52" s="11"/>
      <c r="MW52" s="168">
        <f t="shared" ref="MW52" si="189">MW15+0.2</f>
        <v>2.9617460590023827</v>
      </c>
      <c r="MX52" s="11"/>
      <c r="MY52" s="168">
        <f t="shared" ref="MY52" si="190">MY15+0.2</f>
        <v>2.920075499576912</v>
      </c>
      <c r="MZ52" s="168">
        <f t="shared" si="155"/>
        <v>2.9348158736246615</v>
      </c>
      <c r="NA52" s="236"/>
      <c r="NB52" s="236"/>
      <c r="NC52" s="236"/>
      <c r="ND52" s="236"/>
      <c r="NE52" s="236"/>
      <c r="NF52" s="236"/>
      <c r="NG52" s="236"/>
      <c r="NH52" s="236"/>
      <c r="NI52" s="236"/>
      <c r="NJ52" s="236"/>
      <c r="NK52" s="236"/>
      <c r="NL52" s="236"/>
      <c r="NM52" s="236"/>
      <c r="NN52" s="236"/>
      <c r="NO52" s="236"/>
      <c r="NP52" s="236"/>
      <c r="NQ52" s="236"/>
      <c r="NR52" s="236"/>
      <c r="NS52" s="236"/>
      <c r="NT52" s="236"/>
      <c r="NU52" s="236"/>
      <c r="NV52" s="236"/>
      <c r="NW52" s="236"/>
      <c r="NX52" s="236"/>
      <c r="NY52" s="236"/>
      <c r="NZ52" s="236"/>
      <c r="OA52" s="236"/>
      <c r="OB52" s="236"/>
      <c r="OC52" s="236"/>
      <c r="OD52" s="236"/>
      <c r="OE52" s="236"/>
      <c r="OF52" s="236"/>
      <c r="OG52" s="236"/>
      <c r="OH52" s="236"/>
      <c r="OI52" s="236"/>
      <c r="OJ52" s="236"/>
      <c r="OK52" s="236"/>
      <c r="OL52" s="236"/>
      <c r="OM52" s="236"/>
      <c r="ON52" s="236"/>
      <c r="OO52" s="236"/>
      <c r="OP52" s="168">
        <f>OP15-'Bloom Cleaner Data'!FO15</f>
        <v>-1.8007468128018687</v>
      </c>
      <c r="OQ52" s="168">
        <f>OQ15-'Bloom Cleaner Data'!FP15</f>
        <v>-1.3979643950617282</v>
      </c>
      <c r="OR52" s="168">
        <f>OR15-'Bloom Cleaner Data'!FQ15</f>
        <v>-1.2664763340793967</v>
      </c>
      <c r="OS52" s="168">
        <f>OS15-'Bloom Cleaner Data'!FR15</f>
        <v>-0.88193013853700619</v>
      </c>
      <c r="OT52" s="168">
        <f>OT15-'Bloom Cleaner Data'!FS15</f>
        <v>-0.9143819436040177</v>
      </c>
      <c r="OU52" s="168">
        <f>OU15-'Bloom Cleaner Data'!FT15</f>
        <v>-0.99297196708875513</v>
      </c>
      <c r="OV52" s="168">
        <f>OV15-'Bloom Cleaner Data'!FU15</f>
        <v>-0.8254199662813102</v>
      </c>
      <c r="OW52" s="168">
        <f>OW15-'Bloom Cleaner Data'!FV15</f>
        <v>-0.28339163438383419</v>
      </c>
      <c r="OX52" s="168"/>
      <c r="OY52" s="168"/>
      <c r="OZ52" s="168"/>
      <c r="PA52" s="168"/>
      <c r="PB52" s="168">
        <f>PB15-'Bloom Cleaner Data'!GA15</f>
        <v>-0.29818159698083213</v>
      </c>
      <c r="PC52" s="168"/>
      <c r="PD52" s="168"/>
    </row>
    <row r="53" spans="1:420">
      <c r="A53" s="5"/>
      <c r="B53" s="3125" t="s">
        <v>286</v>
      </c>
      <c r="C53" s="1180"/>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237"/>
      <c r="DW53" s="237"/>
      <c r="DX53" s="237"/>
      <c r="DY53" s="237"/>
      <c r="DZ53" s="237"/>
      <c r="EA53" s="237"/>
      <c r="EB53" s="237"/>
      <c r="EC53" s="237"/>
      <c r="ED53" s="237"/>
      <c r="EE53" s="237"/>
      <c r="EF53" s="237"/>
      <c r="EG53" s="237"/>
      <c r="EH53" s="237"/>
      <c r="EI53" s="237"/>
      <c r="EJ53" s="237"/>
      <c r="EK53" s="237"/>
      <c r="EL53" s="1088"/>
      <c r="EM53" s="1089"/>
      <c r="EN53" s="1089"/>
      <c r="EO53" s="1089"/>
      <c r="EP53" s="1089"/>
      <c r="EQ53" s="1089"/>
      <c r="ER53" s="1089"/>
      <c r="ES53" s="1089"/>
      <c r="ET53" s="1089"/>
      <c r="EU53" s="1089"/>
      <c r="EV53" s="1089"/>
      <c r="EW53" s="1089"/>
      <c r="EX53" s="1089"/>
      <c r="EY53" s="1089"/>
      <c r="EZ53" s="1089"/>
      <c r="FA53" s="1089"/>
      <c r="FB53" s="236"/>
      <c r="FC53" s="236"/>
      <c r="FD53" s="1089"/>
      <c r="FE53" s="1089"/>
      <c r="FF53" s="1089"/>
      <c r="FG53" s="1089"/>
      <c r="FH53" s="1089"/>
      <c r="FI53" s="1089"/>
      <c r="FJ53" s="1089"/>
      <c r="FK53" s="1089"/>
      <c r="FL53" s="1089"/>
      <c r="FM53" s="1089"/>
      <c r="FN53" s="1089"/>
      <c r="FO53" s="1089"/>
      <c r="FP53" s="1089"/>
      <c r="FQ53" s="1089"/>
      <c r="FR53" s="1089"/>
      <c r="FS53" s="1089"/>
      <c r="FT53" s="1089"/>
      <c r="FU53" s="1089"/>
      <c r="FV53" s="1089"/>
      <c r="FW53" s="1089"/>
      <c r="FX53" s="1089"/>
      <c r="FY53" s="1089"/>
      <c r="FZ53" s="1089"/>
      <c r="GA53" s="236"/>
      <c r="GB53" s="236"/>
      <c r="GC53" s="236"/>
      <c r="GD53" s="236"/>
      <c r="GE53" s="236"/>
      <c r="GF53" s="236"/>
      <c r="GG53" s="236"/>
      <c r="GH53" s="236"/>
      <c r="GI53" s="236"/>
      <c r="GJ53" s="236"/>
      <c r="GK53" s="236"/>
      <c r="GL53" s="236"/>
      <c r="GM53" s="236"/>
      <c r="GN53" s="236"/>
      <c r="GO53" s="236"/>
      <c r="GP53" s="236"/>
      <c r="GQ53" s="236"/>
      <c r="GR53" s="236"/>
      <c r="GS53" s="236"/>
      <c r="GT53" s="236"/>
      <c r="GU53" s="236"/>
      <c r="GV53" s="236"/>
      <c r="GW53" s="236"/>
      <c r="GX53" s="236"/>
      <c r="GY53" s="236"/>
      <c r="GZ53" s="236"/>
      <c r="HA53" s="236"/>
      <c r="HB53" s="236"/>
      <c r="HC53" s="236"/>
      <c r="HD53" s="236"/>
      <c r="HE53" s="236"/>
      <c r="HF53" s="236"/>
      <c r="HG53" s="236"/>
      <c r="HH53" s="236"/>
      <c r="HI53" s="236"/>
      <c r="HJ53" s="236"/>
      <c r="HK53" s="2860">
        <f t="shared" si="156"/>
        <v>0.64016098293328672</v>
      </c>
      <c r="HL53" s="2860">
        <f t="shared" si="153"/>
        <v>0.64218532663269057</v>
      </c>
      <c r="HM53" s="2860">
        <f t="shared" si="153"/>
        <v>0.68467718162589686</v>
      </c>
      <c r="HN53" s="2860">
        <f t="shared" si="153"/>
        <v>0.65445337322435859</v>
      </c>
      <c r="HO53" s="2860">
        <f t="shared" si="153"/>
        <v>0.6530661065824731</v>
      </c>
      <c r="HP53" s="2860">
        <f t="shared" si="153"/>
        <v>0.6157208191922936</v>
      </c>
      <c r="HQ53" s="2860">
        <f t="shared" si="153"/>
        <v>0.64883597126831172</v>
      </c>
      <c r="HR53" s="2860">
        <f t="shared" si="153"/>
        <v>0.6846947076169474</v>
      </c>
      <c r="HS53" s="2860">
        <f t="shared" si="153"/>
        <v>0.68312920452585058</v>
      </c>
      <c r="HT53" s="2860">
        <f t="shared" si="153"/>
        <v>0.66516963331993406</v>
      </c>
      <c r="HU53" s="2860">
        <f t="shared" si="153"/>
        <v>0.69770842791231402</v>
      </c>
      <c r="HV53" s="2860">
        <f t="shared" si="153"/>
        <v>0.69133930099356922</v>
      </c>
      <c r="HW53" s="2860">
        <f t="shared" si="153"/>
        <v>0.70996682298780567</v>
      </c>
      <c r="HX53" s="2860">
        <f t="shared" si="153"/>
        <v>0.75396862128794373</v>
      </c>
      <c r="HY53" s="2860">
        <f t="shared" si="153"/>
        <v>0.75672107111582532</v>
      </c>
      <c r="HZ53" s="2860">
        <f t="shared" si="157"/>
        <v>0.68457317243488636</v>
      </c>
      <c r="IA53" s="236"/>
      <c r="IB53" s="236"/>
      <c r="IC53" s="236"/>
      <c r="ID53" s="236"/>
      <c r="IE53" s="236"/>
      <c r="IF53" s="236"/>
      <c r="IG53" s="236"/>
      <c r="IH53" s="236"/>
      <c r="II53" s="236"/>
      <c r="IJ53" s="236"/>
      <c r="IK53" s="236"/>
      <c r="IL53" s="236"/>
      <c r="IM53" s="236"/>
      <c r="IN53" s="236"/>
      <c r="IO53" s="236"/>
      <c r="IP53" s="236"/>
      <c r="IQ53" s="236"/>
      <c r="IR53" s="236"/>
      <c r="IS53" s="236"/>
      <c r="IT53" s="236"/>
      <c r="IU53" s="236"/>
      <c r="IV53" s="236"/>
      <c r="IW53" s="236"/>
      <c r="IX53" s="236"/>
      <c r="IY53" s="236"/>
      <c r="IZ53" s="236"/>
      <c r="JA53" s="236"/>
      <c r="JB53" s="236"/>
      <c r="JC53" s="236"/>
      <c r="JD53" s="236"/>
      <c r="JE53" s="236"/>
      <c r="JF53" s="236"/>
      <c r="JG53" s="236"/>
      <c r="JH53" s="236"/>
      <c r="JI53" s="236"/>
      <c r="JJ53" s="236"/>
      <c r="JK53" s="236"/>
      <c r="JL53" s="236"/>
      <c r="JM53" s="236"/>
      <c r="JN53" s="236"/>
      <c r="JO53" s="236"/>
      <c r="JP53" s="236"/>
      <c r="JQ53" s="236"/>
      <c r="JR53" s="236"/>
      <c r="JS53" s="236"/>
      <c r="JT53" s="236"/>
      <c r="JU53" s="236"/>
      <c r="JV53" s="236"/>
      <c r="JW53" s="236"/>
      <c r="JX53" s="236"/>
      <c r="JY53" s="236"/>
      <c r="JZ53" s="236"/>
      <c r="KA53" s="236"/>
      <c r="KB53" s="236"/>
      <c r="KC53" s="236"/>
      <c r="KD53" s="236"/>
      <c r="KE53" s="236"/>
      <c r="KF53" s="236"/>
      <c r="KG53" s="236"/>
      <c r="KH53" s="236"/>
      <c r="KI53" s="236"/>
      <c r="KJ53" s="236"/>
      <c r="KK53" s="236"/>
      <c r="KL53" s="236"/>
      <c r="KM53" s="236"/>
      <c r="KN53" s="236"/>
      <c r="KO53" s="236"/>
      <c r="KP53" s="236"/>
      <c r="KQ53" s="236"/>
      <c r="KR53" s="236"/>
      <c r="KS53" s="236"/>
      <c r="KT53" s="236"/>
      <c r="KU53" s="236"/>
      <c r="KV53" s="236"/>
      <c r="KW53" s="236"/>
      <c r="KX53" s="236"/>
      <c r="KY53" s="236"/>
      <c r="KZ53" s="236"/>
      <c r="LA53" s="236"/>
      <c r="LB53" s="236"/>
      <c r="LC53" s="236"/>
      <c r="LD53" s="236"/>
      <c r="LE53" s="236"/>
      <c r="LF53" s="236"/>
      <c r="LG53" s="236"/>
      <c r="LH53" s="236"/>
      <c r="LI53" s="236"/>
      <c r="LJ53" s="236"/>
      <c r="LK53" s="236"/>
      <c r="LL53" s="236"/>
      <c r="LM53" s="236"/>
      <c r="LN53" s="236"/>
      <c r="LO53" s="236"/>
      <c r="LP53" s="236"/>
      <c r="LQ53" s="236"/>
      <c r="LR53" s="236"/>
      <c r="LS53" s="236"/>
      <c r="LT53" s="236"/>
      <c r="LU53" s="236"/>
      <c r="LV53" s="236"/>
      <c r="LW53" s="236"/>
      <c r="LX53" s="236"/>
      <c r="LY53" s="236"/>
      <c r="LZ53" s="236"/>
      <c r="MA53" s="236"/>
      <c r="MB53" s="236"/>
      <c r="MC53" s="236"/>
      <c r="MD53" s="236"/>
      <c r="ME53" s="236"/>
      <c r="MF53" s="73" t="s">
        <v>286</v>
      </c>
      <c r="MG53" s="168">
        <f t="shared" si="158"/>
        <v>3.9920851367267001</v>
      </c>
      <c r="MH53" s="168">
        <f t="shared" ref="MH53:MU53" si="191">MH16+0.2</f>
        <v>3.8456462869646972</v>
      </c>
      <c r="MI53" s="168">
        <f t="shared" si="191"/>
        <v>3.8312296451867898</v>
      </c>
      <c r="MJ53" s="168">
        <f t="shared" si="191"/>
        <v>3.8848399144238934</v>
      </c>
      <c r="MK53" s="168">
        <f t="shared" si="191"/>
        <v>3.7245125738222011</v>
      </c>
      <c r="ML53" s="168">
        <f t="shared" si="191"/>
        <v>3.5533818434566964</v>
      </c>
      <c r="MM53" s="168">
        <f t="shared" si="191"/>
        <v>3.427633444758134</v>
      </c>
      <c r="MN53" s="168">
        <f t="shared" si="191"/>
        <v>3.3520169410003162</v>
      </c>
      <c r="MO53" s="168">
        <f t="shared" si="191"/>
        <v>3.5561083496452683</v>
      </c>
      <c r="MP53" s="168">
        <f t="shared" si="191"/>
        <v>3.4165340020169745</v>
      </c>
      <c r="MQ53" s="168">
        <f t="shared" si="191"/>
        <v>3.5441638115254657</v>
      </c>
      <c r="MR53" s="168">
        <f t="shared" si="191"/>
        <v>3.5710790137454538</v>
      </c>
      <c r="MS53" s="168">
        <f t="shared" si="191"/>
        <v>3.5306573666405723</v>
      </c>
      <c r="MT53" s="168">
        <f t="shared" si="191"/>
        <v>3.559008630308476</v>
      </c>
      <c r="MU53" s="168">
        <f t="shared" si="191"/>
        <v>3.4616701007153727</v>
      </c>
      <c r="MV53" s="11"/>
      <c r="MW53" s="168">
        <f t="shared" ref="MW53" si="192">MW16+0.2</f>
        <v>3.5171120325548069</v>
      </c>
      <c r="MX53" s="11"/>
      <c r="MY53" s="168">
        <f t="shared" ref="MY53" si="193">MY16+0.2</f>
        <v>3.5306037778524684</v>
      </c>
      <c r="MZ53" s="168">
        <f t="shared" si="155"/>
        <v>3.5702181259419699</v>
      </c>
      <c r="NA53" s="236"/>
      <c r="NB53" s="236"/>
      <c r="NC53" s="236"/>
      <c r="ND53" s="236"/>
      <c r="NE53" s="236"/>
      <c r="NF53" s="236"/>
      <c r="NG53" s="236"/>
      <c r="NH53" s="236"/>
      <c r="NI53" s="236"/>
      <c r="NJ53" s="236"/>
      <c r="NK53" s="236"/>
      <c r="NL53" s="236"/>
      <c r="NM53" s="236"/>
      <c r="NN53" s="236"/>
      <c r="NO53" s="236"/>
      <c r="NP53" s="236"/>
      <c r="NQ53" s="236"/>
      <c r="NR53" s="236"/>
      <c r="NS53" s="236"/>
      <c r="NT53" s="236"/>
      <c r="NU53" s="236"/>
      <c r="NV53" s="236"/>
      <c r="NW53" s="236"/>
      <c r="NX53" s="236"/>
      <c r="NY53" s="236"/>
      <c r="NZ53" s="236"/>
      <c r="OA53" s="236"/>
      <c r="OB53" s="236"/>
      <c r="OC53" s="236"/>
      <c r="OD53" s="236"/>
      <c r="OE53" s="236"/>
      <c r="OF53" s="236"/>
      <c r="OG53" s="236"/>
      <c r="OH53" s="236"/>
      <c r="OI53" s="236"/>
      <c r="OJ53" s="236"/>
      <c r="OK53" s="236"/>
      <c r="OL53" s="236"/>
      <c r="OM53" s="236"/>
      <c r="ON53" s="236"/>
      <c r="OO53" s="236"/>
      <c r="OP53" s="168"/>
      <c r="OQ53" s="168">
        <f>OQ16-'Bloom Cleaner Data'!FP16</f>
        <v>-3.3680897265919052E-2</v>
      </c>
      <c r="OR53" s="168">
        <f>OR16-'Bloom Cleaner Data'!FQ16</f>
        <v>-3.1527342919883905E-2</v>
      </c>
      <c r="OS53" s="168">
        <f>OS16-'Bloom Cleaner Data'!FR16</f>
        <v>-3.4326460481099663E-2</v>
      </c>
      <c r="OT53" s="168"/>
      <c r="OU53" s="168">
        <f>OU16-'Bloom Cleaner Data'!FT16</f>
        <v>-7.6783969673995478E-2</v>
      </c>
      <c r="OV53" s="168">
        <f>OV16-'Bloom Cleaner Data'!FU16</f>
        <v>-8.7856663487088649E-2</v>
      </c>
      <c r="OW53" s="168">
        <f>OW16-'Bloom Cleaner Data'!FV16</f>
        <v>-7.1599624387953642E-2</v>
      </c>
      <c r="OX53" s="168"/>
      <c r="OY53" s="168"/>
      <c r="OZ53" s="168"/>
      <c r="PA53" s="168"/>
      <c r="PB53" s="168"/>
      <c r="PC53" s="168"/>
      <c r="PD53" s="168"/>
    </row>
    <row r="54" spans="1:420">
      <c r="A54" s="5"/>
      <c r="B54" s="3125" t="s">
        <v>281</v>
      </c>
      <c r="C54" s="1180"/>
      <c r="D54" s="237"/>
      <c r="E54" s="237"/>
      <c r="F54" s="237"/>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c r="BU54" s="237"/>
      <c r="BV54" s="237"/>
      <c r="BW54" s="237"/>
      <c r="BX54" s="237"/>
      <c r="BY54" s="237"/>
      <c r="BZ54" s="237"/>
      <c r="CA54" s="237"/>
      <c r="CB54" s="237"/>
      <c r="CC54" s="237"/>
      <c r="CD54" s="237"/>
      <c r="CE54" s="237"/>
      <c r="CF54" s="237"/>
      <c r="CG54" s="237"/>
      <c r="CH54" s="237"/>
      <c r="CI54" s="237"/>
      <c r="CJ54" s="237"/>
      <c r="CK54" s="237"/>
      <c r="CL54" s="237"/>
      <c r="CM54" s="237"/>
      <c r="CN54" s="237"/>
      <c r="CO54" s="237"/>
      <c r="CP54" s="237"/>
      <c r="CQ54" s="237"/>
      <c r="CR54" s="237"/>
      <c r="CS54" s="237"/>
      <c r="CT54" s="237"/>
      <c r="CU54" s="237"/>
      <c r="CV54" s="237"/>
      <c r="CW54" s="237"/>
      <c r="CX54" s="237"/>
      <c r="CY54" s="237"/>
      <c r="CZ54" s="237"/>
      <c r="DA54" s="237"/>
      <c r="DB54" s="237"/>
      <c r="DC54" s="237"/>
      <c r="DD54" s="237"/>
      <c r="DE54" s="237"/>
      <c r="DF54" s="237"/>
      <c r="DG54" s="237"/>
      <c r="DH54" s="237"/>
      <c r="DI54" s="237"/>
      <c r="DJ54" s="237"/>
      <c r="DK54" s="237"/>
      <c r="DL54" s="237"/>
      <c r="DM54" s="237"/>
      <c r="DN54" s="237"/>
      <c r="DO54" s="237"/>
      <c r="DP54" s="237"/>
      <c r="DQ54" s="237"/>
      <c r="DR54" s="237"/>
      <c r="DS54" s="237"/>
      <c r="DT54" s="237"/>
      <c r="DU54" s="237"/>
      <c r="DV54" s="237"/>
      <c r="DW54" s="237"/>
      <c r="DX54" s="237"/>
      <c r="DY54" s="237"/>
      <c r="DZ54" s="237"/>
      <c r="EA54" s="237"/>
      <c r="EB54" s="237"/>
      <c r="EC54" s="237"/>
      <c r="ED54" s="237"/>
      <c r="EE54" s="237"/>
      <c r="EF54" s="237"/>
      <c r="EG54" s="237"/>
      <c r="EH54" s="237"/>
      <c r="EI54" s="237"/>
      <c r="EJ54" s="237"/>
      <c r="EK54" s="237"/>
      <c r="EL54" s="1088"/>
      <c r="EM54" s="1090"/>
      <c r="EN54" s="1090"/>
      <c r="EO54" s="1090"/>
      <c r="EP54" s="1090"/>
      <c r="EQ54" s="1090"/>
      <c r="ER54" s="1090"/>
      <c r="ES54" s="1090"/>
      <c r="ET54" s="1090"/>
      <c r="EU54" s="1090"/>
      <c r="EV54" s="1090"/>
      <c r="EW54" s="1090"/>
      <c r="EX54" s="1090"/>
      <c r="EY54" s="1090"/>
      <c r="EZ54" s="1090"/>
      <c r="FA54" s="1090"/>
      <c r="FB54" s="236"/>
      <c r="FC54" s="236"/>
      <c r="FD54" s="1090"/>
      <c r="FE54" s="1090"/>
      <c r="FF54" s="1090"/>
      <c r="FG54" s="1090"/>
      <c r="FH54" s="1090"/>
      <c r="FI54" s="1090"/>
      <c r="FJ54" s="1090"/>
      <c r="FK54" s="1090"/>
      <c r="FL54" s="1090"/>
      <c r="FM54" s="1090"/>
      <c r="FN54" s="1090"/>
      <c r="FO54" s="1090"/>
      <c r="FP54" s="1090"/>
      <c r="FQ54" s="1090"/>
      <c r="FR54" s="1090"/>
      <c r="FS54" s="1090"/>
      <c r="FT54" s="1090"/>
      <c r="FU54" s="1090"/>
      <c r="FV54" s="1090"/>
      <c r="FW54" s="1090"/>
      <c r="FX54" s="1090"/>
      <c r="FY54" s="1090"/>
      <c r="FZ54" s="1090"/>
      <c r="GA54" s="236"/>
      <c r="GB54" s="236"/>
      <c r="GC54" s="236"/>
      <c r="GD54" s="236"/>
      <c r="GE54" s="236"/>
      <c r="GF54" s="236"/>
      <c r="GG54" s="236"/>
      <c r="GH54" s="236"/>
      <c r="GI54" s="236"/>
      <c r="GJ54" s="236"/>
      <c r="GK54" s="236"/>
      <c r="GL54" s="236"/>
      <c r="GM54" s="236"/>
      <c r="GN54" s="236"/>
      <c r="GO54" s="236"/>
      <c r="GP54" s="236"/>
      <c r="GQ54" s="236"/>
      <c r="GR54" s="236"/>
      <c r="GS54" s="236"/>
      <c r="GT54" s="236"/>
      <c r="GU54" s="236"/>
      <c r="GV54" s="236"/>
      <c r="GW54" s="236"/>
      <c r="GX54" s="236"/>
      <c r="GY54" s="236"/>
      <c r="GZ54" s="236"/>
      <c r="HA54" s="236"/>
      <c r="HB54" s="236"/>
      <c r="HC54" s="236"/>
      <c r="HD54" s="236"/>
      <c r="HE54" s="236"/>
      <c r="HF54" s="236"/>
      <c r="HG54" s="236"/>
      <c r="HH54" s="236"/>
      <c r="HI54" s="236"/>
      <c r="HJ54" s="236"/>
      <c r="HK54" s="2860">
        <f t="shared" si="156"/>
        <v>0.21595448072390691</v>
      </c>
      <c r="HL54" s="2860">
        <f t="shared" si="153"/>
        <v>0.19312531196161681</v>
      </c>
      <c r="HM54" s="2860">
        <f t="shared" si="153"/>
        <v>0.21015058231504083</v>
      </c>
      <c r="HN54" s="2860">
        <f t="shared" si="153"/>
        <v>0.16922840935451122</v>
      </c>
      <c r="HO54" s="2860">
        <f t="shared" si="153"/>
        <v>0.16556047768019186</v>
      </c>
      <c r="HP54" s="2860">
        <f t="shared" si="153"/>
        <v>0.16375601366307596</v>
      </c>
      <c r="HQ54" s="2860">
        <f t="shared" si="153"/>
        <v>0.19324961869736187</v>
      </c>
      <c r="HR54" s="2860">
        <f t="shared" si="153"/>
        <v>0.17109898665113579</v>
      </c>
      <c r="HS54" s="2860">
        <f t="shared" si="153"/>
        <v>0.15900585521138022</v>
      </c>
      <c r="HT54" s="2860">
        <f t="shared" si="153"/>
        <v>0.16838801430404593</v>
      </c>
      <c r="HU54" s="2860">
        <f t="shared" si="153"/>
        <v>0.20709508109575395</v>
      </c>
      <c r="HV54" s="2860">
        <f t="shared" si="153"/>
        <v>0.18925150818525055</v>
      </c>
      <c r="HW54" s="2860">
        <f t="shared" si="153"/>
        <v>0.21865057954532605</v>
      </c>
      <c r="HX54" s="2860">
        <f t="shared" si="153"/>
        <v>0.18405499500612374</v>
      </c>
      <c r="HY54" s="2860">
        <f t="shared" si="153"/>
        <v>0.198117589718218</v>
      </c>
      <c r="HZ54" s="2860">
        <f t="shared" si="157"/>
        <v>0.18443136241749356</v>
      </c>
      <c r="IA54" s="236"/>
      <c r="IB54" s="236"/>
      <c r="IC54" s="236"/>
      <c r="ID54" s="236"/>
      <c r="IE54" s="236"/>
      <c r="IF54" s="236"/>
      <c r="IG54" s="236"/>
      <c r="IH54" s="236"/>
      <c r="II54" s="236"/>
      <c r="IJ54" s="236"/>
      <c r="IK54" s="236"/>
      <c r="IL54" s="236"/>
      <c r="IM54" s="236"/>
      <c r="IN54" s="236"/>
      <c r="IO54" s="236"/>
      <c r="IP54" s="236"/>
      <c r="IQ54" s="236"/>
      <c r="IR54" s="236"/>
      <c r="IS54" s="236"/>
      <c r="IT54" s="236"/>
      <c r="IU54" s="236"/>
      <c r="IV54" s="236"/>
      <c r="IW54" s="236"/>
      <c r="IX54" s="236"/>
      <c r="IY54" s="236"/>
      <c r="IZ54" s="236"/>
      <c r="JA54" s="236"/>
      <c r="JB54" s="236"/>
      <c r="JC54" s="236"/>
      <c r="JD54" s="236"/>
      <c r="JE54" s="236"/>
      <c r="JF54" s="236"/>
      <c r="JG54" s="236"/>
      <c r="JH54" s="236"/>
      <c r="JI54" s="236"/>
      <c r="JJ54" s="236"/>
      <c r="JK54" s="236"/>
      <c r="JL54" s="236"/>
      <c r="JM54" s="236"/>
      <c r="JN54" s="236"/>
      <c r="JO54" s="236"/>
      <c r="JP54" s="236"/>
      <c r="JQ54" s="236"/>
      <c r="JR54" s="236"/>
      <c r="JS54" s="236"/>
      <c r="JT54" s="236"/>
      <c r="JU54" s="236"/>
      <c r="JV54" s="236"/>
      <c r="JW54" s="236"/>
      <c r="JX54" s="236"/>
      <c r="JY54" s="236"/>
      <c r="JZ54" s="236"/>
      <c r="KA54" s="236"/>
      <c r="KB54" s="236"/>
      <c r="KC54" s="236"/>
      <c r="KD54" s="236"/>
      <c r="KE54" s="236"/>
      <c r="KF54" s="236"/>
      <c r="KG54" s="236"/>
      <c r="KH54" s="236"/>
      <c r="KI54" s="236"/>
      <c r="KJ54" s="236"/>
      <c r="KK54" s="236"/>
      <c r="KL54" s="236"/>
      <c r="KM54" s="236"/>
      <c r="KN54" s="236"/>
      <c r="KO54" s="236"/>
      <c r="KP54" s="236"/>
      <c r="KQ54" s="236"/>
      <c r="KR54" s="236"/>
      <c r="KS54" s="236"/>
      <c r="KT54" s="236"/>
      <c r="KU54" s="236"/>
      <c r="KV54" s="236"/>
      <c r="KW54" s="236"/>
      <c r="KX54" s="236"/>
      <c r="KY54" s="236"/>
      <c r="KZ54" s="236"/>
      <c r="LA54" s="236"/>
      <c r="LB54" s="236"/>
      <c r="LC54" s="236"/>
      <c r="LD54" s="236"/>
      <c r="LE54" s="236"/>
      <c r="LF54" s="236"/>
      <c r="LG54" s="236"/>
      <c r="LH54" s="236"/>
      <c r="LI54" s="236"/>
      <c r="LJ54" s="236"/>
      <c r="LK54" s="236"/>
      <c r="LL54" s="236"/>
      <c r="LM54" s="236"/>
      <c r="LN54" s="236"/>
      <c r="LO54" s="236"/>
      <c r="LP54" s="236"/>
      <c r="LQ54" s="236"/>
      <c r="LR54" s="236"/>
      <c r="LS54" s="236"/>
      <c r="LT54" s="236"/>
      <c r="LU54" s="236"/>
      <c r="LV54" s="236"/>
      <c r="LW54" s="236"/>
      <c r="LX54" s="236"/>
      <c r="LY54" s="236"/>
      <c r="LZ54" s="236"/>
      <c r="MA54" s="236"/>
      <c r="MB54" s="236"/>
      <c r="MC54" s="236"/>
      <c r="MD54" s="236"/>
      <c r="ME54" s="236"/>
      <c r="MF54" s="73" t="s">
        <v>281</v>
      </c>
      <c r="MG54" s="168">
        <f t="shared" si="158"/>
        <v>1.5987901881444817</v>
      </c>
      <c r="MH54" s="168">
        <f t="shared" ref="MH54:MU54" si="194">MH17+0.2</f>
        <v>1.6290358741083504</v>
      </c>
      <c r="MI54" s="168">
        <f t="shared" si="194"/>
        <v>1.845339057170406</v>
      </c>
      <c r="MJ54" s="168">
        <f t="shared" si="194"/>
        <v>1.6567649587788869</v>
      </c>
      <c r="MK54" s="168">
        <f t="shared" si="194"/>
        <v>1.6333501772369166</v>
      </c>
      <c r="ML54" s="168">
        <f t="shared" si="194"/>
        <v>1.6396345236284728</v>
      </c>
      <c r="MM54" s="168">
        <f t="shared" si="194"/>
        <v>1.6725632145335945</v>
      </c>
      <c r="MN54" s="168">
        <f t="shared" si="194"/>
        <v>1.530097649280898</v>
      </c>
      <c r="MO54" s="168">
        <f t="shared" si="194"/>
        <v>1.3864403619421668</v>
      </c>
      <c r="MP54" s="168">
        <f t="shared" si="194"/>
        <v>1.3599010572175367</v>
      </c>
      <c r="MQ54" s="168">
        <f t="shared" si="194"/>
        <v>1.5797333581444331</v>
      </c>
      <c r="MR54" s="168">
        <f t="shared" si="194"/>
        <v>1.428124354462502</v>
      </c>
      <c r="MS54" s="168">
        <f t="shared" si="194"/>
        <v>1.6029135008835715</v>
      </c>
      <c r="MT54" s="168">
        <f t="shared" si="194"/>
        <v>1.6610243095315091</v>
      </c>
      <c r="MU54" s="168">
        <f t="shared" si="194"/>
        <v>1.8501516887993055</v>
      </c>
      <c r="MV54" s="11"/>
      <c r="MW54" s="168">
        <f t="shared" ref="MW54" si="195">MW17+0.2</f>
        <v>1.7046964997381289</v>
      </c>
      <c r="MX54" s="11"/>
      <c r="MY54" s="168">
        <f t="shared" ref="MY54" si="196">MY17+0.2</f>
        <v>1.6355534634192221</v>
      </c>
      <c r="MZ54" s="168">
        <f t="shared" si="155"/>
        <v>1.6035414008930922</v>
      </c>
      <c r="NA54" s="236"/>
      <c r="NB54" s="236"/>
      <c r="NC54" s="236"/>
      <c r="ND54" s="236"/>
      <c r="NE54" s="236"/>
      <c r="NF54" s="236"/>
      <c r="NG54" s="236"/>
      <c r="NH54" s="236"/>
      <c r="NI54" s="236"/>
      <c r="NJ54" s="236"/>
      <c r="NK54" s="236"/>
      <c r="NL54" s="236"/>
      <c r="NM54" s="236"/>
      <c r="NN54" s="236"/>
      <c r="NO54" s="236"/>
      <c r="NP54" s="236"/>
      <c r="NQ54" s="236"/>
      <c r="NR54" s="236"/>
      <c r="NS54" s="236"/>
      <c r="NT54" s="236"/>
      <c r="NU54" s="236"/>
      <c r="NV54" s="236"/>
      <c r="NW54" s="236"/>
      <c r="NX54" s="236"/>
      <c r="NY54" s="236"/>
      <c r="NZ54" s="236"/>
      <c r="OA54" s="236"/>
      <c r="OB54" s="236"/>
      <c r="OC54" s="236"/>
      <c r="OD54" s="236"/>
      <c r="OE54" s="236"/>
      <c r="OF54" s="236"/>
      <c r="OG54" s="236"/>
      <c r="OH54" s="236"/>
      <c r="OI54" s="236"/>
      <c r="OJ54" s="236"/>
      <c r="OK54" s="236"/>
      <c r="OL54" s="236"/>
      <c r="OM54" s="236"/>
      <c r="ON54" s="236"/>
      <c r="OO54" s="236"/>
      <c r="OP54" s="168"/>
      <c r="OQ54" s="168">
        <f>OQ17-'Bloom Cleaner Data'!FP17</f>
        <v>-0.20115767976253629</v>
      </c>
      <c r="OR54" s="168">
        <f>OR17-'Bloom Cleaner Data'!FQ17</f>
        <v>-0.16289906463701675</v>
      </c>
      <c r="OS54" s="168">
        <f>OS17-'Bloom Cleaner Data'!FR17</f>
        <v>-0.16052281274525204</v>
      </c>
      <c r="OT54" s="168"/>
      <c r="OU54" s="168">
        <f>OU17-'Bloom Cleaner Data'!FT17</f>
        <v>-0.13426267054419472</v>
      </c>
      <c r="OV54" s="168">
        <f>OV17-'Bloom Cleaner Data'!FU17</f>
        <v>-0.12511513441937061</v>
      </c>
      <c r="OW54" s="168">
        <f>OW17-'Bloom Cleaner Data'!FV17</f>
        <v>-0.11019169159118092</v>
      </c>
      <c r="OX54" s="168"/>
      <c r="OY54" s="168"/>
      <c r="OZ54" s="168"/>
      <c r="PA54" s="168"/>
      <c r="PB54" s="168"/>
      <c r="PC54" s="168"/>
      <c r="PD54" s="168"/>
    </row>
    <row r="55" spans="1:420">
      <c r="A55" s="5"/>
      <c r="B55" s="3125" t="s">
        <v>44</v>
      </c>
      <c r="C55" s="1180"/>
      <c r="D55" s="237"/>
      <c r="E55" s="237"/>
      <c r="F55" s="237"/>
      <c r="G55" s="237"/>
      <c r="H55" s="237"/>
      <c r="I55" s="237"/>
      <c r="J55" s="237"/>
      <c r="K55" s="237"/>
      <c r="L55" s="237"/>
      <c r="M55" s="23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c r="BQ55" s="237"/>
      <c r="BR55" s="237"/>
      <c r="BS55" s="237"/>
      <c r="BT55" s="237"/>
      <c r="BU55" s="237"/>
      <c r="BV55" s="237"/>
      <c r="BW55" s="237"/>
      <c r="BX55" s="237"/>
      <c r="BY55" s="237"/>
      <c r="BZ55" s="237"/>
      <c r="CA55" s="237"/>
      <c r="CB55" s="237"/>
      <c r="CC55" s="237"/>
      <c r="CD55" s="237"/>
      <c r="CE55" s="237"/>
      <c r="CF55" s="237"/>
      <c r="CG55" s="237"/>
      <c r="CH55" s="237"/>
      <c r="CI55" s="237"/>
      <c r="CJ55" s="237"/>
      <c r="CK55" s="237"/>
      <c r="CL55" s="237"/>
      <c r="CM55" s="237"/>
      <c r="CN55" s="237"/>
      <c r="CO55" s="237"/>
      <c r="CP55" s="237"/>
      <c r="CQ55" s="237"/>
      <c r="CR55" s="237"/>
      <c r="CS55" s="237"/>
      <c r="CT55" s="237"/>
      <c r="CU55" s="237"/>
      <c r="CV55" s="237"/>
      <c r="CW55" s="237"/>
      <c r="CX55" s="237"/>
      <c r="CY55" s="237"/>
      <c r="CZ55" s="237"/>
      <c r="DA55" s="237"/>
      <c r="DB55" s="237"/>
      <c r="DC55" s="237"/>
      <c r="DD55" s="237"/>
      <c r="DE55" s="237"/>
      <c r="DF55" s="237"/>
      <c r="DG55" s="237"/>
      <c r="DH55" s="237"/>
      <c r="DI55" s="237"/>
      <c r="DJ55" s="237"/>
      <c r="DK55" s="237"/>
      <c r="DL55" s="237"/>
      <c r="DM55" s="237"/>
      <c r="DN55" s="237"/>
      <c r="DO55" s="237"/>
      <c r="DP55" s="237"/>
      <c r="DQ55" s="237"/>
      <c r="DR55" s="237"/>
      <c r="DS55" s="237"/>
      <c r="DT55" s="237"/>
      <c r="DU55" s="237"/>
      <c r="DV55" s="237"/>
      <c r="DW55" s="237"/>
      <c r="DX55" s="237"/>
      <c r="DY55" s="237"/>
      <c r="DZ55" s="237"/>
      <c r="EA55" s="237"/>
      <c r="EB55" s="237"/>
      <c r="EC55" s="237"/>
      <c r="ED55" s="237"/>
      <c r="EE55" s="237"/>
      <c r="EF55" s="237"/>
      <c r="EG55" s="237"/>
      <c r="EH55" s="237"/>
      <c r="EI55" s="237"/>
      <c r="EJ55" s="237"/>
      <c r="EK55" s="237"/>
      <c r="EL55" s="1088"/>
      <c r="EM55" s="1090"/>
      <c r="EN55" s="1090"/>
      <c r="EO55" s="1090"/>
      <c r="EP55" s="1090"/>
      <c r="EQ55" s="1090"/>
      <c r="ER55" s="1090"/>
      <c r="ES55" s="1090"/>
      <c r="ET55" s="1090"/>
      <c r="EU55" s="1090"/>
      <c r="EV55" s="1090"/>
      <c r="EW55" s="1090"/>
      <c r="EX55" s="1090"/>
      <c r="EY55" s="1090"/>
      <c r="EZ55" s="1090"/>
      <c r="FA55" s="1090"/>
      <c r="FB55" s="236"/>
      <c r="FC55" s="236"/>
      <c r="FD55" s="1090"/>
      <c r="FE55" s="1090"/>
      <c r="FF55" s="1090"/>
      <c r="FG55" s="1090"/>
      <c r="FH55" s="1090"/>
      <c r="FI55" s="1090"/>
      <c r="FJ55" s="1090"/>
      <c r="FK55" s="1090"/>
      <c r="FL55" s="1090"/>
      <c r="FM55" s="1090"/>
      <c r="FN55" s="1090"/>
      <c r="FO55" s="1090"/>
      <c r="FP55" s="1090"/>
      <c r="FQ55" s="1090"/>
      <c r="FR55" s="1090"/>
      <c r="FS55" s="1090"/>
      <c r="FT55" s="1090"/>
      <c r="FU55" s="1090"/>
      <c r="FV55" s="1090"/>
      <c r="FW55" s="1090"/>
      <c r="FX55" s="1090"/>
      <c r="FY55" s="1090"/>
      <c r="FZ55" s="1090"/>
      <c r="GA55" s="236"/>
      <c r="GB55" s="236"/>
      <c r="GC55" s="236"/>
      <c r="GD55" s="236"/>
      <c r="GE55" s="236"/>
      <c r="GF55" s="236"/>
      <c r="GG55" s="236"/>
      <c r="GH55" s="236"/>
      <c r="GI55" s="236"/>
      <c r="GJ55" s="236"/>
      <c r="GK55" s="236"/>
      <c r="GL55" s="236"/>
      <c r="GM55" s="236"/>
      <c r="GN55" s="236"/>
      <c r="GO55" s="236"/>
      <c r="GP55" s="236"/>
      <c r="GQ55" s="236"/>
      <c r="GR55" s="236"/>
      <c r="GS55" s="236"/>
      <c r="GT55" s="236"/>
      <c r="GU55" s="236"/>
      <c r="GV55" s="236"/>
      <c r="GW55" s="236"/>
      <c r="GX55" s="236"/>
      <c r="GY55" s="236"/>
      <c r="GZ55" s="236"/>
      <c r="HA55" s="236"/>
      <c r="HB55" s="236"/>
      <c r="HC55" s="236"/>
      <c r="HD55" s="236"/>
      <c r="HE55" s="236"/>
      <c r="HF55" s="236"/>
      <c r="HG55" s="236"/>
      <c r="HH55" s="236"/>
      <c r="HI55" s="236"/>
      <c r="HJ55" s="236"/>
      <c r="HK55" s="2860">
        <f t="shared" si="156"/>
        <v>0.38996332556610758</v>
      </c>
      <c r="HL55" s="2860">
        <f t="shared" si="153"/>
        <v>0.40174346376663489</v>
      </c>
      <c r="HM55" s="2860">
        <f t="shared" si="153"/>
        <v>0.45026142618436604</v>
      </c>
      <c r="HN55" s="2860">
        <f t="shared" si="153"/>
        <v>0.4339513333731439</v>
      </c>
      <c r="HO55" s="2860">
        <f t="shared" si="153"/>
        <v>0.43382431062497023</v>
      </c>
      <c r="HP55" s="2860">
        <f t="shared" si="153"/>
        <v>0.41766769585666652</v>
      </c>
      <c r="HQ55" s="2860">
        <f t="shared" si="153"/>
        <v>0.47515297084599867</v>
      </c>
      <c r="HR55" s="2860">
        <f t="shared" si="153"/>
        <v>0.49914071596366993</v>
      </c>
      <c r="HS55" s="2860">
        <f t="shared" si="153"/>
        <v>0.5117706146053288</v>
      </c>
      <c r="HT55" s="2860">
        <f t="shared" si="153"/>
        <v>0.54314892676892745</v>
      </c>
      <c r="HU55" s="2860">
        <f t="shared" si="153"/>
        <v>0.57822046192688159</v>
      </c>
      <c r="HV55" s="2860">
        <f t="shared" si="153"/>
        <v>0.63698100225567456</v>
      </c>
      <c r="HW55" s="2860">
        <f t="shared" si="153"/>
        <v>0.73270050902064932</v>
      </c>
      <c r="HX55" s="2860">
        <f t="shared" si="153"/>
        <v>0.79833832198778942</v>
      </c>
      <c r="HY55" s="2860">
        <f t="shared" si="153"/>
        <v>0.63323863537070213</v>
      </c>
      <c r="HZ55" s="2860">
        <f t="shared" si="157"/>
        <v>0.5495689942142129</v>
      </c>
      <c r="IA55" s="236"/>
      <c r="IB55" s="236"/>
      <c r="IC55" s="236"/>
      <c r="ID55" s="236"/>
      <c r="IE55" s="236"/>
      <c r="IF55" s="236"/>
      <c r="IG55" s="236"/>
      <c r="IH55" s="236"/>
      <c r="II55" s="236"/>
      <c r="IJ55" s="236"/>
      <c r="IK55" s="236"/>
      <c r="IL55" s="236"/>
      <c r="IM55" s="236"/>
      <c r="IN55" s="236"/>
      <c r="IO55" s="236"/>
      <c r="IP55" s="236"/>
      <c r="IQ55" s="236"/>
      <c r="IR55" s="236"/>
      <c r="IS55" s="236"/>
      <c r="IT55" s="236"/>
      <c r="IU55" s="236"/>
      <c r="IV55" s="236"/>
      <c r="IW55" s="236"/>
      <c r="IX55" s="236"/>
      <c r="IY55" s="236"/>
      <c r="IZ55" s="236"/>
      <c r="JA55" s="236"/>
      <c r="JB55" s="236"/>
      <c r="JC55" s="236"/>
      <c r="JD55" s="236"/>
      <c r="JE55" s="236"/>
      <c r="JF55" s="236"/>
      <c r="JG55" s="236"/>
      <c r="JH55" s="236"/>
      <c r="JI55" s="236"/>
      <c r="JJ55" s="236"/>
      <c r="JK55" s="236"/>
      <c r="JL55" s="236"/>
      <c r="JM55" s="236"/>
      <c r="JN55" s="236"/>
      <c r="JO55" s="236"/>
      <c r="JP55" s="236"/>
      <c r="JQ55" s="236"/>
      <c r="JR55" s="236"/>
      <c r="JS55" s="236"/>
      <c r="JT55" s="236"/>
      <c r="JU55" s="236"/>
      <c r="JV55" s="236"/>
      <c r="JW55" s="236"/>
      <c r="JX55" s="236"/>
      <c r="JY55" s="236"/>
      <c r="JZ55" s="236"/>
      <c r="KA55" s="236"/>
      <c r="KB55" s="236"/>
      <c r="KC55" s="236"/>
      <c r="KD55" s="236"/>
      <c r="KE55" s="236"/>
      <c r="KF55" s="236"/>
      <c r="KG55" s="236"/>
      <c r="KH55" s="236"/>
      <c r="KI55" s="236"/>
      <c r="KJ55" s="236"/>
      <c r="KK55" s="236"/>
      <c r="KL55" s="236"/>
      <c r="KM55" s="236"/>
      <c r="KN55" s="236"/>
      <c r="KO55" s="236"/>
      <c r="KP55" s="236"/>
      <c r="KQ55" s="236"/>
      <c r="KR55" s="236"/>
      <c r="KS55" s="236"/>
      <c r="KT55" s="236"/>
      <c r="KU55" s="236"/>
      <c r="KV55" s="236"/>
      <c r="KW55" s="236"/>
      <c r="KX55" s="236"/>
      <c r="KY55" s="236"/>
      <c r="KZ55" s="236"/>
      <c r="LA55" s="236"/>
      <c r="LB55" s="236"/>
      <c r="LC55" s="236"/>
      <c r="LD55" s="236"/>
      <c r="LE55" s="236"/>
      <c r="LF55" s="236"/>
      <c r="LG55" s="236"/>
      <c r="LH55" s="236"/>
      <c r="LI55" s="236"/>
      <c r="LJ55" s="236"/>
      <c r="LK55" s="236"/>
      <c r="LL55" s="236"/>
      <c r="LM55" s="236"/>
      <c r="LN55" s="236"/>
      <c r="LO55" s="236"/>
      <c r="LP55" s="236"/>
      <c r="LQ55" s="236"/>
      <c r="LR55" s="236"/>
      <c r="LS55" s="236"/>
      <c r="LT55" s="236"/>
      <c r="LU55" s="236"/>
      <c r="LV55" s="236"/>
      <c r="LW55" s="236"/>
      <c r="LX55" s="236"/>
      <c r="LY55" s="236"/>
      <c r="LZ55" s="236"/>
      <c r="MA55" s="236"/>
      <c r="MB55" s="236"/>
      <c r="MC55" s="236"/>
      <c r="MD55" s="236"/>
      <c r="ME55" s="236"/>
      <c r="MF55" s="73" t="s">
        <v>44</v>
      </c>
      <c r="MG55" s="168">
        <f t="shared" si="158"/>
        <v>2.9361423463174239</v>
      </c>
      <c r="MH55" s="168">
        <f t="shared" ref="MH55:MU55" si="197">MH18+0.2</f>
        <v>2.9175688696098527</v>
      </c>
      <c r="MI55" s="168">
        <f t="shared" si="197"/>
        <v>2.9651976963991205</v>
      </c>
      <c r="MJ55" s="168">
        <f t="shared" si="197"/>
        <v>2.8483004343587122</v>
      </c>
      <c r="MK55" s="168">
        <f t="shared" si="197"/>
        <v>2.6513968449314937</v>
      </c>
      <c r="ML55" s="168">
        <f t="shared" si="197"/>
        <v>2.6936564909331131</v>
      </c>
      <c r="MM55" s="168">
        <f t="shared" si="197"/>
        <v>2.8803561783764859</v>
      </c>
      <c r="MN55" s="168">
        <f t="shared" si="197"/>
        <v>2.9953190190719452</v>
      </c>
      <c r="MO55" s="168">
        <f t="shared" si="197"/>
        <v>2.9442964109048679</v>
      </c>
      <c r="MP55" s="168">
        <f t="shared" si="197"/>
        <v>3.0953093179639364</v>
      </c>
      <c r="MQ55" s="168">
        <f t="shared" si="197"/>
        <v>3.2479538307136107</v>
      </c>
      <c r="MR55" s="168">
        <f t="shared" si="197"/>
        <v>3.4341436917036345</v>
      </c>
      <c r="MS55" s="168">
        <f t="shared" si="197"/>
        <v>3.4425578514646462</v>
      </c>
      <c r="MT55" s="168">
        <f t="shared" si="197"/>
        <v>3.581410222268655</v>
      </c>
      <c r="MU55" s="168">
        <f t="shared" si="197"/>
        <v>3.686460932912909</v>
      </c>
      <c r="MV55" s="11"/>
      <c r="MW55" s="168">
        <f t="shared" ref="MW55" si="198">MW18+0.2</f>
        <v>3.5701430022154037</v>
      </c>
      <c r="MX55" s="11"/>
      <c r="MY55" s="168">
        <f t="shared" ref="MY55" si="199">MY18+0.2</f>
        <v>3.536143174587461</v>
      </c>
      <c r="MZ55" s="168">
        <f t="shared" si="155"/>
        <v>3.1127968401540871</v>
      </c>
      <c r="NA55" s="236"/>
      <c r="NB55" s="236"/>
      <c r="NC55" s="236"/>
      <c r="ND55" s="236"/>
      <c r="NE55" s="236"/>
      <c r="NF55" s="236"/>
      <c r="NG55" s="236"/>
      <c r="NH55" s="236"/>
      <c r="NI55" s="236"/>
      <c r="NJ55" s="236"/>
      <c r="NK55" s="236"/>
      <c r="NL55" s="236"/>
      <c r="NM55" s="236"/>
      <c r="NN55" s="236"/>
      <c r="NO55" s="236"/>
      <c r="NP55" s="236"/>
      <c r="NQ55" s="236"/>
      <c r="NR55" s="236"/>
      <c r="NS55" s="236"/>
      <c r="NT55" s="236"/>
      <c r="NU55" s="236"/>
      <c r="NV55" s="236"/>
      <c r="NW55" s="236"/>
      <c r="NX55" s="236"/>
      <c r="NY55" s="236"/>
      <c r="NZ55" s="236"/>
      <c r="OA55" s="236"/>
      <c r="OB55" s="236"/>
      <c r="OC55" s="236"/>
      <c r="OD55" s="236"/>
      <c r="OE55" s="236"/>
      <c r="OF55" s="236"/>
      <c r="OG55" s="236"/>
      <c r="OH55" s="236"/>
      <c r="OI55" s="236"/>
      <c r="OJ55" s="236"/>
      <c r="OK55" s="236"/>
      <c r="OL55" s="236"/>
      <c r="OM55" s="236"/>
      <c r="ON55" s="236"/>
      <c r="OO55" s="236"/>
      <c r="OP55" s="168">
        <f>OP18-'Bloom Cleaner Data'!FO18</f>
        <v>-3.9036448841445193E-3</v>
      </c>
      <c r="OQ55" s="168">
        <f>OQ18-'Bloom Cleaner Data'!FP18</f>
        <v>-4.3893617021275588E-3</v>
      </c>
      <c r="OR55" s="168">
        <f>OR18-'Bloom Cleaner Data'!FQ18</f>
        <v>-8.3937661591493296E-3</v>
      </c>
      <c r="OS55" s="168">
        <f>OS18-'Bloom Cleaner Data'!FR18</f>
        <v>-4.4926227040775757E-5</v>
      </c>
      <c r="OT55" s="168">
        <f>OT18-'Bloom Cleaner Data'!FS18</f>
        <v>4.2828571428010775E-5</v>
      </c>
      <c r="OU55" s="168">
        <f>OU18-'Bloom Cleaner Data'!FT18</f>
        <v>1.3574891553957968E-5</v>
      </c>
      <c r="OV55" s="168">
        <f>OV18-'Bloom Cleaner Data'!FU18</f>
        <v>6.0477280152682056E-6</v>
      </c>
      <c r="OW55" s="168">
        <f>OW18-'Bloom Cleaner Data'!FV18</f>
        <v>3.6808669655385984E-5</v>
      </c>
      <c r="OX55" s="168"/>
      <c r="OY55" s="168"/>
      <c r="OZ55" s="168"/>
      <c r="PA55" s="168"/>
      <c r="PB55" s="168">
        <f>PB18-'Bloom Cleaner Data'!GA18</f>
        <v>-4.5765054855749554E-2</v>
      </c>
      <c r="PC55" s="168"/>
      <c r="PD55" s="168"/>
    </row>
    <row r="56" spans="1:420">
      <c r="A56" s="5"/>
      <c r="B56" s="3125" t="s">
        <v>289</v>
      </c>
      <c r="C56" s="1180"/>
      <c r="D56" s="237"/>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c r="BQ56" s="237"/>
      <c r="BR56" s="237"/>
      <c r="BS56" s="237"/>
      <c r="BT56" s="237"/>
      <c r="BU56" s="237"/>
      <c r="BV56" s="237"/>
      <c r="BW56" s="237"/>
      <c r="BX56" s="237"/>
      <c r="BY56" s="237"/>
      <c r="BZ56" s="237"/>
      <c r="CA56" s="237"/>
      <c r="CB56" s="237"/>
      <c r="CC56" s="237"/>
      <c r="CD56" s="237"/>
      <c r="CE56" s="237"/>
      <c r="CF56" s="237"/>
      <c r="CG56" s="237"/>
      <c r="CH56" s="237"/>
      <c r="CI56" s="237"/>
      <c r="CJ56" s="237"/>
      <c r="CK56" s="237"/>
      <c r="CL56" s="237"/>
      <c r="CM56" s="237"/>
      <c r="CN56" s="237"/>
      <c r="CO56" s="237"/>
      <c r="CP56" s="237"/>
      <c r="CQ56" s="237"/>
      <c r="CR56" s="237"/>
      <c r="CS56" s="237"/>
      <c r="CT56" s="237"/>
      <c r="CU56" s="237"/>
      <c r="CV56" s="237"/>
      <c r="CW56" s="237"/>
      <c r="CX56" s="237"/>
      <c r="CY56" s="237"/>
      <c r="CZ56" s="237"/>
      <c r="DA56" s="237"/>
      <c r="DB56" s="237"/>
      <c r="DC56" s="237"/>
      <c r="DD56" s="237"/>
      <c r="DE56" s="237"/>
      <c r="DF56" s="237"/>
      <c r="DG56" s="237"/>
      <c r="DH56" s="237"/>
      <c r="DI56" s="237"/>
      <c r="DJ56" s="237"/>
      <c r="DK56" s="237"/>
      <c r="DL56" s="237"/>
      <c r="DM56" s="237"/>
      <c r="DN56" s="237"/>
      <c r="DO56" s="237"/>
      <c r="DP56" s="237"/>
      <c r="DQ56" s="237"/>
      <c r="DR56" s="237"/>
      <c r="DS56" s="237"/>
      <c r="DT56" s="237"/>
      <c r="DU56" s="237"/>
      <c r="DV56" s="237"/>
      <c r="DW56" s="237"/>
      <c r="DX56" s="237"/>
      <c r="DY56" s="237"/>
      <c r="DZ56" s="237"/>
      <c r="EA56" s="237"/>
      <c r="EB56" s="237"/>
      <c r="EC56" s="237"/>
      <c r="ED56" s="237"/>
      <c r="EE56" s="237"/>
      <c r="EF56" s="237"/>
      <c r="EG56" s="237"/>
      <c r="EH56" s="237"/>
      <c r="EI56" s="237"/>
      <c r="EJ56" s="237"/>
      <c r="EK56" s="237"/>
      <c r="EL56" s="1088"/>
      <c r="EM56" s="236"/>
      <c r="EN56" s="236"/>
      <c r="EO56" s="236"/>
      <c r="EP56" s="236"/>
      <c r="EQ56" s="236"/>
      <c r="ER56" s="236"/>
      <c r="ES56" s="236"/>
      <c r="ET56" s="236"/>
      <c r="EU56" s="236"/>
      <c r="EV56" s="236"/>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236"/>
      <c r="GD56" s="236"/>
      <c r="GE56" s="236"/>
      <c r="GF56" s="236"/>
      <c r="GG56" s="236"/>
      <c r="GH56" s="236"/>
      <c r="GI56" s="236"/>
      <c r="GJ56" s="236"/>
      <c r="GK56" s="236"/>
      <c r="GL56" s="236"/>
      <c r="GM56" s="236"/>
      <c r="GN56" s="236"/>
      <c r="GO56" s="236"/>
      <c r="GP56" s="236"/>
      <c r="GQ56" s="236"/>
      <c r="GR56" s="236"/>
      <c r="GS56" s="236"/>
      <c r="GT56" s="236"/>
      <c r="GU56" s="236"/>
      <c r="GV56" s="236"/>
      <c r="GW56" s="236"/>
      <c r="GX56" s="236"/>
      <c r="GY56" s="236"/>
      <c r="GZ56" s="236"/>
      <c r="HA56" s="236"/>
      <c r="HB56" s="236"/>
      <c r="HC56" s="236"/>
      <c r="HD56" s="236"/>
      <c r="HE56" s="236"/>
      <c r="HF56" s="236"/>
      <c r="HG56" s="236"/>
      <c r="HH56" s="236"/>
      <c r="HI56" s="236"/>
      <c r="HJ56" s="236"/>
      <c r="HK56" s="2860">
        <f t="shared" si="156"/>
        <v>0.17989145067424506</v>
      </c>
      <c r="HL56" s="2860">
        <f t="shared" si="153"/>
        <v>0.15488420138715034</v>
      </c>
      <c r="HM56" s="2860">
        <f t="shared" si="153"/>
        <v>0.15187235711983951</v>
      </c>
      <c r="HN56" s="2860">
        <f t="shared" si="153"/>
        <v>0.1549776523010952</v>
      </c>
      <c r="HO56" s="2860">
        <f t="shared" si="153"/>
        <v>0.15220419294019369</v>
      </c>
      <c r="HP56" s="2860">
        <f t="shared" si="153"/>
        <v>0.13837930974567697</v>
      </c>
      <c r="HQ56" s="2860">
        <f t="shared" si="153"/>
        <v>5.9079764987643307E-2</v>
      </c>
      <c r="HR56" s="2860">
        <f t="shared" si="153"/>
        <v>0.11822574491549286</v>
      </c>
      <c r="HS56" s="2860">
        <f t="shared" si="153"/>
        <v>0.10235205409064563</v>
      </c>
      <c r="HT56" s="2860">
        <f t="shared" si="153"/>
        <v>0.17447964694034374</v>
      </c>
      <c r="HU56" s="2860">
        <f t="shared" si="153"/>
        <v>0.17656458361512248</v>
      </c>
      <c r="HV56" s="2860">
        <f t="shared" si="153"/>
        <v>0.21525846386444203</v>
      </c>
      <c r="HW56" s="2860">
        <f t="shared" si="153"/>
        <v>0.25122268544148668</v>
      </c>
      <c r="HX56" s="2860">
        <f t="shared" si="153"/>
        <v>0.377545581839138</v>
      </c>
      <c r="HY56" s="2860">
        <f t="shared" si="153"/>
        <v>0.34197601038246805</v>
      </c>
      <c r="HZ56" s="2860">
        <f t="shared" si="157"/>
        <v>0.18570292678335293</v>
      </c>
      <c r="IA56" s="236"/>
      <c r="IB56" s="236"/>
      <c r="IC56" s="236"/>
      <c r="ID56" s="236"/>
      <c r="IE56" s="236"/>
      <c r="IF56" s="236"/>
      <c r="IG56" s="236"/>
      <c r="IH56" s="236"/>
      <c r="II56" s="236"/>
      <c r="IJ56" s="236"/>
      <c r="IK56" s="236"/>
      <c r="IL56" s="236"/>
      <c r="IM56" s="236"/>
      <c r="IN56" s="236"/>
      <c r="IO56" s="236"/>
      <c r="IP56" s="236"/>
      <c r="IQ56" s="236"/>
      <c r="IR56" s="236"/>
      <c r="IS56" s="236"/>
      <c r="IT56" s="236"/>
      <c r="IU56" s="236"/>
      <c r="IV56" s="236"/>
      <c r="IW56" s="236"/>
      <c r="IX56" s="236"/>
      <c r="IY56" s="236"/>
      <c r="IZ56" s="236"/>
      <c r="JA56" s="236"/>
      <c r="JB56" s="236"/>
      <c r="JC56" s="236"/>
      <c r="JD56" s="236"/>
      <c r="JE56" s="236"/>
      <c r="JF56" s="236"/>
      <c r="JG56" s="236"/>
      <c r="JH56" s="236"/>
      <c r="JI56" s="236"/>
      <c r="JJ56" s="236"/>
      <c r="JK56" s="236"/>
      <c r="JL56" s="236"/>
      <c r="JM56" s="236"/>
      <c r="JN56" s="236"/>
      <c r="JO56" s="236"/>
      <c r="JP56" s="236"/>
      <c r="JQ56" s="236"/>
      <c r="JR56" s="236"/>
      <c r="JS56" s="236"/>
      <c r="JT56" s="236"/>
      <c r="JU56" s="236"/>
      <c r="JV56" s="236"/>
      <c r="JW56" s="236"/>
      <c r="JX56" s="236"/>
      <c r="JY56" s="236"/>
      <c r="JZ56" s="236"/>
      <c r="KA56" s="236"/>
      <c r="KB56" s="236"/>
      <c r="KC56" s="236"/>
      <c r="KD56" s="236"/>
      <c r="KE56" s="236"/>
      <c r="KF56" s="236"/>
      <c r="KG56" s="236"/>
      <c r="KH56" s="236"/>
      <c r="KI56" s="236"/>
      <c r="KJ56" s="236"/>
      <c r="KK56" s="236"/>
      <c r="KL56" s="236"/>
      <c r="KM56" s="236"/>
      <c r="KN56" s="236"/>
      <c r="KO56" s="236"/>
      <c r="KP56" s="236"/>
      <c r="KQ56" s="236"/>
      <c r="KR56" s="236"/>
      <c r="KS56" s="236"/>
      <c r="KT56" s="236"/>
      <c r="KU56" s="236"/>
      <c r="KV56" s="236"/>
      <c r="KW56" s="236"/>
      <c r="KX56" s="236"/>
      <c r="KY56" s="236"/>
      <c r="KZ56" s="236"/>
      <c r="LA56" s="236"/>
      <c r="LB56" s="236"/>
      <c r="LC56" s="236"/>
      <c r="LD56" s="236"/>
      <c r="LE56" s="236"/>
      <c r="LF56" s="236"/>
      <c r="LG56" s="236"/>
      <c r="LH56" s="236"/>
      <c r="LI56" s="236"/>
      <c r="LJ56" s="236"/>
      <c r="LK56" s="236"/>
      <c r="LL56" s="236"/>
      <c r="LM56" s="236"/>
      <c r="LN56" s="236"/>
      <c r="LO56" s="236"/>
      <c r="LP56" s="236"/>
      <c r="LQ56" s="236"/>
      <c r="LR56" s="236"/>
      <c r="LS56" s="236"/>
      <c r="LT56" s="236"/>
      <c r="LU56" s="236"/>
      <c r="LV56" s="236"/>
      <c r="LW56" s="236"/>
      <c r="LX56" s="236"/>
      <c r="LY56" s="236"/>
      <c r="LZ56" s="236"/>
      <c r="MA56" s="236"/>
      <c r="MB56" s="236"/>
      <c r="MC56" s="236"/>
      <c r="MD56" s="236"/>
      <c r="ME56" s="236"/>
      <c r="MF56" s="73" t="s">
        <v>289</v>
      </c>
      <c r="MG56" s="168">
        <f t="shared" si="158"/>
        <v>1.2811942146686697</v>
      </c>
      <c r="MH56" s="168">
        <f t="shared" ref="MH56:MU56" si="200">MH19+0.2</f>
        <v>1.2830128715601152</v>
      </c>
      <c r="MI56" s="168">
        <f t="shared" si="200"/>
        <v>1.3027443216310544</v>
      </c>
      <c r="MJ56" s="168">
        <f t="shared" si="200"/>
        <v>1.3018700071951803</v>
      </c>
      <c r="MK56" s="168">
        <f t="shared" si="200"/>
        <v>1.273707371252627</v>
      </c>
      <c r="ML56" s="168">
        <f t="shared" si="200"/>
        <v>1.3237395965283134</v>
      </c>
      <c r="MM56" s="168">
        <f t="shared" si="200"/>
        <v>1.3909341860092463</v>
      </c>
      <c r="MN56" s="168">
        <f t="shared" si="200"/>
        <v>1.2126734564446415</v>
      </c>
      <c r="MO56" s="168">
        <f t="shared" si="200"/>
        <v>1.1948617468126255</v>
      </c>
      <c r="MP56" s="168">
        <f t="shared" si="200"/>
        <v>1.216215509847316</v>
      </c>
      <c r="MQ56" s="168">
        <f t="shared" si="200"/>
        <v>1.1338061957043604</v>
      </c>
      <c r="MR56" s="168">
        <f t="shared" si="200"/>
        <v>1.3548414999495155</v>
      </c>
      <c r="MS56" s="168">
        <f t="shared" si="200"/>
        <v>1.392045416028284</v>
      </c>
      <c r="MT56" s="168">
        <f t="shared" si="200"/>
        <v>1.3978878422812229</v>
      </c>
      <c r="MU56" s="168">
        <f t="shared" si="200"/>
        <v>1.4457059049561294</v>
      </c>
      <c r="MV56" s="11"/>
      <c r="MW56" s="168">
        <f t="shared" ref="MW56" si="201">MW19+0.2</f>
        <v>1.4118797210885456</v>
      </c>
      <c r="MX56" s="11"/>
      <c r="MY56" s="168">
        <f t="shared" ref="MY56" si="202">MY19+0.2</f>
        <v>1.3976201658037881</v>
      </c>
      <c r="MZ56" s="168">
        <f t="shared" si="155"/>
        <v>1.3031563888185012</v>
      </c>
      <c r="NA56" s="236"/>
      <c r="NB56" s="236"/>
      <c r="NC56" s="236"/>
      <c r="ND56" s="236"/>
      <c r="NE56" s="236"/>
      <c r="NF56" s="236"/>
      <c r="NG56" s="236"/>
      <c r="NH56" s="236"/>
      <c r="NI56" s="236"/>
      <c r="NJ56" s="236"/>
      <c r="NK56" s="236"/>
      <c r="NL56" s="236"/>
      <c r="NM56" s="236"/>
      <c r="NN56" s="236"/>
      <c r="NO56" s="236"/>
      <c r="NP56" s="236"/>
      <c r="NQ56" s="236"/>
      <c r="NR56" s="236"/>
      <c r="NS56" s="236"/>
      <c r="NT56" s="236"/>
      <c r="NU56" s="236"/>
      <c r="NV56" s="236"/>
      <c r="NW56" s="236"/>
      <c r="NX56" s="236"/>
      <c r="NY56" s="236"/>
      <c r="NZ56" s="236"/>
      <c r="OA56" s="236"/>
      <c r="OB56" s="236"/>
      <c r="OC56" s="236"/>
      <c r="OD56" s="236"/>
      <c r="OE56" s="236"/>
      <c r="OF56" s="236"/>
      <c r="OG56" s="236"/>
      <c r="OH56" s="236"/>
      <c r="OI56" s="236"/>
      <c r="OJ56" s="236"/>
      <c r="OK56" s="236"/>
      <c r="OL56" s="236"/>
      <c r="OM56" s="236"/>
      <c r="ON56" s="236"/>
      <c r="OO56" s="236"/>
      <c r="OP56" s="168">
        <f>OP19-'Bloom Cleaner Data'!FO19</f>
        <v>-1.1252340965384189E-3</v>
      </c>
      <c r="OQ56" s="168">
        <f>OQ19-'Bloom Cleaner Data'!FP19</f>
        <v>-1.0678035470668146E-3</v>
      </c>
      <c r="OR56" s="168">
        <f>OR19-'Bloom Cleaner Data'!FQ19</f>
        <v>-1.1653377265239406E-3</v>
      </c>
      <c r="OS56" s="168">
        <f>OS19-'Bloom Cleaner Data'!FR19</f>
        <v>-1.6447419533849317E-3</v>
      </c>
      <c r="OT56" s="168">
        <f>OT19-'Bloom Cleaner Data'!FS19</f>
        <v>-1.4390733907339026E-3</v>
      </c>
      <c r="OU56" s="168">
        <f>OU19-'Bloom Cleaner Data'!FT19</f>
        <v>-1.3758909287258092E-3</v>
      </c>
      <c r="OV56" s="168">
        <f>OV19-'Bloom Cleaner Data'!FU19</f>
        <v>-1.6600564930830952E-3</v>
      </c>
      <c r="OW56" s="168">
        <f>OW19-'Bloom Cleaner Data'!FV19</f>
        <v>-1.5716476713099059E-3</v>
      </c>
      <c r="OX56" s="168"/>
      <c r="OY56" s="168"/>
      <c r="OZ56" s="168"/>
      <c r="PA56" s="168"/>
      <c r="PB56" s="168"/>
      <c r="PC56" s="168"/>
      <c r="PD56" s="168"/>
    </row>
    <row r="57" spans="1:420">
      <c r="A57" s="5"/>
      <c r="B57" s="3125" t="s">
        <v>54</v>
      </c>
      <c r="C57" s="1180"/>
      <c r="D57" s="237"/>
      <c r="E57" s="237"/>
      <c r="F57" s="237"/>
      <c r="G57" s="237"/>
      <c r="H57" s="237"/>
      <c r="I57" s="237"/>
      <c r="J57" s="237"/>
      <c r="K57" s="237"/>
      <c r="L57" s="237"/>
      <c r="M57" s="23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c r="BQ57" s="237"/>
      <c r="BR57" s="237"/>
      <c r="BS57" s="237"/>
      <c r="BT57" s="237"/>
      <c r="BU57" s="237"/>
      <c r="BV57" s="237"/>
      <c r="BW57" s="237"/>
      <c r="BX57" s="237"/>
      <c r="BY57" s="237"/>
      <c r="BZ57" s="237"/>
      <c r="CA57" s="237"/>
      <c r="CB57" s="237"/>
      <c r="CC57" s="237"/>
      <c r="CD57" s="237"/>
      <c r="CE57" s="237"/>
      <c r="CF57" s="237"/>
      <c r="CG57" s="237"/>
      <c r="CH57" s="237"/>
      <c r="CI57" s="237"/>
      <c r="CJ57" s="237"/>
      <c r="CK57" s="237"/>
      <c r="CL57" s="237"/>
      <c r="CM57" s="237"/>
      <c r="CN57" s="237"/>
      <c r="CO57" s="237"/>
      <c r="CP57" s="237"/>
      <c r="CQ57" s="237"/>
      <c r="CR57" s="237"/>
      <c r="CS57" s="237"/>
      <c r="CT57" s="237"/>
      <c r="CU57" s="237"/>
      <c r="CV57" s="237"/>
      <c r="CW57" s="237"/>
      <c r="CX57" s="237"/>
      <c r="CY57" s="237"/>
      <c r="CZ57" s="237"/>
      <c r="DA57" s="237"/>
      <c r="DB57" s="237"/>
      <c r="DC57" s="237"/>
      <c r="DD57" s="237"/>
      <c r="DE57" s="237"/>
      <c r="DF57" s="237"/>
      <c r="DG57" s="237"/>
      <c r="DH57" s="237"/>
      <c r="DI57" s="237"/>
      <c r="DJ57" s="237"/>
      <c r="DK57" s="237"/>
      <c r="DL57" s="237"/>
      <c r="DM57" s="237"/>
      <c r="DN57" s="237"/>
      <c r="DO57" s="237"/>
      <c r="DP57" s="237"/>
      <c r="DQ57" s="237"/>
      <c r="DR57" s="237"/>
      <c r="DS57" s="237"/>
      <c r="DT57" s="237"/>
      <c r="DU57" s="237"/>
      <c r="DV57" s="237"/>
      <c r="DW57" s="237"/>
      <c r="DX57" s="237"/>
      <c r="DY57" s="237"/>
      <c r="DZ57" s="237"/>
      <c r="EA57" s="237"/>
      <c r="EB57" s="237"/>
      <c r="EC57" s="237"/>
      <c r="ED57" s="237"/>
      <c r="EE57" s="237"/>
      <c r="EF57" s="237"/>
      <c r="EG57" s="237"/>
      <c r="EH57" s="237"/>
      <c r="EI57" s="237"/>
      <c r="EJ57" s="237"/>
      <c r="EK57" s="237"/>
      <c r="EL57" s="1088"/>
      <c r="EM57" s="236"/>
      <c r="EN57" s="236"/>
      <c r="EO57" s="236"/>
      <c r="EP57" s="236"/>
      <c r="EQ57" s="236"/>
      <c r="ER57" s="236"/>
      <c r="ES57" s="236"/>
      <c r="ET57" s="236"/>
      <c r="EU57" s="236"/>
      <c r="EV57" s="236"/>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236"/>
      <c r="GD57" s="236"/>
      <c r="GE57" s="236"/>
      <c r="GF57" s="236"/>
      <c r="GG57" s="236"/>
      <c r="GH57" s="236"/>
      <c r="GI57" s="236"/>
      <c r="GJ57" s="236"/>
      <c r="GK57" s="236"/>
      <c r="GL57" s="236"/>
      <c r="GM57" s="236"/>
      <c r="GN57" s="236"/>
      <c r="GO57" s="236"/>
      <c r="GP57" s="236"/>
      <c r="GQ57" s="236"/>
      <c r="GR57" s="236"/>
      <c r="GS57" s="236"/>
      <c r="GT57" s="236"/>
      <c r="GU57" s="236"/>
      <c r="GV57" s="236"/>
      <c r="GW57" s="236"/>
      <c r="GX57" s="236"/>
      <c r="GY57" s="236"/>
      <c r="GZ57" s="236"/>
      <c r="HA57" s="236"/>
      <c r="HB57" s="236"/>
      <c r="HC57" s="236"/>
      <c r="HD57" s="236"/>
      <c r="HE57" s="236"/>
      <c r="HF57" s="236"/>
      <c r="HG57" s="236"/>
      <c r="HH57" s="236"/>
      <c r="HI57" s="236"/>
      <c r="HJ57" s="236"/>
      <c r="HK57" s="2860">
        <f t="shared" si="156"/>
        <v>0.45875064669941784</v>
      </c>
      <c r="HL57" s="2860">
        <f t="shared" si="153"/>
        <v>0.45787740009170802</v>
      </c>
      <c r="HM57" s="2860">
        <f t="shared" si="153"/>
        <v>0.47193672863445219</v>
      </c>
      <c r="HN57" s="2860">
        <f t="shared" si="153"/>
        <v>0.11097847817230026</v>
      </c>
      <c r="HO57" s="2860">
        <f t="shared" si="153"/>
        <v>0.23596774312858371</v>
      </c>
      <c r="HP57" s="2860">
        <f t="shared" si="153"/>
        <v>0.50960585461963459</v>
      </c>
      <c r="HQ57" s="2860">
        <f t="shared" si="153"/>
        <v>0.59553939682915213</v>
      </c>
      <c r="HR57" s="2860">
        <f t="shared" si="153"/>
        <v>0.63779865838246408</v>
      </c>
      <c r="HS57" s="2860">
        <f t="shared" si="153"/>
        <v>0.65140546763186458</v>
      </c>
      <c r="HT57" s="2860">
        <f t="shared" si="153"/>
        <v>0.66325436742001864</v>
      </c>
      <c r="HU57" s="2860">
        <f t="shared" si="153"/>
        <v>0.72265577210639964</v>
      </c>
      <c r="HV57" s="2860">
        <f t="shared" si="153"/>
        <v>0.69604243096160234</v>
      </c>
      <c r="HW57" s="2860">
        <f t="shared" si="153"/>
        <v>0.72169381788943943</v>
      </c>
      <c r="HX57" s="2860">
        <f t="shared" si="153"/>
        <v>0.70537860851161116</v>
      </c>
      <c r="HY57" s="2860">
        <f t="shared" si="153"/>
        <v>0.7506672643344422</v>
      </c>
      <c r="HZ57" s="2860">
        <f t="shared" si="157"/>
        <v>0.5748403529709204</v>
      </c>
      <c r="IA57" s="236"/>
      <c r="IB57" s="236"/>
      <c r="IC57" s="236"/>
      <c r="ID57" s="236"/>
      <c r="IE57" s="236"/>
      <c r="IF57" s="236"/>
      <c r="IG57" s="236"/>
      <c r="IH57" s="236"/>
      <c r="II57" s="236"/>
      <c r="IJ57" s="236"/>
      <c r="IK57" s="236"/>
      <c r="IL57" s="236"/>
      <c r="IM57" s="236"/>
      <c r="IN57" s="236"/>
      <c r="IO57" s="236"/>
      <c r="IP57" s="236"/>
      <c r="IQ57" s="236"/>
      <c r="IR57" s="236"/>
      <c r="IS57" s="236"/>
      <c r="IT57" s="236"/>
      <c r="IU57" s="236"/>
      <c r="IV57" s="236"/>
      <c r="IW57" s="236"/>
      <c r="IX57" s="236"/>
      <c r="IY57" s="236"/>
      <c r="IZ57" s="236"/>
      <c r="JA57" s="236"/>
      <c r="JB57" s="236"/>
      <c r="JC57" s="236"/>
      <c r="JD57" s="236"/>
      <c r="JE57" s="236"/>
      <c r="JF57" s="236"/>
      <c r="JG57" s="236"/>
      <c r="JH57" s="236"/>
      <c r="JI57" s="236"/>
      <c r="JJ57" s="236"/>
      <c r="JK57" s="236"/>
      <c r="JL57" s="236"/>
      <c r="JM57" s="236"/>
      <c r="JN57" s="236"/>
      <c r="JO57" s="236"/>
      <c r="JP57" s="236"/>
      <c r="JQ57" s="236"/>
      <c r="JR57" s="236"/>
      <c r="JS57" s="236"/>
      <c r="JT57" s="236"/>
      <c r="JU57" s="236"/>
      <c r="JV57" s="236"/>
      <c r="JW57" s="236"/>
      <c r="JX57" s="236"/>
      <c r="JY57" s="236"/>
      <c r="JZ57" s="236"/>
      <c r="KA57" s="236"/>
      <c r="KB57" s="236"/>
      <c r="KC57" s="236"/>
      <c r="KD57" s="236"/>
      <c r="KE57" s="236"/>
      <c r="KF57" s="236"/>
      <c r="KG57" s="236"/>
      <c r="KH57" s="236"/>
      <c r="KI57" s="236"/>
      <c r="KJ57" s="236"/>
      <c r="KK57" s="236"/>
      <c r="KL57" s="236"/>
      <c r="KM57" s="236"/>
      <c r="KN57" s="236"/>
      <c r="KO57" s="236"/>
      <c r="KP57" s="236"/>
      <c r="KQ57" s="236"/>
      <c r="KR57" s="236"/>
      <c r="KS57" s="236"/>
      <c r="KT57" s="236"/>
      <c r="KU57" s="236"/>
      <c r="KV57" s="236"/>
      <c r="KW57" s="236"/>
      <c r="KX57" s="236"/>
      <c r="KY57" s="236"/>
      <c r="KZ57" s="236"/>
      <c r="LA57" s="236"/>
      <c r="LB57" s="236"/>
      <c r="LC57" s="236"/>
      <c r="LD57" s="236"/>
      <c r="LE57" s="236"/>
      <c r="LF57" s="236"/>
      <c r="LG57" s="236"/>
      <c r="LH57" s="236"/>
      <c r="LI57" s="236"/>
      <c r="LJ57" s="236"/>
      <c r="LK57" s="236"/>
      <c r="LL57" s="236"/>
      <c r="LM57" s="236"/>
      <c r="LN57" s="236"/>
      <c r="LO57" s="236"/>
      <c r="LP57" s="236"/>
      <c r="LQ57" s="236"/>
      <c r="LR57" s="236"/>
      <c r="LS57" s="236"/>
      <c r="LT57" s="236"/>
      <c r="LU57" s="236"/>
      <c r="LV57" s="236"/>
      <c r="LW57" s="236"/>
      <c r="LX57" s="236"/>
      <c r="LY57" s="236"/>
      <c r="LZ57" s="236"/>
      <c r="MA57" s="236"/>
      <c r="MB57" s="236"/>
      <c r="MC57" s="236"/>
      <c r="MD57" s="236"/>
      <c r="ME57" s="236"/>
      <c r="MF57" s="73" t="s">
        <v>54</v>
      </c>
      <c r="MG57" s="168">
        <f t="shared" si="158"/>
        <v>3.1470614185050372</v>
      </c>
      <c r="MH57" s="168">
        <f t="shared" ref="MH57:MU57" si="203">MH20+0.2</f>
        <v>3.7239230008848536</v>
      </c>
      <c r="MI57" s="168">
        <f t="shared" si="203"/>
        <v>4.2110009191590434</v>
      </c>
      <c r="MJ57" s="168">
        <f t="shared" si="203"/>
        <v>4.2109478526412651</v>
      </c>
      <c r="MK57" s="168">
        <f t="shared" si="203"/>
        <v>4.8330242006913888</v>
      </c>
      <c r="ML57" s="168">
        <f t="shared" si="203"/>
        <v>7.6921905247920295</v>
      </c>
      <c r="MM57" s="168">
        <f t="shared" si="203"/>
        <v>8.0630935927726295</v>
      </c>
      <c r="MN57" s="168">
        <f t="shared" si="203"/>
        <v>6.5625281698236186</v>
      </c>
      <c r="MO57" s="168">
        <f t="shared" si="203"/>
        <v>5.6291319440115606</v>
      </c>
      <c r="MP57" s="168">
        <f t="shared" si="203"/>
        <v>4.9711261853605917</v>
      </c>
      <c r="MQ57" s="168">
        <f t="shared" si="203"/>
        <v>5.0317443224395628</v>
      </c>
      <c r="MR57" s="168">
        <f t="shared" si="203"/>
        <v>5.3258392145827109</v>
      </c>
      <c r="MS57" s="168">
        <f t="shared" si="203"/>
        <v>4.8441971801137873</v>
      </c>
      <c r="MT57" s="168">
        <f t="shared" si="203"/>
        <v>5.3082876282957541</v>
      </c>
      <c r="MU57" s="168">
        <f t="shared" si="203"/>
        <v>5.434584340540396</v>
      </c>
      <c r="MV57" s="11"/>
      <c r="MW57" s="168">
        <f t="shared" ref="MW57" si="204">MW20+0.2</f>
        <v>5.1956897163166458</v>
      </c>
      <c r="MX57" s="11"/>
      <c r="MY57" s="168">
        <f t="shared" ref="MY57" si="205">MY20+0.2</f>
        <v>5.2282270908831618</v>
      </c>
      <c r="MZ57" s="168">
        <f t="shared" si="155"/>
        <v>5.5475150827095634</v>
      </c>
      <c r="NA57" s="236"/>
      <c r="NB57" s="236"/>
      <c r="NC57" s="236"/>
      <c r="ND57" s="236"/>
      <c r="NE57" s="236"/>
      <c r="NF57" s="236"/>
      <c r="NG57" s="236"/>
      <c r="NH57" s="236"/>
      <c r="NI57" s="236"/>
      <c r="NJ57" s="236"/>
      <c r="NK57" s="236"/>
      <c r="NL57" s="236"/>
      <c r="NM57" s="236"/>
      <c r="NN57" s="236"/>
      <c r="NO57" s="236"/>
      <c r="NP57" s="236"/>
      <c r="NQ57" s="236"/>
      <c r="NR57" s="236"/>
      <c r="NS57" s="236"/>
      <c r="NT57" s="236"/>
      <c r="NU57" s="236"/>
      <c r="NV57" s="236"/>
      <c r="NW57" s="236"/>
      <c r="NX57" s="236"/>
      <c r="NY57" s="236"/>
      <c r="NZ57" s="236"/>
      <c r="OA57" s="236"/>
      <c r="OB57" s="236"/>
      <c r="OC57" s="236"/>
      <c r="OD57" s="236"/>
      <c r="OE57" s="236"/>
      <c r="OF57" s="236"/>
      <c r="OG57" s="236"/>
      <c r="OH57" s="236"/>
      <c r="OI57" s="236"/>
      <c r="OJ57" s="236"/>
      <c r="OK57" s="236"/>
      <c r="OL57" s="236"/>
      <c r="OM57" s="236"/>
      <c r="ON57" s="236"/>
      <c r="OO57" s="236"/>
      <c r="OP57" s="168">
        <f>OP20-'Bloom Cleaner Data'!FO20</f>
        <v>-1.6373032775812986</v>
      </c>
      <c r="OQ57" s="168">
        <f>OQ20-'Bloom Cleaner Data'!FP20</f>
        <v>-1.2755384689491631</v>
      </c>
      <c r="OR57" s="168">
        <f>OR20-'Bloom Cleaner Data'!FQ20</f>
        <v>-1.6855023846125006</v>
      </c>
      <c r="OS57" s="168">
        <f>OS20-'Bloom Cleaner Data'!FR20</f>
        <v>0.1960400242347613</v>
      </c>
      <c r="OT57" s="168">
        <f>OT20-'Bloom Cleaner Data'!FS20</f>
        <v>2.5945332215729255E-2</v>
      </c>
      <c r="OU57" s="168">
        <f>OU20-'Bloom Cleaner Data'!FT20</f>
        <v>-0.19378489026180801</v>
      </c>
      <c r="OV57" s="168">
        <f>OV20-'Bloom Cleaner Data'!FU20</f>
        <v>-0.37350323351541137</v>
      </c>
      <c r="OW57" s="168">
        <f>OW20-'Bloom Cleaner Data'!FV20</f>
        <v>-0.34328410569046541</v>
      </c>
      <c r="OX57" s="168"/>
      <c r="OY57" s="168"/>
      <c r="OZ57" s="168"/>
      <c r="PA57" s="168"/>
      <c r="PB57" s="168">
        <f>PB20-'Bloom Cleaner Data'!GA20</f>
        <v>-0.25912752359870517</v>
      </c>
      <c r="PC57" s="168"/>
      <c r="PD57" s="168"/>
    </row>
    <row r="58" spans="1:420">
      <c r="A58" s="5"/>
      <c r="B58" s="3125" t="s">
        <v>50</v>
      </c>
      <c r="C58" s="1180"/>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c r="BQ58" s="237"/>
      <c r="BR58" s="237"/>
      <c r="BS58" s="237"/>
      <c r="BT58" s="237"/>
      <c r="BU58" s="237"/>
      <c r="BV58" s="237"/>
      <c r="BW58" s="237"/>
      <c r="BX58" s="237"/>
      <c r="BY58" s="237"/>
      <c r="BZ58" s="237"/>
      <c r="CA58" s="237"/>
      <c r="CB58" s="237"/>
      <c r="CC58" s="237"/>
      <c r="CD58" s="237"/>
      <c r="CE58" s="237"/>
      <c r="CF58" s="237"/>
      <c r="CG58" s="237"/>
      <c r="CH58" s="237"/>
      <c r="CI58" s="237"/>
      <c r="CJ58" s="237"/>
      <c r="CK58" s="237"/>
      <c r="CL58" s="237"/>
      <c r="CM58" s="237"/>
      <c r="CN58" s="237"/>
      <c r="CO58" s="237"/>
      <c r="CP58" s="237"/>
      <c r="CQ58" s="237"/>
      <c r="CR58" s="237"/>
      <c r="CS58" s="237"/>
      <c r="CT58" s="237"/>
      <c r="CU58" s="237"/>
      <c r="CV58" s="237"/>
      <c r="CW58" s="237"/>
      <c r="CX58" s="237"/>
      <c r="CY58" s="237"/>
      <c r="CZ58" s="237"/>
      <c r="DA58" s="237"/>
      <c r="DB58" s="237"/>
      <c r="DC58" s="237"/>
      <c r="DD58" s="237"/>
      <c r="DE58" s="237"/>
      <c r="DF58" s="237"/>
      <c r="DG58" s="237"/>
      <c r="DH58" s="237"/>
      <c r="DI58" s="237"/>
      <c r="DJ58" s="237"/>
      <c r="DK58" s="237"/>
      <c r="DL58" s="237"/>
      <c r="DM58" s="237"/>
      <c r="DN58" s="237"/>
      <c r="DO58" s="237"/>
      <c r="DP58" s="237"/>
      <c r="DQ58" s="237"/>
      <c r="DR58" s="237"/>
      <c r="DS58" s="237"/>
      <c r="DT58" s="237"/>
      <c r="DU58" s="237"/>
      <c r="DV58" s="237"/>
      <c r="DW58" s="237"/>
      <c r="DX58" s="237"/>
      <c r="DY58" s="237"/>
      <c r="DZ58" s="237"/>
      <c r="EA58" s="237"/>
      <c r="EB58" s="237"/>
      <c r="EC58" s="237"/>
      <c r="ED58" s="237"/>
      <c r="EE58" s="237"/>
      <c r="EF58" s="237"/>
      <c r="EG58" s="237"/>
      <c r="EH58" s="237"/>
      <c r="EI58" s="237"/>
      <c r="EJ58" s="237"/>
      <c r="EK58" s="237"/>
      <c r="EL58" s="1088"/>
      <c r="EM58" s="236"/>
      <c r="EN58" s="236"/>
      <c r="EO58" s="236"/>
      <c r="EP58" s="236"/>
      <c r="EQ58" s="236"/>
      <c r="ER58" s="236"/>
      <c r="ES58" s="236"/>
      <c r="ET58" s="236"/>
      <c r="EU58" s="236"/>
      <c r="EV58" s="236"/>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236"/>
      <c r="GD58" s="236"/>
      <c r="GE58" s="236"/>
      <c r="GF58" s="236"/>
      <c r="GG58" s="236"/>
      <c r="GH58" s="236"/>
      <c r="GI58" s="236"/>
      <c r="GJ58" s="236"/>
      <c r="GK58" s="236"/>
      <c r="GL58" s="236"/>
      <c r="GM58" s="236"/>
      <c r="GN58" s="236"/>
      <c r="GO58" s="236"/>
      <c r="GP58" s="236"/>
      <c r="GQ58" s="236"/>
      <c r="GR58" s="236"/>
      <c r="GS58" s="236"/>
      <c r="GT58" s="236"/>
      <c r="GU58" s="236"/>
      <c r="GV58" s="236"/>
      <c r="GW58" s="236"/>
      <c r="GX58" s="236"/>
      <c r="GY58" s="236"/>
      <c r="GZ58" s="236"/>
      <c r="HA58" s="236"/>
      <c r="HB58" s="236"/>
      <c r="HC58" s="236"/>
      <c r="HD58" s="236"/>
      <c r="HE58" s="236"/>
      <c r="HF58" s="236"/>
      <c r="HG58" s="236"/>
      <c r="HH58" s="236"/>
      <c r="HI58" s="236"/>
      <c r="HJ58" s="236"/>
      <c r="HK58" s="2860">
        <f t="shared" si="156"/>
        <v>0.62772176927557632</v>
      </c>
      <c r="HL58" s="2860">
        <f t="shared" ref="HL58:HL64" si="206">$HN$41*HL21+(1-$HN$41)*GB21</f>
        <v>0.62824808062908566</v>
      </c>
      <c r="HM58" s="2860">
        <f t="shared" ref="HM58:HM64" si="207">$HN$41*HM21+(1-$HN$41)*GC21</f>
        <v>0.60530144993751922</v>
      </c>
      <c r="HN58" s="2860">
        <f t="shared" ref="HN58:HN64" si="208">$HN$41*HN21+(1-$HN$41)*GD21</f>
        <v>0.59626489005645689</v>
      </c>
      <c r="HO58" s="2860">
        <f t="shared" ref="HO58:HO64" si="209">$HN$41*HO21+(1-$HN$41)*GE21</f>
        <v>0.52286326585817222</v>
      </c>
      <c r="HP58" s="2860">
        <f t="shared" ref="HP58:HP64" si="210">$HN$41*HP21+(1-$HN$41)*GF21</f>
        <v>0.5044564310802967</v>
      </c>
      <c r="HQ58" s="2860">
        <f t="shared" ref="HQ58:HQ64" si="211">$HN$41*HQ21+(1-$HN$41)*GG21</f>
        <v>0.48150713962887542</v>
      </c>
      <c r="HR58" s="2860">
        <f t="shared" ref="HR58:HR64" si="212">$HN$41*HR21+(1-$HN$41)*GH21</f>
        <v>0.52800904261181547</v>
      </c>
      <c r="HS58" s="2860">
        <f t="shared" ref="HS58:HS64" si="213">$HN$41*HS21+(1-$HN$41)*GI21</f>
        <v>0.4945296749708698</v>
      </c>
      <c r="HT58" s="2860">
        <f t="shared" ref="HT58:HT64" si="214">$HN$41*HT21+(1-$HN$41)*GJ21</f>
        <v>0.47141483063757739</v>
      </c>
      <c r="HU58" s="2860">
        <f t="shared" ref="HU58:HU64" si="215">$HN$41*HU21+(1-$HN$41)*GK21</f>
        <v>0.4873973499699798</v>
      </c>
      <c r="HV58" s="2860">
        <f t="shared" ref="HV58:HV64" si="216">$HN$41*HV21+(1-$HN$41)*GL21</f>
        <v>0.45752690454446737</v>
      </c>
      <c r="HW58" s="2860">
        <f t="shared" ref="HW58:HW64" si="217">$HN$41*HW21+(1-$HN$41)*GM21</f>
        <v>0.44076573847172978</v>
      </c>
      <c r="HX58" s="2860">
        <f t="shared" ref="HX58:HX64" si="218">$HN$41*HX21+(1-$HN$41)*GN21</f>
        <v>0.39634069249575571</v>
      </c>
      <c r="HY58" s="2860">
        <f t="shared" ref="HY58:HY64" si="219">$HN$41*HY21+(1-$HN$41)*GO21</f>
        <v>0.37414035756341019</v>
      </c>
      <c r="HZ58" s="2860">
        <f t="shared" si="157"/>
        <v>0.48927059752514818</v>
      </c>
      <c r="IA58" s="236"/>
      <c r="IB58" s="236"/>
      <c r="IC58" s="236"/>
      <c r="ID58" s="236"/>
      <c r="IE58" s="236"/>
      <c r="IF58" s="236"/>
      <c r="IG58" s="236"/>
      <c r="IH58" s="236"/>
      <c r="II58" s="236"/>
      <c r="IJ58" s="236"/>
      <c r="IK58" s="236"/>
      <c r="IL58" s="236"/>
      <c r="IM58" s="236"/>
      <c r="IN58" s="236"/>
      <c r="IO58" s="236"/>
      <c r="IP58" s="236"/>
      <c r="IQ58" s="236"/>
      <c r="IR58" s="236"/>
      <c r="IS58" s="236"/>
      <c r="IT58" s="236"/>
      <c r="IU58" s="236"/>
      <c r="IV58" s="236"/>
      <c r="IW58" s="236"/>
      <c r="IX58" s="236"/>
      <c r="IY58" s="236"/>
      <c r="IZ58" s="236"/>
      <c r="JA58" s="236"/>
      <c r="JB58" s="236"/>
      <c r="JC58" s="236"/>
      <c r="JD58" s="236"/>
      <c r="JE58" s="236"/>
      <c r="JF58" s="236"/>
      <c r="JG58" s="236"/>
      <c r="JH58" s="236"/>
      <c r="JI58" s="236"/>
      <c r="JJ58" s="236"/>
      <c r="JK58" s="236"/>
      <c r="JL58" s="236"/>
      <c r="JM58" s="236"/>
      <c r="JN58" s="236"/>
      <c r="JO58" s="236"/>
      <c r="JP58" s="236"/>
      <c r="JQ58" s="236"/>
      <c r="JR58" s="236"/>
      <c r="JS58" s="236"/>
      <c r="JT58" s="236"/>
      <c r="JU58" s="236"/>
      <c r="JV58" s="236"/>
      <c r="JW58" s="236"/>
      <c r="JX58" s="236"/>
      <c r="JY58" s="236"/>
      <c r="JZ58" s="236"/>
      <c r="KA58" s="236"/>
      <c r="KB58" s="236"/>
      <c r="KC58" s="236"/>
      <c r="KD58" s="236"/>
      <c r="KE58" s="236"/>
      <c r="KF58" s="236"/>
      <c r="KG58" s="236"/>
      <c r="KH58" s="236"/>
      <c r="KI58" s="236"/>
      <c r="KJ58" s="236"/>
      <c r="KK58" s="236"/>
      <c r="KL58" s="236"/>
      <c r="KM58" s="236"/>
      <c r="KN58" s="236"/>
      <c r="KO58" s="236"/>
      <c r="KP58" s="236"/>
      <c r="KQ58" s="236"/>
      <c r="KR58" s="236"/>
      <c r="KS58" s="236"/>
      <c r="KT58" s="236"/>
      <c r="KU58" s="236"/>
      <c r="KV58" s="236"/>
      <c r="KW58" s="236"/>
      <c r="KX58" s="236"/>
      <c r="KY58" s="236"/>
      <c r="KZ58" s="236"/>
      <c r="LA58" s="236"/>
      <c r="LB58" s="236"/>
      <c r="LC58" s="236"/>
      <c r="LD58" s="236"/>
      <c r="LE58" s="236"/>
      <c r="LF58" s="236"/>
      <c r="LG58" s="236"/>
      <c r="LH58" s="236"/>
      <c r="LI58" s="236"/>
      <c r="LJ58" s="236"/>
      <c r="LK58" s="236"/>
      <c r="LL58" s="236"/>
      <c r="LM58" s="236"/>
      <c r="LN58" s="236"/>
      <c r="LO58" s="236"/>
      <c r="LP58" s="236"/>
      <c r="LQ58" s="236"/>
      <c r="LR58" s="236"/>
      <c r="LS58" s="236"/>
      <c r="LT58" s="236"/>
      <c r="LU58" s="236"/>
      <c r="LV58" s="236"/>
      <c r="LW58" s="236"/>
      <c r="LX58" s="236"/>
      <c r="LY58" s="236"/>
      <c r="LZ58" s="236"/>
      <c r="MA58" s="236"/>
      <c r="MB58" s="236"/>
      <c r="MC58" s="236"/>
      <c r="MD58" s="236"/>
      <c r="ME58" s="236"/>
      <c r="MF58" s="73" t="s">
        <v>50</v>
      </c>
      <c r="MG58" s="168">
        <f t="shared" si="158"/>
        <v>3.7137079771337871</v>
      </c>
      <c r="MH58" s="168">
        <f t="shared" ref="MH58:MU58" si="220">MH21+0.2</f>
        <v>2.99103726662314</v>
      </c>
      <c r="MI58" s="168">
        <f t="shared" si="220"/>
        <v>2.6787749673678007</v>
      </c>
      <c r="MJ58" s="168">
        <f t="shared" si="220"/>
        <v>2.6168364173394338</v>
      </c>
      <c r="MK58" s="168">
        <f t="shared" si="220"/>
        <v>2.5002242719454211</v>
      </c>
      <c r="ML58" s="168">
        <f t="shared" si="220"/>
        <v>2.5172704468262856</v>
      </c>
      <c r="MM58" s="168">
        <f t="shared" si="220"/>
        <v>2.4614366715167391</v>
      </c>
      <c r="MN58" s="168">
        <f t="shared" si="220"/>
        <v>2.439098188163928</v>
      </c>
      <c r="MO58" s="168">
        <f t="shared" si="220"/>
        <v>2.3284482842468259</v>
      </c>
      <c r="MP58" s="168">
        <f t="shared" si="220"/>
        <v>2.6351429890149061</v>
      </c>
      <c r="MQ58" s="168">
        <f t="shared" si="220"/>
        <v>2.6254333517530677</v>
      </c>
      <c r="MR58" s="168">
        <f t="shared" si="220"/>
        <v>2.6062199913365962</v>
      </c>
      <c r="MS58" s="168">
        <f t="shared" si="220"/>
        <v>2.5404962970814502</v>
      </c>
      <c r="MT58" s="168">
        <f t="shared" si="220"/>
        <v>2.4406283048932118</v>
      </c>
      <c r="MU58" s="168">
        <f t="shared" si="220"/>
        <v>2.3879628997875773</v>
      </c>
      <c r="MV58" s="11"/>
      <c r="MW58" s="168">
        <f t="shared" ref="MW58" si="221">MW21+0.2</f>
        <v>2.4563625005874128</v>
      </c>
      <c r="MX58" s="11"/>
      <c r="MY58" s="168">
        <f t="shared" ref="MY58" si="222">MY21+0.2</f>
        <v>2.4938268732747089</v>
      </c>
      <c r="MZ58" s="168">
        <f t="shared" si="155"/>
        <v>2.5213825447133265</v>
      </c>
      <c r="NA58" s="236"/>
      <c r="NB58" s="236"/>
      <c r="NC58" s="236"/>
      <c r="ND58" s="236"/>
      <c r="NE58" s="236"/>
      <c r="NF58" s="236"/>
      <c r="NG58" s="236"/>
      <c r="NH58" s="236"/>
      <c r="NI58" s="236"/>
      <c r="NJ58" s="236"/>
      <c r="NK58" s="236"/>
      <c r="NL58" s="236"/>
      <c r="NM58" s="236"/>
      <c r="NN58" s="236"/>
      <c r="NO58" s="236"/>
      <c r="NP58" s="236"/>
      <c r="NQ58" s="236"/>
      <c r="NR58" s="236"/>
      <c r="NS58" s="236"/>
      <c r="NT58" s="236"/>
      <c r="NU58" s="236"/>
      <c r="NV58" s="236"/>
      <c r="NW58" s="236"/>
      <c r="NX58" s="236"/>
      <c r="NY58" s="236"/>
      <c r="NZ58" s="236"/>
      <c r="OA58" s="236"/>
      <c r="OB58" s="236"/>
      <c r="OC58" s="236"/>
      <c r="OD58" s="236"/>
      <c r="OE58" s="236"/>
      <c r="OF58" s="236"/>
      <c r="OG58" s="236"/>
      <c r="OH58" s="236"/>
      <c r="OI58" s="236"/>
      <c r="OJ58" s="236"/>
      <c r="OK58" s="236"/>
      <c r="OL58" s="236"/>
      <c r="OM58" s="236"/>
      <c r="ON58" s="236"/>
      <c r="OO58" s="236"/>
      <c r="OP58" s="168"/>
      <c r="OQ58" s="168"/>
      <c r="OR58" s="168"/>
      <c r="OS58" s="168"/>
      <c r="OT58" s="168">
        <f>OT21-'Bloom Cleaner Data'!FS21</f>
        <v>-1.1511095840868002</v>
      </c>
      <c r="OU58" s="168">
        <f>OU21-'Bloom Cleaner Data'!FT21</f>
        <v>-0.10478047155304893</v>
      </c>
      <c r="OV58" s="168">
        <f>OV21-'Bloom Cleaner Data'!FU21</f>
        <v>-0.1129563909774447</v>
      </c>
      <c r="OW58" s="168">
        <f>OW21-'Bloom Cleaner Data'!FV21</f>
        <v>-7.4322387053269878E-2</v>
      </c>
      <c r="OX58" s="168"/>
      <c r="OY58" s="168"/>
      <c r="OZ58" s="168"/>
      <c r="PA58" s="168"/>
      <c r="PB58" s="168"/>
      <c r="PC58" s="168"/>
      <c r="PD58" s="168"/>
    </row>
    <row r="59" spans="1:420">
      <c r="A59" s="5"/>
      <c r="B59" s="3125" t="s">
        <v>279</v>
      </c>
      <c r="C59" s="1180"/>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c r="BQ59" s="237"/>
      <c r="BR59" s="237"/>
      <c r="BS59" s="237"/>
      <c r="BT59" s="237"/>
      <c r="BU59" s="237"/>
      <c r="BV59" s="237"/>
      <c r="BW59" s="237"/>
      <c r="BX59" s="237"/>
      <c r="BY59" s="237"/>
      <c r="BZ59" s="237"/>
      <c r="CA59" s="237"/>
      <c r="CB59" s="237"/>
      <c r="CC59" s="237"/>
      <c r="CD59" s="237"/>
      <c r="CE59" s="237"/>
      <c r="CF59" s="237"/>
      <c r="CG59" s="237"/>
      <c r="CH59" s="237"/>
      <c r="CI59" s="237"/>
      <c r="CJ59" s="237"/>
      <c r="CK59" s="237"/>
      <c r="CL59" s="237"/>
      <c r="CM59" s="237"/>
      <c r="CN59" s="237"/>
      <c r="CO59" s="237"/>
      <c r="CP59" s="237"/>
      <c r="CQ59" s="237"/>
      <c r="CR59" s="237"/>
      <c r="CS59" s="237"/>
      <c r="CT59" s="237"/>
      <c r="CU59" s="237"/>
      <c r="CV59" s="237"/>
      <c r="CW59" s="237"/>
      <c r="CX59" s="237"/>
      <c r="CY59" s="237"/>
      <c r="CZ59" s="237"/>
      <c r="DA59" s="237"/>
      <c r="DB59" s="237"/>
      <c r="DC59" s="237"/>
      <c r="DD59" s="237"/>
      <c r="DE59" s="237"/>
      <c r="DF59" s="237"/>
      <c r="DG59" s="237"/>
      <c r="DH59" s="237"/>
      <c r="DI59" s="237"/>
      <c r="DJ59" s="237"/>
      <c r="DK59" s="237"/>
      <c r="DL59" s="237"/>
      <c r="DM59" s="237"/>
      <c r="DN59" s="237"/>
      <c r="DO59" s="237"/>
      <c r="DP59" s="237"/>
      <c r="DQ59" s="237"/>
      <c r="DR59" s="237"/>
      <c r="DS59" s="237"/>
      <c r="DT59" s="237"/>
      <c r="DU59" s="237"/>
      <c r="DV59" s="237"/>
      <c r="DW59" s="237"/>
      <c r="DX59" s="237"/>
      <c r="DY59" s="237"/>
      <c r="DZ59" s="237"/>
      <c r="EA59" s="237"/>
      <c r="EB59" s="237"/>
      <c r="EC59" s="237"/>
      <c r="ED59" s="237"/>
      <c r="EE59" s="237"/>
      <c r="EF59" s="237"/>
      <c r="EG59" s="237"/>
      <c r="EH59" s="237"/>
      <c r="EI59" s="237"/>
      <c r="EJ59" s="237"/>
      <c r="EK59" s="237"/>
      <c r="EL59" s="1088"/>
      <c r="EM59" s="236"/>
      <c r="EN59" s="236"/>
      <c r="EO59" s="236"/>
      <c r="EP59" s="236"/>
      <c r="EQ59" s="236"/>
      <c r="ER59" s="236"/>
      <c r="ES59" s="236"/>
      <c r="ET59" s="236"/>
      <c r="EU59" s="236"/>
      <c r="EV59" s="236"/>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236"/>
      <c r="GD59" s="236"/>
      <c r="GE59" s="236"/>
      <c r="GF59" s="236"/>
      <c r="GG59" s="236"/>
      <c r="GH59" s="236"/>
      <c r="GI59" s="236"/>
      <c r="GJ59" s="236"/>
      <c r="GK59" s="236"/>
      <c r="GL59" s="236"/>
      <c r="GM59" s="236"/>
      <c r="GN59" s="236"/>
      <c r="GO59" s="236"/>
      <c r="GP59" s="236"/>
      <c r="GQ59" s="236"/>
      <c r="GR59" s="236"/>
      <c r="GS59" s="236"/>
      <c r="GT59" s="236"/>
      <c r="GU59" s="236"/>
      <c r="GV59" s="236"/>
      <c r="GW59" s="236"/>
      <c r="GX59" s="236"/>
      <c r="GY59" s="236"/>
      <c r="GZ59" s="236"/>
      <c r="HA59" s="236"/>
      <c r="HB59" s="236"/>
      <c r="HC59" s="236"/>
      <c r="HD59" s="236"/>
      <c r="HE59" s="236"/>
      <c r="HF59" s="236"/>
      <c r="HG59" s="236"/>
      <c r="HH59" s="236"/>
      <c r="HI59" s="236"/>
      <c r="HJ59" s="236"/>
      <c r="HK59" s="2860">
        <f t="shared" si="156"/>
        <v>0.31966374358589222</v>
      </c>
      <c r="HL59" s="2860">
        <f t="shared" si="206"/>
        <v>0.31998808705892523</v>
      </c>
      <c r="HM59" s="2860">
        <f t="shared" si="207"/>
        <v>0.31722493386752887</v>
      </c>
      <c r="HN59" s="2860">
        <f t="shared" si="208"/>
        <v>0.31452078253983817</v>
      </c>
      <c r="HO59" s="2860">
        <f t="shared" si="209"/>
        <v>0.30104770531086128</v>
      </c>
      <c r="HP59" s="2860">
        <f t="shared" si="210"/>
        <v>0.28763634700867102</v>
      </c>
      <c r="HQ59" s="2860">
        <f t="shared" si="211"/>
        <v>0.28681308861822175</v>
      </c>
      <c r="HR59" s="2860">
        <f t="shared" si="212"/>
        <v>0.28591712558949872</v>
      </c>
      <c r="HS59" s="2860">
        <f t="shared" si="213"/>
        <v>0.2769012115759335</v>
      </c>
      <c r="HT59" s="2860">
        <f t="shared" si="214"/>
        <v>0.26896790044096014</v>
      </c>
      <c r="HU59" s="2860">
        <f t="shared" si="215"/>
        <v>0.25189539853148013</v>
      </c>
      <c r="HV59" s="2860">
        <f t="shared" si="216"/>
        <v>0.23420588657870867</v>
      </c>
      <c r="HW59" s="2860">
        <f t="shared" si="217"/>
        <v>0.25433027728498075</v>
      </c>
      <c r="HX59" s="2860">
        <f t="shared" si="218"/>
        <v>0.2718321660431175</v>
      </c>
      <c r="HY59" s="2860">
        <f t="shared" si="219"/>
        <v>0.2718321660431175</v>
      </c>
      <c r="HZ59" s="2860">
        <f t="shared" si="157"/>
        <v>0.27870192226407053</v>
      </c>
      <c r="IA59" s="236"/>
      <c r="IB59" s="236"/>
      <c r="IC59" s="236"/>
      <c r="ID59" s="236"/>
      <c r="IE59" s="236"/>
      <c r="IF59" s="236"/>
      <c r="IG59" s="236"/>
      <c r="IH59" s="236"/>
      <c r="II59" s="236"/>
      <c r="IJ59" s="236"/>
      <c r="IK59" s="236"/>
      <c r="IL59" s="236"/>
      <c r="IM59" s="236"/>
      <c r="IN59" s="236"/>
      <c r="IO59" s="236"/>
      <c r="IP59" s="236"/>
      <c r="IQ59" s="236"/>
      <c r="IR59" s="236"/>
      <c r="IS59" s="236"/>
      <c r="IT59" s="236"/>
      <c r="IU59" s="236"/>
      <c r="IV59" s="236"/>
      <c r="IW59" s="236"/>
      <c r="IX59" s="236"/>
      <c r="IY59" s="236"/>
      <c r="IZ59" s="236"/>
      <c r="JA59" s="236"/>
      <c r="JB59" s="236"/>
      <c r="JC59" s="236"/>
      <c r="JD59" s="236"/>
      <c r="JE59" s="236"/>
      <c r="JF59" s="236"/>
      <c r="JG59" s="236"/>
      <c r="JH59" s="236"/>
      <c r="JI59" s="236"/>
      <c r="JJ59" s="236"/>
      <c r="JK59" s="236"/>
      <c r="JL59" s="236"/>
      <c r="JM59" s="236"/>
      <c r="JN59" s="236"/>
      <c r="JO59" s="236"/>
      <c r="JP59" s="236"/>
      <c r="JQ59" s="236"/>
      <c r="JR59" s="236"/>
      <c r="JS59" s="236"/>
      <c r="JT59" s="236"/>
      <c r="JU59" s="236"/>
      <c r="JV59" s="236"/>
      <c r="JW59" s="236"/>
      <c r="JX59" s="236"/>
      <c r="JY59" s="236"/>
      <c r="JZ59" s="236"/>
      <c r="KA59" s="236"/>
      <c r="KB59" s="236"/>
      <c r="KC59" s="236"/>
      <c r="KD59" s="236"/>
      <c r="KE59" s="236"/>
      <c r="KF59" s="236"/>
      <c r="KG59" s="236"/>
      <c r="KH59" s="236"/>
      <c r="KI59" s="236"/>
      <c r="KJ59" s="236"/>
      <c r="KK59" s="236"/>
      <c r="KL59" s="236"/>
      <c r="KM59" s="236"/>
      <c r="KN59" s="236"/>
      <c r="KO59" s="236"/>
      <c r="KP59" s="236"/>
      <c r="KQ59" s="236"/>
      <c r="KR59" s="236"/>
      <c r="KS59" s="236"/>
      <c r="KT59" s="236"/>
      <c r="KU59" s="236"/>
      <c r="KV59" s="236"/>
      <c r="KW59" s="236"/>
      <c r="KX59" s="236"/>
      <c r="KY59" s="236"/>
      <c r="KZ59" s="236"/>
      <c r="LA59" s="236"/>
      <c r="LB59" s="236"/>
      <c r="LC59" s="236"/>
      <c r="LD59" s="236"/>
      <c r="LE59" s="236"/>
      <c r="LF59" s="236"/>
      <c r="LG59" s="236"/>
      <c r="LH59" s="236"/>
      <c r="LI59" s="236"/>
      <c r="LJ59" s="236"/>
      <c r="LK59" s="236"/>
      <c r="LL59" s="236"/>
      <c r="LM59" s="236"/>
      <c r="LN59" s="236"/>
      <c r="LO59" s="236"/>
      <c r="LP59" s="236"/>
      <c r="LQ59" s="236"/>
      <c r="LR59" s="236"/>
      <c r="LS59" s="236"/>
      <c r="LT59" s="236"/>
      <c r="LU59" s="236"/>
      <c r="LV59" s="236"/>
      <c r="LW59" s="236"/>
      <c r="LX59" s="236"/>
      <c r="LY59" s="236"/>
      <c r="LZ59" s="236"/>
      <c r="MA59" s="236"/>
      <c r="MB59" s="236"/>
      <c r="MC59" s="236"/>
      <c r="MD59" s="236"/>
      <c r="ME59" s="236"/>
      <c r="MF59" s="73" t="s">
        <v>279</v>
      </c>
      <c r="MG59" s="168">
        <f t="shared" si="158"/>
        <v>2.8753175600197491</v>
      </c>
      <c r="MH59" s="168">
        <f t="shared" ref="MH59:MU59" si="223">MH22+0.2</f>
        <v>2.8822067835870495</v>
      </c>
      <c r="MI59" s="168">
        <f t="shared" si="223"/>
        <v>3.0614782280492818</v>
      </c>
      <c r="MJ59" s="168">
        <f t="shared" si="223"/>
        <v>3.2431078330079779</v>
      </c>
      <c r="MK59" s="168">
        <f t="shared" si="223"/>
        <v>3.1162725335453429</v>
      </c>
      <c r="ML59" s="168">
        <f t="shared" si="223"/>
        <v>2.9801016065128185</v>
      </c>
      <c r="MM59" s="168">
        <f t="shared" si="223"/>
        <v>2.6591346086758714</v>
      </c>
      <c r="MN59" s="168">
        <f t="shared" si="223"/>
        <v>2.3307164988384175</v>
      </c>
      <c r="MO59" s="168">
        <f t="shared" si="223"/>
        <v>2.2778543801744267</v>
      </c>
      <c r="MP59" s="168">
        <f t="shared" si="223"/>
        <v>2.2314600293521272</v>
      </c>
      <c r="MQ59" s="168">
        <f t="shared" si="223"/>
        <v>2.2861847349959841</v>
      </c>
      <c r="MR59" s="168">
        <f t="shared" si="223"/>
        <v>2.2872167711045499</v>
      </c>
      <c r="MS59" s="168">
        <f t="shared" si="223"/>
        <v>2.6734395557094004</v>
      </c>
      <c r="MT59" s="168">
        <f t="shared" si="223"/>
        <v>3.0571247137382462</v>
      </c>
      <c r="MU59" s="168">
        <f t="shared" si="223"/>
        <v>3.0571247137382462</v>
      </c>
      <c r="MV59" s="11"/>
      <c r="MW59" s="168">
        <f t="shared" ref="MW59" si="224">MW22+0.2</f>
        <v>2.9292296610619646</v>
      </c>
      <c r="MX59" s="11"/>
      <c r="MY59" s="168">
        <f t="shared" ref="MY59" si="225">MY22+0.2</f>
        <v>2.7687264385726107</v>
      </c>
      <c r="MZ59" s="168">
        <f t="shared" si="155"/>
        <v>2.7124012467263605</v>
      </c>
      <c r="NA59" s="236"/>
      <c r="NB59" s="236"/>
      <c r="NC59" s="236"/>
      <c r="ND59" s="236"/>
      <c r="NE59" s="236"/>
      <c r="NF59" s="236"/>
      <c r="NG59" s="236"/>
      <c r="NH59" s="236"/>
      <c r="NI59" s="236"/>
      <c r="NJ59" s="236"/>
      <c r="NK59" s="236"/>
      <c r="NL59" s="236"/>
      <c r="NM59" s="236"/>
      <c r="NN59" s="236"/>
      <c r="NO59" s="236"/>
      <c r="NP59" s="236"/>
      <c r="NQ59" s="236"/>
      <c r="NR59" s="236"/>
      <c r="NS59" s="236"/>
      <c r="NT59" s="236"/>
      <c r="NU59" s="236"/>
      <c r="NV59" s="236"/>
      <c r="NW59" s="236"/>
      <c r="NX59" s="236"/>
      <c r="NY59" s="236"/>
      <c r="NZ59" s="236"/>
      <c r="OA59" s="236"/>
      <c r="OB59" s="236"/>
      <c r="OC59" s="236"/>
      <c r="OD59" s="236"/>
      <c r="OE59" s="236"/>
      <c r="OF59" s="236"/>
      <c r="OG59" s="236"/>
      <c r="OH59" s="236"/>
      <c r="OI59" s="236"/>
      <c r="OJ59" s="236"/>
      <c r="OK59" s="236"/>
      <c r="OL59" s="236"/>
      <c r="OM59" s="236"/>
      <c r="ON59" s="236"/>
      <c r="OO59" s="236"/>
      <c r="OP59" s="29">
        <f>OP22-'Bloom Cleaner Data'!FO22</f>
        <v>3.988843299196132E-2</v>
      </c>
      <c r="OQ59" s="28">
        <f>OQ22-'Bloom Cleaner Data'!FP22</f>
        <v>1.578843299196131E-2</v>
      </c>
      <c r="OR59" s="175">
        <f>OR22-'Bloom Cleaner Data'!FQ22</f>
        <v>0.10354321075471595</v>
      </c>
      <c r="OS59" s="28">
        <f>OS22-'Bloom Cleaner Data'!FR22</f>
        <v>1.8740908739493856E-2</v>
      </c>
      <c r="OT59" s="175">
        <f>OT22-'Bloom Cleaner Data'!FS22</f>
        <v>3.2874096595247759E-2</v>
      </c>
      <c r="OU59" s="28">
        <f>OU22-'Bloom Cleaner Data'!FT22</f>
        <v>2.3367581457498288E-2</v>
      </c>
      <c r="OV59" s="175">
        <f>OV22-'Bloom Cleaner Data'!FU22</f>
        <v>6.0063388936140827E-2</v>
      </c>
      <c r="OW59" s="28">
        <f>OW22-'Bloom Cleaner Data'!FV22</f>
        <v>6.5128342245989179E-3</v>
      </c>
      <c r="OX59" s="175"/>
      <c r="OY59" s="28"/>
      <c r="OZ59" s="175"/>
      <c r="PA59" s="28"/>
      <c r="PB59" s="175">
        <f>PB22-'Bloom Cleaner Data'!GA22</f>
        <v>0.14920287353105754</v>
      </c>
      <c r="PC59" s="28"/>
      <c r="PD59" s="29"/>
    </row>
    <row r="60" spans="1:420">
      <c r="A60" s="5"/>
      <c r="B60" s="3125" t="s">
        <v>284</v>
      </c>
      <c r="C60" s="1180"/>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7"/>
      <c r="BR60" s="237"/>
      <c r="BS60" s="237"/>
      <c r="BT60" s="237"/>
      <c r="BU60" s="237"/>
      <c r="BV60" s="237"/>
      <c r="BW60" s="237"/>
      <c r="BX60" s="237"/>
      <c r="BY60" s="237"/>
      <c r="BZ60" s="237"/>
      <c r="CA60" s="237"/>
      <c r="CB60" s="237"/>
      <c r="CC60" s="237"/>
      <c r="CD60" s="237"/>
      <c r="CE60" s="237"/>
      <c r="CF60" s="237"/>
      <c r="CG60" s="237"/>
      <c r="CH60" s="237"/>
      <c r="CI60" s="237"/>
      <c r="CJ60" s="237"/>
      <c r="CK60" s="237"/>
      <c r="CL60" s="237"/>
      <c r="CM60" s="237"/>
      <c r="CN60" s="237"/>
      <c r="CO60" s="237"/>
      <c r="CP60" s="237"/>
      <c r="CQ60" s="237"/>
      <c r="CR60" s="237"/>
      <c r="CS60" s="237"/>
      <c r="CT60" s="237"/>
      <c r="CU60" s="237"/>
      <c r="CV60" s="237"/>
      <c r="CW60" s="237"/>
      <c r="CX60" s="237"/>
      <c r="CY60" s="237"/>
      <c r="CZ60" s="237"/>
      <c r="DA60" s="237"/>
      <c r="DB60" s="237"/>
      <c r="DC60" s="237"/>
      <c r="DD60" s="237"/>
      <c r="DE60" s="237"/>
      <c r="DF60" s="237"/>
      <c r="DG60" s="237"/>
      <c r="DH60" s="237"/>
      <c r="DI60" s="237"/>
      <c r="DJ60" s="237"/>
      <c r="DK60" s="237"/>
      <c r="DL60" s="237"/>
      <c r="DM60" s="237"/>
      <c r="DN60" s="237"/>
      <c r="DO60" s="237"/>
      <c r="DP60" s="237"/>
      <c r="DQ60" s="237"/>
      <c r="DR60" s="237"/>
      <c r="DS60" s="237"/>
      <c r="DT60" s="237"/>
      <c r="DU60" s="237"/>
      <c r="DV60" s="237"/>
      <c r="DW60" s="237"/>
      <c r="DX60" s="237"/>
      <c r="DY60" s="237"/>
      <c r="DZ60" s="237"/>
      <c r="EA60" s="237"/>
      <c r="EB60" s="237"/>
      <c r="EC60" s="237"/>
      <c r="ED60" s="237"/>
      <c r="EE60" s="237"/>
      <c r="EF60" s="237"/>
      <c r="EG60" s="237"/>
      <c r="EH60" s="237"/>
      <c r="EI60" s="237"/>
      <c r="EJ60" s="237"/>
      <c r="EK60" s="237"/>
      <c r="EL60" s="1088"/>
      <c r="EM60" s="236"/>
      <c r="EN60" s="236"/>
      <c r="EO60" s="236"/>
      <c r="EP60" s="236"/>
      <c r="EQ60" s="236"/>
      <c r="ER60" s="236"/>
      <c r="ES60" s="236"/>
      <c r="ET60" s="236"/>
      <c r="EU60" s="236"/>
      <c r="EV60" s="236"/>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236"/>
      <c r="GD60" s="236"/>
      <c r="GE60" s="236"/>
      <c r="GF60" s="236"/>
      <c r="GG60" s="236"/>
      <c r="GH60" s="236"/>
      <c r="GI60" s="236"/>
      <c r="GJ60" s="236"/>
      <c r="GK60" s="236"/>
      <c r="GL60" s="236"/>
      <c r="GM60" s="236"/>
      <c r="GN60" s="236"/>
      <c r="GO60" s="236"/>
      <c r="GP60" s="236"/>
      <c r="GQ60" s="236"/>
      <c r="GR60" s="236"/>
      <c r="GS60" s="236"/>
      <c r="GT60" s="236"/>
      <c r="GU60" s="236"/>
      <c r="GV60" s="236"/>
      <c r="GW60" s="236"/>
      <c r="GX60" s="236"/>
      <c r="GY60" s="236"/>
      <c r="GZ60" s="236"/>
      <c r="HA60" s="236"/>
      <c r="HB60" s="236"/>
      <c r="HC60" s="236"/>
      <c r="HD60" s="236"/>
      <c r="HE60" s="236"/>
      <c r="HF60" s="236"/>
      <c r="HG60" s="236"/>
      <c r="HH60" s="236"/>
      <c r="HI60" s="236"/>
      <c r="HJ60" s="236"/>
      <c r="HK60" s="2860">
        <f t="shared" si="156"/>
        <v>0.19601342919824533</v>
      </c>
      <c r="HL60" s="2860">
        <f t="shared" si="206"/>
        <v>0.19292801780152893</v>
      </c>
      <c r="HM60" s="2860">
        <f t="shared" si="207"/>
        <v>0.21443574447711036</v>
      </c>
      <c r="HN60" s="2860">
        <f t="shared" si="208"/>
        <v>0.18729576185072533</v>
      </c>
      <c r="HO60" s="2860">
        <f t="shared" si="209"/>
        <v>0.19161126005287984</v>
      </c>
      <c r="HP60" s="2860">
        <f t="shared" si="210"/>
        <v>0.18325354360276136</v>
      </c>
      <c r="HQ60" s="2860">
        <f t="shared" si="211"/>
        <v>0.27496330702034705</v>
      </c>
      <c r="HR60" s="2860">
        <f t="shared" si="212"/>
        <v>0.27382808588148794</v>
      </c>
      <c r="HS60" s="2860">
        <f t="shared" si="213"/>
        <v>0.26681071568314529</v>
      </c>
      <c r="HT60" s="2860">
        <f t="shared" si="214"/>
        <v>0.29255588204432437</v>
      </c>
      <c r="HU60" s="2860">
        <f t="shared" si="215"/>
        <v>0.3002209884660052</v>
      </c>
      <c r="HV60" s="2860">
        <f t="shared" si="216"/>
        <v>0.27954376668816983</v>
      </c>
      <c r="HW60" s="2860">
        <f t="shared" si="217"/>
        <v>0.26309713279828179</v>
      </c>
      <c r="HX60" s="2860">
        <f t="shared" si="218"/>
        <v>0.24121279967371478</v>
      </c>
      <c r="HY60" s="2860">
        <f t="shared" si="219"/>
        <v>0.28287599661626001</v>
      </c>
      <c r="HZ60" s="2860">
        <f t="shared" si="157"/>
        <v>0.2501311526811702</v>
      </c>
      <c r="IA60" s="236"/>
      <c r="IB60" s="236"/>
      <c r="IC60" s="236"/>
      <c r="ID60" s="236"/>
      <c r="IE60" s="236"/>
      <c r="IF60" s="236"/>
      <c r="IG60" s="236"/>
      <c r="IH60" s="236"/>
      <c r="II60" s="236"/>
      <c r="IJ60" s="236"/>
      <c r="IK60" s="236"/>
      <c r="IL60" s="236"/>
      <c r="IM60" s="236"/>
      <c r="IN60" s="236"/>
      <c r="IO60" s="236"/>
      <c r="IP60" s="236"/>
      <c r="IQ60" s="236"/>
      <c r="IR60" s="236"/>
      <c r="IS60" s="236"/>
      <c r="IT60" s="236"/>
      <c r="IU60" s="236"/>
      <c r="IV60" s="236"/>
      <c r="IW60" s="236"/>
      <c r="IX60" s="236"/>
      <c r="IY60" s="236"/>
      <c r="IZ60" s="236"/>
      <c r="JA60" s="236"/>
      <c r="JB60" s="236"/>
      <c r="JC60" s="236"/>
      <c r="JD60" s="236"/>
      <c r="JE60" s="236"/>
      <c r="JF60" s="236"/>
      <c r="JG60" s="236"/>
      <c r="JH60" s="236"/>
      <c r="JI60" s="236"/>
      <c r="JJ60" s="236"/>
      <c r="JK60" s="236"/>
      <c r="JL60" s="236"/>
      <c r="JM60" s="236"/>
      <c r="JN60" s="236"/>
      <c r="JO60" s="236"/>
      <c r="JP60" s="236"/>
      <c r="JQ60" s="236"/>
      <c r="JR60" s="236"/>
      <c r="JS60" s="236"/>
      <c r="JT60" s="236"/>
      <c r="JU60" s="236"/>
      <c r="JV60" s="236"/>
      <c r="JW60" s="236"/>
      <c r="JX60" s="236"/>
      <c r="JY60" s="236"/>
      <c r="JZ60" s="236"/>
      <c r="KA60" s="236"/>
      <c r="KB60" s="236"/>
      <c r="KC60" s="236"/>
      <c r="KD60" s="236"/>
      <c r="KE60" s="236"/>
      <c r="KF60" s="236"/>
      <c r="KG60" s="236"/>
      <c r="KH60" s="236"/>
      <c r="KI60" s="236"/>
      <c r="KJ60" s="236"/>
      <c r="KK60" s="236"/>
      <c r="KL60" s="236"/>
      <c r="KM60" s="236"/>
      <c r="KN60" s="236"/>
      <c r="KO60" s="236"/>
      <c r="KP60" s="236"/>
      <c r="KQ60" s="236"/>
      <c r="KR60" s="236"/>
      <c r="KS60" s="236"/>
      <c r="KT60" s="236"/>
      <c r="KU60" s="236"/>
      <c r="KV60" s="236"/>
      <c r="KW60" s="236"/>
      <c r="KX60" s="236"/>
      <c r="KY60" s="236"/>
      <c r="KZ60" s="236"/>
      <c r="LA60" s="236"/>
      <c r="LB60" s="236"/>
      <c r="LC60" s="236"/>
      <c r="LD60" s="236"/>
      <c r="LE60" s="236"/>
      <c r="LF60" s="236"/>
      <c r="LG60" s="236"/>
      <c r="LH60" s="236"/>
      <c r="LI60" s="236"/>
      <c r="LJ60" s="236"/>
      <c r="LK60" s="236"/>
      <c r="LL60" s="236"/>
      <c r="LM60" s="236"/>
      <c r="LN60" s="236"/>
      <c r="LO60" s="236"/>
      <c r="LP60" s="236"/>
      <c r="LQ60" s="236"/>
      <c r="LR60" s="236"/>
      <c r="LS60" s="236"/>
      <c r="LT60" s="236"/>
      <c r="LU60" s="236"/>
      <c r="LV60" s="236"/>
      <c r="LW60" s="236"/>
      <c r="LX60" s="236"/>
      <c r="LY60" s="236"/>
      <c r="LZ60" s="236"/>
      <c r="MA60" s="236"/>
      <c r="MB60" s="236"/>
      <c r="MC60" s="236"/>
      <c r="MD60" s="236"/>
      <c r="ME60" s="236"/>
      <c r="MF60" s="73" t="s">
        <v>284</v>
      </c>
      <c r="MG60" s="168">
        <f t="shared" si="158"/>
        <v>1.9857315741591319</v>
      </c>
      <c r="MH60" s="168">
        <f t="shared" ref="MH60:MU60" si="226">MH23+0.2</f>
        <v>2.0783271941332147</v>
      </c>
      <c r="MI60" s="168">
        <f t="shared" si="226"/>
        <v>2.064531469862517</v>
      </c>
      <c r="MJ60" s="168">
        <f t="shared" si="226"/>
        <v>1.92145166287616</v>
      </c>
      <c r="MK60" s="168">
        <f t="shared" si="226"/>
        <v>2.0635873863198761</v>
      </c>
      <c r="ML60" s="168">
        <f t="shared" si="226"/>
        <v>2.2270212479324702</v>
      </c>
      <c r="MM60" s="168">
        <f t="shared" si="226"/>
        <v>2.3391042364149763</v>
      </c>
      <c r="MN60" s="168">
        <f t="shared" si="226"/>
        <v>2.5748224447801094</v>
      </c>
      <c r="MO60" s="168">
        <f t="shared" si="226"/>
        <v>2.2676412621483726</v>
      </c>
      <c r="MP60" s="168">
        <f t="shared" si="226"/>
        <v>2.8732674698901572</v>
      </c>
      <c r="MQ60" s="168">
        <f t="shared" si="226"/>
        <v>2.6103937327618718</v>
      </c>
      <c r="MR60" s="168">
        <f t="shared" si="226"/>
        <v>2.6266299503951478</v>
      </c>
      <c r="MS60" s="168">
        <f t="shared" si="226"/>
        <v>2.2060589433180344</v>
      </c>
      <c r="MT60" s="168">
        <f t="shared" si="226"/>
        <v>2.7249413602443324</v>
      </c>
      <c r="MU60" s="168">
        <f t="shared" si="226"/>
        <v>2.8624165226553773</v>
      </c>
      <c r="MV60" s="11"/>
      <c r="MW60" s="168">
        <f t="shared" ref="MW60" si="227">MW23+0.2</f>
        <v>2.597805608739248</v>
      </c>
      <c r="MX60" s="11"/>
      <c r="MY60" s="168">
        <f t="shared" ref="MY60" si="228">MY23+0.2</f>
        <v>2.6050116941532231</v>
      </c>
      <c r="MZ60" s="168">
        <f t="shared" si="155"/>
        <v>2.4124513607384155</v>
      </c>
      <c r="NA60" s="236"/>
      <c r="NB60" s="236"/>
      <c r="NC60" s="236"/>
      <c r="ND60" s="236"/>
      <c r="NE60" s="236"/>
      <c r="NF60" s="236"/>
      <c r="NG60" s="236"/>
      <c r="NH60" s="236"/>
      <c r="NI60" s="236"/>
      <c r="NJ60" s="236"/>
      <c r="NK60" s="236"/>
      <c r="NL60" s="236"/>
      <c r="NM60" s="236"/>
      <c r="NN60" s="236"/>
      <c r="NO60" s="236"/>
      <c r="NP60" s="236"/>
      <c r="NQ60" s="236"/>
      <c r="NR60" s="236"/>
      <c r="NS60" s="236"/>
      <c r="NT60" s="236"/>
      <c r="NU60" s="236"/>
      <c r="NV60" s="236"/>
      <c r="NW60" s="236"/>
      <c r="NX60" s="236"/>
      <c r="NY60" s="236"/>
      <c r="NZ60" s="236"/>
      <c r="OA60" s="236"/>
      <c r="OB60" s="236"/>
      <c r="OC60" s="236"/>
      <c r="OD60" s="236"/>
      <c r="OE60" s="236"/>
      <c r="OF60" s="236"/>
      <c r="OG60" s="236"/>
      <c r="OH60" s="236"/>
      <c r="OI60" s="236"/>
      <c r="OJ60" s="236"/>
      <c r="OK60" s="236"/>
      <c r="OL60" s="236"/>
      <c r="OM60" s="236"/>
      <c r="ON60" s="236"/>
      <c r="OO60" s="236"/>
      <c r="OP60" s="168"/>
      <c r="OQ60" s="168">
        <f>OQ23-'Bloom Cleaner Data'!FP23</f>
        <v>-9.2018101599751878E-2</v>
      </c>
      <c r="OR60" s="168">
        <f>OR23-'Bloom Cleaner Data'!FQ23</f>
        <v>-9.5753410027068275E-2</v>
      </c>
      <c r="OS60" s="168">
        <f>OS23-'Bloom Cleaner Data'!FR23</f>
        <v>-0.10791238514330015</v>
      </c>
      <c r="OT60" s="168"/>
      <c r="OU60" s="168">
        <f>OU23-'Bloom Cleaner Data'!FT23</f>
        <v>-0.10526418926576531</v>
      </c>
      <c r="OV60" s="168">
        <f>OV23-'Bloom Cleaner Data'!FU23</f>
        <v>-0.10721646867789092</v>
      </c>
      <c r="OW60" s="168">
        <f>OW23-'Bloom Cleaner Data'!FV23</f>
        <v>-0.11050770624826534</v>
      </c>
      <c r="OX60" s="168"/>
      <c r="OY60" s="168"/>
      <c r="OZ60" s="168"/>
      <c r="PA60" s="168"/>
      <c r="PB60" s="168"/>
      <c r="PC60" s="168"/>
      <c r="PD60" s="168"/>
    </row>
    <row r="61" spans="1:420">
      <c r="A61" s="5"/>
      <c r="B61" s="3125" t="s">
        <v>282</v>
      </c>
      <c r="C61" s="1180"/>
      <c r="D61" s="237"/>
      <c r="E61" s="237"/>
      <c r="F61" s="237"/>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c r="BQ61" s="237"/>
      <c r="BR61" s="237"/>
      <c r="BS61" s="237"/>
      <c r="BT61" s="237"/>
      <c r="BU61" s="237"/>
      <c r="BV61" s="237"/>
      <c r="BW61" s="237"/>
      <c r="BX61" s="237"/>
      <c r="BY61" s="237"/>
      <c r="BZ61" s="237"/>
      <c r="CA61" s="237"/>
      <c r="CB61" s="237"/>
      <c r="CC61" s="237"/>
      <c r="CD61" s="237"/>
      <c r="CE61" s="237"/>
      <c r="CF61" s="237"/>
      <c r="CG61" s="237"/>
      <c r="CH61" s="237"/>
      <c r="CI61" s="237"/>
      <c r="CJ61" s="237"/>
      <c r="CK61" s="237"/>
      <c r="CL61" s="237"/>
      <c r="CM61" s="237"/>
      <c r="CN61" s="237"/>
      <c r="CO61" s="237"/>
      <c r="CP61" s="237"/>
      <c r="CQ61" s="237"/>
      <c r="CR61" s="237"/>
      <c r="CS61" s="237"/>
      <c r="CT61" s="237"/>
      <c r="CU61" s="237"/>
      <c r="CV61" s="237"/>
      <c r="CW61" s="237"/>
      <c r="CX61" s="237"/>
      <c r="CY61" s="237"/>
      <c r="CZ61" s="237"/>
      <c r="DA61" s="237"/>
      <c r="DB61" s="237"/>
      <c r="DC61" s="237"/>
      <c r="DD61" s="237"/>
      <c r="DE61" s="237"/>
      <c r="DF61" s="237"/>
      <c r="DG61" s="237"/>
      <c r="DH61" s="237"/>
      <c r="DI61" s="237"/>
      <c r="DJ61" s="237"/>
      <c r="DK61" s="237"/>
      <c r="DL61" s="237"/>
      <c r="DM61" s="237"/>
      <c r="DN61" s="237"/>
      <c r="DO61" s="237"/>
      <c r="DP61" s="237"/>
      <c r="DQ61" s="237"/>
      <c r="DR61" s="237"/>
      <c r="DS61" s="237"/>
      <c r="DT61" s="237"/>
      <c r="DU61" s="237"/>
      <c r="DV61" s="237"/>
      <c r="DW61" s="237"/>
      <c r="DX61" s="237"/>
      <c r="DY61" s="237"/>
      <c r="DZ61" s="237"/>
      <c r="EA61" s="237"/>
      <c r="EB61" s="237"/>
      <c r="EC61" s="237"/>
      <c r="ED61" s="237"/>
      <c r="EE61" s="237"/>
      <c r="EF61" s="237"/>
      <c r="EG61" s="237"/>
      <c r="EH61" s="237"/>
      <c r="EI61" s="237"/>
      <c r="EJ61" s="237"/>
      <c r="EK61" s="237"/>
      <c r="EL61" s="1088"/>
      <c r="EM61" s="236"/>
      <c r="EN61" s="236"/>
      <c r="EO61" s="236"/>
      <c r="EP61" s="236"/>
      <c r="EQ61" s="236"/>
      <c r="ER61" s="236"/>
      <c r="ES61" s="236"/>
      <c r="ET61" s="236"/>
      <c r="EU61" s="236"/>
      <c r="EV61" s="236"/>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236"/>
      <c r="GD61" s="236"/>
      <c r="GE61" s="236"/>
      <c r="GF61" s="236"/>
      <c r="GG61" s="236"/>
      <c r="GH61" s="236"/>
      <c r="GI61" s="236"/>
      <c r="GJ61" s="236"/>
      <c r="GK61" s="236"/>
      <c r="GL61" s="236"/>
      <c r="GM61" s="236"/>
      <c r="GN61" s="236"/>
      <c r="GO61" s="236"/>
      <c r="GP61" s="236"/>
      <c r="GQ61" s="236"/>
      <c r="GR61" s="236"/>
      <c r="GS61" s="236"/>
      <c r="GT61" s="236"/>
      <c r="GU61" s="236"/>
      <c r="GV61" s="236"/>
      <c r="GW61" s="236"/>
      <c r="GX61" s="236"/>
      <c r="GY61" s="236"/>
      <c r="GZ61" s="236"/>
      <c r="HA61" s="236"/>
      <c r="HB61" s="236"/>
      <c r="HC61" s="236"/>
      <c r="HD61" s="236"/>
      <c r="HE61" s="236"/>
      <c r="HF61" s="236"/>
      <c r="HG61" s="236"/>
      <c r="HH61" s="236"/>
      <c r="HI61" s="236"/>
      <c r="HJ61" s="236"/>
      <c r="HK61" s="2860">
        <f t="shared" si="156"/>
        <v>0.12898140647966524</v>
      </c>
      <c r="HL61" s="2860">
        <f t="shared" si="206"/>
        <v>0.1380528460563592</v>
      </c>
      <c r="HM61" s="2860">
        <f t="shared" si="207"/>
        <v>0.15280916744808323</v>
      </c>
      <c r="HN61" s="2860">
        <f t="shared" si="208"/>
        <v>0.10271257904746049</v>
      </c>
      <c r="HO61" s="2860">
        <f t="shared" si="209"/>
        <v>9.1938678131143467E-2</v>
      </c>
      <c r="HP61" s="2860">
        <f t="shared" si="210"/>
        <v>7.2679201192683063E-2</v>
      </c>
      <c r="HQ61" s="2860">
        <f t="shared" si="211"/>
        <v>0.24199462765035201</v>
      </c>
      <c r="HR61" s="2860">
        <f t="shared" si="212"/>
        <v>0.2245856460117715</v>
      </c>
      <c r="HS61" s="2860">
        <f t="shared" si="213"/>
        <v>0.22065927567404742</v>
      </c>
      <c r="HT61" s="2860">
        <f t="shared" si="214"/>
        <v>0.22020516748148458</v>
      </c>
      <c r="HU61" s="2860">
        <f t="shared" si="215"/>
        <v>0.31602212563008453</v>
      </c>
      <c r="HV61" s="2860">
        <f t="shared" si="216"/>
        <v>0.28154916487544268</v>
      </c>
      <c r="HW61" s="2860">
        <f t="shared" si="217"/>
        <v>0.27822380346221887</v>
      </c>
      <c r="HX61" s="2860">
        <f t="shared" si="218"/>
        <v>0.24013262643683941</v>
      </c>
      <c r="HY61" s="2860">
        <f t="shared" si="219"/>
        <v>0.28147528322389997</v>
      </c>
      <c r="HZ61" s="2860">
        <f t="shared" si="157"/>
        <v>0.20961441125119315</v>
      </c>
      <c r="IA61" s="236"/>
      <c r="IB61" s="236"/>
      <c r="IC61" s="236"/>
      <c r="ID61" s="236"/>
      <c r="IE61" s="236"/>
      <c r="IF61" s="236"/>
      <c r="IG61" s="236"/>
      <c r="IH61" s="236"/>
      <c r="II61" s="236"/>
      <c r="IJ61" s="236"/>
      <c r="IK61" s="236"/>
      <c r="IL61" s="236"/>
      <c r="IM61" s="236"/>
      <c r="IN61" s="236"/>
      <c r="IO61" s="236"/>
      <c r="IP61" s="236"/>
      <c r="IQ61" s="236"/>
      <c r="IR61" s="236"/>
      <c r="IS61" s="236"/>
      <c r="IT61" s="236"/>
      <c r="IU61" s="236"/>
      <c r="IV61" s="236"/>
      <c r="IW61" s="236"/>
      <c r="IX61" s="236"/>
      <c r="IY61" s="236"/>
      <c r="IZ61" s="236"/>
      <c r="JA61" s="236"/>
      <c r="JB61" s="236"/>
      <c r="JC61" s="236"/>
      <c r="JD61" s="236"/>
      <c r="JE61" s="236"/>
      <c r="JF61" s="236"/>
      <c r="JG61" s="236"/>
      <c r="JH61" s="236"/>
      <c r="JI61" s="236"/>
      <c r="JJ61" s="236"/>
      <c r="JK61" s="236"/>
      <c r="JL61" s="236"/>
      <c r="JM61" s="236"/>
      <c r="JN61" s="236"/>
      <c r="JO61" s="236"/>
      <c r="JP61" s="236"/>
      <c r="JQ61" s="236"/>
      <c r="JR61" s="236"/>
      <c r="JS61" s="236"/>
      <c r="JT61" s="236"/>
      <c r="JU61" s="236"/>
      <c r="JV61" s="236"/>
      <c r="JW61" s="236"/>
      <c r="JX61" s="236"/>
      <c r="JY61" s="236"/>
      <c r="JZ61" s="236"/>
      <c r="KA61" s="236"/>
      <c r="KB61" s="236"/>
      <c r="KC61" s="236"/>
      <c r="KD61" s="236"/>
      <c r="KE61" s="236"/>
      <c r="KF61" s="236"/>
      <c r="KG61" s="236"/>
      <c r="KH61" s="236"/>
      <c r="KI61" s="236"/>
      <c r="KJ61" s="236"/>
      <c r="KK61" s="236"/>
      <c r="KL61" s="236"/>
      <c r="KM61" s="236"/>
      <c r="KN61" s="236"/>
      <c r="KO61" s="236"/>
      <c r="KP61" s="236"/>
      <c r="KQ61" s="236"/>
      <c r="KR61" s="236"/>
      <c r="KS61" s="236"/>
      <c r="KT61" s="236"/>
      <c r="KU61" s="236"/>
      <c r="KV61" s="236"/>
      <c r="KW61" s="236"/>
      <c r="KX61" s="236"/>
      <c r="KY61" s="236"/>
      <c r="KZ61" s="236"/>
      <c r="LA61" s="236"/>
      <c r="LB61" s="236"/>
      <c r="LC61" s="236"/>
      <c r="LD61" s="236"/>
      <c r="LE61" s="236"/>
      <c r="LF61" s="236"/>
      <c r="LG61" s="236"/>
      <c r="LH61" s="236"/>
      <c r="LI61" s="236"/>
      <c r="LJ61" s="236"/>
      <c r="LK61" s="236"/>
      <c r="LL61" s="236"/>
      <c r="LM61" s="236"/>
      <c r="LN61" s="236"/>
      <c r="LO61" s="236"/>
      <c r="LP61" s="236"/>
      <c r="LQ61" s="236"/>
      <c r="LR61" s="236"/>
      <c r="LS61" s="236"/>
      <c r="LT61" s="236"/>
      <c r="LU61" s="236"/>
      <c r="LV61" s="236"/>
      <c r="LW61" s="236"/>
      <c r="LX61" s="236"/>
      <c r="LY61" s="236"/>
      <c r="LZ61" s="236"/>
      <c r="MA61" s="236"/>
      <c r="MB61" s="236"/>
      <c r="MC61" s="236"/>
      <c r="MD61" s="236"/>
      <c r="ME61" s="236"/>
      <c r="MF61" s="73" t="s">
        <v>282</v>
      </c>
      <c r="MG61" s="168">
        <f t="shared" si="158"/>
        <v>1.0407162855366883</v>
      </c>
      <c r="MH61" s="168">
        <f t="shared" ref="MH61:MU61" si="229">MH24+0.2</f>
        <v>1.1229760312754102</v>
      </c>
      <c r="MI61" s="168">
        <f t="shared" si="229"/>
        <v>1.1396686992136211</v>
      </c>
      <c r="MJ61" s="168">
        <f t="shared" si="229"/>
        <v>0.97044459203164424</v>
      </c>
      <c r="MK61" s="168">
        <f t="shared" si="229"/>
        <v>0.81584251821841902</v>
      </c>
      <c r="ML61" s="168">
        <f t="shared" si="229"/>
        <v>0.76535669571282439</v>
      </c>
      <c r="MM61" s="168">
        <f t="shared" si="229"/>
        <v>1.9708789105837119</v>
      </c>
      <c r="MN61" s="168">
        <f t="shared" si="229"/>
        <v>1.8720539713810258</v>
      </c>
      <c r="MO61" s="168">
        <f t="shared" si="229"/>
        <v>1.7333385231011276</v>
      </c>
      <c r="MP61" s="168">
        <f t="shared" si="229"/>
        <v>1.82527551828394</v>
      </c>
      <c r="MQ61" s="168">
        <f t="shared" si="229"/>
        <v>2.6458410900788696</v>
      </c>
      <c r="MR61" s="168">
        <f t="shared" si="229"/>
        <v>2.5621702844444512</v>
      </c>
      <c r="MS61" s="168">
        <f t="shared" si="229"/>
        <v>2.6565846380540186</v>
      </c>
      <c r="MT61" s="168">
        <f t="shared" si="229"/>
        <v>2.0307043458305896</v>
      </c>
      <c r="MU61" s="168">
        <f t="shared" si="229"/>
        <v>1.835715357616891</v>
      </c>
      <c r="MV61" s="11"/>
      <c r="MW61" s="168">
        <f t="shared" ref="MW61" si="230">MW24+0.2</f>
        <v>2.1743347805004998</v>
      </c>
      <c r="MX61" s="11"/>
      <c r="MY61" s="168">
        <f t="shared" ref="MY61" si="231">MY24+0.2</f>
        <v>2.2712936564864874</v>
      </c>
      <c r="MZ61" s="168">
        <f t="shared" si="155"/>
        <v>1.7556827034270104</v>
      </c>
      <c r="NA61" s="236"/>
      <c r="NB61" s="236"/>
      <c r="NC61" s="236"/>
      <c r="ND61" s="236"/>
      <c r="NE61" s="236"/>
      <c r="NF61" s="236"/>
      <c r="NG61" s="236"/>
      <c r="NH61" s="236"/>
      <c r="NI61" s="236"/>
      <c r="NJ61" s="236"/>
      <c r="NK61" s="236"/>
      <c r="NL61" s="236"/>
      <c r="NM61" s="236"/>
      <c r="NN61" s="236"/>
      <c r="NO61" s="236"/>
      <c r="NP61" s="236"/>
      <c r="NQ61" s="236"/>
      <c r="NR61" s="236"/>
      <c r="NS61" s="236"/>
      <c r="NT61" s="236"/>
      <c r="NU61" s="236"/>
      <c r="NV61" s="236"/>
      <c r="NW61" s="236"/>
      <c r="NX61" s="236"/>
      <c r="NY61" s="236"/>
      <c r="NZ61" s="236"/>
      <c r="OA61" s="236"/>
      <c r="OB61" s="236"/>
      <c r="OC61" s="236"/>
      <c r="OD61" s="236"/>
      <c r="OE61" s="236"/>
      <c r="OF61" s="236"/>
      <c r="OG61" s="236"/>
      <c r="OH61" s="236"/>
      <c r="OI61" s="236"/>
      <c r="OJ61" s="236"/>
      <c r="OK61" s="236"/>
      <c r="OL61" s="236"/>
      <c r="OM61" s="236"/>
      <c r="ON61" s="236"/>
      <c r="OO61" s="236"/>
      <c r="OP61" s="168"/>
      <c r="OQ61" s="168">
        <f>OQ24-'Bloom Cleaner Data'!FP24</f>
        <v>0.75470853904015267</v>
      </c>
      <c r="OR61" s="168">
        <f>OR24-'Bloom Cleaner Data'!FQ24</f>
        <v>0.75593434602926401</v>
      </c>
      <c r="OS61" s="168">
        <f>OS24-'Bloom Cleaner Data'!FR24</f>
        <v>0.89167810961482763</v>
      </c>
      <c r="OT61" s="168"/>
      <c r="OU61" s="168">
        <f>OU24-'Bloom Cleaner Data'!FT24</f>
        <v>0.8922114879285048</v>
      </c>
      <c r="OV61" s="168">
        <f>OV24-'Bloom Cleaner Data'!FU24</f>
        <v>0.83273327786182527</v>
      </c>
      <c r="OW61" s="168">
        <f>OW24-'Bloom Cleaner Data'!FV24</f>
        <v>0.78193442723581064</v>
      </c>
      <c r="OX61" s="168"/>
      <c r="OY61" s="168"/>
      <c r="OZ61" s="168"/>
      <c r="PA61" s="168"/>
      <c r="PB61" s="168"/>
      <c r="PC61" s="168"/>
      <c r="PD61" s="168"/>
    </row>
    <row r="62" spans="1:420">
      <c r="A62" s="5"/>
      <c r="B62" s="3125" t="s">
        <v>290</v>
      </c>
      <c r="C62" s="1180"/>
      <c r="D62" s="237"/>
      <c r="E62" s="237"/>
      <c r="F62" s="237"/>
      <c r="G62" s="237"/>
      <c r="H62" s="237"/>
      <c r="I62" s="237"/>
      <c r="J62" s="237"/>
      <c r="K62" s="237"/>
      <c r="L62" s="237"/>
      <c r="M62" s="23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c r="BU62" s="237"/>
      <c r="BV62" s="237"/>
      <c r="BW62" s="237"/>
      <c r="BX62" s="237"/>
      <c r="BY62" s="237"/>
      <c r="BZ62" s="237"/>
      <c r="CA62" s="237"/>
      <c r="CB62" s="237"/>
      <c r="CC62" s="237"/>
      <c r="CD62" s="237"/>
      <c r="CE62" s="237"/>
      <c r="CF62" s="237"/>
      <c r="CG62" s="237"/>
      <c r="CH62" s="237"/>
      <c r="CI62" s="237"/>
      <c r="CJ62" s="237"/>
      <c r="CK62" s="237"/>
      <c r="CL62" s="237"/>
      <c r="CM62" s="237"/>
      <c r="CN62" s="237"/>
      <c r="CO62" s="237"/>
      <c r="CP62" s="237"/>
      <c r="CQ62" s="237"/>
      <c r="CR62" s="237"/>
      <c r="CS62" s="237"/>
      <c r="CT62" s="237"/>
      <c r="CU62" s="237"/>
      <c r="CV62" s="237"/>
      <c r="CW62" s="237"/>
      <c r="CX62" s="237"/>
      <c r="CY62" s="237"/>
      <c r="CZ62" s="237"/>
      <c r="DA62" s="237"/>
      <c r="DB62" s="237"/>
      <c r="DC62" s="237"/>
      <c r="DD62" s="237"/>
      <c r="DE62" s="237"/>
      <c r="DF62" s="237"/>
      <c r="DG62" s="237"/>
      <c r="DH62" s="237"/>
      <c r="DI62" s="237"/>
      <c r="DJ62" s="237"/>
      <c r="DK62" s="237"/>
      <c r="DL62" s="237"/>
      <c r="DM62" s="237"/>
      <c r="DN62" s="237"/>
      <c r="DO62" s="237"/>
      <c r="DP62" s="237"/>
      <c r="DQ62" s="237"/>
      <c r="DR62" s="237"/>
      <c r="DS62" s="237"/>
      <c r="DT62" s="237"/>
      <c r="DU62" s="237"/>
      <c r="DV62" s="237"/>
      <c r="DW62" s="237"/>
      <c r="DX62" s="237"/>
      <c r="DY62" s="237"/>
      <c r="DZ62" s="237"/>
      <c r="EA62" s="237"/>
      <c r="EB62" s="237"/>
      <c r="EC62" s="237"/>
      <c r="ED62" s="237"/>
      <c r="EE62" s="237"/>
      <c r="EF62" s="237"/>
      <c r="EG62" s="237"/>
      <c r="EH62" s="237"/>
      <c r="EI62" s="237"/>
      <c r="EJ62" s="237"/>
      <c r="EK62" s="237"/>
      <c r="EL62" s="1088"/>
      <c r="EM62" s="236"/>
      <c r="EN62" s="236"/>
      <c r="EO62" s="236"/>
      <c r="EP62" s="236"/>
      <c r="EQ62" s="236"/>
      <c r="ER62" s="236"/>
      <c r="ES62" s="236"/>
      <c r="ET62" s="236"/>
      <c r="EU62" s="236"/>
      <c r="EV62" s="236"/>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236"/>
      <c r="GD62" s="236"/>
      <c r="GE62" s="236"/>
      <c r="GF62" s="236"/>
      <c r="GG62" s="236"/>
      <c r="GH62" s="236"/>
      <c r="GI62" s="236"/>
      <c r="GJ62" s="236"/>
      <c r="GK62" s="236"/>
      <c r="GL62" s="236"/>
      <c r="GM62" s="236"/>
      <c r="GN62" s="236"/>
      <c r="GO62" s="236"/>
      <c r="GP62" s="236"/>
      <c r="GQ62" s="236"/>
      <c r="GR62" s="236"/>
      <c r="GS62" s="236"/>
      <c r="GT62" s="236"/>
      <c r="GU62" s="236"/>
      <c r="GV62" s="236"/>
      <c r="GW62" s="236"/>
      <c r="GX62" s="236"/>
      <c r="GY62" s="236"/>
      <c r="GZ62" s="236"/>
      <c r="HA62" s="236"/>
      <c r="HB62" s="236"/>
      <c r="HC62" s="236"/>
      <c r="HD62" s="236"/>
      <c r="HE62" s="236"/>
      <c r="HF62" s="236"/>
      <c r="HG62" s="236"/>
      <c r="HH62" s="236"/>
      <c r="HI62" s="236"/>
      <c r="HJ62" s="236"/>
      <c r="HK62" s="2860">
        <f t="shared" si="156"/>
        <v>0.33284276625171083</v>
      </c>
      <c r="HL62" s="2860">
        <f t="shared" si="206"/>
        <v>0.325236591625295</v>
      </c>
      <c r="HM62" s="2860">
        <f t="shared" si="207"/>
        <v>0.35099231121562197</v>
      </c>
      <c r="HN62" s="2860">
        <f t="shared" si="208"/>
        <v>0.32670748508644687</v>
      </c>
      <c r="HO62" s="2860">
        <f t="shared" si="209"/>
        <v>0.31474148883466341</v>
      </c>
      <c r="HP62" s="2860">
        <f t="shared" si="210"/>
        <v>0.30846766308426782</v>
      </c>
      <c r="HQ62" s="2860">
        <f t="shared" si="211"/>
        <v>0.33825245611310373</v>
      </c>
      <c r="HR62" s="2860">
        <f t="shared" si="212"/>
        <v>0.33412860982799336</v>
      </c>
      <c r="HS62" s="2860">
        <f t="shared" si="213"/>
        <v>0.32728624048925437</v>
      </c>
      <c r="HT62" s="2860">
        <f t="shared" si="214"/>
        <v>0.32215614352162769</v>
      </c>
      <c r="HU62" s="2860">
        <f t="shared" si="215"/>
        <v>0.32431194146150577</v>
      </c>
      <c r="HV62" s="2860">
        <f t="shared" si="216"/>
        <v>0.32262458264990379</v>
      </c>
      <c r="HW62" s="2860">
        <f t="shared" si="217"/>
        <v>0.30107613475000317</v>
      </c>
      <c r="HX62" s="2860">
        <f t="shared" si="218"/>
        <v>0.27552258749341224</v>
      </c>
      <c r="HY62" s="2860">
        <f t="shared" si="219"/>
        <v>0.30362227391248225</v>
      </c>
      <c r="HZ62" s="2860">
        <f t="shared" si="157"/>
        <v>0.31922230141848357</v>
      </c>
      <c r="IA62" s="236"/>
      <c r="IB62" s="236"/>
      <c r="IC62" s="236"/>
      <c r="ID62" s="236"/>
      <c r="IE62" s="236"/>
      <c r="IF62" s="236"/>
      <c r="IG62" s="236"/>
      <c r="IH62" s="236"/>
      <c r="II62" s="236"/>
      <c r="IJ62" s="236"/>
      <c r="IK62" s="236"/>
      <c r="IL62" s="236"/>
      <c r="IM62" s="236"/>
      <c r="IN62" s="236"/>
      <c r="IO62" s="236"/>
      <c r="IP62" s="236"/>
      <c r="IQ62" s="236"/>
      <c r="IR62" s="236"/>
      <c r="IS62" s="236"/>
      <c r="IT62" s="236"/>
      <c r="IU62" s="236"/>
      <c r="IV62" s="236"/>
      <c r="IW62" s="236"/>
      <c r="IX62" s="236"/>
      <c r="IY62" s="236"/>
      <c r="IZ62" s="236"/>
      <c r="JA62" s="236"/>
      <c r="JB62" s="236"/>
      <c r="JC62" s="236"/>
      <c r="JD62" s="236"/>
      <c r="JE62" s="236"/>
      <c r="JF62" s="236"/>
      <c r="JG62" s="236"/>
      <c r="JH62" s="236"/>
      <c r="JI62" s="236"/>
      <c r="JJ62" s="236"/>
      <c r="JK62" s="236"/>
      <c r="JL62" s="236"/>
      <c r="JM62" s="236"/>
      <c r="JN62" s="236"/>
      <c r="JO62" s="236"/>
      <c r="JP62" s="236"/>
      <c r="JQ62" s="236"/>
      <c r="JR62" s="236"/>
      <c r="JS62" s="236"/>
      <c r="JT62" s="236"/>
      <c r="JU62" s="236"/>
      <c r="JV62" s="236"/>
      <c r="JW62" s="236"/>
      <c r="JX62" s="236"/>
      <c r="JY62" s="236"/>
      <c r="JZ62" s="236"/>
      <c r="KA62" s="236"/>
      <c r="KB62" s="236"/>
      <c r="KC62" s="236"/>
      <c r="KD62" s="236"/>
      <c r="KE62" s="236"/>
      <c r="KF62" s="236"/>
      <c r="KG62" s="236"/>
      <c r="KH62" s="236"/>
      <c r="KI62" s="236"/>
      <c r="KJ62" s="236"/>
      <c r="KK62" s="236"/>
      <c r="KL62" s="236"/>
      <c r="KM62" s="236"/>
      <c r="KN62" s="236"/>
      <c r="KO62" s="236"/>
      <c r="KP62" s="236"/>
      <c r="KQ62" s="236"/>
      <c r="KR62" s="236"/>
      <c r="KS62" s="236"/>
      <c r="KT62" s="236"/>
      <c r="KU62" s="236"/>
      <c r="KV62" s="236"/>
      <c r="KW62" s="236"/>
      <c r="KX62" s="236"/>
      <c r="KY62" s="236"/>
      <c r="KZ62" s="236"/>
      <c r="LA62" s="236"/>
      <c r="LB62" s="236"/>
      <c r="LC62" s="236"/>
      <c r="LD62" s="236"/>
      <c r="LE62" s="236"/>
      <c r="LF62" s="236"/>
      <c r="LG62" s="236"/>
      <c r="LH62" s="236"/>
      <c r="LI62" s="236"/>
      <c r="LJ62" s="236"/>
      <c r="LK62" s="236"/>
      <c r="LL62" s="236"/>
      <c r="LM62" s="236"/>
      <c r="LN62" s="236"/>
      <c r="LO62" s="236"/>
      <c r="LP62" s="236"/>
      <c r="LQ62" s="236"/>
      <c r="LR62" s="236"/>
      <c r="LS62" s="236"/>
      <c r="LT62" s="236"/>
      <c r="LU62" s="236"/>
      <c r="LV62" s="236"/>
      <c r="LW62" s="236"/>
      <c r="LX62" s="236"/>
      <c r="LY62" s="236"/>
      <c r="LZ62" s="236"/>
      <c r="MA62" s="236"/>
      <c r="MB62" s="236"/>
      <c r="MC62" s="236"/>
      <c r="MD62" s="236"/>
      <c r="ME62" s="236"/>
      <c r="MF62" s="73" t="s">
        <v>290</v>
      </c>
      <c r="MG62" s="168">
        <f t="shared" si="158"/>
        <v>2.4379886543825369</v>
      </c>
      <c r="MH62" s="168">
        <f t="shared" ref="MH62:MU62" si="232">MH25+0.2</f>
        <v>2.4203887600916811</v>
      </c>
      <c r="MI62" s="168">
        <f t="shared" si="232"/>
        <v>2.4835036879939403</v>
      </c>
      <c r="MJ62" s="168">
        <f t="shared" si="232"/>
        <v>2.3806897264679132</v>
      </c>
      <c r="MK62" s="168">
        <f t="shared" si="232"/>
        <v>2.5118597718425564</v>
      </c>
      <c r="ML62" s="168">
        <f t="shared" si="232"/>
        <v>2.4078171277962275</v>
      </c>
      <c r="MM62" s="168">
        <f t="shared" si="232"/>
        <v>2.5734029855696825</v>
      </c>
      <c r="MN62" s="168">
        <f t="shared" si="232"/>
        <v>2.4580007884340156</v>
      </c>
      <c r="MO62" s="168">
        <f t="shared" si="232"/>
        <v>2.320311720493224</v>
      </c>
      <c r="MP62" s="168">
        <f t="shared" si="232"/>
        <v>2.3361947353713042</v>
      </c>
      <c r="MQ62" s="168">
        <f t="shared" si="232"/>
        <v>2.4291346170026555</v>
      </c>
      <c r="MR62" s="168">
        <f t="shared" si="232"/>
        <v>2.4492560198923385</v>
      </c>
      <c r="MS62" s="168">
        <f t="shared" si="232"/>
        <v>2.4299859720444741</v>
      </c>
      <c r="MT62" s="168">
        <f t="shared" si="232"/>
        <v>2.4692048121414345</v>
      </c>
      <c r="MU62" s="168">
        <f t="shared" si="232"/>
        <v>2.5435449790233799</v>
      </c>
      <c r="MV62" s="11"/>
      <c r="MW62" s="168">
        <f t="shared" ref="MW62" si="233">MW25+0.2</f>
        <v>2.4809119210697625</v>
      </c>
      <c r="MX62" s="11"/>
      <c r="MY62" s="168">
        <f t="shared" ref="MY62" si="234">MY25+0.2</f>
        <v>2.4729979457754068</v>
      </c>
      <c r="MZ62" s="168">
        <f t="shared" si="155"/>
        <v>2.4456082264671655</v>
      </c>
      <c r="NA62" s="236"/>
      <c r="NB62" s="236"/>
      <c r="NC62" s="236"/>
      <c r="ND62" s="236"/>
      <c r="NE62" s="236"/>
      <c r="NF62" s="236"/>
      <c r="NG62" s="236"/>
      <c r="NH62" s="236"/>
      <c r="NI62" s="236"/>
      <c r="NJ62" s="236"/>
      <c r="NK62" s="236"/>
      <c r="NL62" s="236"/>
      <c r="NM62" s="236"/>
      <c r="NN62" s="236"/>
      <c r="NO62" s="236"/>
      <c r="NP62" s="236"/>
      <c r="NQ62" s="236"/>
      <c r="NR62" s="236"/>
      <c r="NS62" s="236"/>
      <c r="NT62" s="236"/>
      <c r="NU62" s="236"/>
      <c r="NV62" s="236"/>
      <c r="NW62" s="236"/>
      <c r="NX62" s="236"/>
      <c r="NY62" s="236"/>
      <c r="NZ62" s="236"/>
      <c r="OA62" s="236"/>
      <c r="OB62" s="236"/>
      <c r="OC62" s="236"/>
      <c r="OD62" s="236"/>
      <c r="OE62" s="236"/>
      <c r="OF62" s="236"/>
      <c r="OG62" s="236"/>
      <c r="OH62" s="236"/>
      <c r="OI62" s="236"/>
      <c r="OJ62" s="236"/>
      <c r="OK62" s="236"/>
      <c r="OL62" s="236"/>
      <c r="OM62" s="236"/>
      <c r="ON62" s="236"/>
      <c r="OO62" s="236"/>
      <c r="OP62" s="168"/>
      <c r="OQ62" s="168">
        <f>OQ25-'Bloom Cleaner Data'!FP25</f>
        <v>-6.5681970618786334E-2</v>
      </c>
      <c r="OR62" s="168">
        <f>OR25-'Bloom Cleaner Data'!FQ25</f>
        <v>-8.5409247349208961E-2</v>
      </c>
      <c r="OS62" s="129">
        <f>OS25-'Bloom Cleaner Data'!FR25</f>
        <v>-0.12828753361809841</v>
      </c>
      <c r="OT62" s="168"/>
      <c r="OU62" s="168">
        <f>OU25-'Bloom Cleaner Data'!FT25</f>
        <v>5.6330147530468277E-2</v>
      </c>
      <c r="OV62" s="168">
        <f>OV25-'Bloom Cleaner Data'!FU25</f>
        <v>-1.5812437039906424E-2</v>
      </c>
      <c r="OW62" s="168">
        <f>OW25-'Bloom Cleaner Data'!FV25</f>
        <v>-1.7154092876820126E-2</v>
      </c>
      <c r="OX62" s="168"/>
      <c r="OY62" s="168"/>
      <c r="OZ62" s="168"/>
      <c r="PA62" s="168"/>
      <c r="PB62" s="168"/>
      <c r="PC62" s="168"/>
      <c r="PD62" s="168"/>
    </row>
    <row r="63" spans="1:420">
      <c r="B63" s="3121" t="s">
        <v>357</v>
      </c>
      <c r="C63" s="1206"/>
      <c r="G63" s="236"/>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c r="BU63" s="236"/>
      <c r="BV63" s="236"/>
      <c r="BW63" s="236"/>
      <c r="BX63" s="236"/>
      <c r="BY63" s="236"/>
      <c r="BZ63" s="236"/>
      <c r="CA63" s="236"/>
      <c r="CB63" s="236"/>
      <c r="CC63" s="236"/>
      <c r="CD63" s="236"/>
      <c r="CE63" s="236"/>
      <c r="CF63" s="236"/>
      <c r="CG63" s="236"/>
      <c r="CH63" s="236"/>
      <c r="CI63" s="236"/>
      <c r="CJ63" s="236"/>
      <c r="CK63" s="236"/>
      <c r="CL63" s="236"/>
      <c r="CM63" s="236"/>
      <c r="CN63" s="236"/>
      <c r="CO63" s="236"/>
      <c r="CP63" s="236"/>
      <c r="CQ63" s="236"/>
      <c r="CR63" s="236"/>
      <c r="CS63" s="236"/>
      <c r="CT63" s="236"/>
      <c r="CU63" s="236"/>
      <c r="CV63" s="236"/>
      <c r="CW63" s="236"/>
      <c r="CX63" s="236"/>
      <c r="CY63" s="236"/>
      <c r="CZ63" s="236"/>
      <c r="DA63" s="236"/>
      <c r="DB63" s="236"/>
      <c r="DC63" s="236"/>
      <c r="DD63" s="236"/>
      <c r="DE63" s="236"/>
      <c r="DF63" s="236"/>
      <c r="DG63" s="236"/>
      <c r="DH63" s="236"/>
      <c r="DI63" s="236"/>
      <c r="DJ63" s="236"/>
      <c r="DK63" s="236"/>
      <c r="DL63" s="236"/>
      <c r="DM63" s="236"/>
      <c r="DN63" s="236"/>
      <c r="DO63" s="236"/>
      <c r="DP63" s="236"/>
      <c r="DQ63" s="236"/>
      <c r="DR63" s="236"/>
      <c r="DS63" s="236"/>
      <c r="DT63" s="236"/>
      <c r="DU63" s="236"/>
      <c r="DV63" s="236"/>
      <c r="DW63" s="236"/>
      <c r="DX63" s="236"/>
      <c r="DY63" s="236"/>
      <c r="DZ63" s="236"/>
      <c r="EA63" s="236"/>
      <c r="EB63" s="236"/>
      <c r="EC63" s="236"/>
      <c r="ED63" s="236"/>
      <c r="EE63" s="236"/>
      <c r="EF63" s="236"/>
      <c r="EG63" s="236"/>
      <c r="EH63" s="236"/>
      <c r="EI63" s="236"/>
      <c r="EJ63" s="236"/>
      <c r="EK63" s="236"/>
      <c r="EL63" s="1090"/>
      <c r="EM63" s="236"/>
      <c r="EN63" s="236"/>
      <c r="EO63" s="236"/>
      <c r="EP63" s="236"/>
      <c r="EQ63" s="236"/>
      <c r="ER63" s="236"/>
      <c r="ES63" s="236"/>
      <c r="ET63" s="236"/>
      <c r="EU63" s="236"/>
      <c r="EV63" s="236"/>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236"/>
      <c r="GD63" s="236"/>
      <c r="GE63" s="236"/>
      <c r="GF63" s="236"/>
      <c r="GG63" s="236"/>
      <c r="GH63" s="236"/>
      <c r="GI63" s="236"/>
      <c r="GJ63" s="236"/>
      <c r="GK63" s="236"/>
      <c r="GL63" s="236"/>
      <c r="GM63" s="236"/>
      <c r="GN63" s="236"/>
      <c r="GO63" s="236"/>
      <c r="GP63" s="236"/>
      <c r="GQ63" s="236"/>
      <c r="GR63" s="236"/>
      <c r="GS63" s="236"/>
      <c r="GT63" s="236"/>
      <c r="GU63" s="236"/>
      <c r="GV63" s="236"/>
      <c r="GW63" s="236"/>
      <c r="GX63" s="236"/>
      <c r="GY63" s="236"/>
      <c r="GZ63" s="236"/>
      <c r="HA63" s="236"/>
      <c r="HB63" s="236"/>
      <c r="HC63" s="236"/>
      <c r="HD63" s="236"/>
      <c r="HE63" s="236"/>
      <c r="HF63" s="236"/>
      <c r="HG63" s="236"/>
      <c r="HH63" s="236"/>
      <c r="HI63" s="236"/>
      <c r="HJ63" s="236"/>
      <c r="HK63" s="2860">
        <f t="shared" si="156"/>
        <v>0.39366550457914007</v>
      </c>
      <c r="HL63" s="2860">
        <f t="shared" si="206"/>
        <v>0.42342148591495099</v>
      </c>
      <c r="HM63" s="2860">
        <f t="shared" si="207"/>
        <v>0.45968728767703676</v>
      </c>
      <c r="HN63" s="2860">
        <f t="shared" si="208"/>
        <v>0.46655081840303986</v>
      </c>
      <c r="HO63" s="2860">
        <f t="shared" si="209"/>
        <v>0.48681364376648956</v>
      </c>
      <c r="HP63" s="2860">
        <f t="shared" si="210"/>
        <v>0.46507507193838304</v>
      </c>
      <c r="HQ63" s="2860">
        <f t="shared" si="211"/>
        <v>0.45829764873845052</v>
      </c>
      <c r="HR63" s="2860">
        <f t="shared" si="212"/>
        <v>0.50345733757684008</v>
      </c>
      <c r="HS63" s="2860">
        <f t="shared" si="213"/>
        <v>0.49667140647969393</v>
      </c>
      <c r="HT63" s="2860">
        <f t="shared" si="214"/>
        <v>0.52364565382593475</v>
      </c>
      <c r="HU63" s="2860">
        <f t="shared" si="215"/>
        <v>0.50819822701553052</v>
      </c>
      <c r="HV63" s="2860">
        <f t="shared" si="216"/>
        <v>0.48061963670049579</v>
      </c>
      <c r="HW63" s="2860">
        <f t="shared" si="217"/>
        <v>0.46528956625070156</v>
      </c>
      <c r="HX63" s="2860">
        <f t="shared" si="218"/>
        <v>0.44001735291701949</v>
      </c>
      <c r="HY63" s="2860">
        <f t="shared" si="219"/>
        <v>0.46507375880431212</v>
      </c>
      <c r="HZ63" s="2860">
        <f t="shared" si="157"/>
        <v>0.47841518539184064</v>
      </c>
      <c r="IA63" s="236"/>
      <c r="IB63" s="236"/>
      <c r="IC63" s="236"/>
      <c r="ID63" s="236"/>
      <c r="IE63" s="236"/>
      <c r="IF63" s="236"/>
      <c r="IG63" s="236"/>
      <c r="IH63" s="236"/>
      <c r="II63" s="236"/>
      <c r="IJ63" s="236"/>
      <c r="IK63" s="236"/>
      <c r="IL63" s="236"/>
      <c r="IM63" s="236"/>
      <c r="IN63" s="236"/>
      <c r="IO63" s="236"/>
      <c r="IP63" s="236"/>
      <c r="IQ63" s="236"/>
      <c r="IR63" s="236"/>
      <c r="IS63" s="236"/>
      <c r="IT63" s="236"/>
      <c r="IU63" s="236"/>
      <c r="IV63" s="236"/>
      <c r="IW63" s="236"/>
      <c r="IX63" s="236"/>
      <c r="IY63" s="236"/>
      <c r="IZ63" s="236"/>
      <c r="JA63" s="236"/>
      <c r="JB63" s="236"/>
      <c r="JC63" s="236"/>
      <c r="JD63" s="236"/>
      <c r="JE63" s="236"/>
      <c r="JF63" s="236"/>
      <c r="JG63" s="236"/>
      <c r="JH63" s="236"/>
      <c r="JI63" s="236"/>
      <c r="JJ63" s="236"/>
      <c r="JK63" s="236"/>
      <c r="JL63" s="236"/>
      <c r="JM63" s="236"/>
      <c r="JN63" s="236"/>
      <c r="JO63" s="236"/>
      <c r="JP63" s="236"/>
      <c r="JQ63" s="236"/>
      <c r="JR63" s="236"/>
      <c r="JS63" s="236"/>
      <c r="JT63" s="236"/>
      <c r="JU63" s="236"/>
      <c r="JV63" s="236"/>
      <c r="JW63" s="236"/>
      <c r="JX63" s="236"/>
      <c r="JY63" s="236"/>
      <c r="JZ63" s="236"/>
      <c r="KA63" s="236"/>
      <c r="KB63" s="236"/>
      <c r="KC63" s="236"/>
      <c r="KD63" s="236"/>
      <c r="KE63" s="236"/>
      <c r="KF63" s="236"/>
      <c r="KG63" s="236"/>
      <c r="KH63" s="236"/>
      <c r="KI63" s="236"/>
      <c r="KJ63" s="236"/>
      <c r="KK63" s="236"/>
      <c r="KL63" s="236"/>
      <c r="KM63" s="236"/>
      <c r="KN63" s="236"/>
      <c r="KO63" s="236"/>
      <c r="KP63" s="236"/>
      <c r="KQ63" s="236"/>
      <c r="KR63" s="236"/>
      <c r="KS63" s="236"/>
      <c r="KT63" s="236"/>
      <c r="KU63" s="236"/>
      <c r="KV63" s="236"/>
      <c r="KW63" s="236"/>
      <c r="KX63" s="236"/>
      <c r="KY63" s="236"/>
      <c r="KZ63" s="236"/>
      <c r="LA63" s="236"/>
      <c r="LB63" s="236"/>
      <c r="LC63" s="236"/>
      <c r="LD63" s="236"/>
      <c r="LE63" s="236"/>
      <c r="LF63" s="236"/>
      <c r="LG63" s="236"/>
      <c r="LH63" s="236"/>
      <c r="LI63" s="236"/>
      <c r="LJ63" s="236"/>
      <c r="LK63" s="236"/>
      <c r="LL63" s="236"/>
      <c r="LM63" s="236"/>
      <c r="LN63" s="236"/>
      <c r="LO63" s="236"/>
      <c r="LP63" s="236"/>
      <c r="LQ63" s="236"/>
      <c r="LR63" s="236"/>
      <c r="LS63" s="236"/>
      <c r="LT63" s="236"/>
      <c r="LU63" s="236"/>
      <c r="LV63" s="236"/>
      <c r="LW63" s="236"/>
      <c r="LX63" s="236"/>
      <c r="LY63" s="236"/>
      <c r="LZ63" s="236"/>
      <c r="MA63" s="236"/>
      <c r="MB63" s="236"/>
      <c r="MC63" s="236"/>
      <c r="MD63" s="236"/>
      <c r="ME63" s="236"/>
      <c r="MF63" s="11" t="s">
        <v>357</v>
      </c>
      <c r="MG63" s="168">
        <f t="shared" si="158"/>
        <v>2.7930094739411575</v>
      </c>
      <c r="MH63" s="168">
        <f t="shared" ref="MH63:MU63" si="235">MH26+0.2</f>
        <v>2.631693131311597</v>
      </c>
      <c r="MI63" s="168">
        <f t="shared" si="235"/>
        <v>2.5731879581773129</v>
      </c>
      <c r="MJ63" s="168">
        <f t="shared" si="235"/>
        <v>2.6156810437788787</v>
      </c>
      <c r="MK63" s="168">
        <f t="shared" si="235"/>
        <v>2.5563845743262901</v>
      </c>
      <c r="ML63" s="168">
        <f t="shared" si="235"/>
        <v>2.6748349184465661</v>
      </c>
      <c r="MM63" s="168">
        <f t="shared" si="235"/>
        <v>2.6882205672309096</v>
      </c>
      <c r="MN63" s="168">
        <f t="shared" si="235"/>
        <v>2.6808228202666102</v>
      </c>
      <c r="MO63" s="168">
        <f t="shared" si="235"/>
        <v>2.4960555043102537</v>
      </c>
      <c r="MP63" s="168">
        <f t="shared" si="235"/>
        <v>2.3391924304519285</v>
      </c>
      <c r="MQ63" s="168">
        <f t="shared" si="235"/>
        <v>2.335636367730122</v>
      </c>
      <c r="MR63" s="168">
        <f t="shared" si="235"/>
        <v>2.045768028220647</v>
      </c>
      <c r="MS63" s="168">
        <f t="shared" si="235"/>
        <v>2.1789058815746305</v>
      </c>
      <c r="MT63" s="168">
        <f t="shared" si="235"/>
        <v>2.0996583081835922</v>
      </c>
      <c r="MU63" s="168">
        <f t="shared" si="235"/>
        <v>2.0854531506487364</v>
      </c>
      <c r="MV63" s="11"/>
      <c r="MW63" s="168">
        <f t="shared" ref="MW63" si="236">MW26+0.2</f>
        <v>2.1213391134689861</v>
      </c>
      <c r="MX63" s="11"/>
      <c r="MY63" s="168">
        <f t="shared" ref="MY63" si="237">MY26+0.2</f>
        <v>2.1024463421569015</v>
      </c>
      <c r="MZ63" s="168">
        <f t="shared" si="155"/>
        <v>2.4130616579497293</v>
      </c>
      <c r="NA63" s="236"/>
      <c r="NB63" s="236"/>
      <c r="NC63" s="236"/>
      <c r="ND63" s="236"/>
      <c r="NE63" s="236"/>
      <c r="NF63" s="236"/>
      <c r="NG63" s="236"/>
      <c r="NH63" s="236"/>
      <c r="NI63" s="236"/>
      <c r="NJ63" s="236"/>
      <c r="NK63" s="236"/>
      <c r="NL63" s="236"/>
      <c r="NM63" s="236"/>
      <c r="NN63" s="236"/>
      <c r="NO63" s="236"/>
      <c r="NP63" s="236"/>
      <c r="NQ63" s="236"/>
      <c r="NR63" s="236"/>
      <c r="NS63" s="236"/>
      <c r="NT63" s="236"/>
      <c r="NU63" s="236"/>
      <c r="NV63" s="236"/>
      <c r="NW63" s="236"/>
      <c r="NX63" s="236"/>
      <c r="NY63" s="236"/>
      <c r="NZ63" s="236"/>
      <c r="OA63" s="236"/>
      <c r="OB63" s="236"/>
      <c r="OC63" s="236"/>
      <c r="OD63" s="236"/>
      <c r="OE63" s="236"/>
      <c r="OF63" s="236"/>
      <c r="OG63" s="236"/>
      <c r="OH63" s="236"/>
      <c r="OI63" s="236"/>
      <c r="OJ63" s="236"/>
      <c r="OK63" s="236"/>
      <c r="OL63" s="236"/>
      <c r="OM63" s="236"/>
      <c r="ON63" s="236"/>
      <c r="OO63" s="236"/>
      <c r="OP63" s="168">
        <f>OP26-'Bloom Cleaner Data'!FO26</f>
        <v>-4.4297045254337863E-4</v>
      </c>
      <c r="OQ63" s="168">
        <f>OQ26-'Bloom Cleaner Data'!FP26</f>
        <v>-2.7206585236327907E-4</v>
      </c>
      <c r="OR63" s="168">
        <f>OR26-'Bloom Cleaner Data'!FQ26</f>
        <v>-2.4682747771365143E-4</v>
      </c>
      <c r="OS63" s="129">
        <f>OS26-'Bloom Cleaner Data'!FR26</f>
        <v>-2.5954246603754005E-2</v>
      </c>
      <c r="OT63" s="168">
        <f>OT26-'Bloom Cleaner Data'!FS26</f>
        <v>-3.331590194123879E-4</v>
      </c>
      <c r="OU63" s="168">
        <f>OU26-'Bloom Cleaner Data'!FT26</f>
        <v>-2.9140859140852626E-4</v>
      </c>
      <c r="OV63" s="168">
        <f>OV26-'Bloom Cleaner Data'!FU26</f>
        <v>-2.0618179789355651E-4</v>
      </c>
      <c r="OW63" s="168">
        <f>OW26-'Bloom Cleaner Data'!FV26</f>
        <v>-1.5890464933021597E-4</v>
      </c>
      <c r="OX63" s="168"/>
      <c r="OY63" s="168"/>
      <c r="OZ63" s="168"/>
      <c r="PA63" s="168"/>
      <c r="PB63" s="168">
        <f>PB26-'Bloom Cleaner Data'!GA26</f>
        <v>-1.7824717076403429E-4</v>
      </c>
      <c r="PC63" s="168"/>
      <c r="PD63" s="168"/>
    </row>
    <row r="64" spans="1:420">
      <c r="B64" s="3121" t="s">
        <v>358</v>
      </c>
      <c r="C64" s="120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c r="BU64" s="236"/>
      <c r="BV64" s="236"/>
      <c r="BW64" s="236"/>
      <c r="BX64" s="236"/>
      <c r="BY64" s="236"/>
      <c r="BZ64" s="236"/>
      <c r="CA64" s="236"/>
      <c r="CB64" s="236"/>
      <c r="CC64" s="236"/>
      <c r="CD64" s="236"/>
      <c r="CE64" s="236"/>
      <c r="CF64" s="236"/>
      <c r="CG64" s="236"/>
      <c r="CH64" s="236"/>
      <c r="CI64" s="236"/>
      <c r="CJ64" s="236"/>
      <c r="CK64" s="236"/>
      <c r="CL64" s="236"/>
      <c r="CM64" s="236"/>
      <c r="CN64" s="236"/>
      <c r="CO64" s="236"/>
      <c r="CP64" s="236"/>
      <c r="CQ64" s="236"/>
      <c r="CR64" s="236"/>
      <c r="CS64" s="236"/>
      <c r="CT64" s="236"/>
      <c r="CU64" s="236"/>
      <c r="CV64" s="236"/>
      <c r="CW64" s="236"/>
      <c r="CX64" s="236"/>
      <c r="CY64" s="236"/>
      <c r="CZ64" s="236"/>
      <c r="DA64" s="236"/>
      <c r="DB64" s="236"/>
      <c r="DC64" s="236"/>
      <c r="DD64" s="236"/>
      <c r="DE64" s="236"/>
      <c r="DF64" s="236"/>
      <c r="DG64" s="236"/>
      <c r="DH64" s="236"/>
      <c r="DI64" s="236"/>
      <c r="DJ64" s="236"/>
      <c r="DK64" s="236"/>
      <c r="DL64" s="236"/>
      <c r="DM64" s="236"/>
      <c r="DN64" s="236"/>
      <c r="DO64" s="236"/>
      <c r="DP64" s="236"/>
      <c r="DQ64" s="236"/>
      <c r="DR64" s="236"/>
      <c r="DS64" s="236"/>
      <c r="DT64" s="236"/>
      <c r="DU64" s="236"/>
      <c r="DV64" s="236"/>
      <c r="DW64" s="236"/>
      <c r="DX64" s="236"/>
      <c r="DY64" s="236"/>
      <c r="DZ64" s="236"/>
      <c r="EA64" s="236"/>
      <c r="EB64" s="236"/>
      <c r="EC64" s="236"/>
      <c r="ED64" s="236"/>
      <c r="EE64" s="236"/>
      <c r="EF64" s="236"/>
      <c r="EG64" s="236"/>
      <c r="EH64" s="236"/>
      <c r="EI64" s="236"/>
      <c r="EJ64" s="236"/>
      <c r="EK64" s="236"/>
      <c r="EL64" s="1090"/>
      <c r="EM64" s="236"/>
      <c r="EN64" s="236"/>
      <c r="EO64" s="236"/>
      <c r="EP64" s="236"/>
      <c r="EQ64" s="236"/>
      <c r="ER64" s="236"/>
      <c r="ES64" s="236"/>
      <c r="ET64" s="236"/>
      <c r="EU64" s="236"/>
      <c r="EV64" s="236"/>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236"/>
      <c r="GD64" s="236"/>
      <c r="GE64" s="236"/>
      <c r="GF64" s="236"/>
      <c r="GG64" s="236"/>
      <c r="GH64" s="236"/>
      <c r="GI64" s="236"/>
      <c r="GJ64" s="236"/>
      <c r="GK64" s="236"/>
      <c r="GL64" s="236"/>
      <c r="GM64" s="236"/>
      <c r="GN64" s="236"/>
      <c r="GO64" s="236"/>
      <c r="GP64" s="236"/>
      <c r="GQ64" s="236"/>
      <c r="GR64" s="236"/>
      <c r="GS64" s="236"/>
      <c r="GT64" s="236"/>
      <c r="GU64" s="236"/>
      <c r="GV64" s="236"/>
      <c r="GW64" s="236"/>
      <c r="GX64" s="236"/>
      <c r="GY64" s="236"/>
      <c r="GZ64" s="236"/>
      <c r="HA64" s="236"/>
      <c r="HB64" s="236"/>
      <c r="HC64" s="236"/>
      <c r="HD64" s="236"/>
      <c r="HE64" s="236"/>
      <c r="HF64" s="236"/>
      <c r="HG64" s="236"/>
      <c r="HH64" s="236"/>
      <c r="HI64" s="236"/>
      <c r="HJ64" s="236"/>
      <c r="HK64" s="146">
        <f t="shared" si="156"/>
        <v>0.42997221083871201</v>
      </c>
      <c r="HL64" s="146">
        <f t="shared" si="206"/>
        <v>0.45281886800186638</v>
      </c>
      <c r="HM64" s="146">
        <f t="shared" si="207"/>
        <v>0.48837785245523885</v>
      </c>
      <c r="HN64" s="146">
        <f t="shared" si="208"/>
        <v>0.32068204478749368</v>
      </c>
      <c r="HO64" s="146">
        <f t="shared" si="209"/>
        <v>0.50618916176036455</v>
      </c>
      <c r="HP64" s="146">
        <f t="shared" si="210"/>
        <v>0.50438508797734638</v>
      </c>
      <c r="HQ64" s="146">
        <f t="shared" si="211"/>
        <v>0.52733427511662723</v>
      </c>
      <c r="HR64" s="146">
        <f t="shared" si="212"/>
        <v>0.53764177825502679</v>
      </c>
      <c r="HS64" s="146">
        <f t="shared" si="213"/>
        <v>0.53934899870094088</v>
      </c>
      <c r="HT64" s="146">
        <f t="shared" si="214"/>
        <v>0.49743899065188774</v>
      </c>
      <c r="HU64" s="146">
        <f t="shared" si="215"/>
        <v>0.50982229417251801</v>
      </c>
      <c r="HV64" s="146">
        <f t="shared" si="216"/>
        <v>0.46872714503922225</v>
      </c>
      <c r="HW64" s="146">
        <f t="shared" si="217"/>
        <v>0.41864104210174313</v>
      </c>
      <c r="HX64" s="146">
        <f t="shared" si="218"/>
        <v>0.47290971472258075</v>
      </c>
      <c r="HY64" s="146">
        <f t="shared" si="219"/>
        <v>0.40051001362688471</v>
      </c>
      <c r="HZ64" s="146">
        <f t="shared" si="157"/>
        <v>0.47630833841291353</v>
      </c>
      <c r="IA64" s="236"/>
      <c r="IB64" s="236"/>
      <c r="IC64" s="236"/>
      <c r="ID64" s="236"/>
      <c r="IE64" s="236"/>
      <c r="IF64" s="236"/>
      <c r="IG64" s="236"/>
      <c r="IH64" s="236"/>
      <c r="II64" s="236"/>
      <c r="IJ64" s="236"/>
      <c r="IK64" s="236"/>
      <c r="IL64" s="236"/>
      <c r="IM64" s="236"/>
      <c r="IN64" s="236"/>
      <c r="IO64" s="236"/>
      <c r="IP64" s="236"/>
      <c r="IQ64" s="236"/>
      <c r="IR64" s="236"/>
      <c r="IS64" s="236"/>
      <c r="IT64" s="236"/>
      <c r="IU64" s="236"/>
      <c r="IV64" s="236"/>
      <c r="IW64" s="236"/>
      <c r="IX64" s="236"/>
      <c r="IY64" s="236"/>
      <c r="IZ64" s="236"/>
      <c r="JA64" s="236"/>
      <c r="JB64" s="236"/>
      <c r="JC64" s="236"/>
      <c r="JD64" s="236"/>
      <c r="JE64" s="236"/>
      <c r="JF64" s="236"/>
      <c r="JG64" s="236"/>
      <c r="JH64" s="236"/>
      <c r="JI64" s="236"/>
      <c r="JJ64" s="236"/>
      <c r="JK64" s="236"/>
      <c r="JL64" s="236"/>
      <c r="JM64" s="236"/>
      <c r="JN64" s="236"/>
      <c r="JO64" s="236"/>
      <c r="JP64" s="236"/>
      <c r="JQ64" s="236"/>
      <c r="JR64" s="236"/>
      <c r="JS64" s="236"/>
      <c r="JT64" s="236"/>
      <c r="JU64" s="236"/>
      <c r="JV64" s="236"/>
      <c r="JW64" s="236"/>
      <c r="JX64" s="236"/>
      <c r="JY64" s="236"/>
      <c r="JZ64" s="236"/>
      <c r="KA64" s="236"/>
      <c r="KB64" s="236"/>
      <c r="KC64" s="236"/>
      <c r="KD64" s="236"/>
      <c r="KE64" s="236"/>
      <c r="KF64" s="236"/>
      <c r="KG64" s="236"/>
      <c r="KH64" s="236"/>
      <c r="KI64" s="236"/>
      <c r="KJ64" s="236"/>
      <c r="KK64" s="236"/>
      <c r="KL64" s="236"/>
      <c r="KM64" s="236"/>
      <c r="KN64" s="236"/>
      <c r="KO64" s="236"/>
      <c r="KP64" s="236"/>
      <c r="KQ64" s="236"/>
      <c r="KR64" s="236"/>
      <c r="KS64" s="236"/>
      <c r="KT64" s="236"/>
      <c r="KU64" s="236"/>
      <c r="KV64" s="236"/>
      <c r="KW64" s="236"/>
      <c r="KX64" s="236"/>
      <c r="KY64" s="236"/>
      <c r="KZ64" s="236"/>
      <c r="LA64" s="236"/>
      <c r="LB64" s="236"/>
      <c r="LC64" s="236"/>
      <c r="LD64" s="236"/>
      <c r="LE64" s="236"/>
      <c r="LF64" s="236"/>
      <c r="LG64" s="236"/>
      <c r="LH64" s="236"/>
      <c r="LI64" s="236"/>
      <c r="LJ64" s="236"/>
      <c r="LK64" s="236"/>
      <c r="LL64" s="236"/>
      <c r="LM64" s="236"/>
      <c r="LN64" s="236"/>
      <c r="LO64" s="236"/>
      <c r="LP64" s="236"/>
      <c r="LQ64" s="236"/>
      <c r="LR64" s="236"/>
      <c r="LS64" s="236"/>
      <c r="LT64" s="236"/>
      <c r="LU64" s="236"/>
      <c r="LV64" s="236"/>
      <c r="LW64" s="236"/>
      <c r="LX64" s="236"/>
      <c r="LY64" s="236"/>
      <c r="LZ64" s="236"/>
      <c r="MA64" s="236"/>
      <c r="MB64" s="236"/>
      <c r="MC64" s="236"/>
      <c r="MD64" s="236"/>
      <c r="ME64" s="236"/>
      <c r="MF64" s="1096" t="s">
        <v>358</v>
      </c>
      <c r="MG64" s="2745">
        <f t="shared" si="158"/>
        <v>2.5923068487287102</v>
      </c>
      <c r="MH64" s="2745">
        <f t="shared" ref="MH64:MU64" si="238">MH27+0.2</f>
        <v>2.6147966908749178</v>
      </c>
      <c r="MI64" s="2745">
        <f t="shared" si="238"/>
        <v>2.5434736362388568</v>
      </c>
      <c r="MJ64" s="2745">
        <f t="shared" si="238"/>
        <v>1.368879497141916</v>
      </c>
      <c r="MK64" s="2745">
        <f t="shared" si="238"/>
        <v>2.3156987271911351</v>
      </c>
      <c r="ML64" s="2745">
        <f t="shared" si="238"/>
        <v>2.1192410155025438</v>
      </c>
      <c r="MM64" s="2745">
        <f t="shared" si="238"/>
        <v>2.0915719133319532</v>
      </c>
      <c r="MN64" s="2745">
        <f t="shared" si="238"/>
        <v>1.9066378013473766</v>
      </c>
      <c r="MO64" s="2745">
        <f t="shared" si="238"/>
        <v>2.2496927754913392</v>
      </c>
      <c r="MP64" s="2745">
        <f t="shared" si="238"/>
        <v>1.9933572566160331</v>
      </c>
      <c r="MQ64" s="2745">
        <f t="shared" si="238"/>
        <v>1.981933875983465</v>
      </c>
      <c r="MR64" s="2745">
        <f t="shared" si="238"/>
        <v>2.0679965483712532</v>
      </c>
      <c r="MS64" s="2745">
        <f t="shared" si="238"/>
        <v>2.1278647771673325</v>
      </c>
      <c r="MT64" s="2745">
        <f t="shared" si="238"/>
        <v>2.3653559200384828</v>
      </c>
      <c r="MU64" s="2745">
        <f t="shared" si="238"/>
        <v>2.0407910060455046</v>
      </c>
      <c r="MV64" s="236"/>
      <c r="MW64" s="2745">
        <f t="shared" ref="MW64" si="239">MW27+0.2</f>
        <v>2.1780039010837733</v>
      </c>
      <c r="MX64" s="236"/>
      <c r="MY64" s="2745">
        <f t="shared" ref="MY64" si="240">MY27+0.2</f>
        <v>2.1505020629056433</v>
      </c>
      <c r="MZ64" s="2745">
        <f t="shared" si="155"/>
        <v>2.0901919038820918</v>
      </c>
      <c r="NA64" s="236"/>
      <c r="NB64" s="236"/>
      <c r="NC64" s="236"/>
      <c r="ND64" s="236"/>
      <c r="NE64" s="236"/>
      <c r="NF64" s="236"/>
      <c r="NG64" s="236"/>
      <c r="NH64" s="236"/>
      <c r="NI64" s="236"/>
      <c r="NJ64" s="236"/>
      <c r="NK64" s="236"/>
      <c r="NL64" s="236"/>
      <c r="NM64" s="236"/>
      <c r="NN64" s="236"/>
      <c r="NO64" s="236"/>
      <c r="NP64" s="236"/>
      <c r="NQ64" s="236"/>
      <c r="NR64" s="236"/>
      <c r="NS64" s="236"/>
      <c r="NT64" s="236"/>
      <c r="NU64" s="236"/>
      <c r="NV64" s="236"/>
      <c r="NW64" s="236"/>
      <c r="NX64" s="236"/>
      <c r="NY64" s="236"/>
      <c r="NZ64" s="236"/>
      <c r="OA64" s="236"/>
      <c r="OB64" s="236"/>
      <c r="OC64" s="236"/>
      <c r="OD64" s="236"/>
      <c r="OE64" s="236"/>
      <c r="OF64" s="236"/>
      <c r="OG64" s="236"/>
      <c r="OH64" s="236"/>
      <c r="OI64" s="236"/>
      <c r="OJ64" s="236"/>
      <c r="OK64" s="236"/>
      <c r="OL64" s="236"/>
      <c r="OM64" s="236"/>
      <c r="ON64" s="236"/>
      <c r="OO64" s="236"/>
      <c r="OP64" s="168"/>
      <c r="OQ64" s="168">
        <f>OQ27-'Bloom Cleaner Data'!FP27</f>
        <v>-3.0281319093550252E-5</v>
      </c>
      <c r="OR64" s="168">
        <f>OR27-'Bloom Cleaner Data'!FQ27</f>
        <v>-4.7350999749840028E-5</v>
      </c>
      <c r="OS64" s="129">
        <f>OS27-'Bloom Cleaner Data'!FR27</f>
        <v>1.4737221519755428E-2</v>
      </c>
      <c r="OT64" s="168"/>
      <c r="OU64" s="168">
        <f>OU27-'Bloom Cleaner Data'!FT27</f>
        <v>2.5828244021308677E-7</v>
      </c>
      <c r="OV64" s="168">
        <f>OV27-'Bloom Cleaner Data'!FU27</f>
        <v>2.5418021505574373E-5</v>
      </c>
      <c r="OW64" s="168">
        <f>OW27-'Bloom Cleaner Data'!FV27</f>
        <v>2.600870954649892E-5</v>
      </c>
      <c r="OX64" s="168"/>
      <c r="OY64" s="168"/>
      <c r="OZ64" s="168"/>
      <c r="PA64" s="168"/>
      <c r="PB64" s="168"/>
      <c r="PC64" s="168"/>
      <c r="PD64" s="16"/>
    </row>
    <row r="65" spans="1:450">
      <c r="OP65" s="15"/>
      <c r="OQ65" s="15"/>
      <c r="OR65" s="15"/>
      <c r="OS65" s="15"/>
      <c r="OT65" s="15"/>
      <c r="OU65" s="15"/>
      <c r="OV65" s="15"/>
      <c r="OW65" s="15"/>
      <c r="OX65" s="15"/>
      <c r="OY65" s="15"/>
      <c r="OZ65" s="15"/>
      <c r="PA65" s="15"/>
      <c r="PB65" s="15"/>
      <c r="PC65" s="15"/>
      <c r="PD65" s="15"/>
    </row>
    <row r="66" spans="1:450" s="2351" customFormat="1">
      <c r="A66" s="463" t="s">
        <v>1816</v>
      </c>
      <c r="B66" s="3127"/>
      <c r="C66" s="2349"/>
      <c r="D66" s="2350"/>
      <c r="E66" s="2350"/>
      <c r="F66" s="2350"/>
      <c r="L66" s="463"/>
      <c r="DV66" s="463"/>
      <c r="EI66" s="2352"/>
      <c r="EJ66" s="2352"/>
      <c r="EL66" s="2349"/>
      <c r="NS66" s="463"/>
      <c r="NT66" s="463"/>
      <c r="NU66" s="463"/>
      <c r="OP66" s="2252"/>
      <c r="OQ66" s="2252"/>
      <c r="OR66" s="2252"/>
      <c r="OS66" s="2252"/>
      <c r="OT66" s="2252"/>
      <c r="OU66" s="2252"/>
      <c r="OV66" s="2252"/>
      <c r="OW66" s="2252"/>
      <c r="OX66" s="2252"/>
      <c r="OY66" s="2252"/>
      <c r="OZ66" s="2252"/>
      <c r="PA66" s="2252"/>
      <c r="PB66" s="2252"/>
      <c r="PC66" s="2252"/>
      <c r="PD66" s="2252"/>
      <c r="QH66" s="2385"/>
    </row>
    <row r="83" spans="143:258">
      <c r="EM83" s="236"/>
      <c r="EN83" s="236"/>
      <c r="EO83" s="236"/>
      <c r="EP83" s="236"/>
      <c r="EQ83" s="236"/>
      <c r="ER83" s="236"/>
      <c r="ES83" s="236"/>
      <c r="ET83" s="236"/>
      <c r="EU83" s="236"/>
      <c r="EV83" s="236"/>
      <c r="EW83" s="236"/>
      <c r="EX83" s="236"/>
      <c r="EY83" s="236"/>
      <c r="EZ83" s="236"/>
      <c r="FA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row>
    <row r="85" spans="143:258">
      <c r="EM85" s="480"/>
      <c r="EN85" s="480"/>
      <c r="EO85" s="480"/>
      <c r="EP85" s="480"/>
      <c r="EQ85" s="480"/>
      <c r="ER85" s="480"/>
      <c r="ES85" s="480"/>
      <c r="ET85" s="480"/>
      <c r="EU85" s="480"/>
      <c r="EV85" s="480"/>
      <c r="EW85" s="480"/>
      <c r="EX85" s="480"/>
      <c r="EY85" s="480"/>
      <c r="EZ85" s="480"/>
      <c r="FA85" s="480"/>
      <c r="FB85" s="228"/>
      <c r="FC85" s="228"/>
      <c r="FD85" s="480"/>
      <c r="FE85" s="480"/>
      <c r="FF85" s="480"/>
      <c r="FG85" s="480"/>
      <c r="FH85" s="480"/>
      <c r="FI85" s="480"/>
      <c r="FJ85" s="480"/>
      <c r="FK85" s="480"/>
      <c r="FL85" s="480"/>
      <c r="FM85" s="480"/>
      <c r="FN85" s="480"/>
      <c r="FO85" s="480"/>
      <c r="FP85" s="480"/>
      <c r="FQ85" s="480"/>
      <c r="FR85" s="480"/>
      <c r="FS85" s="480"/>
      <c r="FT85" s="480"/>
      <c r="FU85" s="480"/>
      <c r="FV85" s="480"/>
      <c r="FW85" s="480"/>
      <c r="FX85" s="480"/>
      <c r="FY85" s="480"/>
      <c r="FZ85" s="480"/>
      <c r="GA85" s="176"/>
      <c r="GB85" s="176"/>
      <c r="GC85" s="176"/>
      <c r="GD85" s="176"/>
      <c r="GE85" s="176"/>
      <c r="GF85" s="176"/>
      <c r="GG85" s="176"/>
      <c r="GH85" s="176"/>
      <c r="GI85" s="176"/>
      <c r="GJ85" s="176"/>
      <c r="GK85" s="176"/>
      <c r="GL85" s="176"/>
      <c r="GM85" s="176"/>
      <c r="GN85" s="176"/>
      <c r="GO85" s="228"/>
      <c r="GP85" s="228"/>
      <c r="GQ85" s="228"/>
      <c r="GR85" s="228"/>
      <c r="GS85" s="228"/>
      <c r="GT85" s="228"/>
      <c r="GU85" s="228"/>
      <c r="GV85" s="228"/>
      <c r="GW85" s="228"/>
      <c r="GX85" s="228"/>
      <c r="GY85" s="228"/>
      <c r="GZ85" s="228"/>
      <c r="HA85" s="228"/>
      <c r="HB85" s="228"/>
      <c r="HC85" s="228"/>
      <c r="HD85" s="228"/>
      <c r="HE85" s="228"/>
      <c r="HF85" s="228"/>
      <c r="HG85" s="228"/>
      <c r="HH85" s="228"/>
      <c r="HI85" s="228"/>
      <c r="HJ85" s="228"/>
      <c r="HK85" s="228"/>
      <c r="HL85" s="228"/>
      <c r="HM85" s="228"/>
      <c r="HN85" s="228"/>
      <c r="HO85" s="228"/>
      <c r="HP85" s="228"/>
      <c r="HQ85" s="228"/>
      <c r="HR85" s="228"/>
      <c r="HS85" s="228"/>
      <c r="HT85" s="228"/>
      <c r="HU85" s="228"/>
      <c r="HV85" s="228"/>
      <c r="HW85" s="228"/>
      <c r="HX85" s="228"/>
      <c r="HY85" s="228"/>
      <c r="HZ85" s="228"/>
      <c r="IA85" s="228"/>
      <c r="IB85" s="228"/>
      <c r="IC85" s="228"/>
      <c r="ID85" s="228"/>
      <c r="IE85" s="228"/>
      <c r="IF85" s="228"/>
      <c r="IG85" s="228"/>
      <c r="IH85" s="228"/>
      <c r="II85" s="228"/>
      <c r="IJ85" s="228"/>
      <c r="IK85" s="228"/>
      <c r="IL85" s="228"/>
      <c r="IM85" s="228"/>
      <c r="IN85" s="228"/>
      <c r="IO85" s="228"/>
      <c r="IP85" s="228"/>
      <c r="IQ85" s="228"/>
      <c r="IR85" s="228"/>
      <c r="IS85" s="228"/>
      <c r="IT85" s="228"/>
      <c r="IU85" s="228"/>
      <c r="IV85" s="228"/>
      <c r="IW85" s="228"/>
      <c r="IX85" s="228"/>
    </row>
    <row r="86" spans="143:258">
      <c r="EM86" s="481"/>
      <c r="EN86" s="481"/>
      <c r="EO86" s="481"/>
      <c r="EP86" s="481"/>
      <c r="EQ86" s="481"/>
      <c r="ER86" s="481"/>
      <c r="ES86" s="481"/>
      <c r="ET86" s="481"/>
      <c r="EU86" s="481"/>
      <c r="EV86" s="481"/>
      <c r="EW86" s="481"/>
      <c r="EX86" s="481"/>
      <c r="EY86" s="481"/>
      <c r="EZ86" s="481"/>
      <c r="FA86" s="481"/>
      <c r="FB86" s="482"/>
      <c r="FC86" s="482"/>
      <c r="FD86" s="481"/>
      <c r="FE86" s="481"/>
      <c r="FF86" s="481"/>
      <c r="FG86" s="481"/>
      <c r="FH86" s="481"/>
      <c r="FI86" s="481"/>
      <c r="FJ86" s="481"/>
      <c r="FK86" s="481"/>
      <c r="FL86" s="481"/>
      <c r="FM86" s="481"/>
      <c r="FN86" s="481"/>
      <c r="FO86" s="481"/>
      <c r="FP86" s="481"/>
      <c r="FQ86" s="481"/>
      <c r="FR86" s="481"/>
      <c r="FS86" s="481"/>
      <c r="FT86" s="481"/>
      <c r="FU86" s="481"/>
      <c r="FV86" s="481"/>
      <c r="FW86" s="481"/>
      <c r="FX86" s="481"/>
      <c r="FY86" s="481"/>
      <c r="FZ86" s="481"/>
      <c r="GA86" s="482"/>
      <c r="GB86" s="482"/>
      <c r="GC86" s="482"/>
      <c r="GD86" s="482"/>
      <c r="GE86" s="482"/>
      <c r="GF86" s="482"/>
      <c r="GG86" s="482"/>
      <c r="GH86" s="482"/>
      <c r="GI86" s="482"/>
      <c r="GJ86" s="482"/>
      <c r="GK86" s="482"/>
      <c r="GL86" s="482"/>
      <c r="GM86" s="482"/>
      <c r="GN86" s="483"/>
      <c r="GO86" s="482"/>
      <c r="GP86" s="482"/>
      <c r="GQ86" s="482"/>
      <c r="GR86" s="482"/>
      <c r="GS86" s="482"/>
      <c r="GT86" s="482"/>
      <c r="GU86" s="482"/>
      <c r="GV86" s="482"/>
      <c r="GW86" s="482"/>
      <c r="GX86" s="482"/>
      <c r="GY86" s="482"/>
      <c r="GZ86" s="482"/>
      <c r="HA86" s="482"/>
      <c r="HB86" s="482"/>
      <c r="HC86" s="482"/>
      <c r="HD86" s="482"/>
      <c r="HE86" s="482"/>
      <c r="HF86" s="482"/>
      <c r="HG86" s="482"/>
      <c r="HH86" s="482"/>
      <c r="HI86" s="482"/>
      <c r="HJ86" s="482"/>
      <c r="HK86" s="482"/>
      <c r="HL86" s="482"/>
      <c r="HM86" s="482"/>
      <c r="HN86" s="482"/>
      <c r="HO86" s="482"/>
      <c r="HP86" s="482"/>
      <c r="HQ86" s="482"/>
      <c r="HR86" s="482"/>
      <c r="HS86" s="482"/>
      <c r="HT86" s="482"/>
      <c r="HU86" s="482"/>
      <c r="HV86" s="482"/>
      <c r="HW86" s="482"/>
      <c r="HX86" s="482"/>
      <c r="HY86" s="482"/>
      <c r="HZ86" s="482"/>
      <c r="IA86" s="482"/>
      <c r="IB86" s="482"/>
      <c r="IC86" s="482"/>
      <c r="ID86" s="482"/>
      <c r="IE86" s="482"/>
      <c r="IF86" s="482"/>
      <c r="IG86" s="482"/>
      <c r="IH86" s="482"/>
      <c r="II86" s="482"/>
      <c r="IJ86" s="482"/>
      <c r="IK86" s="482"/>
      <c r="IL86" s="482"/>
      <c r="IM86" s="482"/>
      <c r="IN86" s="482"/>
      <c r="IO86" s="482"/>
      <c r="IP86" s="482"/>
      <c r="IQ86" s="482"/>
      <c r="IR86" s="482"/>
      <c r="IS86" s="482"/>
      <c r="IT86" s="482"/>
      <c r="IU86" s="482"/>
      <c r="IV86" s="482"/>
      <c r="IW86" s="482"/>
      <c r="IX86" s="482"/>
    </row>
    <row r="87" spans="143:258">
      <c r="EM87" s="484"/>
      <c r="EN87" s="484"/>
      <c r="EO87" s="484"/>
      <c r="EP87" s="484"/>
      <c r="EQ87" s="484"/>
      <c r="ER87" s="484"/>
      <c r="ES87" s="484"/>
      <c r="ET87" s="484"/>
      <c r="EU87" s="484"/>
      <c r="EV87" s="484"/>
      <c r="EW87" s="484"/>
      <c r="EX87" s="484"/>
      <c r="EY87" s="484"/>
      <c r="EZ87" s="484"/>
      <c r="FA87" s="484"/>
      <c r="FB87" s="482"/>
      <c r="FC87" s="482"/>
      <c r="FD87" s="484"/>
      <c r="FE87" s="484"/>
      <c r="FF87" s="484"/>
      <c r="FG87" s="484"/>
      <c r="FH87" s="484"/>
      <c r="FI87" s="484"/>
      <c r="FJ87" s="484"/>
      <c r="FK87" s="484"/>
      <c r="FL87" s="484"/>
      <c r="FM87" s="484"/>
      <c r="FN87" s="484"/>
      <c r="FO87" s="484"/>
      <c r="FP87" s="484"/>
      <c r="FQ87" s="484"/>
      <c r="FR87" s="484"/>
      <c r="FS87" s="484"/>
      <c r="FT87" s="484"/>
      <c r="FU87" s="484"/>
      <c r="FV87" s="484"/>
      <c r="FW87" s="484"/>
      <c r="FX87" s="484"/>
      <c r="FY87" s="484"/>
      <c r="FZ87" s="484"/>
      <c r="GA87" s="241"/>
      <c r="GB87" s="241"/>
      <c r="GC87" s="241"/>
      <c r="GD87" s="241"/>
      <c r="GE87" s="241"/>
      <c r="GF87" s="241"/>
      <c r="GG87" s="241"/>
      <c r="GH87" s="241"/>
      <c r="GI87" s="241"/>
      <c r="GJ87" s="241"/>
      <c r="GK87" s="241"/>
      <c r="GL87" s="241"/>
      <c r="GM87" s="241"/>
      <c r="GN87" s="241"/>
      <c r="GO87" s="482"/>
      <c r="GP87" s="482"/>
      <c r="GQ87" s="482"/>
      <c r="GR87" s="482"/>
      <c r="GS87" s="482"/>
      <c r="GT87" s="482"/>
      <c r="GU87" s="482"/>
      <c r="GV87" s="482"/>
      <c r="GW87" s="482"/>
      <c r="GX87" s="482"/>
      <c r="GY87" s="482"/>
      <c r="GZ87" s="482"/>
      <c r="HA87" s="482"/>
      <c r="HB87" s="482"/>
      <c r="HC87" s="482"/>
      <c r="HD87" s="482"/>
      <c r="HE87" s="482"/>
      <c r="HF87" s="482"/>
      <c r="HG87" s="482"/>
      <c r="HH87" s="482"/>
      <c r="HI87" s="482"/>
      <c r="HJ87" s="482"/>
      <c r="HK87" s="482"/>
      <c r="HL87" s="482"/>
      <c r="HM87" s="482"/>
      <c r="HN87" s="482"/>
      <c r="HO87" s="482"/>
      <c r="HP87" s="482"/>
      <c r="HQ87" s="482"/>
      <c r="HR87" s="482"/>
      <c r="HS87" s="482"/>
      <c r="HT87" s="482"/>
      <c r="HU87" s="482"/>
      <c r="HV87" s="482"/>
      <c r="HW87" s="482"/>
      <c r="HX87" s="482"/>
      <c r="HY87" s="482"/>
      <c r="HZ87" s="482"/>
      <c r="IA87" s="482"/>
      <c r="IB87" s="482"/>
      <c r="IC87" s="482"/>
      <c r="ID87" s="482"/>
      <c r="IE87" s="482"/>
      <c r="IF87" s="482"/>
      <c r="IG87" s="482"/>
      <c r="IH87" s="482"/>
      <c r="II87" s="482"/>
      <c r="IJ87" s="482"/>
      <c r="IK87" s="482"/>
      <c r="IL87" s="482"/>
      <c r="IM87" s="482"/>
      <c r="IN87" s="482"/>
      <c r="IO87" s="482"/>
      <c r="IP87" s="482"/>
      <c r="IQ87" s="482"/>
      <c r="IR87" s="482"/>
      <c r="IS87" s="482"/>
      <c r="IT87" s="482"/>
      <c r="IU87" s="482"/>
      <c r="IV87" s="482"/>
      <c r="IW87" s="482"/>
      <c r="IX87" s="482"/>
    </row>
    <row r="88" spans="143:258">
      <c r="EM88" s="484"/>
      <c r="EN88" s="484"/>
      <c r="EO88" s="484"/>
      <c r="EP88" s="484"/>
      <c r="EQ88" s="484"/>
      <c r="ER88" s="484"/>
      <c r="ES88" s="484"/>
      <c r="ET88" s="484"/>
      <c r="EU88" s="484"/>
      <c r="EV88" s="484"/>
      <c r="EW88" s="484"/>
      <c r="EX88" s="484"/>
      <c r="EY88" s="484"/>
      <c r="EZ88" s="484"/>
      <c r="FA88" s="484"/>
      <c r="FB88" s="482"/>
      <c r="FC88" s="482"/>
      <c r="FD88" s="484"/>
      <c r="FE88" s="484"/>
      <c r="FF88" s="484"/>
      <c r="FG88" s="484"/>
      <c r="FH88" s="484"/>
      <c r="FI88" s="484"/>
      <c r="FJ88" s="484"/>
      <c r="FK88" s="484"/>
      <c r="FL88" s="484"/>
      <c r="FM88" s="484"/>
      <c r="FN88" s="484"/>
      <c r="FO88" s="484"/>
      <c r="FP88" s="484"/>
      <c r="FQ88" s="484"/>
      <c r="FR88" s="484"/>
      <c r="FS88" s="484"/>
      <c r="FT88" s="484"/>
      <c r="FU88" s="484"/>
      <c r="FV88" s="484"/>
      <c r="FW88" s="484"/>
      <c r="FX88" s="484"/>
      <c r="FY88" s="484"/>
      <c r="FZ88" s="484"/>
      <c r="GA88" s="241"/>
      <c r="GB88" s="241"/>
      <c r="GC88" s="241"/>
      <c r="GD88" s="241"/>
      <c r="GE88" s="241"/>
      <c r="GF88" s="241"/>
      <c r="GG88" s="241"/>
      <c r="GH88" s="241"/>
      <c r="GI88" s="241"/>
      <c r="GJ88" s="241"/>
      <c r="GK88" s="241"/>
      <c r="GL88" s="241"/>
      <c r="GM88" s="241"/>
      <c r="GN88" s="241"/>
      <c r="GO88" s="482"/>
      <c r="GP88" s="482"/>
      <c r="GQ88" s="482"/>
      <c r="GR88" s="482"/>
      <c r="GS88" s="482"/>
      <c r="GT88" s="482"/>
      <c r="GU88" s="482"/>
      <c r="GV88" s="482"/>
      <c r="GW88" s="482"/>
      <c r="GX88" s="482"/>
      <c r="GY88" s="482"/>
      <c r="GZ88" s="482"/>
      <c r="HA88" s="482"/>
      <c r="HB88" s="482"/>
      <c r="HC88" s="482"/>
      <c r="HD88" s="482"/>
      <c r="HE88" s="482"/>
      <c r="HF88" s="482"/>
      <c r="HG88" s="482"/>
      <c r="HH88" s="482"/>
      <c r="HI88" s="482"/>
      <c r="HJ88" s="482"/>
      <c r="HK88" s="482"/>
      <c r="HL88" s="482"/>
      <c r="HM88" s="482"/>
      <c r="HN88" s="482"/>
      <c r="HO88" s="482"/>
      <c r="HP88" s="482"/>
      <c r="HQ88" s="482"/>
      <c r="HR88" s="482"/>
      <c r="HS88" s="482"/>
      <c r="HT88" s="482"/>
      <c r="HU88" s="482"/>
      <c r="HV88" s="482"/>
      <c r="HW88" s="482"/>
      <c r="HX88" s="482"/>
      <c r="HY88" s="482"/>
      <c r="HZ88" s="482"/>
      <c r="IA88" s="482"/>
      <c r="IB88" s="482"/>
      <c r="IC88" s="482"/>
      <c r="ID88" s="482"/>
      <c r="IE88" s="482"/>
      <c r="IF88" s="482"/>
      <c r="IG88" s="482"/>
      <c r="IH88" s="482"/>
      <c r="II88" s="482"/>
      <c r="IJ88" s="482"/>
      <c r="IK88" s="482"/>
      <c r="IL88" s="482"/>
      <c r="IM88" s="482"/>
      <c r="IN88" s="482"/>
      <c r="IO88" s="482"/>
      <c r="IP88" s="482"/>
      <c r="IQ88" s="482"/>
      <c r="IR88" s="482"/>
      <c r="IS88" s="482"/>
      <c r="IT88" s="482"/>
      <c r="IU88" s="482"/>
      <c r="IV88" s="482"/>
      <c r="IW88" s="482"/>
      <c r="IX88" s="482"/>
    </row>
    <row r="89" spans="143:258">
      <c r="EM89" s="484"/>
      <c r="EN89" s="484"/>
      <c r="EO89" s="484"/>
      <c r="EP89" s="484"/>
      <c r="EQ89" s="484"/>
      <c r="ER89" s="484"/>
      <c r="ES89" s="484"/>
      <c r="ET89" s="484"/>
      <c r="EU89" s="484"/>
      <c r="EV89" s="484"/>
      <c r="EW89" s="484"/>
      <c r="EX89" s="484"/>
      <c r="EY89" s="484"/>
      <c r="EZ89" s="484"/>
      <c r="FA89" s="484"/>
      <c r="FB89" s="482"/>
      <c r="FC89" s="482"/>
      <c r="FD89" s="484"/>
      <c r="FE89" s="484"/>
      <c r="FF89" s="484"/>
      <c r="FG89" s="484"/>
      <c r="FH89" s="484"/>
      <c r="FI89" s="484"/>
      <c r="FJ89" s="484"/>
      <c r="FK89" s="484"/>
      <c r="FL89" s="484"/>
      <c r="FM89" s="484"/>
      <c r="FN89" s="484"/>
      <c r="FO89" s="484"/>
      <c r="FP89" s="484"/>
      <c r="FQ89" s="484"/>
      <c r="FR89" s="484"/>
      <c r="FS89" s="484"/>
      <c r="FT89" s="484"/>
      <c r="FU89" s="484"/>
      <c r="FV89" s="484"/>
      <c r="FW89" s="484"/>
      <c r="FX89" s="484"/>
      <c r="FY89" s="484"/>
      <c r="FZ89" s="484"/>
      <c r="GA89" s="241"/>
      <c r="GB89" s="241"/>
      <c r="GC89" s="241"/>
      <c r="GD89" s="241"/>
      <c r="GE89" s="241"/>
      <c r="GF89" s="241"/>
      <c r="GG89" s="241"/>
      <c r="GH89" s="241"/>
      <c r="GI89" s="241"/>
      <c r="GJ89" s="241"/>
      <c r="GK89" s="241"/>
      <c r="GL89" s="241"/>
      <c r="GM89" s="241"/>
      <c r="GN89" s="241"/>
      <c r="GO89" s="482"/>
      <c r="GP89" s="482"/>
      <c r="GQ89" s="482"/>
      <c r="GR89" s="482"/>
      <c r="GS89" s="482"/>
      <c r="GT89" s="482"/>
      <c r="GU89" s="482"/>
      <c r="GV89" s="482"/>
      <c r="GW89" s="482"/>
      <c r="GX89" s="482"/>
      <c r="GY89" s="482"/>
      <c r="GZ89" s="482"/>
      <c r="HA89" s="482"/>
      <c r="HB89" s="482"/>
      <c r="HC89" s="482"/>
      <c r="HD89" s="482"/>
      <c r="HE89" s="482"/>
      <c r="HF89" s="482"/>
      <c r="HG89" s="482"/>
      <c r="HH89" s="482"/>
      <c r="HI89" s="482"/>
      <c r="HJ89" s="482"/>
      <c r="HK89" s="482"/>
      <c r="HL89" s="482"/>
      <c r="HM89" s="482"/>
      <c r="HN89" s="482"/>
      <c r="HO89" s="482"/>
      <c r="HP89" s="482"/>
      <c r="HQ89" s="482"/>
      <c r="HR89" s="482"/>
      <c r="HS89" s="482"/>
      <c r="HT89" s="482"/>
      <c r="HU89" s="482"/>
      <c r="HV89" s="482"/>
      <c r="HW89" s="482"/>
      <c r="HX89" s="482"/>
      <c r="HY89" s="482"/>
      <c r="HZ89" s="482"/>
      <c r="IA89" s="482"/>
      <c r="IB89" s="482"/>
      <c r="IC89" s="482"/>
      <c r="ID89" s="482"/>
      <c r="IE89" s="482"/>
      <c r="IF89" s="482"/>
      <c r="IG89" s="482"/>
      <c r="IH89" s="482"/>
      <c r="II89" s="482"/>
      <c r="IJ89" s="482"/>
      <c r="IK89" s="482"/>
      <c r="IL89" s="482"/>
      <c r="IM89" s="482"/>
      <c r="IN89" s="482"/>
      <c r="IO89" s="482"/>
      <c r="IP89" s="482"/>
      <c r="IQ89" s="482"/>
      <c r="IR89" s="482"/>
      <c r="IS89" s="482"/>
      <c r="IT89" s="482"/>
      <c r="IU89" s="482"/>
      <c r="IV89" s="482"/>
      <c r="IW89" s="482"/>
      <c r="IX89" s="482"/>
    </row>
    <row r="90" spans="143:258">
      <c r="EM90" s="484"/>
      <c r="EN90" s="484"/>
      <c r="EO90" s="484"/>
      <c r="EP90" s="484"/>
      <c r="EQ90" s="484"/>
      <c r="ER90" s="484"/>
      <c r="ES90" s="484"/>
      <c r="ET90" s="484"/>
      <c r="EU90" s="484"/>
      <c r="EV90" s="484"/>
      <c r="EW90" s="484"/>
      <c r="EX90" s="484"/>
      <c r="EY90" s="484"/>
      <c r="EZ90" s="484"/>
      <c r="FA90" s="484"/>
      <c r="FB90" s="482"/>
      <c r="FC90" s="482"/>
      <c r="FD90" s="484"/>
      <c r="FE90" s="484"/>
      <c r="FF90" s="484"/>
      <c r="FG90" s="484"/>
      <c r="FH90" s="484"/>
      <c r="FI90" s="484"/>
      <c r="FJ90" s="484"/>
      <c r="FK90" s="484"/>
      <c r="FL90" s="484"/>
      <c r="FM90" s="484"/>
      <c r="FN90" s="484"/>
      <c r="FO90" s="484"/>
      <c r="FP90" s="484"/>
      <c r="FQ90" s="484"/>
      <c r="FR90" s="484"/>
      <c r="FS90" s="484"/>
      <c r="FT90" s="484"/>
      <c r="FU90" s="484"/>
      <c r="FV90" s="484"/>
      <c r="FW90" s="484"/>
      <c r="FX90" s="484"/>
      <c r="FY90" s="484"/>
      <c r="FZ90" s="484"/>
      <c r="GA90" s="241"/>
      <c r="GB90" s="241"/>
      <c r="GC90" s="241"/>
      <c r="GD90" s="241"/>
      <c r="GE90" s="241"/>
      <c r="GF90" s="241"/>
      <c r="GG90" s="241"/>
      <c r="GH90" s="241"/>
      <c r="GI90" s="241"/>
      <c r="GJ90" s="241"/>
      <c r="GK90" s="241"/>
      <c r="GL90" s="241"/>
      <c r="GM90" s="241"/>
      <c r="GN90" s="241"/>
      <c r="GO90" s="482"/>
      <c r="GP90" s="482"/>
      <c r="GQ90" s="482"/>
      <c r="GR90" s="482"/>
      <c r="GS90" s="482"/>
      <c r="GT90" s="482"/>
      <c r="GU90" s="482"/>
      <c r="GV90" s="482"/>
      <c r="GW90" s="482"/>
      <c r="GX90" s="482"/>
      <c r="GY90" s="482"/>
      <c r="GZ90" s="482"/>
      <c r="HA90" s="482"/>
      <c r="HB90" s="482"/>
      <c r="HC90" s="482"/>
      <c r="HD90" s="482"/>
      <c r="HE90" s="482"/>
      <c r="HF90" s="482"/>
      <c r="HG90" s="482"/>
      <c r="HH90" s="482"/>
      <c r="HI90" s="482"/>
      <c r="HJ90" s="482"/>
      <c r="HK90" s="482"/>
      <c r="HL90" s="482"/>
      <c r="HM90" s="482"/>
      <c r="HN90" s="482"/>
      <c r="HO90" s="482"/>
      <c r="HP90" s="482"/>
      <c r="HQ90" s="482"/>
      <c r="HR90" s="482"/>
      <c r="HS90" s="482"/>
      <c r="HT90" s="482"/>
      <c r="HU90" s="482"/>
      <c r="HV90" s="482"/>
      <c r="HW90" s="482"/>
      <c r="HX90" s="482"/>
      <c r="HY90" s="482"/>
      <c r="HZ90" s="482"/>
      <c r="IA90" s="482"/>
      <c r="IB90" s="482"/>
      <c r="IC90" s="482"/>
      <c r="ID90" s="482"/>
      <c r="IE90" s="482"/>
      <c r="IF90" s="482"/>
      <c r="IG90" s="482"/>
      <c r="IH90" s="482"/>
      <c r="II90" s="482"/>
      <c r="IJ90" s="482"/>
      <c r="IK90" s="482"/>
      <c r="IL90" s="482"/>
      <c r="IM90" s="482"/>
      <c r="IN90" s="482"/>
      <c r="IO90" s="482"/>
      <c r="IP90" s="482"/>
      <c r="IQ90" s="482"/>
      <c r="IR90" s="482"/>
      <c r="IS90" s="482"/>
      <c r="IT90" s="482"/>
      <c r="IU90" s="482"/>
      <c r="IV90" s="482"/>
      <c r="IW90" s="482"/>
      <c r="IX90" s="482"/>
    </row>
    <row r="91" spans="143:258">
      <c r="EM91" s="484"/>
      <c r="EN91" s="484"/>
      <c r="EO91" s="484"/>
      <c r="EP91" s="484"/>
      <c r="EQ91" s="484"/>
      <c r="ER91" s="484"/>
      <c r="ES91" s="484"/>
      <c r="ET91" s="484"/>
      <c r="EU91" s="484"/>
      <c r="EV91" s="484"/>
      <c r="EW91" s="484"/>
      <c r="EX91" s="484"/>
      <c r="EY91" s="484"/>
      <c r="EZ91" s="484"/>
      <c r="FA91" s="484"/>
      <c r="FB91" s="482"/>
      <c r="FC91" s="482"/>
      <c r="FD91" s="484"/>
      <c r="FE91" s="484"/>
      <c r="FF91" s="484"/>
      <c r="FG91" s="484"/>
      <c r="FH91" s="484"/>
      <c r="FI91" s="484"/>
      <c r="FJ91" s="484"/>
      <c r="FK91" s="484"/>
      <c r="FL91" s="484"/>
      <c r="FM91" s="484"/>
      <c r="FN91" s="484"/>
      <c r="FO91" s="484"/>
      <c r="FP91" s="484"/>
      <c r="FQ91" s="484"/>
      <c r="FR91" s="484"/>
      <c r="FS91" s="484"/>
      <c r="FT91" s="484"/>
      <c r="FU91" s="484"/>
      <c r="FV91" s="484"/>
      <c r="FW91" s="484"/>
      <c r="FX91" s="484"/>
      <c r="FY91" s="484"/>
      <c r="FZ91" s="484"/>
      <c r="GA91" s="241"/>
      <c r="GB91" s="241"/>
      <c r="GC91" s="241"/>
      <c r="GD91" s="241"/>
      <c r="GE91" s="241"/>
      <c r="GF91" s="241"/>
      <c r="GG91" s="241"/>
      <c r="GH91" s="241"/>
      <c r="GI91" s="241"/>
      <c r="GJ91" s="241"/>
      <c r="GK91" s="241"/>
      <c r="GL91" s="241"/>
      <c r="GM91" s="241"/>
      <c r="GN91" s="241"/>
      <c r="GO91" s="482"/>
      <c r="GP91" s="482"/>
      <c r="GQ91" s="482"/>
      <c r="GR91" s="482"/>
      <c r="GS91" s="482"/>
      <c r="GT91" s="482"/>
      <c r="GU91" s="482"/>
      <c r="GV91" s="482"/>
      <c r="GW91" s="482"/>
      <c r="GX91" s="482"/>
      <c r="GY91" s="482"/>
      <c r="GZ91" s="482"/>
      <c r="HA91" s="482"/>
      <c r="HB91" s="482"/>
      <c r="HC91" s="482"/>
      <c r="HD91" s="482"/>
      <c r="HE91" s="482"/>
      <c r="HF91" s="482"/>
      <c r="HG91" s="482"/>
      <c r="HH91" s="482"/>
      <c r="HI91" s="482"/>
      <c r="HJ91" s="482"/>
      <c r="HK91" s="482"/>
      <c r="HL91" s="482"/>
      <c r="HM91" s="482"/>
      <c r="HN91" s="482"/>
      <c r="HO91" s="482"/>
      <c r="HP91" s="482"/>
      <c r="HQ91" s="482"/>
      <c r="HR91" s="482"/>
      <c r="HS91" s="482"/>
      <c r="HT91" s="482"/>
      <c r="HU91" s="482"/>
      <c r="HV91" s="482"/>
      <c r="HW91" s="482"/>
      <c r="HX91" s="482"/>
      <c r="HY91" s="482"/>
      <c r="HZ91" s="482"/>
      <c r="IA91" s="482"/>
      <c r="IB91" s="482"/>
      <c r="IC91" s="482"/>
      <c r="ID91" s="482"/>
      <c r="IE91" s="482"/>
      <c r="IF91" s="482"/>
      <c r="IG91" s="482"/>
      <c r="IH91" s="482"/>
      <c r="II91" s="482"/>
      <c r="IJ91" s="482"/>
      <c r="IK91" s="482"/>
      <c r="IL91" s="482"/>
      <c r="IM91" s="482"/>
      <c r="IN91" s="482"/>
      <c r="IO91" s="482"/>
      <c r="IP91" s="482"/>
      <c r="IQ91" s="482"/>
      <c r="IR91" s="482"/>
      <c r="IS91" s="482"/>
      <c r="IT91" s="482"/>
      <c r="IU91" s="482"/>
      <c r="IV91" s="482"/>
      <c r="IW91" s="482"/>
      <c r="IX91" s="482"/>
    </row>
    <row r="92" spans="143:258">
      <c r="EM92" s="484"/>
      <c r="EN92" s="484"/>
      <c r="EO92" s="484"/>
      <c r="EP92" s="484"/>
      <c r="EQ92" s="484"/>
      <c r="ER92" s="484"/>
      <c r="ES92" s="484"/>
      <c r="ET92" s="484"/>
      <c r="EU92" s="484"/>
      <c r="EV92" s="484"/>
      <c r="EW92" s="484"/>
      <c r="EX92" s="484"/>
      <c r="EY92" s="484"/>
      <c r="EZ92" s="484"/>
      <c r="FA92" s="484"/>
      <c r="FB92" s="482"/>
      <c r="FC92" s="482"/>
      <c r="FD92" s="484"/>
      <c r="FE92" s="484"/>
      <c r="FF92" s="484"/>
      <c r="FG92" s="484"/>
      <c r="FH92" s="484"/>
      <c r="FI92" s="484"/>
      <c r="FJ92" s="484"/>
      <c r="FK92" s="484"/>
      <c r="FL92" s="484"/>
      <c r="FM92" s="484"/>
      <c r="FN92" s="484"/>
      <c r="FO92" s="484"/>
      <c r="FP92" s="484"/>
      <c r="FQ92" s="484"/>
      <c r="FR92" s="484"/>
      <c r="FS92" s="484"/>
      <c r="FT92" s="484"/>
      <c r="FU92" s="484"/>
      <c r="FV92" s="484"/>
      <c r="FW92" s="484"/>
      <c r="FX92" s="484"/>
      <c r="FY92" s="484"/>
      <c r="FZ92" s="484"/>
      <c r="GA92" s="241"/>
      <c r="GB92" s="241"/>
      <c r="GC92" s="241"/>
      <c r="GD92" s="241"/>
      <c r="GE92" s="241"/>
      <c r="GF92" s="241"/>
      <c r="GG92" s="241"/>
      <c r="GH92" s="241"/>
      <c r="GI92" s="241"/>
      <c r="GJ92" s="241"/>
      <c r="GK92" s="241"/>
      <c r="GL92" s="241"/>
      <c r="GM92" s="241"/>
      <c r="GN92" s="241"/>
      <c r="GO92" s="482"/>
      <c r="GP92" s="482"/>
      <c r="GQ92" s="482"/>
      <c r="GR92" s="482"/>
      <c r="GS92" s="482"/>
      <c r="GT92" s="482"/>
      <c r="GU92" s="482"/>
      <c r="GV92" s="482"/>
      <c r="GW92" s="482"/>
      <c r="GX92" s="482"/>
      <c r="GY92" s="482"/>
      <c r="GZ92" s="482"/>
      <c r="HA92" s="482"/>
      <c r="HB92" s="482"/>
      <c r="HC92" s="482"/>
      <c r="HD92" s="482"/>
      <c r="HE92" s="482"/>
      <c r="HF92" s="482"/>
      <c r="HG92" s="482"/>
      <c r="HH92" s="482"/>
      <c r="HI92" s="482"/>
      <c r="HJ92" s="482"/>
      <c r="HK92" s="482"/>
      <c r="HL92" s="482"/>
      <c r="HM92" s="482"/>
      <c r="HN92" s="482"/>
      <c r="HO92" s="482"/>
      <c r="HP92" s="482"/>
      <c r="HQ92" s="482"/>
      <c r="HR92" s="482"/>
      <c r="HS92" s="482"/>
      <c r="HT92" s="482"/>
      <c r="HU92" s="482"/>
      <c r="HV92" s="482"/>
      <c r="HW92" s="482"/>
      <c r="HX92" s="482"/>
      <c r="HY92" s="482"/>
      <c r="HZ92" s="482"/>
      <c r="IA92" s="482"/>
      <c r="IB92" s="482"/>
      <c r="IC92" s="482"/>
      <c r="ID92" s="482"/>
      <c r="IE92" s="482"/>
      <c r="IF92" s="482"/>
      <c r="IG92" s="482"/>
      <c r="IH92" s="482"/>
      <c r="II92" s="482"/>
      <c r="IJ92" s="482"/>
      <c r="IK92" s="482"/>
      <c r="IL92" s="482"/>
      <c r="IM92" s="482"/>
      <c r="IN92" s="482"/>
      <c r="IO92" s="482"/>
      <c r="IP92" s="482"/>
      <c r="IQ92" s="482"/>
      <c r="IR92" s="482"/>
      <c r="IS92" s="482"/>
      <c r="IT92" s="482"/>
      <c r="IU92" s="482"/>
      <c r="IV92" s="482"/>
      <c r="IW92" s="482"/>
      <c r="IX92" s="482"/>
    </row>
    <row r="93" spans="143:258">
      <c r="EM93" s="484"/>
      <c r="EN93" s="484"/>
      <c r="EO93" s="484"/>
      <c r="EP93" s="484"/>
      <c r="EQ93" s="484"/>
      <c r="ER93" s="484"/>
      <c r="ES93" s="484"/>
      <c r="ET93" s="484"/>
      <c r="EU93" s="484"/>
      <c r="EV93" s="484"/>
      <c r="EW93" s="484"/>
      <c r="EX93" s="484"/>
      <c r="EY93" s="484"/>
      <c r="EZ93" s="484"/>
      <c r="FA93" s="484"/>
      <c r="FB93" s="482"/>
      <c r="FC93" s="482"/>
      <c r="FD93" s="484"/>
      <c r="FE93" s="484"/>
      <c r="FF93" s="484"/>
      <c r="FG93" s="484"/>
      <c r="FH93" s="484"/>
      <c r="FI93" s="484"/>
      <c r="FJ93" s="484"/>
      <c r="FK93" s="484"/>
      <c r="FL93" s="484"/>
      <c r="FM93" s="484"/>
      <c r="FN93" s="484"/>
      <c r="FO93" s="484"/>
      <c r="FP93" s="484"/>
      <c r="FQ93" s="484"/>
      <c r="FR93" s="484"/>
      <c r="FS93" s="484"/>
      <c r="FT93" s="484"/>
      <c r="FU93" s="484"/>
      <c r="FV93" s="484"/>
      <c r="FW93" s="484"/>
      <c r="FX93" s="484"/>
      <c r="FY93" s="484"/>
      <c r="FZ93" s="484"/>
      <c r="GA93" s="241"/>
      <c r="GB93" s="241"/>
      <c r="GC93" s="241"/>
      <c r="GD93" s="241"/>
      <c r="GE93" s="241"/>
      <c r="GF93" s="241"/>
      <c r="GG93" s="241"/>
      <c r="GH93" s="241"/>
      <c r="GI93" s="241"/>
      <c r="GJ93" s="241"/>
      <c r="GK93" s="241"/>
      <c r="GL93" s="241"/>
      <c r="GM93" s="241"/>
      <c r="GN93" s="241"/>
      <c r="GO93" s="482"/>
      <c r="GP93" s="482"/>
      <c r="GQ93" s="482"/>
      <c r="GR93" s="482"/>
      <c r="GS93" s="482"/>
      <c r="GT93" s="482"/>
      <c r="GU93" s="482"/>
      <c r="GV93" s="482"/>
      <c r="GW93" s="482"/>
      <c r="GX93" s="482"/>
      <c r="GY93" s="482"/>
      <c r="GZ93" s="482"/>
      <c r="HA93" s="482"/>
      <c r="HB93" s="482"/>
      <c r="HC93" s="482"/>
      <c r="HD93" s="482"/>
      <c r="HE93" s="482"/>
      <c r="HF93" s="482"/>
      <c r="HG93" s="482"/>
      <c r="HH93" s="482"/>
      <c r="HI93" s="482"/>
      <c r="HJ93" s="482"/>
      <c r="HK93" s="482"/>
      <c r="HL93" s="482"/>
      <c r="HM93" s="482"/>
      <c r="HN93" s="482"/>
      <c r="HO93" s="482"/>
      <c r="HP93" s="482"/>
      <c r="HQ93" s="482"/>
      <c r="HR93" s="482"/>
      <c r="HS93" s="482"/>
      <c r="HT93" s="482"/>
      <c r="HU93" s="482"/>
      <c r="HV93" s="482"/>
      <c r="HW93" s="482"/>
      <c r="HX93" s="482"/>
      <c r="HY93" s="482"/>
      <c r="HZ93" s="482"/>
      <c r="IA93" s="482"/>
      <c r="IB93" s="482"/>
      <c r="IC93" s="482"/>
      <c r="ID93" s="482"/>
      <c r="IE93" s="482"/>
      <c r="IF93" s="482"/>
      <c r="IG93" s="482"/>
      <c r="IH93" s="482"/>
      <c r="II93" s="482"/>
      <c r="IJ93" s="482"/>
      <c r="IK93" s="482"/>
      <c r="IL93" s="482"/>
      <c r="IM93" s="482"/>
      <c r="IN93" s="482"/>
      <c r="IO93" s="482"/>
      <c r="IP93" s="482"/>
      <c r="IQ93" s="482"/>
      <c r="IR93" s="482"/>
      <c r="IS93" s="482"/>
      <c r="IT93" s="482"/>
      <c r="IU93" s="482"/>
      <c r="IV93" s="482"/>
      <c r="IW93" s="482"/>
      <c r="IX93" s="482"/>
    </row>
    <row r="94" spans="143:258">
      <c r="EM94" s="484"/>
      <c r="EN94" s="484"/>
      <c r="EO94" s="484"/>
      <c r="EP94" s="484"/>
      <c r="EQ94" s="484"/>
      <c r="ER94" s="484"/>
      <c r="ES94" s="484"/>
      <c r="ET94" s="484"/>
      <c r="EU94" s="484"/>
      <c r="EV94" s="484"/>
      <c r="EW94" s="484"/>
      <c r="EX94" s="484"/>
      <c r="EY94" s="484"/>
      <c r="EZ94" s="484"/>
      <c r="FA94" s="484"/>
      <c r="FB94" s="482"/>
      <c r="FC94" s="482"/>
      <c r="FD94" s="484"/>
      <c r="FE94" s="484"/>
      <c r="FF94" s="484"/>
      <c r="FG94" s="484"/>
      <c r="FH94" s="484"/>
      <c r="FI94" s="484"/>
      <c r="FJ94" s="484"/>
      <c r="FK94" s="484"/>
      <c r="FL94" s="484"/>
      <c r="FM94" s="484"/>
      <c r="FN94" s="484"/>
      <c r="FO94" s="484"/>
      <c r="FP94" s="484"/>
      <c r="FQ94" s="484"/>
      <c r="FR94" s="484"/>
      <c r="FS94" s="484"/>
      <c r="FT94" s="484"/>
      <c r="FU94" s="484"/>
      <c r="FV94" s="484"/>
      <c r="FW94" s="484"/>
      <c r="FX94" s="484"/>
      <c r="FY94" s="484"/>
      <c r="FZ94" s="484"/>
      <c r="GA94" s="241"/>
      <c r="GB94" s="241"/>
      <c r="GC94" s="241"/>
      <c r="GD94" s="241"/>
      <c r="GE94" s="241"/>
      <c r="GF94" s="241"/>
      <c r="GG94" s="241"/>
      <c r="GH94" s="241"/>
      <c r="GI94" s="241"/>
      <c r="GJ94" s="241"/>
      <c r="GK94" s="241"/>
      <c r="GL94" s="241"/>
      <c r="GM94" s="241"/>
      <c r="GN94" s="241"/>
      <c r="GO94" s="482"/>
      <c r="GP94" s="482"/>
      <c r="GQ94" s="482"/>
      <c r="GR94" s="482"/>
      <c r="GS94" s="482"/>
      <c r="GT94" s="482"/>
      <c r="GU94" s="482"/>
      <c r="GV94" s="482"/>
      <c r="GW94" s="482"/>
      <c r="GX94" s="482"/>
      <c r="GY94" s="482"/>
      <c r="GZ94" s="482"/>
      <c r="HA94" s="482"/>
      <c r="HB94" s="482"/>
      <c r="HC94" s="482"/>
      <c r="HD94" s="482"/>
      <c r="HE94" s="482"/>
      <c r="HF94" s="482"/>
      <c r="HG94" s="482"/>
      <c r="HH94" s="482"/>
      <c r="HI94" s="482"/>
      <c r="HJ94" s="482"/>
      <c r="HK94" s="482"/>
      <c r="HL94" s="482"/>
      <c r="HM94" s="482"/>
      <c r="HN94" s="482"/>
      <c r="HO94" s="482"/>
      <c r="HP94" s="482"/>
      <c r="HQ94" s="482"/>
      <c r="HR94" s="482"/>
      <c r="HS94" s="482"/>
      <c r="HT94" s="482"/>
      <c r="HU94" s="482"/>
      <c r="HV94" s="482"/>
      <c r="HW94" s="482"/>
      <c r="HX94" s="482"/>
      <c r="HY94" s="482"/>
      <c r="HZ94" s="482"/>
      <c r="IA94" s="482"/>
      <c r="IB94" s="482"/>
      <c r="IC94" s="482"/>
      <c r="ID94" s="482"/>
      <c r="IE94" s="482"/>
      <c r="IF94" s="482"/>
      <c r="IG94" s="482"/>
      <c r="IH94" s="482"/>
      <c r="II94" s="482"/>
      <c r="IJ94" s="482"/>
      <c r="IK94" s="482"/>
      <c r="IL94" s="482"/>
      <c r="IM94" s="482"/>
      <c r="IN94" s="482"/>
      <c r="IO94" s="482"/>
      <c r="IP94" s="482"/>
      <c r="IQ94" s="482"/>
      <c r="IR94" s="482"/>
      <c r="IS94" s="482"/>
      <c r="IT94" s="482"/>
      <c r="IU94" s="482"/>
      <c r="IV94" s="482"/>
      <c r="IW94" s="482"/>
      <c r="IX94" s="482"/>
    </row>
    <row r="95" spans="143:258">
      <c r="EM95" s="484"/>
      <c r="EN95" s="484"/>
      <c r="EO95" s="484"/>
      <c r="EP95" s="484"/>
      <c r="EQ95" s="484"/>
      <c r="ER95" s="484"/>
      <c r="ES95" s="484"/>
      <c r="ET95" s="484"/>
      <c r="EU95" s="484"/>
      <c r="EV95" s="484"/>
      <c r="EW95" s="484"/>
      <c r="EX95" s="484"/>
      <c r="EY95" s="484"/>
      <c r="EZ95" s="484"/>
      <c r="FA95" s="484"/>
      <c r="FB95" s="482"/>
      <c r="FC95" s="482"/>
      <c r="FD95" s="484"/>
      <c r="FE95" s="484"/>
      <c r="FF95" s="484"/>
      <c r="FG95" s="484"/>
      <c r="FH95" s="484"/>
      <c r="FI95" s="484"/>
      <c r="FJ95" s="484"/>
      <c r="FK95" s="484"/>
      <c r="FL95" s="484"/>
      <c r="FM95" s="484"/>
      <c r="FN95" s="484"/>
      <c r="FO95" s="484"/>
      <c r="FP95" s="484"/>
      <c r="FQ95" s="484"/>
      <c r="FR95" s="484"/>
      <c r="FS95" s="484"/>
      <c r="FT95" s="484"/>
      <c r="FU95" s="484"/>
      <c r="FV95" s="484"/>
      <c r="FW95" s="484"/>
      <c r="FX95" s="484"/>
      <c r="FY95" s="484"/>
      <c r="FZ95" s="484"/>
      <c r="GA95" s="241"/>
      <c r="GB95" s="241"/>
      <c r="GC95" s="241"/>
      <c r="GD95" s="241"/>
      <c r="GE95" s="241"/>
      <c r="GF95" s="241"/>
      <c r="GG95" s="241"/>
      <c r="GH95" s="241"/>
      <c r="GI95" s="241"/>
      <c r="GJ95" s="241"/>
      <c r="GK95" s="241"/>
      <c r="GL95" s="241"/>
      <c r="GM95" s="241"/>
      <c r="GN95" s="241"/>
      <c r="GO95" s="482"/>
      <c r="GP95" s="482"/>
      <c r="GQ95" s="482"/>
      <c r="GR95" s="482"/>
      <c r="GS95" s="482"/>
      <c r="GT95" s="482"/>
      <c r="GU95" s="482"/>
      <c r="GV95" s="482"/>
      <c r="GW95" s="482"/>
      <c r="GX95" s="482"/>
      <c r="GY95" s="482"/>
      <c r="GZ95" s="482"/>
      <c r="HA95" s="482"/>
      <c r="HB95" s="482"/>
      <c r="HC95" s="482"/>
      <c r="HD95" s="482"/>
      <c r="HE95" s="482"/>
      <c r="HF95" s="482"/>
      <c r="HG95" s="482"/>
      <c r="HH95" s="482"/>
      <c r="HI95" s="482"/>
      <c r="HJ95" s="482"/>
      <c r="HK95" s="482"/>
      <c r="HL95" s="482"/>
      <c r="HM95" s="482"/>
      <c r="HN95" s="482"/>
      <c r="HO95" s="482"/>
      <c r="HP95" s="482"/>
      <c r="HQ95" s="482"/>
      <c r="HR95" s="482"/>
      <c r="HS95" s="482"/>
      <c r="HT95" s="482"/>
      <c r="HU95" s="482"/>
      <c r="HV95" s="482"/>
      <c r="HW95" s="482"/>
      <c r="HX95" s="482"/>
      <c r="HY95" s="482"/>
      <c r="HZ95" s="482"/>
      <c r="IA95" s="482"/>
      <c r="IB95" s="482"/>
      <c r="IC95" s="482"/>
      <c r="ID95" s="482"/>
      <c r="IE95" s="482"/>
      <c r="IF95" s="482"/>
      <c r="IG95" s="482"/>
      <c r="IH95" s="482"/>
      <c r="II95" s="482"/>
      <c r="IJ95" s="482"/>
      <c r="IK95" s="482"/>
      <c r="IL95" s="482"/>
      <c r="IM95" s="482"/>
      <c r="IN95" s="482"/>
      <c r="IO95" s="482"/>
      <c r="IP95" s="482"/>
      <c r="IQ95" s="482"/>
      <c r="IR95" s="482"/>
      <c r="IS95" s="482"/>
      <c r="IT95" s="482"/>
      <c r="IU95" s="482"/>
      <c r="IV95" s="482"/>
      <c r="IW95" s="482"/>
      <c r="IX95" s="482"/>
    </row>
    <row r="96" spans="143:258">
      <c r="EM96" s="484"/>
      <c r="EN96" s="484"/>
      <c r="EO96" s="484"/>
      <c r="EP96" s="484"/>
      <c r="EQ96" s="484"/>
      <c r="ER96" s="484"/>
      <c r="ES96" s="484"/>
      <c r="ET96" s="484"/>
      <c r="EU96" s="484"/>
      <c r="EV96" s="484"/>
      <c r="EW96" s="484"/>
      <c r="EX96" s="484"/>
      <c r="EY96" s="484"/>
      <c r="EZ96" s="484"/>
      <c r="FA96" s="484"/>
      <c r="FB96" s="482"/>
      <c r="FC96" s="482"/>
      <c r="FD96" s="484"/>
      <c r="FE96" s="484"/>
      <c r="FF96" s="484"/>
      <c r="FG96" s="484"/>
      <c r="FH96" s="484"/>
      <c r="FI96" s="484"/>
      <c r="FJ96" s="484"/>
      <c r="FK96" s="484"/>
      <c r="FL96" s="484"/>
      <c r="FM96" s="484"/>
      <c r="FN96" s="484"/>
      <c r="FO96" s="484"/>
      <c r="FP96" s="484"/>
      <c r="FQ96" s="484"/>
      <c r="FR96" s="484"/>
      <c r="FS96" s="484"/>
      <c r="FT96" s="484"/>
      <c r="FU96" s="484"/>
      <c r="FV96" s="484"/>
      <c r="FW96" s="484"/>
      <c r="FX96" s="484"/>
      <c r="FY96" s="484"/>
      <c r="FZ96" s="484"/>
      <c r="GA96" s="241"/>
      <c r="GB96" s="241"/>
      <c r="GC96" s="241"/>
      <c r="GD96" s="241"/>
      <c r="GE96" s="241"/>
      <c r="GF96" s="241"/>
      <c r="GG96" s="241"/>
      <c r="GH96" s="241"/>
      <c r="GI96" s="241"/>
      <c r="GJ96" s="241"/>
      <c r="GK96" s="241"/>
      <c r="GL96" s="241"/>
      <c r="GM96" s="241"/>
      <c r="GN96" s="241"/>
      <c r="GO96" s="482"/>
      <c r="GP96" s="482"/>
      <c r="GQ96" s="482"/>
      <c r="GR96" s="482"/>
      <c r="GS96" s="482"/>
      <c r="GT96" s="482"/>
      <c r="GU96" s="482"/>
      <c r="GV96" s="482"/>
      <c r="GW96" s="482"/>
      <c r="GX96" s="482"/>
      <c r="GY96" s="482"/>
      <c r="GZ96" s="482"/>
      <c r="HA96" s="482"/>
      <c r="HB96" s="482"/>
      <c r="HC96" s="482"/>
      <c r="HD96" s="482"/>
      <c r="HE96" s="482"/>
      <c r="HF96" s="482"/>
      <c r="HG96" s="482"/>
      <c r="HH96" s="482"/>
      <c r="HI96" s="482"/>
      <c r="HJ96" s="482"/>
      <c r="HK96" s="482"/>
      <c r="HL96" s="482"/>
      <c r="HM96" s="482"/>
      <c r="HN96" s="482"/>
      <c r="HO96" s="482"/>
      <c r="HP96" s="482"/>
      <c r="HQ96" s="482"/>
      <c r="HR96" s="482"/>
      <c r="HS96" s="482"/>
      <c r="HT96" s="482"/>
      <c r="HU96" s="482"/>
      <c r="HV96" s="482"/>
      <c r="HW96" s="482"/>
      <c r="HX96" s="482"/>
      <c r="HY96" s="482"/>
      <c r="HZ96" s="482"/>
      <c r="IA96" s="482"/>
      <c r="IB96" s="482"/>
      <c r="IC96" s="482"/>
      <c r="ID96" s="482"/>
      <c r="IE96" s="482"/>
      <c r="IF96" s="482"/>
      <c r="IG96" s="482"/>
      <c r="IH96" s="482"/>
      <c r="II96" s="482"/>
      <c r="IJ96" s="482"/>
      <c r="IK96" s="482"/>
      <c r="IL96" s="482"/>
      <c r="IM96" s="482"/>
      <c r="IN96" s="482"/>
      <c r="IO96" s="482"/>
      <c r="IP96" s="482"/>
      <c r="IQ96" s="482"/>
      <c r="IR96" s="482"/>
      <c r="IS96" s="482"/>
      <c r="IT96" s="482"/>
      <c r="IU96" s="482"/>
      <c r="IV96" s="482"/>
      <c r="IW96" s="482"/>
      <c r="IX96" s="482"/>
    </row>
    <row r="97" spans="143:258">
      <c r="EM97" s="484"/>
      <c r="EN97" s="484"/>
      <c r="EO97" s="484"/>
      <c r="EP97" s="484"/>
      <c r="EQ97" s="484"/>
      <c r="ER97" s="484"/>
      <c r="ES97" s="484"/>
      <c r="ET97" s="484"/>
      <c r="EU97" s="484"/>
      <c r="EV97" s="484"/>
      <c r="EW97" s="484"/>
      <c r="EX97" s="484"/>
      <c r="EY97" s="484"/>
      <c r="EZ97" s="484"/>
      <c r="FA97" s="484"/>
      <c r="FB97" s="482"/>
      <c r="FC97" s="482"/>
      <c r="FD97" s="484"/>
      <c r="FE97" s="484"/>
      <c r="FF97" s="484"/>
      <c r="FG97" s="484"/>
      <c r="FH97" s="484"/>
      <c r="FI97" s="484"/>
      <c r="FJ97" s="484"/>
      <c r="FK97" s="484"/>
      <c r="FL97" s="484"/>
      <c r="FM97" s="484"/>
      <c r="FN97" s="484"/>
      <c r="FO97" s="484"/>
      <c r="FP97" s="484"/>
      <c r="FQ97" s="484"/>
      <c r="FR97" s="484"/>
      <c r="FS97" s="484"/>
      <c r="FT97" s="484"/>
      <c r="FU97" s="484"/>
      <c r="FV97" s="484"/>
      <c r="FW97" s="484"/>
      <c r="FX97" s="484"/>
      <c r="FY97" s="484"/>
      <c r="FZ97" s="484"/>
      <c r="GA97" s="241"/>
      <c r="GB97" s="241"/>
      <c r="GC97" s="241"/>
      <c r="GD97" s="241"/>
      <c r="GE97" s="241"/>
      <c r="GF97" s="241"/>
      <c r="GG97" s="241"/>
      <c r="GH97" s="241"/>
      <c r="GI97" s="241"/>
      <c r="GJ97" s="241"/>
      <c r="GK97" s="241"/>
      <c r="GL97" s="241"/>
      <c r="GM97" s="241"/>
      <c r="GN97" s="241"/>
      <c r="GO97" s="482"/>
      <c r="GP97" s="482"/>
      <c r="GQ97" s="482"/>
      <c r="GR97" s="482"/>
      <c r="GS97" s="482"/>
      <c r="GT97" s="482"/>
      <c r="GU97" s="482"/>
      <c r="GV97" s="482"/>
      <c r="GW97" s="482"/>
      <c r="GX97" s="482"/>
      <c r="GY97" s="482"/>
      <c r="GZ97" s="482"/>
      <c r="HA97" s="482"/>
      <c r="HB97" s="482"/>
      <c r="HC97" s="482"/>
      <c r="HD97" s="482"/>
      <c r="HE97" s="482"/>
      <c r="HF97" s="482"/>
      <c r="HG97" s="482"/>
      <c r="HH97" s="482"/>
      <c r="HI97" s="482"/>
      <c r="HJ97" s="482"/>
      <c r="HK97" s="482"/>
      <c r="HL97" s="482"/>
      <c r="HM97" s="482"/>
      <c r="HN97" s="482"/>
      <c r="HO97" s="482"/>
      <c r="HP97" s="482"/>
      <c r="HQ97" s="482"/>
      <c r="HR97" s="482"/>
      <c r="HS97" s="482"/>
      <c r="HT97" s="482"/>
      <c r="HU97" s="482"/>
      <c r="HV97" s="482"/>
      <c r="HW97" s="482"/>
      <c r="HX97" s="482"/>
      <c r="HY97" s="482"/>
      <c r="HZ97" s="482"/>
      <c r="IA97" s="482"/>
      <c r="IB97" s="482"/>
      <c r="IC97" s="482"/>
      <c r="ID97" s="482"/>
      <c r="IE97" s="482"/>
      <c r="IF97" s="482"/>
      <c r="IG97" s="482"/>
      <c r="IH97" s="482"/>
      <c r="II97" s="482"/>
      <c r="IJ97" s="482"/>
      <c r="IK97" s="482"/>
      <c r="IL97" s="482"/>
      <c r="IM97" s="482"/>
      <c r="IN97" s="482"/>
      <c r="IO97" s="482"/>
      <c r="IP97" s="482"/>
      <c r="IQ97" s="482"/>
      <c r="IR97" s="482"/>
      <c r="IS97" s="482"/>
      <c r="IT97" s="482"/>
      <c r="IU97" s="482"/>
      <c r="IV97" s="482"/>
      <c r="IW97" s="482"/>
      <c r="IX97" s="482"/>
    </row>
    <row r="98" spans="143:258">
      <c r="EM98" s="484"/>
      <c r="EN98" s="484"/>
      <c r="EO98" s="484"/>
      <c r="EP98" s="484"/>
      <c r="EQ98" s="484"/>
      <c r="ER98" s="484"/>
      <c r="ES98" s="484"/>
      <c r="ET98" s="484"/>
      <c r="EU98" s="484"/>
      <c r="EV98" s="484"/>
      <c r="EW98" s="484"/>
      <c r="EX98" s="484"/>
      <c r="EY98" s="484"/>
      <c r="EZ98" s="484"/>
      <c r="FA98" s="484"/>
      <c r="FB98" s="482"/>
      <c r="FC98" s="482"/>
      <c r="FD98" s="484"/>
      <c r="FE98" s="484"/>
      <c r="FF98" s="484"/>
      <c r="FG98" s="484"/>
      <c r="FH98" s="484"/>
      <c r="FI98" s="484"/>
      <c r="FJ98" s="484"/>
      <c r="FK98" s="484"/>
      <c r="FL98" s="484"/>
      <c r="FM98" s="484"/>
      <c r="FN98" s="484"/>
      <c r="FO98" s="484"/>
      <c r="FP98" s="484"/>
      <c r="FQ98" s="484"/>
      <c r="FR98" s="484"/>
      <c r="FS98" s="484"/>
      <c r="FT98" s="484"/>
      <c r="FU98" s="484"/>
      <c r="FV98" s="484"/>
      <c r="FW98" s="484"/>
      <c r="FX98" s="484"/>
      <c r="FY98" s="484"/>
      <c r="FZ98" s="484"/>
      <c r="GA98" s="241"/>
      <c r="GB98" s="241"/>
      <c r="GC98" s="241"/>
      <c r="GD98" s="241"/>
      <c r="GE98" s="241"/>
      <c r="GF98" s="241"/>
      <c r="GG98" s="241"/>
      <c r="GH98" s="241"/>
      <c r="GI98" s="241"/>
      <c r="GJ98" s="241"/>
      <c r="GK98" s="241"/>
      <c r="GL98" s="241"/>
      <c r="GM98" s="241"/>
      <c r="GN98" s="241"/>
      <c r="GO98" s="482"/>
      <c r="GP98" s="482"/>
      <c r="GQ98" s="482"/>
      <c r="GR98" s="482"/>
      <c r="GS98" s="482"/>
      <c r="GT98" s="482"/>
      <c r="GU98" s="482"/>
      <c r="GV98" s="482"/>
      <c r="GW98" s="482"/>
      <c r="GX98" s="482"/>
      <c r="GY98" s="482"/>
      <c r="GZ98" s="482"/>
      <c r="HA98" s="482"/>
      <c r="HB98" s="482"/>
      <c r="HC98" s="482"/>
      <c r="HD98" s="482"/>
      <c r="HE98" s="482"/>
      <c r="HF98" s="482"/>
      <c r="HG98" s="482"/>
      <c r="HH98" s="482"/>
      <c r="HI98" s="482"/>
      <c r="HJ98" s="482"/>
      <c r="HK98" s="482"/>
      <c r="HL98" s="482"/>
      <c r="HM98" s="482"/>
      <c r="HN98" s="482"/>
      <c r="HO98" s="482"/>
      <c r="HP98" s="482"/>
      <c r="HQ98" s="482"/>
      <c r="HR98" s="482"/>
      <c r="HS98" s="482"/>
      <c r="HT98" s="482"/>
      <c r="HU98" s="482"/>
      <c r="HV98" s="482"/>
      <c r="HW98" s="482"/>
      <c r="HX98" s="482"/>
      <c r="HY98" s="482"/>
      <c r="HZ98" s="482"/>
      <c r="IA98" s="482"/>
      <c r="IB98" s="482"/>
      <c r="IC98" s="482"/>
      <c r="ID98" s="482"/>
      <c r="IE98" s="482"/>
      <c r="IF98" s="482"/>
      <c r="IG98" s="482"/>
      <c r="IH98" s="482"/>
      <c r="II98" s="482"/>
      <c r="IJ98" s="482"/>
      <c r="IK98" s="482"/>
      <c r="IL98" s="482"/>
      <c r="IM98" s="482"/>
      <c r="IN98" s="482"/>
      <c r="IO98" s="482"/>
      <c r="IP98" s="482"/>
      <c r="IQ98" s="482"/>
      <c r="IR98" s="482"/>
      <c r="IS98" s="482"/>
      <c r="IT98" s="482"/>
      <c r="IU98" s="482"/>
      <c r="IV98" s="482"/>
      <c r="IW98" s="482"/>
      <c r="IX98" s="482"/>
    </row>
    <row r="99" spans="143:258">
      <c r="EM99" s="484"/>
      <c r="EN99" s="484"/>
      <c r="EO99" s="484"/>
      <c r="EP99" s="484"/>
      <c r="EQ99" s="484"/>
      <c r="ER99" s="484"/>
      <c r="ES99" s="484"/>
      <c r="ET99" s="484"/>
      <c r="EU99" s="484"/>
      <c r="EV99" s="484"/>
      <c r="EW99" s="484"/>
      <c r="EX99" s="484"/>
      <c r="EY99" s="484"/>
      <c r="EZ99" s="484"/>
      <c r="FA99" s="484"/>
      <c r="FB99" s="482"/>
      <c r="FC99" s="482"/>
      <c r="FD99" s="484"/>
      <c r="FE99" s="484"/>
      <c r="FF99" s="484"/>
      <c r="FG99" s="484"/>
      <c r="FH99" s="484"/>
      <c r="FI99" s="484"/>
      <c r="FJ99" s="484"/>
      <c r="FK99" s="484"/>
      <c r="FL99" s="484"/>
      <c r="FM99" s="484"/>
      <c r="FN99" s="484"/>
      <c r="FO99" s="484"/>
      <c r="FP99" s="484"/>
      <c r="FQ99" s="484"/>
      <c r="FR99" s="484"/>
      <c r="FS99" s="484"/>
      <c r="FT99" s="484"/>
      <c r="FU99" s="484"/>
      <c r="FV99" s="484"/>
      <c r="FW99" s="484"/>
      <c r="FX99" s="484"/>
      <c r="FY99" s="484"/>
      <c r="FZ99" s="484"/>
      <c r="GA99" s="241"/>
      <c r="GB99" s="241"/>
      <c r="GC99" s="241"/>
      <c r="GD99" s="241"/>
      <c r="GE99" s="241"/>
      <c r="GF99" s="241"/>
      <c r="GG99" s="241"/>
      <c r="GH99" s="241"/>
      <c r="GI99" s="241"/>
      <c r="GJ99" s="241"/>
      <c r="GK99" s="241"/>
      <c r="GL99" s="241"/>
      <c r="GM99" s="241"/>
      <c r="GN99" s="241"/>
      <c r="GO99" s="482"/>
      <c r="GP99" s="482"/>
      <c r="GQ99" s="482"/>
      <c r="GR99" s="482"/>
      <c r="GS99" s="482"/>
      <c r="GT99" s="482"/>
      <c r="GU99" s="482"/>
      <c r="GV99" s="482"/>
      <c r="GW99" s="482"/>
      <c r="GX99" s="482"/>
      <c r="GY99" s="482"/>
      <c r="GZ99" s="482"/>
      <c r="HA99" s="482"/>
      <c r="HB99" s="482"/>
      <c r="HC99" s="482"/>
      <c r="HD99" s="482"/>
      <c r="HE99" s="482"/>
      <c r="HF99" s="482"/>
      <c r="HG99" s="482"/>
      <c r="HH99" s="482"/>
      <c r="HI99" s="482"/>
      <c r="HJ99" s="482"/>
      <c r="HK99" s="482"/>
      <c r="HL99" s="482"/>
      <c r="HM99" s="482"/>
      <c r="HN99" s="482"/>
      <c r="HO99" s="482"/>
      <c r="HP99" s="482"/>
      <c r="HQ99" s="482"/>
      <c r="HR99" s="482"/>
      <c r="HS99" s="482"/>
      <c r="HT99" s="482"/>
      <c r="HU99" s="482"/>
      <c r="HV99" s="482"/>
      <c r="HW99" s="482"/>
      <c r="HX99" s="482"/>
      <c r="HY99" s="482"/>
      <c r="HZ99" s="482"/>
      <c r="IA99" s="482"/>
      <c r="IB99" s="482"/>
      <c r="IC99" s="482"/>
      <c r="ID99" s="482"/>
      <c r="IE99" s="482"/>
      <c r="IF99" s="482"/>
      <c r="IG99" s="482"/>
      <c r="IH99" s="482"/>
      <c r="II99" s="482"/>
      <c r="IJ99" s="482"/>
      <c r="IK99" s="482"/>
      <c r="IL99" s="482"/>
      <c r="IM99" s="482"/>
      <c r="IN99" s="482"/>
      <c r="IO99" s="482"/>
      <c r="IP99" s="482"/>
      <c r="IQ99" s="482"/>
      <c r="IR99" s="482"/>
      <c r="IS99" s="482"/>
      <c r="IT99" s="482"/>
      <c r="IU99" s="482"/>
      <c r="IV99" s="482"/>
      <c r="IW99" s="482"/>
      <c r="IX99" s="482"/>
    </row>
    <row r="100" spans="143:258">
      <c r="EM100" s="484"/>
      <c r="EN100" s="484"/>
      <c r="EO100" s="484"/>
      <c r="EP100" s="484"/>
      <c r="EQ100" s="484"/>
      <c r="ER100" s="484"/>
      <c r="ES100" s="484"/>
      <c r="ET100" s="484"/>
      <c r="EU100" s="484"/>
      <c r="EV100" s="484"/>
      <c r="EW100" s="484"/>
      <c r="EX100" s="484"/>
      <c r="EY100" s="484"/>
      <c r="EZ100" s="484"/>
      <c r="FA100" s="484"/>
      <c r="FB100" s="482"/>
      <c r="FC100" s="482"/>
      <c r="FD100" s="484"/>
      <c r="FE100" s="484"/>
      <c r="FF100" s="484"/>
      <c r="FG100" s="484"/>
      <c r="FH100" s="484"/>
      <c r="FI100" s="484"/>
      <c r="FJ100" s="484"/>
      <c r="FK100" s="484"/>
      <c r="FL100" s="484"/>
      <c r="FM100" s="484"/>
      <c r="FN100" s="484"/>
      <c r="FO100" s="484"/>
      <c r="FP100" s="484"/>
      <c r="FQ100" s="484"/>
      <c r="FR100" s="484"/>
      <c r="FS100" s="484"/>
      <c r="FT100" s="484"/>
      <c r="FU100" s="484"/>
      <c r="FV100" s="484"/>
      <c r="FW100" s="484"/>
      <c r="FX100" s="484"/>
      <c r="FY100" s="484"/>
      <c r="FZ100" s="484"/>
      <c r="GA100" s="241"/>
      <c r="GB100" s="241"/>
      <c r="GC100" s="241"/>
      <c r="GD100" s="241"/>
      <c r="GE100" s="241"/>
      <c r="GF100" s="241"/>
      <c r="GG100" s="241"/>
      <c r="GH100" s="241"/>
      <c r="GI100" s="241"/>
      <c r="GJ100" s="241"/>
      <c r="GK100" s="241"/>
      <c r="GL100" s="241"/>
      <c r="GM100" s="241"/>
      <c r="GN100" s="241"/>
      <c r="GO100" s="482"/>
      <c r="GP100" s="482"/>
      <c r="GQ100" s="482"/>
      <c r="GR100" s="482"/>
      <c r="GS100" s="482"/>
      <c r="GT100" s="482"/>
      <c r="GU100" s="482"/>
      <c r="GV100" s="482"/>
      <c r="GW100" s="482"/>
      <c r="GX100" s="482"/>
      <c r="GY100" s="482"/>
      <c r="GZ100" s="482"/>
      <c r="HA100" s="482"/>
      <c r="HB100" s="482"/>
      <c r="HC100" s="482"/>
      <c r="HD100" s="482"/>
      <c r="HE100" s="482"/>
      <c r="HF100" s="482"/>
      <c r="HG100" s="482"/>
      <c r="HH100" s="482"/>
      <c r="HI100" s="482"/>
      <c r="HJ100" s="482"/>
      <c r="HK100" s="482"/>
      <c r="HL100" s="482"/>
      <c r="HM100" s="482"/>
      <c r="HN100" s="482"/>
      <c r="HO100" s="482"/>
      <c r="HP100" s="482"/>
      <c r="HQ100" s="482"/>
      <c r="HR100" s="482"/>
      <c r="HS100" s="482"/>
      <c r="HT100" s="482"/>
      <c r="HU100" s="482"/>
      <c r="HV100" s="482"/>
      <c r="HW100" s="482"/>
      <c r="HX100" s="482"/>
      <c r="HY100" s="482"/>
      <c r="HZ100" s="482"/>
      <c r="IA100" s="482"/>
      <c r="IB100" s="482"/>
      <c r="IC100" s="482"/>
      <c r="ID100" s="482"/>
      <c r="IE100" s="482"/>
      <c r="IF100" s="482"/>
      <c r="IG100" s="482"/>
      <c r="IH100" s="482"/>
      <c r="II100" s="482"/>
      <c r="IJ100" s="482"/>
      <c r="IK100" s="482"/>
      <c r="IL100" s="482"/>
      <c r="IM100" s="482"/>
      <c r="IN100" s="482"/>
      <c r="IO100" s="482"/>
      <c r="IP100" s="482"/>
      <c r="IQ100" s="482"/>
      <c r="IR100" s="482"/>
      <c r="IS100" s="482"/>
      <c r="IT100" s="482"/>
      <c r="IU100" s="482"/>
      <c r="IV100" s="482"/>
      <c r="IW100" s="482"/>
      <c r="IX100" s="482"/>
    </row>
  </sheetData>
  <sortState ref="A121:R141">
    <sortCondition descending="1" ref="K121:K141"/>
  </sortState>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ssier Document Telecom FR" ma:contentTypeID="0x0101004FA21861B553C741A1AA3F2E5831C1CC050A02009F0EADBAC43CDC44A6BB8D97CFBD6481" ma:contentTypeVersion="8" ma:contentTypeDescription="Een nieuw document maken." ma:contentTypeScope="" ma:versionID="9447db78f319d3655f2cff6515b428fe">
  <xsd:schema xmlns:xsd="http://www.w3.org/2001/XMLSchema" xmlns:xs="http://www.w3.org/2001/XMLSchema" xmlns:p="http://schemas.microsoft.com/office/2006/metadata/properties" xmlns:ns1="2b4b6fc7-bde4-44a8-8bca-a78eb25a27e9" targetNamespace="http://schemas.microsoft.com/office/2006/metadata/properties" ma:root="true" ma:fieldsID="8d2607748f091be8897c9d816e6b6e6f" ns1:_="">
    <xsd:import namespace="2b4b6fc7-bde4-44a8-8bca-a78eb25a27e9"/>
    <xsd:element name="properties">
      <xsd:complexType>
        <xsd:sequence>
          <xsd:element name="documentManagement">
            <xsd:complexType>
              <xsd:all>
                <xsd:element ref="ns1:Group_x0020_Name" minOccurs="0"/>
                <xsd:element ref="ns1:Group_x0020_Date" minOccurs="0"/>
                <xsd:element ref="ns1:Dossier_x0020_Number" minOccurs="0"/>
                <xsd:element ref="ns1:History_x0020_of_x0020_Remarks" minOccurs="0"/>
                <xsd:element ref="ns1:Administrative" minOccurs="0"/>
                <xsd:element ref="ns1:Confidential1" minOccurs="0"/>
                <xsd:element ref="ns1:Version_x0020_Published_x0020_To_x0020_Library" minOccurs="0"/>
                <xsd:element ref="ns1:Version_x0020_Published_x0020_to_x0020_Internet" minOccurs="0"/>
                <xsd:element ref="ns1:QuickPartDocumentId" minOccurs="0"/>
                <xsd:element ref="ns1:d4ec9b080060429989fa5f940ee3f852" minOccurs="0"/>
                <xsd:element ref="ns1:TaxCatchAll" minOccurs="0"/>
                <xsd:element ref="ns1:o3cf37d2a5d34fd7955003a053893e5e" minOccurs="0"/>
                <xsd:element ref="ns1:_dlc_DocId" minOccurs="0"/>
                <xsd:element ref="ns1:TaxCatchAllLabel" minOccurs="0"/>
                <xsd:element ref="ns1:ma0d6816d453412a898e0908e90b1a73" minOccurs="0"/>
                <xsd:element ref="ns1:_dlc_DocIdUrl" minOccurs="0"/>
                <xsd:element ref="ns1: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4b6fc7-bde4-44a8-8bca-a78eb25a27e9" elementFormDefault="qualified">
    <xsd:import namespace="http://schemas.microsoft.com/office/2006/documentManagement/types"/>
    <xsd:import namespace="http://schemas.microsoft.com/office/infopath/2007/PartnerControls"/>
    <xsd:element name="Group_x0020_Name" ma:index="0" nillable="true" ma:displayName="Group Name" ma:list="{f15f9345-aa06-4986-9291-33fea2533fb7}" ma:internalName="Group_x0020_Name" ma:showField="Title" ma:web="2b4b6fc7-bde4-44a8-8bca-a78eb25a27e9">
      <xsd:simpleType>
        <xsd:restriction base="dms:Lookup"/>
      </xsd:simpleType>
    </xsd:element>
    <xsd:element name="Group_x0020_Date" ma:index="1" nillable="true" ma:displayName="Group Date" ma:format="DateOnly" ma:internalName="Group_x0020_Date">
      <xsd:simpleType>
        <xsd:restriction base="dms:DateTime"/>
      </xsd:simpleType>
    </xsd:element>
    <xsd:element name="Dossier_x0020_Number" ma:index="7" nillable="true" ma:displayName="Dossier Number" ma:internalName="Dossier_x0020_Number">
      <xsd:simpleType>
        <xsd:restriction base="dms:Text">
          <xsd:maxLength value="255"/>
        </xsd:restriction>
      </xsd:simpleType>
    </xsd:element>
    <xsd:element name="History_x0020_of_x0020_Remarks" ma:index="8" nillable="true" ma:displayName="History of Remarks" ma:internalName="History_x0020_of_x0020_Remarks">
      <xsd:simpleType>
        <xsd:restriction base="dms:Note">
          <xsd:maxLength value="255"/>
        </xsd:restriction>
      </xsd:simpleType>
    </xsd:element>
    <xsd:element name="Administrative" ma:index="9" nillable="true" ma:displayName="Administrative" ma:default="0" ma:internalName="Administrative">
      <xsd:simpleType>
        <xsd:restriction base="dms:Boolean"/>
      </xsd:simpleType>
    </xsd:element>
    <xsd:element name="Confidential1" ma:index="10" nillable="true" ma:displayName="Confidential" ma:default="0" ma:internalName="Confidential1">
      <xsd:simpleType>
        <xsd:restriction base="dms:Boolean"/>
      </xsd:simpleType>
    </xsd:element>
    <xsd:element name="Version_x0020_Published_x0020_To_x0020_Library" ma:index="11" nillable="true" ma:displayName="Version Published to Library" ma:internalName="Version_x0020_Published_x0020_To_x0020_Library">
      <xsd:simpleType>
        <xsd:restriction base="dms:Text">
          <xsd:maxLength value="255"/>
        </xsd:restriction>
      </xsd:simpleType>
    </xsd:element>
    <xsd:element name="Version_x0020_Published_x0020_to_x0020_Internet" ma:index="12" nillable="true" ma:displayName="Version Published to Internet" ma:internalName="Version_x0020_Published_x0020_to_x0020_Internet">
      <xsd:simpleType>
        <xsd:restriction base="dms:Text">
          <xsd:maxLength value="255"/>
        </xsd:restriction>
      </xsd:simpleType>
    </xsd:element>
    <xsd:element name="QuickPartDocumentId" ma:index="13" nillable="true" ma:displayName="Doc Id" ma:internalName="QuickPartDocumentId" ma:readOnly="false">
      <xsd:simpleType>
        <xsd:restriction base="dms:Text">
          <xsd:maxLength value="255"/>
        </xsd:restriction>
      </xsd:simpleType>
    </xsd:element>
    <xsd:element name="d4ec9b080060429989fa5f940ee3f852" ma:index="16" nillable="true" ma:taxonomy="true" ma:internalName="d4ec9b080060429989fa5f940ee3f852" ma:taxonomyFieldName="Service1" ma:displayName="Service" ma:readOnly="false" ma:default="" ma:fieldId="{d4ec9b08-0060-4299-89fa-5f940ee3f852}" ma:sspId="75b52628-4ae0-409d-b79e-6d0521b2c784" ma:termSetId="46b8dc2a-6372-4a7b-bdd4-6b0c5e787490" ma:anchorId="00000000-0000-0000-0000-000000000000" ma:open="false" ma:isKeyword="false">
      <xsd:complexType>
        <xsd:sequence>
          <xsd:element ref="pc:Terms" minOccurs="0" maxOccurs="1"/>
        </xsd:sequence>
      </xsd:complexType>
    </xsd:element>
    <xsd:element name="TaxCatchAll" ma:index="17" nillable="true" ma:displayName="Taxonomy Catch All Column" ma:hidden="true" ma:list="{aacb5312-317a-4e89-849f-bd5396de7844}" ma:internalName="TaxCatchAll" ma:showField="CatchAllData" ma:web="2b4b6fc7-bde4-44a8-8bca-a78eb25a27e9">
      <xsd:complexType>
        <xsd:complexContent>
          <xsd:extension base="dms:MultiChoiceLookup">
            <xsd:sequence>
              <xsd:element name="Value" type="dms:Lookup" maxOccurs="unbounded" minOccurs="0" nillable="true"/>
            </xsd:sequence>
          </xsd:extension>
        </xsd:complexContent>
      </xsd:complexType>
    </xsd:element>
    <xsd:element name="o3cf37d2a5d34fd7955003a053893e5e" ma:index="18" nillable="true" ma:taxonomy="true" ma:internalName="o3cf37d2a5d34fd7955003a053893e5e" ma:taxonomyFieldName="Languages" ma:displayName="Languages" ma:default="" ma:fieldId="{83cf37d2-a5d3-4fd7-9550-03a053893e5e}" ma:taxonomyMulti="true" ma:sspId="75b52628-4ae0-409d-b79e-6d0521b2c784" ma:termSetId="af6d6fcf-919d-4606-93f6-1f52cad124cb" ma:anchorId="00000000-0000-0000-0000-000000000000" ma:open="false" ma:isKeyword="false">
      <xsd:complexType>
        <xsd:sequence>
          <xsd:element ref="pc:Terms" minOccurs="0" maxOccurs="1"/>
        </xsd:sequence>
      </xsd:complex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TaxCatchAllLabel" ma:index="23" nillable="true" ma:displayName="Taxonomy Catch All Column1" ma:hidden="true" ma:list="{aacb5312-317a-4e89-849f-bd5396de7844}" ma:internalName="TaxCatchAllLabel" ma:readOnly="true" ma:showField="CatchAllDataLabel" ma:web="2b4b6fc7-bde4-44a8-8bca-a78eb25a27e9">
      <xsd:complexType>
        <xsd:complexContent>
          <xsd:extension base="dms:MultiChoiceLookup">
            <xsd:sequence>
              <xsd:element name="Value" type="dms:Lookup" maxOccurs="unbounded" minOccurs="0" nillable="true"/>
            </xsd:sequence>
          </xsd:extension>
        </xsd:complexContent>
      </xsd:complexType>
    </xsd:element>
    <xsd:element name="ma0d6816d453412a898e0908e90b1a73" ma:index="24" nillable="true" ma:taxonomy="true" ma:internalName="ma0d6816d453412a898e0908e90b1a73" ma:taxonomyFieldName="Telecom_x0020_Document_x0020_Type" ma:displayName="Telecom Document Type" ma:default="" ma:fieldId="{6a0d6816-d453-412a-898e-0908e90b1a73}" ma:sspId="75b52628-4ae0-409d-b79e-6d0521b2c784" ma:termSetId="70a71869-97dc-44c4-809f-c82c1748fef0" ma:anchorId="00000000-0000-0000-0000-000000000000" ma:open="false" ma:isKeyword="false">
      <xsd:complexType>
        <xsd:sequence>
          <xsd:element ref="pc:Terms" minOccurs="0" maxOccurs="1"/>
        </xsd:sequence>
      </xsd:complexType>
    </xsd:element>
    <xsd:element name="_dlc_DocIdUrl" ma:index="2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Add Dossier Service and Service Nr Eventhandler (Added)</Name>
    <Synchronization>Synchronous</Synchronization>
    <Type>10001</Type>
    <SequenceNumber>10030</SequenceNumber>
    <Assembly>BIPT.Ged, Version=1.0.0.0, Culture=neutral, PublicKeyToken=423c9e81cd84949a</Assembly>
    <Class>BIPT.Ged.EventReceivers.FillOutDossierServiceAndServiceNumber.FillOutDossierServiceAndServiceNumber</Class>
    <Data/>
    <Filter/>
  </Receiver>
  <Receiver>
    <Name>addin</Name>
    <Synchronization>Synchronous</Synchronization>
    <Type>1</Type>
    <SequenceNumber>10240</SequenceNumber>
    <Assembly>BIPT.Ged, Version=1.0.0.0, Culture=neutral, PublicKeyToken=423c9e81cd84949a</Assembly>
    <Class>BIPT.Ged.EventReceivers.FillOutDossierServiceAndServiceNumber.FillOutDossierServiceAndServiceNumber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ma0d6816d453412a898e0908e90b1a73 xmlns="2b4b6fc7-bde4-44a8-8bca-a78eb25a27e9">
      <Terms xmlns="http://schemas.microsoft.com/office/infopath/2007/PartnerControls"/>
    </ma0d6816d453412a898e0908e90b1a73>
    <Dossier_x0020_Number xmlns="2b4b6fc7-bde4-44a8-8bca-a78eb25a27e9">2012-001468</Dossier_x0020_Number>
    <_dlc_DocId xmlns="2b4b6fc7-bde4-44a8-8bca-a78eb25a27e9">DS12-4322-92</_dlc_DocId>
    <o3cf37d2a5d34fd7955003a053893e5e xmlns="2b4b6fc7-bde4-44a8-8bca-a78eb25a27e9">
      <Terms xmlns="http://schemas.microsoft.com/office/infopath/2007/PartnerControls"/>
    </o3cf37d2a5d34fd7955003a053893e5e>
    <_dlc_DocIdUrl xmlns="2b4b6fc7-bde4-44a8-8bca-a78eb25a27e9">
      <Url>http://teamworkingspace.bipt.local/sites/dossiers2012/10/2012001468/_layouts/DocIdRedir.aspx?ID=DS12-4322-92</Url>
      <Description>DS12-4322-92</Description>
    </_dlc_DocIdUrl>
    <TaxCatchAll xmlns="2b4b6fc7-bde4-44a8-8bca-a78eb25a27e9">
      <Value>77</Value>
    </TaxCatchAll>
    <QuickPartDocumentId xmlns="2b4b6fc7-bde4-44a8-8bca-a78eb25a27e9">DS12-4322-92</QuickPartDocumentId>
    <d4ec9b080060429989fa5f940ee3f852 xmlns="2b4b6fc7-bde4-44a8-8bca-a78eb25a27e9">
      <Terms xmlns="http://schemas.microsoft.com/office/infopath/2007/PartnerControls">
        <TermInfo xmlns="http://schemas.microsoft.com/office/infopath/2007/PartnerControls">
          <TermName xmlns="http://schemas.microsoft.com/office/infopath/2007/PartnerControls">Telecom And Media</TermName>
          <TermId xmlns="http://schemas.microsoft.com/office/infopath/2007/PartnerControls">0d70e459-47d9-475b-bd99-b3a781cfdf71</TermId>
        </TermInfo>
      </Terms>
    </d4ec9b080060429989fa5f940ee3f852>
    <Version_x0020_Published_x0020_To_x0020_Library xmlns="2b4b6fc7-bde4-44a8-8bca-a78eb25a27e9" xsi:nil="true"/>
    <Version_x0020_Published_x0020_to_x0020_Internet xmlns="2b4b6fc7-bde4-44a8-8bca-a78eb25a27e9" xsi:nil="true"/>
    <Group_x0020_Date xmlns="2b4b6fc7-bde4-44a8-8bca-a78eb25a27e9" xsi:nil="true"/>
    <Group_x0020_Name xmlns="2b4b6fc7-bde4-44a8-8bca-a78eb25a27e9" xsi:nil="true"/>
    <History_x0020_of_x0020_Remarks xmlns="2b4b6fc7-bde4-44a8-8bca-a78eb25a27e9" xsi:nil="true"/>
    <Administrative xmlns="2b4b6fc7-bde4-44a8-8bca-a78eb25a27e9">false</Administrative>
    <Confidential1 xmlns="2b4b6fc7-bde4-44a8-8bca-a78eb25a27e9">false</Confidential1>
  </documentManagement>
</p:properties>
</file>

<file path=customXml/itemProps1.xml><?xml version="1.0" encoding="utf-8"?>
<ds:datastoreItem xmlns:ds="http://schemas.openxmlformats.org/officeDocument/2006/customXml" ds:itemID="{ABB2F690-A62F-453E-9BA2-D809794FFB9E}"/>
</file>

<file path=customXml/itemProps2.xml><?xml version="1.0" encoding="utf-8"?>
<ds:datastoreItem xmlns:ds="http://schemas.openxmlformats.org/officeDocument/2006/customXml" ds:itemID="{6DF9DC09-F3F9-4A02-A928-504E476E439C}"/>
</file>

<file path=customXml/itemProps3.xml><?xml version="1.0" encoding="utf-8"?>
<ds:datastoreItem xmlns:ds="http://schemas.openxmlformats.org/officeDocument/2006/customXml" ds:itemID="{BF81084D-BE7D-4199-86D6-B22D98102972}"/>
</file>

<file path=customXml/itemProps4.xml><?xml version="1.0" encoding="utf-8"?>
<ds:datastoreItem xmlns:ds="http://schemas.openxmlformats.org/officeDocument/2006/customXml" ds:itemID="{02241B12-1F66-40E9-B0A4-CAF47C7F99F8}"/>
</file>

<file path=customXml/itemProps5.xml><?xml version="1.0" encoding="utf-8"?>
<ds:datastoreItem xmlns:ds="http://schemas.openxmlformats.org/officeDocument/2006/customXml" ds:itemID="{9AF07B86-2F51-40DE-8FC0-5A9808CE4C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vt:i4>
      </vt:variant>
    </vt:vector>
  </HeadingPairs>
  <TitlesOfParts>
    <vt:vector size="17" baseType="lpstr">
      <vt:lpstr>INDEX - SUMMARY</vt:lpstr>
      <vt:lpstr>NOTE 2</vt:lpstr>
      <vt:lpstr>PROFILES</vt:lpstr>
      <vt:lpstr>GEARINGS, E&amp;Enot</vt:lpstr>
      <vt:lpstr>RATINGS</vt:lpstr>
      <vt:lpstr>OUTPUTS &amp; Inputs</vt:lpstr>
      <vt:lpstr>Ranking</vt:lpstr>
      <vt:lpstr>SEGMENTS Data &amp; Estimates</vt:lpstr>
      <vt:lpstr>CALCULATIONS</vt:lpstr>
      <vt:lpstr>OPERATING LEASES</vt:lpstr>
      <vt:lpstr>Bloom Cleaner Data</vt:lpstr>
      <vt:lpstr>(Bloom Raw Data)</vt:lpstr>
      <vt:lpstr>(Bloom Data Not Used or NA)</vt:lpstr>
      <vt:lpstr>'OPERATING LEASES'!_ftnref1</vt:lpstr>
      <vt:lpstr>'GEARINGS, E&amp;Enot'!RESULTS___ANALYSES</vt:lpstr>
      <vt:lpstr>Ranking!RESULTS___ANALYSES</vt:lpstr>
      <vt:lpstr>RATINGS!RESULTS___ANALYSES</vt:lpstr>
    </vt:vector>
  </TitlesOfParts>
  <Company>aef</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aef</dc:creator>
  <cp:lastModifiedBy>djibril diakite</cp:lastModifiedBy>
  <dcterms:created xsi:type="dcterms:W3CDTF">2009-03-02T17:54:38Z</dcterms:created>
  <dcterms:modified xsi:type="dcterms:W3CDTF">2014-03-26T09:33:56Z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0dbfd438-75c2-43c7-908e-38ef43e32e5a</vt:lpwstr>
  </property>
  <property fmtid="{D5CDD505-2E9C-101B-9397-08002B2CF9AE}" pid="3" name="Telecom_x0020_Document_x0020_Type">
    <vt:lpwstr/>
  </property>
  <property fmtid="{D5CDD505-2E9C-101B-9397-08002B2CF9AE}" pid="4" name="ContentTypeId">
    <vt:lpwstr>0x0101004FA21861B553C741A1AA3F2E5831C1CC050A02009F0EADBAC43CDC44A6BB8D97CFBD6481</vt:lpwstr>
  </property>
  <property fmtid="{D5CDD505-2E9C-101B-9397-08002B2CF9AE}" pid="5" name="Languages">
    <vt:lpwstr/>
  </property>
  <property fmtid="{D5CDD505-2E9C-101B-9397-08002B2CF9AE}" pid="6" name="Service1">
    <vt:lpwstr>77;#Telecom And Media|0d70e459-47d9-475b-bd99-b3a781cfdf71</vt:lpwstr>
  </property>
</Properties>
</file>